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W:\WA\2021 Dockets\UE-210345 RPS Report\6-1-21 RPS Report\Working Docs\A. Reporting Spreadsheet\"/>
    </mc:Choice>
  </mc:AlternateContent>
  <xr:revisionPtr revIDLastSave="0" documentId="13_ncr:1_{841DFCA7-3B6D-4D0E-93C8-5F4FACDE0933}" xr6:coauthVersionLast="45" xr6:coauthVersionMax="45" xr10:uidLastSave="{00000000-0000-0000-0000-000000000000}"/>
  <bookViews>
    <workbookView xWindow="28680" yWindow="-120" windowWidth="19440" windowHeight="15000" tabRatio="670" xr2:uid="{00000000-000D-0000-FFFF-FFFF00000000}"/>
  </bookViews>
  <sheets>
    <sheet name="Title Page" sheetId="9" r:id="rId1"/>
    <sheet name="Instructions" sheetId="7" r:id="rId2"/>
    <sheet name="Compliance Summary" sheetId="6" r:id="rId3"/>
    <sheet name="Facility Detail" sheetId="1" r:id="rId4"/>
    <sheet name="Generation Rollup" sheetId="8" r:id="rId5"/>
  </sheets>
  <externalReferences>
    <externalReference r:id="rId6"/>
  </externalReferences>
  <definedNames>
    <definedName name="Facility">'Facility Detail'!$B$3085:$B$3094</definedName>
    <definedName name="LaborBonus">'Facility Detail'!$B$3074:$B$3076</definedName>
    <definedName name="_xlnm.Print_Area" localSheetId="2">'Compliance Summary'!$A$1:$M$69</definedName>
    <definedName name="_xlnm.Print_Area" localSheetId="3">'Facility Detail'!$A$1:$N$3068</definedName>
    <definedName name="_xlnm.Print_Area" localSheetId="4">'Generation Rollup'!$A$1:$M$13</definedName>
    <definedName name="_xlnm.Print_Area" localSheetId="1">Instructions!$A$2:$F$40</definedName>
    <definedName name="_xlnm.Print_Area" localSheetId="0">'Title Page'!$A$1:$J$51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3" i="6" l="1"/>
  <c r="M44" i="6" s="1"/>
  <c r="M49" i="6" s="1"/>
  <c r="L40" i="6"/>
  <c r="M46" i="6"/>
  <c r="L46" i="6"/>
  <c r="K46" i="6"/>
  <c r="J46" i="6"/>
  <c r="I46" i="6"/>
  <c r="H46" i="6"/>
  <c r="G46" i="6"/>
  <c r="F46" i="6"/>
  <c r="E46" i="6"/>
  <c r="D46" i="6"/>
  <c r="C46" i="6"/>
  <c r="M42" i="6"/>
  <c r="L42" i="6"/>
  <c r="M41" i="6"/>
  <c r="L41" i="6"/>
  <c r="K40" i="6"/>
  <c r="L39" i="6"/>
  <c r="K39" i="6"/>
  <c r="K38" i="6"/>
  <c r="K37" i="6"/>
  <c r="J37" i="6"/>
  <c r="J36" i="6"/>
  <c r="J35" i="6"/>
  <c r="I35" i="6"/>
  <c r="I34" i="6"/>
  <c r="I33" i="6"/>
  <c r="H33" i="6"/>
  <c r="H32" i="6"/>
  <c r="H31" i="6"/>
  <c r="G31" i="6"/>
  <c r="G30" i="6"/>
  <c r="G29" i="6"/>
  <c r="F29" i="6"/>
  <c r="F28" i="6"/>
  <c r="F27" i="6"/>
  <c r="E27" i="6"/>
  <c r="E26" i="6"/>
  <c r="E25" i="6"/>
  <c r="D25" i="6"/>
  <c r="D24" i="6"/>
  <c r="C24" i="6"/>
  <c r="D23" i="6"/>
  <c r="C23"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3" i="6"/>
  <c r="L13" i="6"/>
  <c r="K13" i="6"/>
  <c r="J13" i="6"/>
  <c r="I13" i="6"/>
  <c r="H13" i="6"/>
  <c r="G13" i="6"/>
  <c r="F13" i="6"/>
  <c r="E13" i="6"/>
  <c r="D13" i="6"/>
  <c r="C13" i="6"/>
  <c r="M12" i="6"/>
  <c r="L12" i="6"/>
  <c r="K12" i="6"/>
  <c r="J12" i="6"/>
  <c r="I12" i="6"/>
  <c r="H12" i="6"/>
  <c r="G12" i="6"/>
  <c r="F12" i="6"/>
  <c r="E12" i="6"/>
  <c r="D12" i="6"/>
  <c r="C12" i="6"/>
  <c r="N1816" i="1"/>
  <c r="D26" i="8" l="1"/>
  <c r="E26" i="8"/>
  <c r="F26" i="8"/>
  <c r="G26" i="8"/>
  <c r="H26" i="8"/>
  <c r="I26" i="8"/>
  <c r="J26" i="8"/>
  <c r="K26" i="8"/>
  <c r="L26" i="8"/>
  <c r="N26" i="8"/>
  <c r="C26" i="8"/>
  <c r="D79" i="8"/>
  <c r="E79" i="8"/>
  <c r="F79" i="8"/>
  <c r="G79" i="8"/>
  <c r="H79" i="8"/>
  <c r="I79" i="8"/>
  <c r="J79" i="8"/>
  <c r="K79" i="8"/>
  <c r="L79" i="8"/>
  <c r="N79" i="8"/>
  <c r="D80" i="8"/>
  <c r="E80" i="8"/>
  <c r="F80" i="8"/>
  <c r="G80" i="8"/>
  <c r="H80" i="8"/>
  <c r="I80" i="8"/>
  <c r="J80" i="8"/>
  <c r="K80" i="8"/>
  <c r="L80" i="8"/>
  <c r="N80" i="8"/>
  <c r="D81" i="8"/>
  <c r="E81" i="8"/>
  <c r="F81" i="8"/>
  <c r="G81" i="8"/>
  <c r="H81" i="8"/>
  <c r="I81" i="8"/>
  <c r="J81" i="8"/>
  <c r="K81" i="8"/>
  <c r="L81" i="8"/>
  <c r="N81" i="8"/>
  <c r="D82" i="8"/>
  <c r="E82" i="8"/>
  <c r="F82" i="8"/>
  <c r="G82" i="8"/>
  <c r="H82" i="8"/>
  <c r="I82" i="8"/>
  <c r="J82" i="8"/>
  <c r="K82" i="8"/>
  <c r="L82" i="8"/>
  <c r="M82" i="8"/>
  <c r="N82" i="8"/>
  <c r="D83" i="8"/>
  <c r="E83" i="8"/>
  <c r="F83" i="8"/>
  <c r="G83" i="8"/>
  <c r="H83" i="8"/>
  <c r="I83" i="8"/>
  <c r="J83" i="8"/>
  <c r="K83" i="8"/>
  <c r="L83" i="8"/>
  <c r="M83" i="8"/>
  <c r="N83" i="8"/>
  <c r="D84" i="8"/>
  <c r="E84" i="8"/>
  <c r="F84" i="8"/>
  <c r="G84" i="8"/>
  <c r="H84" i="8"/>
  <c r="I84" i="8"/>
  <c r="J84" i="8"/>
  <c r="K84" i="8"/>
  <c r="L84" i="8"/>
  <c r="N84" i="8"/>
  <c r="C84" i="8"/>
  <c r="C83" i="8"/>
  <c r="C82" i="8"/>
  <c r="C81" i="8"/>
  <c r="C80" i="8"/>
  <c r="C79" i="8"/>
  <c r="D69" i="8"/>
  <c r="E69" i="8"/>
  <c r="F69" i="8"/>
  <c r="G69" i="8"/>
  <c r="H69" i="8"/>
  <c r="I69" i="8"/>
  <c r="J69" i="8"/>
  <c r="K69" i="8"/>
  <c r="L69" i="8"/>
  <c r="N69" i="8"/>
  <c r="D70" i="8"/>
  <c r="E70" i="8"/>
  <c r="F70" i="8"/>
  <c r="G70" i="8"/>
  <c r="H70" i="8"/>
  <c r="I70" i="8"/>
  <c r="J70" i="8"/>
  <c r="K70" i="8"/>
  <c r="L70" i="8"/>
  <c r="M70" i="8"/>
  <c r="N70" i="8"/>
  <c r="D71" i="8"/>
  <c r="E71" i="8"/>
  <c r="F71" i="8"/>
  <c r="G71" i="8"/>
  <c r="H71" i="8"/>
  <c r="I71" i="8"/>
  <c r="J71" i="8"/>
  <c r="K71" i="8"/>
  <c r="L71" i="8"/>
  <c r="N71" i="8"/>
  <c r="D72" i="8"/>
  <c r="E72" i="8"/>
  <c r="F72" i="8"/>
  <c r="G72" i="8"/>
  <c r="H72" i="8"/>
  <c r="I72" i="8"/>
  <c r="J72" i="8"/>
  <c r="K72" i="8"/>
  <c r="L72" i="8"/>
  <c r="N72" i="8"/>
  <c r="D73" i="8"/>
  <c r="E73" i="8"/>
  <c r="F73" i="8"/>
  <c r="G73" i="8"/>
  <c r="H73" i="8"/>
  <c r="I73" i="8"/>
  <c r="J73" i="8"/>
  <c r="K73" i="8"/>
  <c r="L73" i="8"/>
  <c r="N73" i="8"/>
  <c r="D74" i="8"/>
  <c r="E74" i="8"/>
  <c r="F74" i="8"/>
  <c r="G74" i="8"/>
  <c r="H74" i="8"/>
  <c r="I74" i="8"/>
  <c r="J74" i="8"/>
  <c r="K74" i="8"/>
  <c r="L74" i="8"/>
  <c r="M74" i="8"/>
  <c r="N74" i="8"/>
  <c r="D75" i="8"/>
  <c r="E75" i="8"/>
  <c r="F75" i="8"/>
  <c r="G75" i="8"/>
  <c r="H75" i="8"/>
  <c r="I75" i="8"/>
  <c r="J75" i="8"/>
  <c r="K75" i="8"/>
  <c r="L75" i="8"/>
  <c r="M75" i="8"/>
  <c r="N75" i="8"/>
  <c r="D76" i="8"/>
  <c r="E76" i="8"/>
  <c r="F76" i="8"/>
  <c r="G76" i="8"/>
  <c r="H76" i="8"/>
  <c r="I76" i="8"/>
  <c r="J76" i="8"/>
  <c r="K76" i="8"/>
  <c r="L76" i="8"/>
  <c r="M76" i="8"/>
  <c r="N76" i="8"/>
  <c r="D77" i="8"/>
  <c r="E77" i="8"/>
  <c r="F77" i="8"/>
  <c r="G77" i="8"/>
  <c r="H77" i="8"/>
  <c r="I77" i="8"/>
  <c r="J77" i="8"/>
  <c r="K77" i="8"/>
  <c r="L77" i="8"/>
  <c r="M77" i="8"/>
  <c r="N77" i="8"/>
  <c r="D78" i="8"/>
  <c r="E78" i="8"/>
  <c r="F78" i="8"/>
  <c r="G78" i="8"/>
  <c r="H78" i="8"/>
  <c r="I78" i="8"/>
  <c r="J78" i="8"/>
  <c r="K78" i="8"/>
  <c r="L78" i="8"/>
  <c r="N78" i="8"/>
  <c r="C78" i="8"/>
  <c r="C77" i="8"/>
  <c r="C76" i="8"/>
  <c r="C75" i="8"/>
  <c r="C74" i="8"/>
  <c r="C73" i="8"/>
  <c r="C72" i="8"/>
  <c r="C71" i="8"/>
  <c r="C70" i="8"/>
  <c r="C69" i="8"/>
  <c r="D63" i="8"/>
  <c r="E63" i="8"/>
  <c r="F63" i="8"/>
  <c r="G63" i="8"/>
  <c r="H63" i="8"/>
  <c r="I63" i="8"/>
  <c r="J63" i="8"/>
  <c r="K63" i="8"/>
  <c r="L63" i="8"/>
  <c r="M63" i="8"/>
  <c r="N63" i="8"/>
  <c r="D64" i="8"/>
  <c r="E64" i="8"/>
  <c r="F64" i="8"/>
  <c r="G64" i="8"/>
  <c r="H64" i="8"/>
  <c r="I64" i="8"/>
  <c r="J64" i="8"/>
  <c r="K64" i="8"/>
  <c r="L64" i="8"/>
  <c r="M64" i="8"/>
  <c r="N64" i="8"/>
  <c r="D65" i="8"/>
  <c r="E65" i="8"/>
  <c r="F65" i="8"/>
  <c r="G65" i="8"/>
  <c r="H65" i="8"/>
  <c r="I65" i="8"/>
  <c r="J65" i="8"/>
  <c r="K65" i="8"/>
  <c r="L65" i="8"/>
  <c r="N65" i="8"/>
  <c r="D66" i="8"/>
  <c r="E66" i="8"/>
  <c r="F66" i="8"/>
  <c r="G66" i="8"/>
  <c r="H66" i="8"/>
  <c r="I66" i="8"/>
  <c r="J66" i="8"/>
  <c r="K66" i="8"/>
  <c r="L66" i="8"/>
  <c r="N66" i="8"/>
  <c r="D67" i="8"/>
  <c r="E67" i="8"/>
  <c r="F67" i="8"/>
  <c r="G67" i="8"/>
  <c r="H67" i="8"/>
  <c r="I67" i="8"/>
  <c r="J67" i="8"/>
  <c r="K67" i="8"/>
  <c r="L67" i="8"/>
  <c r="N67" i="8"/>
  <c r="D68" i="8"/>
  <c r="E68" i="8"/>
  <c r="F68" i="8"/>
  <c r="G68" i="8"/>
  <c r="H68" i="8"/>
  <c r="I68" i="8"/>
  <c r="J68" i="8"/>
  <c r="K68" i="8"/>
  <c r="L68" i="8"/>
  <c r="N68" i="8"/>
  <c r="C68" i="8"/>
  <c r="C67" i="8"/>
  <c r="C66" i="8"/>
  <c r="C65" i="8"/>
  <c r="C64" i="8"/>
  <c r="C63" i="8"/>
  <c r="D56" i="8"/>
  <c r="E56" i="8"/>
  <c r="F56" i="8"/>
  <c r="G56" i="8"/>
  <c r="H56" i="8"/>
  <c r="I56" i="8"/>
  <c r="J56" i="8"/>
  <c r="K56" i="8"/>
  <c r="M56" i="8"/>
  <c r="N56" i="8"/>
  <c r="D57" i="8"/>
  <c r="E57" i="8"/>
  <c r="F57" i="8"/>
  <c r="G57" i="8"/>
  <c r="H57" i="8"/>
  <c r="I57" i="8"/>
  <c r="J57" i="8"/>
  <c r="K57" i="8"/>
  <c r="N57" i="8"/>
  <c r="D58" i="8"/>
  <c r="E58" i="8"/>
  <c r="F58" i="8"/>
  <c r="G58" i="8"/>
  <c r="H58" i="8"/>
  <c r="I58" i="8"/>
  <c r="J58" i="8"/>
  <c r="K58" i="8"/>
  <c r="L58" i="8"/>
  <c r="M58" i="8"/>
  <c r="N58" i="8"/>
  <c r="D59" i="8"/>
  <c r="E59" i="8"/>
  <c r="F59" i="8"/>
  <c r="G59" i="8"/>
  <c r="H59" i="8"/>
  <c r="I59" i="8"/>
  <c r="J59" i="8"/>
  <c r="K59" i="8"/>
  <c r="L59" i="8"/>
  <c r="M59" i="8"/>
  <c r="N59" i="8"/>
  <c r="D60" i="8"/>
  <c r="E60" i="8"/>
  <c r="F60" i="8"/>
  <c r="G60" i="8"/>
  <c r="H60" i="8"/>
  <c r="I60" i="8"/>
  <c r="J60" i="8"/>
  <c r="K60" i="8"/>
  <c r="L60" i="8"/>
  <c r="M60" i="8"/>
  <c r="N60" i="8"/>
  <c r="D61" i="8"/>
  <c r="E61" i="8"/>
  <c r="F61" i="8"/>
  <c r="G61" i="8"/>
  <c r="H61" i="8"/>
  <c r="I61" i="8"/>
  <c r="J61" i="8"/>
  <c r="K61" i="8"/>
  <c r="L61" i="8"/>
  <c r="N61" i="8"/>
  <c r="D62" i="8"/>
  <c r="E62" i="8"/>
  <c r="F62" i="8"/>
  <c r="G62" i="8"/>
  <c r="H62" i="8"/>
  <c r="I62" i="8"/>
  <c r="J62" i="8"/>
  <c r="K62" i="8"/>
  <c r="L62" i="8"/>
  <c r="N62" i="8"/>
  <c r="C62" i="8"/>
  <c r="C61" i="8"/>
  <c r="C60" i="8"/>
  <c r="C59" i="8"/>
  <c r="C58" i="8"/>
  <c r="C57" i="8"/>
  <c r="C56" i="8"/>
  <c r="D51" i="8"/>
  <c r="E51" i="8"/>
  <c r="F51" i="8"/>
  <c r="G51" i="8"/>
  <c r="H51" i="8"/>
  <c r="I51" i="8"/>
  <c r="J51" i="8"/>
  <c r="K51" i="8"/>
  <c r="L51" i="8"/>
  <c r="N51" i="8"/>
  <c r="D52" i="8"/>
  <c r="E52" i="8"/>
  <c r="F52" i="8"/>
  <c r="G52" i="8"/>
  <c r="H52" i="8"/>
  <c r="I52" i="8"/>
  <c r="J52" i="8"/>
  <c r="K52" i="8"/>
  <c r="L52" i="8"/>
  <c r="M52" i="8"/>
  <c r="N52" i="8"/>
  <c r="D53" i="8"/>
  <c r="E53" i="8"/>
  <c r="F53" i="8"/>
  <c r="G53" i="8"/>
  <c r="H53" i="8"/>
  <c r="I53" i="8"/>
  <c r="J53" i="8"/>
  <c r="K53" i="8"/>
  <c r="L53" i="8"/>
  <c r="M53" i="8"/>
  <c r="N53" i="8"/>
  <c r="D54" i="8"/>
  <c r="E54" i="8"/>
  <c r="F54" i="8"/>
  <c r="G54" i="8"/>
  <c r="H54" i="8"/>
  <c r="I54" i="8"/>
  <c r="J54" i="8"/>
  <c r="K54" i="8"/>
  <c r="L54" i="8"/>
  <c r="M54" i="8"/>
  <c r="N54" i="8"/>
  <c r="D55" i="8"/>
  <c r="E55" i="8"/>
  <c r="F55" i="8"/>
  <c r="G55" i="8"/>
  <c r="H55" i="8"/>
  <c r="I55" i="8"/>
  <c r="J55" i="8"/>
  <c r="K55" i="8"/>
  <c r="L55" i="8"/>
  <c r="M55" i="8"/>
  <c r="N55" i="8"/>
  <c r="C55" i="8"/>
  <c r="C54" i="8"/>
  <c r="C53" i="8"/>
  <c r="C52" i="8"/>
  <c r="C51" i="8"/>
  <c r="D47" i="8"/>
  <c r="E47" i="8"/>
  <c r="F47" i="8"/>
  <c r="G47" i="8"/>
  <c r="H47" i="8"/>
  <c r="I47" i="8"/>
  <c r="J47" i="8"/>
  <c r="K47" i="8"/>
  <c r="L47" i="8"/>
  <c r="M47" i="8"/>
  <c r="N47" i="8"/>
  <c r="D48" i="8"/>
  <c r="E48" i="8"/>
  <c r="F48" i="8"/>
  <c r="G48" i="8"/>
  <c r="H48" i="8"/>
  <c r="I48" i="8"/>
  <c r="J48" i="8"/>
  <c r="K48" i="8"/>
  <c r="L48" i="8"/>
  <c r="M48" i="8"/>
  <c r="N48" i="8"/>
  <c r="D49" i="8"/>
  <c r="E49" i="8"/>
  <c r="F49" i="8"/>
  <c r="G49" i="8"/>
  <c r="H49" i="8"/>
  <c r="I49" i="8"/>
  <c r="J49" i="8"/>
  <c r="K49" i="8"/>
  <c r="N49" i="8"/>
  <c r="D50" i="8"/>
  <c r="E50" i="8"/>
  <c r="F50" i="8"/>
  <c r="G50" i="8"/>
  <c r="H50" i="8"/>
  <c r="I50" i="8"/>
  <c r="J50" i="8"/>
  <c r="K50" i="8"/>
  <c r="L50" i="8"/>
  <c r="M50" i="8"/>
  <c r="N50" i="8"/>
  <c r="C50" i="8"/>
  <c r="C49" i="8"/>
  <c r="C48" i="8"/>
  <c r="C47" i="8"/>
  <c r="D43" i="8"/>
  <c r="E43" i="8"/>
  <c r="F43" i="8"/>
  <c r="G43" i="8"/>
  <c r="H43" i="8"/>
  <c r="I43" i="8"/>
  <c r="J43" i="8"/>
  <c r="K43" i="8"/>
  <c r="L43" i="8"/>
  <c r="M43" i="8"/>
  <c r="N43" i="8"/>
  <c r="D44" i="8"/>
  <c r="E44" i="8"/>
  <c r="F44" i="8"/>
  <c r="G44" i="8"/>
  <c r="H44" i="8"/>
  <c r="I44" i="8"/>
  <c r="J44" i="8"/>
  <c r="K44" i="8"/>
  <c r="L44" i="8"/>
  <c r="M44" i="8"/>
  <c r="N44" i="8"/>
  <c r="D45" i="8"/>
  <c r="E45" i="8"/>
  <c r="F45" i="8"/>
  <c r="G45" i="8"/>
  <c r="H45" i="8"/>
  <c r="I45" i="8"/>
  <c r="J45" i="8"/>
  <c r="K45" i="8"/>
  <c r="L45" i="8"/>
  <c r="M45" i="8"/>
  <c r="N45" i="8"/>
  <c r="D46" i="8"/>
  <c r="E46" i="8"/>
  <c r="F46" i="8"/>
  <c r="G46" i="8"/>
  <c r="H46" i="8"/>
  <c r="I46" i="8"/>
  <c r="J46" i="8"/>
  <c r="K46" i="8"/>
  <c r="L46" i="8"/>
  <c r="M46" i="8"/>
  <c r="N46" i="8"/>
  <c r="C46" i="8"/>
  <c r="C45" i="8"/>
  <c r="C44" i="8"/>
  <c r="C43" i="8"/>
  <c r="D40" i="8"/>
  <c r="E40" i="8"/>
  <c r="F40" i="8"/>
  <c r="G40" i="8"/>
  <c r="H40" i="8"/>
  <c r="I40" i="8"/>
  <c r="J40" i="8"/>
  <c r="K40" i="8"/>
  <c r="L40" i="8"/>
  <c r="M40" i="8"/>
  <c r="N40" i="8"/>
  <c r="D41" i="8"/>
  <c r="E41" i="8"/>
  <c r="F41" i="8"/>
  <c r="G41" i="8"/>
  <c r="H41" i="8"/>
  <c r="I41" i="8"/>
  <c r="J41" i="8"/>
  <c r="K41" i="8"/>
  <c r="L41" i="8"/>
  <c r="M41" i="8"/>
  <c r="N41" i="8"/>
  <c r="D42" i="8"/>
  <c r="E42" i="8"/>
  <c r="F42" i="8"/>
  <c r="G42" i="8"/>
  <c r="H42" i="8"/>
  <c r="I42" i="8"/>
  <c r="J42" i="8"/>
  <c r="K42" i="8"/>
  <c r="L42" i="8"/>
  <c r="M42" i="8"/>
  <c r="N42" i="8"/>
  <c r="C42" i="8"/>
  <c r="C41" i="8"/>
  <c r="C40" i="8"/>
  <c r="D34" i="8"/>
  <c r="E34" i="8"/>
  <c r="F34" i="8"/>
  <c r="G34" i="8"/>
  <c r="H34" i="8"/>
  <c r="I34" i="8"/>
  <c r="J34" i="8"/>
  <c r="K34" i="8"/>
  <c r="M34" i="8"/>
  <c r="N34" i="8"/>
  <c r="D35" i="8"/>
  <c r="E35" i="8"/>
  <c r="F35" i="8"/>
  <c r="G35" i="8"/>
  <c r="H35" i="8"/>
  <c r="I35" i="8"/>
  <c r="J35" i="8"/>
  <c r="K35" i="8"/>
  <c r="L35" i="8"/>
  <c r="N35" i="8"/>
  <c r="D36" i="8"/>
  <c r="E36" i="8"/>
  <c r="F36" i="8"/>
  <c r="G36" i="8"/>
  <c r="H36" i="8"/>
  <c r="I36" i="8"/>
  <c r="J36" i="8"/>
  <c r="K36" i="8"/>
  <c r="N36" i="8"/>
  <c r="D37" i="8"/>
  <c r="E37" i="8"/>
  <c r="F37" i="8"/>
  <c r="G37" i="8"/>
  <c r="H37" i="8"/>
  <c r="I37" i="8"/>
  <c r="J37" i="8"/>
  <c r="K37" i="8"/>
  <c r="L37" i="8"/>
  <c r="M37" i="8"/>
  <c r="N37" i="8"/>
  <c r="D38" i="8"/>
  <c r="E38" i="8"/>
  <c r="F38" i="8"/>
  <c r="G38" i="8"/>
  <c r="H38" i="8"/>
  <c r="I38" i="8"/>
  <c r="J38" i="8"/>
  <c r="K38" i="8"/>
  <c r="N38" i="8"/>
  <c r="D39" i="8"/>
  <c r="E39" i="8"/>
  <c r="F39" i="8"/>
  <c r="G39" i="8"/>
  <c r="H39" i="8"/>
  <c r="I39" i="8"/>
  <c r="J39" i="8"/>
  <c r="K39" i="8"/>
  <c r="L39" i="8"/>
  <c r="M39" i="8"/>
  <c r="N39" i="8"/>
  <c r="C39" i="8"/>
  <c r="C38" i="8"/>
  <c r="C37" i="8"/>
  <c r="C36" i="8"/>
  <c r="C35" i="8"/>
  <c r="C34" i="8"/>
  <c r="D32" i="8"/>
  <c r="E32" i="8"/>
  <c r="F32" i="8"/>
  <c r="G32" i="8"/>
  <c r="H32" i="8"/>
  <c r="I32" i="8"/>
  <c r="J32" i="8"/>
  <c r="K32" i="8"/>
  <c r="L32" i="8"/>
  <c r="M32" i="8"/>
  <c r="N32" i="8"/>
  <c r="D33" i="8"/>
  <c r="E33" i="8"/>
  <c r="F33" i="8"/>
  <c r="G33" i="8"/>
  <c r="H33" i="8"/>
  <c r="I33" i="8"/>
  <c r="J33" i="8"/>
  <c r="K33" i="8"/>
  <c r="L33" i="8"/>
  <c r="M33" i="8"/>
  <c r="N33" i="8"/>
  <c r="C33" i="8"/>
  <c r="C32" i="8"/>
  <c r="D29" i="8"/>
  <c r="E29" i="8"/>
  <c r="F29" i="8"/>
  <c r="G29" i="8"/>
  <c r="H29" i="8"/>
  <c r="I29" i="8"/>
  <c r="J29" i="8"/>
  <c r="K29" i="8"/>
  <c r="L29" i="8"/>
  <c r="N29" i="8"/>
  <c r="D30" i="8"/>
  <c r="E30" i="8"/>
  <c r="F30" i="8"/>
  <c r="G30" i="8"/>
  <c r="H30" i="8"/>
  <c r="I30" i="8"/>
  <c r="J30" i="8"/>
  <c r="K30" i="8"/>
  <c r="L30" i="8"/>
  <c r="N30" i="8"/>
  <c r="D31" i="8"/>
  <c r="E31" i="8"/>
  <c r="F31" i="8"/>
  <c r="G31" i="8"/>
  <c r="H31" i="8"/>
  <c r="I31" i="8"/>
  <c r="J31" i="8"/>
  <c r="K31" i="8"/>
  <c r="L31" i="8"/>
  <c r="N31" i="8"/>
  <c r="C31" i="8"/>
  <c r="C30" i="8"/>
  <c r="C29" i="8"/>
  <c r="D27" i="8"/>
  <c r="E27" i="8"/>
  <c r="F27" i="8"/>
  <c r="G27" i="8"/>
  <c r="H27" i="8"/>
  <c r="I27" i="8"/>
  <c r="J27" i="8"/>
  <c r="K27" i="8"/>
  <c r="L27" i="8"/>
  <c r="N27" i="8"/>
  <c r="D28" i="8"/>
  <c r="E28" i="8"/>
  <c r="F28" i="8"/>
  <c r="G28" i="8"/>
  <c r="H28" i="8"/>
  <c r="I28" i="8"/>
  <c r="J28" i="8"/>
  <c r="K28" i="8"/>
  <c r="L28" i="8"/>
  <c r="N28" i="8"/>
  <c r="C28" i="8"/>
  <c r="C27" i="8"/>
  <c r="D23" i="8"/>
  <c r="E23" i="8"/>
  <c r="F23" i="8"/>
  <c r="G23" i="8"/>
  <c r="H23" i="8"/>
  <c r="I23" i="8"/>
  <c r="J23" i="8"/>
  <c r="K23" i="8"/>
  <c r="L23" i="8"/>
  <c r="M23" i="8"/>
  <c r="N23" i="8"/>
  <c r="D24" i="8"/>
  <c r="E24" i="8"/>
  <c r="F24" i="8"/>
  <c r="G24" i="8"/>
  <c r="H24" i="8"/>
  <c r="I24" i="8"/>
  <c r="J24" i="8"/>
  <c r="K24" i="8"/>
  <c r="L24" i="8"/>
  <c r="N24" i="8"/>
  <c r="D25" i="8"/>
  <c r="E25" i="8"/>
  <c r="F25" i="8"/>
  <c r="G25" i="8"/>
  <c r="H25" i="8"/>
  <c r="I25" i="8"/>
  <c r="J25" i="8"/>
  <c r="K25" i="8"/>
  <c r="L25" i="8"/>
  <c r="N25" i="8"/>
  <c r="C25" i="8"/>
  <c r="C24" i="8"/>
  <c r="N22" i="8"/>
  <c r="N21" i="8"/>
  <c r="N2842" i="1" l="1"/>
  <c r="N1574" i="1"/>
  <c r="M1117" i="1"/>
  <c r="M1398" i="1" s="1"/>
  <c r="M1538" i="1" s="1"/>
  <c r="M1588" i="1" s="1"/>
  <c r="M1638" i="1" s="1"/>
  <c r="M1730" i="1" s="1"/>
  <c r="M1780" i="1" s="1"/>
  <c r="M2285" i="1" s="1"/>
  <c r="M1019" i="1"/>
  <c r="N880" i="1"/>
  <c r="N2140" i="1" s="1"/>
  <c r="N790" i="1"/>
  <c r="M691" i="1"/>
  <c r="N594" i="1"/>
  <c r="M594" i="1"/>
  <c r="N546" i="1"/>
  <c r="N498" i="1"/>
  <c r="M546" i="1"/>
  <c r="M498" i="1"/>
  <c r="N413" i="1"/>
  <c r="N462" i="1" s="1"/>
  <c r="N510" i="1" s="1"/>
  <c r="N558" i="1" s="1"/>
  <c r="N364" i="1"/>
  <c r="M2383" i="1" l="1"/>
  <c r="M2577" i="1"/>
  <c r="M2806" i="1" s="1"/>
  <c r="N691" i="1"/>
  <c r="M76" i="1"/>
  <c r="N741" i="1" l="1"/>
  <c r="N970" i="1" s="1"/>
  <c r="N1019" i="1"/>
  <c r="N1068" i="1" l="1"/>
  <c r="N1117" i="1"/>
  <c r="N1304" i="1" l="1"/>
  <c r="N1398" i="1"/>
  <c r="N1538" i="1" l="1"/>
  <c r="N1588" i="1" s="1"/>
  <c r="N1638" i="1" s="1"/>
  <c r="N1730" i="1" s="1"/>
  <c r="N1780" i="1" s="1"/>
  <c r="N1489" i="1"/>
  <c r="N2285" i="1" l="1"/>
  <c r="N1829" i="1"/>
  <c r="N1961" i="1" s="1"/>
  <c r="N2009" i="1" s="1"/>
  <c r="N2188" i="1" s="1"/>
  <c r="N2236" i="1" s="1"/>
  <c r="N2577" i="1" l="1"/>
  <c r="N2334" i="1"/>
  <c r="N2383" i="1"/>
  <c r="N2432" i="1" s="1"/>
  <c r="N2480" i="1" s="1"/>
  <c r="N2528" i="1" s="1"/>
  <c r="N2806" i="1" l="1"/>
  <c r="N2855" i="1" s="1"/>
  <c r="N2903" i="1" s="1"/>
  <c r="N3027" i="1" s="1"/>
  <c r="N2627" i="1"/>
  <c r="N2757" i="1" s="1"/>
  <c r="I2652" i="1" l="1"/>
  <c r="A75" i="8" l="1"/>
  <c r="B75" i="8"/>
  <c r="C2572" i="1"/>
  <c r="C2622" i="1"/>
  <c r="B2625" i="1" s="1"/>
  <c r="N2663" i="1"/>
  <c r="M2663" i="1"/>
  <c r="K2663" i="1"/>
  <c r="G2663" i="1"/>
  <c r="N2660" i="1"/>
  <c r="N2658" i="1"/>
  <c r="M2658" i="1"/>
  <c r="L2656" i="1"/>
  <c r="L2663" i="1" s="1"/>
  <c r="K2654" i="1"/>
  <c r="J2652" i="1"/>
  <c r="H2651" i="1"/>
  <c r="G2649" i="1"/>
  <c r="H2648" i="1"/>
  <c r="F2647" i="1"/>
  <c r="G2646" i="1"/>
  <c r="E2645" i="1"/>
  <c r="F2644" i="1"/>
  <c r="F2663" i="1" s="1"/>
  <c r="D2643" i="1"/>
  <c r="D2663" i="1" s="1"/>
  <c r="E2642" i="1"/>
  <c r="E2641" i="1"/>
  <c r="F2641" i="1" s="1"/>
  <c r="G2641" i="1" s="1"/>
  <c r="H2641" i="1" s="1"/>
  <c r="I2641" i="1" s="1"/>
  <c r="J2641" i="1" s="1"/>
  <c r="K2641" i="1" s="1"/>
  <c r="L2641" i="1" s="1"/>
  <c r="M2641" i="1" s="1"/>
  <c r="N2641" i="1" s="1"/>
  <c r="D2641" i="1"/>
  <c r="N2639" i="1"/>
  <c r="M2639" i="1"/>
  <c r="L2639" i="1"/>
  <c r="K2639" i="1"/>
  <c r="J2639" i="1"/>
  <c r="I2639" i="1"/>
  <c r="H2639" i="1"/>
  <c r="G2639" i="1"/>
  <c r="F2639" i="1"/>
  <c r="E2639" i="1"/>
  <c r="D2639" i="1"/>
  <c r="D2635" i="1"/>
  <c r="E2635" i="1" s="1"/>
  <c r="F2635" i="1" s="1"/>
  <c r="N2632" i="1"/>
  <c r="N2633" i="1" s="1"/>
  <c r="M2632" i="1"/>
  <c r="L2632" i="1"/>
  <c r="K2632" i="1"/>
  <c r="J2632" i="1"/>
  <c r="J2633" i="1" s="1"/>
  <c r="I2632" i="1"/>
  <c r="H2632" i="1"/>
  <c r="G2632" i="1"/>
  <c r="F2632" i="1"/>
  <c r="E2632" i="1"/>
  <c r="D2632" i="1"/>
  <c r="N2631" i="1"/>
  <c r="M2631" i="1"/>
  <c r="L2631" i="1"/>
  <c r="K2631" i="1"/>
  <c r="K2633" i="1" s="1"/>
  <c r="K2667" i="1" s="1"/>
  <c r="J2631" i="1"/>
  <c r="I2631" i="1"/>
  <c r="H2631" i="1"/>
  <c r="G2631" i="1"/>
  <c r="G2633" i="1" s="1"/>
  <c r="F2631" i="1"/>
  <c r="E2631" i="1"/>
  <c r="E2633" i="1" s="1"/>
  <c r="D2631" i="1"/>
  <c r="D2630" i="1"/>
  <c r="E2630" i="1" s="1"/>
  <c r="F2630" i="1" s="1"/>
  <c r="N2628" i="1"/>
  <c r="M2628" i="1"/>
  <c r="L2659" i="1" s="1"/>
  <c r="M2659" i="1" s="1"/>
  <c r="L2628" i="1"/>
  <c r="H2628" i="1"/>
  <c r="H2650" i="1" s="1"/>
  <c r="I2650" i="1" s="1"/>
  <c r="I2663" i="1" s="1"/>
  <c r="G2628" i="1"/>
  <c r="F2628" i="1"/>
  <c r="E2628" i="1"/>
  <c r="D2628" i="1"/>
  <c r="D2624" i="1"/>
  <c r="E2624" i="1" s="1"/>
  <c r="F2624" i="1" s="1"/>
  <c r="G2624" i="1" s="1"/>
  <c r="F2633" i="1" l="1"/>
  <c r="M2633" i="1"/>
  <c r="F2667" i="1"/>
  <c r="N2667" i="1"/>
  <c r="G2667" i="1"/>
  <c r="D2633" i="1"/>
  <c r="D2667" i="1" s="1"/>
  <c r="H2633" i="1"/>
  <c r="E2663" i="1"/>
  <c r="E2667" i="1" s="1"/>
  <c r="I2633" i="1"/>
  <c r="I2667" i="1" s="1"/>
  <c r="J2663" i="1"/>
  <c r="L2633" i="1"/>
  <c r="L2667" i="1" s="1"/>
  <c r="H2624" i="1"/>
  <c r="G2635" i="1"/>
  <c r="G2630" i="1"/>
  <c r="H2663" i="1"/>
  <c r="J2667" i="1"/>
  <c r="M2667" i="1"/>
  <c r="I632" i="1"/>
  <c r="J632" i="1"/>
  <c r="L2807" i="1"/>
  <c r="H2667" i="1" l="1"/>
  <c r="I2624" i="1"/>
  <c r="H2635" i="1"/>
  <c r="H2630" i="1"/>
  <c r="E3031" i="1"/>
  <c r="F3031" i="1"/>
  <c r="G3031" i="1"/>
  <c r="H3031" i="1"/>
  <c r="I3031" i="1"/>
  <c r="J3031" i="1"/>
  <c r="K3031" i="1"/>
  <c r="L3031" i="1"/>
  <c r="M3031" i="1"/>
  <c r="N3031" i="1"/>
  <c r="E3032" i="1"/>
  <c r="F3032" i="1"/>
  <c r="G3032" i="1"/>
  <c r="H3032" i="1"/>
  <c r="I3032" i="1"/>
  <c r="J3032" i="1"/>
  <c r="K3032" i="1"/>
  <c r="L3032" i="1"/>
  <c r="M3032" i="1"/>
  <c r="N3032" i="1"/>
  <c r="D3031" i="1"/>
  <c r="E2994" i="1"/>
  <c r="F2994" i="1"/>
  <c r="G2994" i="1"/>
  <c r="H2994" i="1"/>
  <c r="I2994" i="1"/>
  <c r="J2994" i="1"/>
  <c r="K2994" i="1"/>
  <c r="L2994" i="1"/>
  <c r="M2994" i="1"/>
  <c r="N2994" i="1"/>
  <c r="E2995" i="1"/>
  <c r="F2995" i="1"/>
  <c r="G2995" i="1"/>
  <c r="H2995" i="1"/>
  <c r="I2995" i="1"/>
  <c r="J2995" i="1"/>
  <c r="K2995" i="1"/>
  <c r="L2995" i="1"/>
  <c r="M2995" i="1"/>
  <c r="N2995" i="1"/>
  <c r="D2995" i="1"/>
  <c r="D2994" i="1"/>
  <c r="D3004" i="1"/>
  <c r="D2998" i="1"/>
  <c r="D2993" i="1"/>
  <c r="D2987" i="1"/>
  <c r="E2956" i="1"/>
  <c r="F2956" i="1"/>
  <c r="G2956" i="1"/>
  <c r="H2956" i="1"/>
  <c r="I2956" i="1"/>
  <c r="J2956" i="1"/>
  <c r="K2956" i="1"/>
  <c r="L2956" i="1"/>
  <c r="M2956" i="1"/>
  <c r="N2956" i="1"/>
  <c r="E2957" i="1"/>
  <c r="F2957" i="1"/>
  <c r="G2957" i="1"/>
  <c r="H2957" i="1"/>
  <c r="I2957" i="1"/>
  <c r="J2957" i="1"/>
  <c r="K2957" i="1"/>
  <c r="L2957" i="1"/>
  <c r="M2957" i="1"/>
  <c r="N2957" i="1"/>
  <c r="D2957" i="1"/>
  <c r="D2956" i="1"/>
  <c r="D2966" i="1"/>
  <c r="D2960" i="1"/>
  <c r="E2960" i="1" s="1"/>
  <c r="F2960" i="1" s="1"/>
  <c r="D2955" i="1"/>
  <c r="E2955" i="1" s="1"/>
  <c r="F2955" i="1" s="1"/>
  <c r="D2949" i="1"/>
  <c r="E2907" i="1"/>
  <c r="F2907" i="1"/>
  <c r="G2907" i="1"/>
  <c r="H2907" i="1"/>
  <c r="I2907" i="1"/>
  <c r="J2907" i="1"/>
  <c r="K2907" i="1"/>
  <c r="L2907" i="1"/>
  <c r="M2907" i="1"/>
  <c r="N2907" i="1"/>
  <c r="E2908" i="1"/>
  <c r="F2908" i="1"/>
  <c r="G2908" i="1"/>
  <c r="H2908" i="1"/>
  <c r="I2908" i="1"/>
  <c r="J2908" i="1"/>
  <c r="K2908" i="1"/>
  <c r="L2908" i="1"/>
  <c r="M2908" i="1"/>
  <c r="N2908" i="1"/>
  <c r="D2907" i="1"/>
  <c r="E2859" i="1"/>
  <c r="F2859" i="1"/>
  <c r="G2859" i="1"/>
  <c r="H2859" i="1"/>
  <c r="I2859" i="1"/>
  <c r="J2859" i="1"/>
  <c r="K2859" i="1"/>
  <c r="L2859" i="1"/>
  <c r="M2859" i="1"/>
  <c r="N2859" i="1"/>
  <c r="D2859" i="1"/>
  <c r="E2810" i="1"/>
  <c r="F2810" i="1"/>
  <c r="G2810" i="1"/>
  <c r="H2810" i="1"/>
  <c r="I2810" i="1"/>
  <c r="J2810" i="1"/>
  <c r="K2810" i="1"/>
  <c r="L2810" i="1"/>
  <c r="M2810" i="1"/>
  <c r="N2810" i="1"/>
  <c r="D2810" i="1"/>
  <c r="E2761" i="1"/>
  <c r="F2761" i="1"/>
  <c r="G2761" i="1"/>
  <c r="H2761" i="1"/>
  <c r="I2761" i="1"/>
  <c r="J2761" i="1"/>
  <c r="K2761" i="1"/>
  <c r="L2761" i="1"/>
  <c r="M2761" i="1"/>
  <c r="N2761" i="1"/>
  <c r="E2762" i="1"/>
  <c r="F2762" i="1"/>
  <c r="G2762" i="1"/>
  <c r="H2762" i="1"/>
  <c r="I2762" i="1"/>
  <c r="J2762" i="1"/>
  <c r="K2762" i="1"/>
  <c r="L2762" i="1"/>
  <c r="M2762" i="1"/>
  <c r="N2762" i="1"/>
  <c r="D2761" i="1"/>
  <c r="E2720" i="1"/>
  <c r="F2720" i="1"/>
  <c r="G2720" i="1"/>
  <c r="H2720" i="1"/>
  <c r="I2720" i="1"/>
  <c r="J2720" i="1"/>
  <c r="K2720" i="1"/>
  <c r="L2720" i="1"/>
  <c r="M2720" i="1"/>
  <c r="N2720" i="1"/>
  <c r="E2721" i="1"/>
  <c r="F2721" i="1"/>
  <c r="G2721" i="1"/>
  <c r="H2721" i="1"/>
  <c r="I2721" i="1"/>
  <c r="J2721" i="1"/>
  <c r="K2721" i="1"/>
  <c r="L2721" i="1"/>
  <c r="M2721" i="1"/>
  <c r="N2721" i="1"/>
  <c r="D2721" i="1"/>
  <c r="D2720" i="1"/>
  <c r="D2730" i="1"/>
  <c r="E2730" i="1" s="1"/>
  <c r="F2730" i="1" s="1"/>
  <c r="G2730" i="1" s="1"/>
  <c r="H2730" i="1" s="1"/>
  <c r="I2730" i="1" s="1"/>
  <c r="J2730" i="1" s="1"/>
  <c r="K2730" i="1" s="1"/>
  <c r="L2730" i="1" s="1"/>
  <c r="M2730" i="1" s="1"/>
  <c r="N2730" i="1" s="1"/>
  <c r="D2724" i="1"/>
  <c r="E2724" i="1" s="1"/>
  <c r="F2724" i="1" s="1"/>
  <c r="G2724" i="1" s="1"/>
  <c r="H2724" i="1" s="1"/>
  <c r="I2724" i="1" s="1"/>
  <c r="J2724" i="1" s="1"/>
  <c r="K2724" i="1" s="1"/>
  <c r="L2724" i="1" s="1"/>
  <c r="M2724" i="1" s="1"/>
  <c r="N2724" i="1" s="1"/>
  <c r="D2719" i="1"/>
  <c r="E2719" i="1" s="1"/>
  <c r="F2719" i="1" s="1"/>
  <c r="G2719" i="1" s="1"/>
  <c r="H2719" i="1" s="1"/>
  <c r="I2719" i="1" s="1"/>
  <c r="J2719" i="1" s="1"/>
  <c r="K2719" i="1" s="1"/>
  <c r="L2719" i="1" s="1"/>
  <c r="M2719" i="1" s="1"/>
  <c r="N2719" i="1" s="1"/>
  <c r="D2713" i="1"/>
  <c r="E2713" i="1" s="1"/>
  <c r="F2713" i="1" s="1"/>
  <c r="G2713" i="1" s="1"/>
  <c r="H2713" i="1" s="1"/>
  <c r="I2713" i="1" s="1"/>
  <c r="J2713" i="1" s="1"/>
  <c r="K2713" i="1" s="1"/>
  <c r="L2713" i="1" s="1"/>
  <c r="M2713" i="1" s="1"/>
  <c r="N2713" i="1" s="1"/>
  <c r="D2682" i="1"/>
  <c r="D2681" i="1"/>
  <c r="D2691" i="1"/>
  <c r="E2691" i="1" s="1"/>
  <c r="F2691" i="1" s="1"/>
  <c r="G2691" i="1" s="1"/>
  <c r="H2691" i="1" s="1"/>
  <c r="I2691" i="1" s="1"/>
  <c r="J2691" i="1" s="1"/>
  <c r="D2685" i="1"/>
  <c r="D2680" i="1"/>
  <c r="D2674" i="1"/>
  <c r="E2581" i="1"/>
  <c r="F2581" i="1"/>
  <c r="G2581" i="1"/>
  <c r="H2581" i="1"/>
  <c r="I2581" i="1"/>
  <c r="J2581" i="1"/>
  <c r="K2581" i="1"/>
  <c r="L2581" i="1"/>
  <c r="M2581" i="1"/>
  <c r="N2581" i="1"/>
  <c r="E2582" i="1"/>
  <c r="F2582" i="1"/>
  <c r="G2582" i="1"/>
  <c r="H2582" i="1"/>
  <c r="I2582" i="1"/>
  <c r="J2582" i="1"/>
  <c r="K2582" i="1"/>
  <c r="L2582" i="1"/>
  <c r="M2582" i="1"/>
  <c r="N2582" i="1"/>
  <c r="D2581" i="1"/>
  <c r="E2532" i="1"/>
  <c r="F2532" i="1"/>
  <c r="G2532" i="1"/>
  <c r="H2532" i="1"/>
  <c r="I2532" i="1"/>
  <c r="J2532" i="1"/>
  <c r="K2532" i="1"/>
  <c r="L2532" i="1"/>
  <c r="M2532" i="1"/>
  <c r="N2532" i="1"/>
  <c r="D2532" i="1"/>
  <c r="E2484" i="1"/>
  <c r="F2484" i="1"/>
  <c r="G2484" i="1"/>
  <c r="H2484" i="1"/>
  <c r="I2484" i="1"/>
  <c r="J2484" i="1"/>
  <c r="K2484" i="1"/>
  <c r="L2484" i="1"/>
  <c r="M2484" i="1"/>
  <c r="N2484" i="1"/>
  <c r="D2484" i="1"/>
  <c r="E2436" i="1"/>
  <c r="F2436" i="1"/>
  <c r="G2436" i="1"/>
  <c r="H2436" i="1"/>
  <c r="I2436" i="1"/>
  <c r="J2436" i="1"/>
  <c r="K2436" i="1"/>
  <c r="L2436" i="1"/>
  <c r="M2436" i="1"/>
  <c r="N2436" i="1"/>
  <c r="D2436" i="1"/>
  <c r="E2387" i="1"/>
  <c r="F2387" i="1"/>
  <c r="G2387" i="1"/>
  <c r="H2387" i="1"/>
  <c r="I2387" i="1"/>
  <c r="J2387" i="1"/>
  <c r="K2387" i="1"/>
  <c r="L2387" i="1"/>
  <c r="M2387" i="1"/>
  <c r="N2387" i="1"/>
  <c r="D2387" i="1"/>
  <c r="E2338" i="1"/>
  <c r="F2338" i="1"/>
  <c r="G2338" i="1"/>
  <c r="H2338" i="1"/>
  <c r="I2338" i="1"/>
  <c r="J2338" i="1"/>
  <c r="K2338" i="1"/>
  <c r="L2338" i="1"/>
  <c r="M2338" i="1"/>
  <c r="N2338" i="1"/>
  <c r="D2338" i="1"/>
  <c r="E2289" i="1"/>
  <c r="F2289" i="1"/>
  <c r="G2289" i="1"/>
  <c r="H2289" i="1"/>
  <c r="I2289" i="1"/>
  <c r="J2289" i="1"/>
  <c r="K2289" i="1"/>
  <c r="L2289" i="1"/>
  <c r="M2289" i="1"/>
  <c r="N2289" i="1"/>
  <c r="D2289" i="1"/>
  <c r="E2240" i="1"/>
  <c r="F2240" i="1"/>
  <c r="G2240" i="1"/>
  <c r="H2240" i="1"/>
  <c r="I2240" i="1"/>
  <c r="J2240" i="1"/>
  <c r="K2240" i="1"/>
  <c r="L2240" i="1"/>
  <c r="M2240" i="1"/>
  <c r="N2240" i="1"/>
  <c r="E2241" i="1"/>
  <c r="F2241" i="1"/>
  <c r="G2241" i="1"/>
  <c r="H2241" i="1"/>
  <c r="I2241" i="1"/>
  <c r="J2241" i="1"/>
  <c r="K2241" i="1"/>
  <c r="L2241" i="1"/>
  <c r="M2241" i="1"/>
  <c r="N2241" i="1"/>
  <c r="D2240" i="1"/>
  <c r="E2192" i="1"/>
  <c r="F2192" i="1"/>
  <c r="G2192" i="1"/>
  <c r="H2192" i="1"/>
  <c r="I2192" i="1"/>
  <c r="J2192" i="1"/>
  <c r="K2192" i="1"/>
  <c r="L2192" i="1"/>
  <c r="M2192" i="1"/>
  <c r="N2192" i="1"/>
  <c r="D2192" i="1"/>
  <c r="E2144" i="1"/>
  <c r="F2144" i="1"/>
  <c r="G2144" i="1"/>
  <c r="H2144" i="1"/>
  <c r="I2144" i="1"/>
  <c r="J2144" i="1"/>
  <c r="K2144" i="1"/>
  <c r="L2144" i="1"/>
  <c r="M2144" i="1"/>
  <c r="N2144" i="1"/>
  <c r="E2145" i="1"/>
  <c r="F2145" i="1"/>
  <c r="G2145" i="1"/>
  <c r="H2145" i="1"/>
  <c r="I2145" i="1"/>
  <c r="J2145" i="1"/>
  <c r="K2145" i="1"/>
  <c r="L2145" i="1"/>
  <c r="M2145" i="1"/>
  <c r="N2145" i="1"/>
  <c r="D2144" i="1"/>
  <c r="D2104" i="1"/>
  <c r="D2103" i="1"/>
  <c r="E2113" i="1"/>
  <c r="F2113" i="1" s="1"/>
  <c r="G2113" i="1" s="1"/>
  <c r="H2113" i="1" s="1"/>
  <c r="I2113" i="1" s="1"/>
  <c r="J2113" i="1" s="1"/>
  <c r="K2113" i="1" s="1"/>
  <c r="L2113" i="1" s="1"/>
  <c r="M2113" i="1" s="1"/>
  <c r="N2113" i="1" s="1"/>
  <c r="E2107" i="1"/>
  <c r="F2107" i="1" s="1"/>
  <c r="G2107" i="1" s="1"/>
  <c r="H2107" i="1" s="1"/>
  <c r="I2107" i="1" s="1"/>
  <c r="J2107" i="1" s="1"/>
  <c r="K2107" i="1" s="1"/>
  <c r="L2107" i="1" s="1"/>
  <c r="M2107" i="1" s="1"/>
  <c r="N2107" i="1" s="1"/>
  <c r="E2102" i="1"/>
  <c r="F2102" i="1" s="1"/>
  <c r="G2102" i="1" s="1"/>
  <c r="H2102" i="1" s="1"/>
  <c r="I2102" i="1" s="1"/>
  <c r="J2102" i="1" s="1"/>
  <c r="K2102" i="1" s="1"/>
  <c r="L2102" i="1" s="1"/>
  <c r="M2102" i="1" s="1"/>
  <c r="N2102" i="1" s="1"/>
  <c r="E2096" i="1"/>
  <c r="F2096" i="1" s="1"/>
  <c r="G2096" i="1" s="1"/>
  <c r="H2096" i="1" s="1"/>
  <c r="I2096" i="1" s="1"/>
  <c r="J2096" i="1" s="1"/>
  <c r="K2096" i="1" s="1"/>
  <c r="L2096" i="1" s="1"/>
  <c r="M2096" i="1" s="1"/>
  <c r="N2096" i="1" s="1"/>
  <c r="E2062" i="1"/>
  <c r="F2062" i="1"/>
  <c r="G2062" i="1"/>
  <c r="H2062" i="1"/>
  <c r="I2062" i="1"/>
  <c r="J2062" i="1"/>
  <c r="K2062" i="1"/>
  <c r="L2062" i="1"/>
  <c r="M2062" i="1"/>
  <c r="N2062" i="1"/>
  <c r="E2063" i="1"/>
  <c r="F2063" i="1"/>
  <c r="G2063" i="1"/>
  <c r="H2063" i="1"/>
  <c r="I2063" i="1"/>
  <c r="J2063" i="1"/>
  <c r="K2063" i="1"/>
  <c r="L2063" i="1"/>
  <c r="M2063" i="1"/>
  <c r="N2063" i="1"/>
  <c r="D2063" i="1"/>
  <c r="D2062" i="1"/>
  <c r="E2013" i="1"/>
  <c r="F2013" i="1"/>
  <c r="G2013" i="1"/>
  <c r="H2013" i="1"/>
  <c r="I2013" i="1"/>
  <c r="J2013" i="1"/>
  <c r="K2013" i="1"/>
  <c r="L2013" i="1"/>
  <c r="M2013" i="1"/>
  <c r="N2013" i="1"/>
  <c r="E2014" i="1"/>
  <c r="F2014" i="1"/>
  <c r="G2014" i="1"/>
  <c r="H2014" i="1"/>
  <c r="I2014" i="1"/>
  <c r="J2014" i="1"/>
  <c r="K2014" i="1"/>
  <c r="L2014" i="1"/>
  <c r="M2014" i="1"/>
  <c r="N2014" i="1"/>
  <c r="D2013" i="1"/>
  <c r="E1965" i="1"/>
  <c r="F1965" i="1"/>
  <c r="G1965" i="1"/>
  <c r="H1965" i="1"/>
  <c r="I1965" i="1"/>
  <c r="J1965" i="1"/>
  <c r="K1965" i="1"/>
  <c r="L1965" i="1"/>
  <c r="M1965" i="1"/>
  <c r="N1965" i="1"/>
  <c r="D1965" i="1"/>
  <c r="D1934" i="1"/>
  <c r="E1934" i="1" s="1"/>
  <c r="F1934" i="1" s="1"/>
  <c r="G1934" i="1" s="1"/>
  <c r="H1934" i="1" s="1"/>
  <c r="I1934" i="1" s="1"/>
  <c r="J1934" i="1" s="1"/>
  <c r="K1934" i="1" s="1"/>
  <c r="L1934" i="1" s="1"/>
  <c r="M1934" i="1" s="1"/>
  <c r="N1934" i="1" s="1"/>
  <c r="D1928" i="1"/>
  <c r="E1928" i="1" s="1"/>
  <c r="F1928" i="1" s="1"/>
  <c r="G1928" i="1" s="1"/>
  <c r="H1928" i="1" s="1"/>
  <c r="I1928" i="1" s="1"/>
  <c r="J1928" i="1" s="1"/>
  <c r="K1928" i="1" s="1"/>
  <c r="L1928" i="1" s="1"/>
  <c r="M1928" i="1" s="1"/>
  <c r="N1928" i="1" s="1"/>
  <c r="D1923" i="1"/>
  <c r="E1923" i="1" s="1"/>
  <c r="F1923" i="1" s="1"/>
  <c r="G1923" i="1" s="1"/>
  <c r="H1923" i="1" s="1"/>
  <c r="I1923" i="1" s="1"/>
  <c r="J1923" i="1" s="1"/>
  <c r="K1923" i="1" s="1"/>
  <c r="L1923" i="1" s="1"/>
  <c r="M1923" i="1" s="1"/>
  <c r="N1923" i="1" s="1"/>
  <c r="D1917" i="1"/>
  <c r="E1917" i="1" s="1"/>
  <c r="F1917" i="1" s="1"/>
  <c r="G1917" i="1" s="1"/>
  <c r="H1917" i="1" s="1"/>
  <c r="I1917" i="1" s="1"/>
  <c r="J1917" i="1" s="1"/>
  <c r="K1917" i="1" s="1"/>
  <c r="L1917" i="1" s="1"/>
  <c r="M1917" i="1" s="1"/>
  <c r="N1917" i="1" s="1"/>
  <c r="D1925" i="1"/>
  <c r="D1924" i="1"/>
  <c r="E1882" i="1"/>
  <c r="E1884" i="1" s="1"/>
  <c r="F1882" i="1"/>
  <c r="G1882" i="1"/>
  <c r="H1882" i="1"/>
  <c r="I1882" i="1"/>
  <c r="J1882" i="1"/>
  <c r="K1882" i="1"/>
  <c r="L1882" i="1"/>
  <c r="M1882" i="1"/>
  <c r="N1882" i="1"/>
  <c r="E1883" i="1"/>
  <c r="F1883" i="1"/>
  <c r="G1883" i="1"/>
  <c r="G1884" i="1" s="1"/>
  <c r="H1883" i="1"/>
  <c r="I1883" i="1"/>
  <c r="J1883" i="1"/>
  <c r="K1883" i="1"/>
  <c r="L1883" i="1"/>
  <c r="M1883" i="1"/>
  <c r="N1883" i="1"/>
  <c r="D1883" i="1"/>
  <c r="D1882" i="1"/>
  <c r="D1892" i="1"/>
  <c r="D1886" i="1"/>
  <c r="D1881" i="1"/>
  <c r="D1875" i="1"/>
  <c r="E1833" i="1"/>
  <c r="F1833" i="1"/>
  <c r="G1833" i="1"/>
  <c r="H1833" i="1"/>
  <c r="I1833" i="1"/>
  <c r="J1833" i="1"/>
  <c r="K1833" i="1"/>
  <c r="L1833" i="1"/>
  <c r="M1833" i="1"/>
  <c r="N1833" i="1"/>
  <c r="D1833" i="1"/>
  <c r="E1784" i="1"/>
  <c r="F1784" i="1"/>
  <c r="G1784" i="1"/>
  <c r="H1784" i="1"/>
  <c r="I1784" i="1"/>
  <c r="J1784" i="1"/>
  <c r="K1784" i="1"/>
  <c r="L1784" i="1"/>
  <c r="M1784" i="1"/>
  <c r="N1784" i="1"/>
  <c r="D1784" i="1"/>
  <c r="E1734" i="1"/>
  <c r="F1734" i="1"/>
  <c r="G1734" i="1"/>
  <c r="H1734" i="1"/>
  <c r="I1734" i="1"/>
  <c r="J1734" i="1"/>
  <c r="K1734" i="1"/>
  <c r="L1734" i="1"/>
  <c r="M1734" i="1"/>
  <c r="N1734" i="1"/>
  <c r="E1735" i="1"/>
  <c r="F1735" i="1"/>
  <c r="G1735" i="1"/>
  <c r="H1735" i="1"/>
  <c r="I1735" i="1"/>
  <c r="J1735" i="1"/>
  <c r="K1735" i="1"/>
  <c r="L1735" i="1"/>
  <c r="M1735" i="1"/>
  <c r="N1735" i="1"/>
  <c r="D1734" i="1"/>
  <c r="N1693" i="1"/>
  <c r="M1693" i="1"/>
  <c r="L1693" i="1"/>
  <c r="K1693" i="1"/>
  <c r="K1694" i="1" s="1"/>
  <c r="J1693" i="1"/>
  <c r="I1693" i="1"/>
  <c r="H1693" i="1"/>
  <c r="G1693" i="1"/>
  <c r="F1693" i="1"/>
  <c r="E1693" i="1"/>
  <c r="N1692" i="1"/>
  <c r="N1694" i="1" s="1"/>
  <c r="M1692" i="1"/>
  <c r="L1692" i="1"/>
  <c r="K1692" i="1"/>
  <c r="J1692" i="1"/>
  <c r="I1692" i="1"/>
  <c r="H1692" i="1"/>
  <c r="G1692" i="1"/>
  <c r="F1692" i="1"/>
  <c r="E1692" i="1"/>
  <c r="D1693" i="1"/>
  <c r="D1692" i="1"/>
  <c r="D1702" i="1"/>
  <c r="D1696" i="1"/>
  <c r="D1691" i="1"/>
  <c r="E1691" i="1" s="1"/>
  <c r="F1691" i="1" s="1"/>
  <c r="G1691" i="1" s="1"/>
  <c r="H1691" i="1" s="1"/>
  <c r="I1691" i="1" s="1"/>
  <c r="J1691" i="1" s="1"/>
  <c r="K1691" i="1" s="1"/>
  <c r="L1691" i="1" s="1"/>
  <c r="M1691" i="1" s="1"/>
  <c r="N1691" i="1" s="1"/>
  <c r="D1685" i="1"/>
  <c r="E1642" i="1"/>
  <c r="F1642" i="1"/>
  <c r="G1642" i="1"/>
  <c r="H1642" i="1"/>
  <c r="I1642" i="1"/>
  <c r="J1642" i="1"/>
  <c r="K1642" i="1"/>
  <c r="L1642" i="1"/>
  <c r="M1642" i="1"/>
  <c r="N1642" i="1"/>
  <c r="D1642" i="1"/>
  <c r="E1592" i="1"/>
  <c r="F1592" i="1"/>
  <c r="G1592" i="1"/>
  <c r="H1592" i="1"/>
  <c r="I1592" i="1"/>
  <c r="J1592" i="1"/>
  <c r="K1592" i="1"/>
  <c r="L1592" i="1"/>
  <c r="M1592" i="1"/>
  <c r="N1592" i="1"/>
  <c r="E1593" i="1"/>
  <c r="F1593" i="1"/>
  <c r="G1593" i="1"/>
  <c r="H1593" i="1"/>
  <c r="I1593" i="1"/>
  <c r="J1593" i="1"/>
  <c r="K1593" i="1"/>
  <c r="L1593" i="1"/>
  <c r="M1593" i="1"/>
  <c r="N1593" i="1"/>
  <c r="D1592" i="1"/>
  <c r="E1542" i="1"/>
  <c r="F1542" i="1"/>
  <c r="G1542" i="1"/>
  <c r="H1542" i="1"/>
  <c r="I1542" i="1"/>
  <c r="J1542" i="1"/>
  <c r="K1542" i="1"/>
  <c r="L1542" i="1"/>
  <c r="M1542" i="1"/>
  <c r="N1542" i="1"/>
  <c r="D1542" i="1"/>
  <c r="E1493" i="1"/>
  <c r="F1493" i="1"/>
  <c r="G1493" i="1"/>
  <c r="H1493" i="1"/>
  <c r="I1493" i="1"/>
  <c r="J1493" i="1"/>
  <c r="K1493" i="1"/>
  <c r="L1493" i="1"/>
  <c r="M1493" i="1"/>
  <c r="N1493" i="1"/>
  <c r="D1493" i="1"/>
  <c r="E1452" i="1"/>
  <c r="F1452" i="1"/>
  <c r="G1452" i="1"/>
  <c r="H1452" i="1"/>
  <c r="I1452" i="1"/>
  <c r="J1452" i="1"/>
  <c r="K1452" i="1"/>
  <c r="L1452" i="1"/>
  <c r="M1452" i="1"/>
  <c r="N1452" i="1"/>
  <c r="E1453" i="1"/>
  <c r="F1453" i="1"/>
  <c r="G1453" i="1"/>
  <c r="H1453" i="1"/>
  <c r="I1453" i="1"/>
  <c r="J1453" i="1"/>
  <c r="K1453" i="1"/>
  <c r="L1453" i="1"/>
  <c r="M1453" i="1"/>
  <c r="N1453" i="1"/>
  <c r="D1453" i="1"/>
  <c r="D1452" i="1"/>
  <c r="D1462" i="1"/>
  <c r="E1462" i="1" s="1"/>
  <c r="F1462" i="1" s="1"/>
  <c r="G1462" i="1" s="1"/>
  <c r="H1462" i="1" s="1"/>
  <c r="I1462" i="1" s="1"/>
  <c r="J1462" i="1" s="1"/>
  <c r="K1462" i="1" s="1"/>
  <c r="L1462" i="1" s="1"/>
  <c r="M1462" i="1" s="1"/>
  <c r="N1462" i="1" s="1"/>
  <c r="D1456" i="1"/>
  <c r="D1451" i="1"/>
  <c r="E1451" i="1" s="1"/>
  <c r="F1451" i="1" s="1"/>
  <c r="G1451" i="1" s="1"/>
  <c r="H1451" i="1" s="1"/>
  <c r="I1451" i="1" s="1"/>
  <c r="J1451" i="1" s="1"/>
  <c r="K1451" i="1" s="1"/>
  <c r="L1451" i="1" s="1"/>
  <c r="M1451" i="1" s="1"/>
  <c r="N1451" i="1" s="1"/>
  <c r="D1445" i="1"/>
  <c r="E1402" i="1"/>
  <c r="F1402" i="1"/>
  <c r="G1402" i="1"/>
  <c r="H1402" i="1"/>
  <c r="I1402" i="1"/>
  <c r="J1402" i="1"/>
  <c r="K1402" i="1"/>
  <c r="L1402" i="1"/>
  <c r="M1402" i="1"/>
  <c r="N1402" i="1"/>
  <c r="E1403" i="1"/>
  <c r="F1403" i="1"/>
  <c r="G1403" i="1"/>
  <c r="H1403" i="1"/>
  <c r="I1403" i="1"/>
  <c r="J1403" i="1"/>
  <c r="K1403" i="1"/>
  <c r="L1403" i="1"/>
  <c r="M1403" i="1"/>
  <c r="N1403" i="1"/>
  <c r="D1402" i="1"/>
  <c r="E1170" i="1"/>
  <c r="F1170" i="1"/>
  <c r="G1170" i="1"/>
  <c r="H1170" i="1"/>
  <c r="I1170" i="1"/>
  <c r="J1170" i="1"/>
  <c r="K1170" i="1"/>
  <c r="L1170" i="1"/>
  <c r="M1170" i="1"/>
  <c r="N1170" i="1"/>
  <c r="E1171" i="1"/>
  <c r="F1171" i="1"/>
  <c r="G1171" i="1"/>
  <c r="H1171" i="1"/>
  <c r="I1171" i="1"/>
  <c r="J1171" i="1"/>
  <c r="K1171" i="1"/>
  <c r="L1171" i="1"/>
  <c r="M1171" i="1"/>
  <c r="N1171" i="1"/>
  <c r="D1170" i="1"/>
  <c r="E1121" i="1"/>
  <c r="F1121" i="1"/>
  <c r="G1121" i="1"/>
  <c r="H1121" i="1"/>
  <c r="I1121" i="1"/>
  <c r="J1121" i="1"/>
  <c r="K1121" i="1"/>
  <c r="L1121" i="1"/>
  <c r="M1121" i="1"/>
  <c r="N1121" i="1"/>
  <c r="D1121" i="1"/>
  <c r="E1072" i="1"/>
  <c r="F1072" i="1"/>
  <c r="G1072" i="1"/>
  <c r="H1072" i="1"/>
  <c r="I1072" i="1"/>
  <c r="J1072" i="1"/>
  <c r="K1072" i="1"/>
  <c r="L1072" i="1"/>
  <c r="M1072" i="1"/>
  <c r="N1072" i="1"/>
  <c r="E1073" i="1"/>
  <c r="F1073" i="1"/>
  <c r="G1073" i="1"/>
  <c r="H1073" i="1"/>
  <c r="I1073" i="1"/>
  <c r="J1073" i="1"/>
  <c r="K1073" i="1"/>
  <c r="L1073" i="1"/>
  <c r="M1073" i="1"/>
  <c r="N1073" i="1"/>
  <c r="D1072" i="1"/>
  <c r="E1023" i="1"/>
  <c r="F1023" i="1"/>
  <c r="G1023" i="1"/>
  <c r="H1023" i="1"/>
  <c r="I1023" i="1"/>
  <c r="J1023" i="1"/>
  <c r="K1023" i="1"/>
  <c r="L1023" i="1"/>
  <c r="M1023" i="1"/>
  <c r="N1023" i="1"/>
  <c r="E1024" i="1"/>
  <c r="F1024" i="1"/>
  <c r="G1024" i="1"/>
  <c r="H1024" i="1"/>
  <c r="I1024" i="1"/>
  <c r="J1024" i="1"/>
  <c r="K1024" i="1"/>
  <c r="L1024" i="1"/>
  <c r="M1024" i="1"/>
  <c r="N1024" i="1"/>
  <c r="D1023" i="1"/>
  <c r="E974" i="1"/>
  <c r="F974" i="1"/>
  <c r="G974" i="1"/>
  <c r="H974" i="1"/>
  <c r="I974" i="1"/>
  <c r="J974" i="1"/>
  <c r="K974" i="1"/>
  <c r="L974" i="1"/>
  <c r="M974" i="1"/>
  <c r="N974" i="1"/>
  <c r="E975" i="1"/>
  <c r="F975" i="1"/>
  <c r="G975" i="1"/>
  <c r="H975" i="1"/>
  <c r="I975" i="1"/>
  <c r="J975" i="1"/>
  <c r="K975" i="1"/>
  <c r="L975" i="1"/>
  <c r="M975" i="1"/>
  <c r="N975" i="1"/>
  <c r="D974" i="1"/>
  <c r="E884" i="1"/>
  <c r="F884" i="1"/>
  <c r="G884" i="1"/>
  <c r="H884" i="1"/>
  <c r="I884" i="1"/>
  <c r="J884" i="1"/>
  <c r="K884" i="1"/>
  <c r="L884" i="1"/>
  <c r="M884" i="1"/>
  <c r="N884" i="1"/>
  <c r="D884" i="1"/>
  <c r="E745" i="1"/>
  <c r="F745" i="1"/>
  <c r="G745" i="1"/>
  <c r="H745" i="1"/>
  <c r="I745" i="1"/>
  <c r="J745" i="1"/>
  <c r="K745" i="1"/>
  <c r="L745" i="1"/>
  <c r="M745" i="1"/>
  <c r="N745" i="1"/>
  <c r="D745" i="1"/>
  <c r="E695" i="1"/>
  <c r="F695" i="1"/>
  <c r="G695" i="1"/>
  <c r="H695" i="1"/>
  <c r="I695" i="1"/>
  <c r="J695" i="1"/>
  <c r="K695" i="1"/>
  <c r="L695" i="1"/>
  <c r="M695" i="1"/>
  <c r="N695" i="1"/>
  <c r="E696" i="1"/>
  <c r="F696" i="1"/>
  <c r="G696" i="1"/>
  <c r="H696" i="1"/>
  <c r="I696" i="1"/>
  <c r="J696" i="1"/>
  <c r="K696" i="1"/>
  <c r="L696" i="1"/>
  <c r="M696" i="1"/>
  <c r="N696" i="1"/>
  <c r="D695" i="1"/>
  <c r="E1308" i="1"/>
  <c r="F1308" i="1"/>
  <c r="G1308" i="1"/>
  <c r="H1308" i="1"/>
  <c r="I1308" i="1"/>
  <c r="J1308" i="1"/>
  <c r="K1308" i="1"/>
  <c r="L1308" i="1"/>
  <c r="M1308" i="1"/>
  <c r="N1308" i="1"/>
  <c r="E1309" i="1"/>
  <c r="F1309" i="1"/>
  <c r="G1309" i="1"/>
  <c r="H1309" i="1"/>
  <c r="I1309" i="1"/>
  <c r="J1309" i="1"/>
  <c r="K1309" i="1"/>
  <c r="L1309" i="1"/>
  <c r="M1309" i="1"/>
  <c r="N1309" i="1"/>
  <c r="D1308" i="1"/>
  <c r="E1267" i="1"/>
  <c r="F1267" i="1"/>
  <c r="G1267" i="1"/>
  <c r="H1267" i="1"/>
  <c r="I1267" i="1"/>
  <c r="J1267" i="1"/>
  <c r="K1267" i="1"/>
  <c r="L1267" i="1"/>
  <c r="M1267" i="1"/>
  <c r="N1267" i="1"/>
  <c r="E1268" i="1"/>
  <c r="F1268" i="1"/>
  <c r="G1268" i="1"/>
  <c r="H1268" i="1"/>
  <c r="I1268" i="1"/>
  <c r="J1268" i="1"/>
  <c r="K1268" i="1"/>
  <c r="L1268" i="1"/>
  <c r="M1268" i="1"/>
  <c r="N1268" i="1"/>
  <c r="D1267" i="1"/>
  <c r="E1218" i="1"/>
  <c r="F1218" i="1"/>
  <c r="G1218" i="1"/>
  <c r="H1218" i="1"/>
  <c r="I1218" i="1"/>
  <c r="J1218" i="1"/>
  <c r="K1218" i="1"/>
  <c r="L1218" i="1"/>
  <c r="M1218" i="1"/>
  <c r="N1218" i="1"/>
  <c r="E1219" i="1"/>
  <c r="F1219" i="1"/>
  <c r="G1219" i="1"/>
  <c r="H1219" i="1"/>
  <c r="I1219" i="1"/>
  <c r="J1219" i="1"/>
  <c r="K1219" i="1"/>
  <c r="L1219" i="1"/>
  <c r="M1219" i="1"/>
  <c r="N1219" i="1"/>
  <c r="D1218" i="1"/>
  <c r="D1268" i="1"/>
  <c r="D1277" i="1"/>
  <c r="D1271" i="1"/>
  <c r="D1266" i="1"/>
  <c r="E1266" i="1" s="1"/>
  <c r="F1266" i="1" s="1"/>
  <c r="G1266" i="1" s="1"/>
  <c r="H1266" i="1" s="1"/>
  <c r="I1266" i="1" s="1"/>
  <c r="J1266" i="1" s="1"/>
  <c r="D1260" i="1"/>
  <c r="E933" i="1"/>
  <c r="F933" i="1"/>
  <c r="G933" i="1"/>
  <c r="H933" i="1"/>
  <c r="I933" i="1"/>
  <c r="J933" i="1"/>
  <c r="K933" i="1"/>
  <c r="L933" i="1"/>
  <c r="M933" i="1"/>
  <c r="N933" i="1"/>
  <c r="E934" i="1"/>
  <c r="F934" i="1"/>
  <c r="G934" i="1"/>
  <c r="H934" i="1"/>
  <c r="I934" i="1"/>
  <c r="J934" i="1"/>
  <c r="K934" i="1"/>
  <c r="L934" i="1"/>
  <c r="M934" i="1"/>
  <c r="N934" i="1"/>
  <c r="D934" i="1"/>
  <c r="D933" i="1"/>
  <c r="D943" i="1"/>
  <c r="E943" i="1" s="1"/>
  <c r="F943" i="1" s="1"/>
  <c r="G943" i="1" s="1"/>
  <c r="H943" i="1" s="1"/>
  <c r="I943" i="1" s="1"/>
  <c r="J943" i="1" s="1"/>
  <c r="K943" i="1" s="1"/>
  <c r="L943" i="1" s="1"/>
  <c r="M943" i="1" s="1"/>
  <c r="N943" i="1" s="1"/>
  <c r="D937" i="1"/>
  <c r="D932" i="1"/>
  <c r="D926" i="1"/>
  <c r="D853" i="1"/>
  <c r="D847" i="1"/>
  <c r="D842" i="1"/>
  <c r="D836" i="1"/>
  <c r="E836" i="1" s="1"/>
  <c r="F836" i="1" s="1"/>
  <c r="G836" i="1" s="1"/>
  <c r="H836" i="1" s="1"/>
  <c r="I836" i="1" s="1"/>
  <c r="J836" i="1" s="1"/>
  <c r="K836" i="1" s="1"/>
  <c r="L836" i="1" s="1"/>
  <c r="M836" i="1" s="1"/>
  <c r="N836" i="1" s="1"/>
  <c r="D621" i="1"/>
  <c r="E621" i="1" s="1"/>
  <c r="F621" i="1" s="1"/>
  <c r="G621" i="1" s="1"/>
  <c r="H621" i="1" s="1"/>
  <c r="I621" i="1" s="1"/>
  <c r="J621" i="1" s="1"/>
  <c r="K621" i="1" s="1"/>
  <c r="L621" i="1" s="1"/>
  <c r="M621" i="1" s="1"/>
  <c r="N621" i="1" s="1"/>
  <c r="D646" i="1"/>
  <c r="E646" i="1" s="1"/>
  <c r="F646" i="1" s="1"/>
  <c r="G646" i="1" s="1"/>
  <c r="H646" i="1" s="1"/>
  <c r="I646" i="1" s="1"/>
  <c r="J646" i="1" s="1"/>
  <c r="K646" i="1" s="1"/>
  <c r="L646" i="1" s="1"/>
  <c r="M646" i="1" s="1"/>
  <c r="N646" i="1" s="1"/>
  <c r="D663" i="1"/>
  <c r="D657" i="1"/>
  <c r="D652" i="1"/>
  <c r="E652" i="1" s="1"/>
  <c r="F652" i="1" s="1"/>
  <c r="G652" i="1" s="1"/>
  <c r="H652" i="1" s="1"/>
  <c r="I652" i="1" s="1"/>
  <c r="J652" i="1" s="1"/>
  <c r="K652" i="1" s="1"/>
  <c r="L652" i="1" s="1"/>
  <c r="M652" i="1" s="1"/>
  <c r="N652" i="1" s="1"/>
  <c r="D604" i="1"/>
  <c r="E604" i="1" s="1"/>
  <c r="F604" i="1" s="1"/>
  <c r="G604" i="1" s="1"/>
  <c r="H604" i="1" s="1"/>
  <c r="I604" i="1" s="1"/>
  <c r="J604" i="1" s="1"/>
  <c r="K604" i="1" s="1"/>
  <c r="L604" i="1" s="1"/>
  <c r="M604" i="1" s="1"/>
  <c r="N604" i="1" s="1"/>
  <c r="D615" i="1"/>
  <c r="D610" i="1"/>
  <c r="E610" i="1" s="1"/>
  <c r="F610" i="1" s="1"/>
  <c r="G610" i="1" s="1"/>
  <c r="H610" i="1" s="1"/>
  <c r="I610" i="1" s="1"/>
  <c r="J610" i="1" s="1"/>
  <c r="K610" i="1" s="1"/>
  <c r="L610" i="1" s="1"/>
  <c r="M610" i="1" s="1"/>
  <c r="N610" i="1" s="1"/>
  <c r="E794" i="1"/>
  <c r="F794" i="1"/>
  <c r="G794" i="1"/>
  <c r="H794" i="1"/>
  <c r="I794" i="1"/>
  <c r="J794" i="1"/>
  <c r="K794" i="1"/>
  <c r="L794" i="1"/>
  <c r="M794" i="1"/>
  <c r="N794" i="1"/>
  <c r="D794" i="1"/>
  <c r="E843" i="1"/>
  <c r="E845" i="1" s="1"/>
  <c r="F843" i="1"/>
  <c r="G843" i="1"/>
  <c r="H843" i="1"/>
  <c r="I843" i="1"/>
  <c r="J843" i="1"/>
  <c r="K843" i="1"/>
  <c r="L843" i="1"/>
  <c r="M843" i="1"/>
  <c r="M845" i="1" s="1"/>
  <c r="N843" i="1"/>
  <c r="E844" i="1"/>
  <c r="F844" i="1"/>
  <c r="G844" i="1"/>
  <c r="H844" i="1"/>
  <c r="I844" i="1"/>
  <c r="J844" i="1"/>
  <c r="K844" i="1"/>
  <c r="L844" i="1"/>
  <c r="M844" i="1"/>
  <c r="N844" i="1"/>
  <c r="D844" i="1"/>
  <c r="D843" i="1"/>
  <c r="E653" i="1"/>
  <c r="F653" i="1"/>
  <c r="G653" i="1"/>
  <c r="G655" i="1" s="1"/>
  <c r="H653" i="1"/>
  <c r="I653" i="1"/>
  <c r="J653" i="1"/>
  <c r="K653" i="1"/>
  <c r="L653" i="1"/>
  <c r="M653" i="1"/>
  <c r="N653" i="1"/>
  <c r="E654" i="1"/>
  <c r="F654" i="1"/>
  <c r="G654" i="1"/>
  <c r="H654" i="1"/>
  <c r="I654" i="1"/>
  <c r="J654" i="1"/>
  <c r="K654" i="1"/>
  <c r="L654" i="1"/>
  <c r="M654" i="1"/>
  <c r="N654" i="1"/>
  <c r="D654" i="1"/>
  <c r="D653" i="1"/>
  <c r="E612" i="1"/>
  <c r="F612" i="1"/>
  <c r="G612" i="1"/>
  <c r="H612" i="1"/>
  <c r="I612" i="1"/>
  <c r="J612" i="1"/>
  <c r="K612" i="1"/>
  <c r="L612" i="1"/>
  <c r="M612" i="1"/>
  <c r="M613" i="1" s="1"/>
  <c r="N612" i="1"/>
  <c r="D612" i="1"/>
  <c r="E611" i="1"/>
  <c r="F611" i="1"/>
  <c r="G611" i="1"/>
  <c r="G613" i="1" s="1"/>
  <c r="H611" i="1"/>
  <c r="I611" i="1"/>
  <c r="J611" i="1"/>
  <c r="K611" i="1"/>
  <c r="L611" i="1"/>
  <c r="M611" i="1"/>
  <c r="N611" i="1"/>
  <c r="D611" i="1"/>
  <c r="A82" i="8"/>
  <c r="B82" i="8"/>
  <c r="A83" i="8"/>
  <c r="B83" i="8"/>
  <c r="A84" i="8"/>
  <c r="B84" i="8"/>
  <c r="A76" i="8"/>
  <c r="B76" i="8"/>
  <c r="A77" i="8"/>
  <c r="B77" i="8"/>
  <c r="A78" i="8"/>
  <c r="B78" i="8"/>
  <c r="A63" i="8"/>
  <c r="B63" i="8"/>
  <c r="A64" i="8"/>
  <c r="B64" i="8"/>
  <c r="A65" i="8"/>
  <c r="B65" i="8"/>
  <c r="A59" i="8"/>
  <c r="B59" i="8"/>
  <c r="A60" i="8"/>
  <c r="B60" i="8"/>
  <c r="A55" i="8"/>
  <c r="B55" i="8"/>
  <c r="A50" i="8"/>
  <c r="B50" i="8"/>
  <c r="A46" i="8"/>
  <c r="B46" i="8"/>
  <c r="A39" i="8"/>
  <c r="B39" i="8"/>
  <c r="A37" i="8"/>
  <c r="B37" i="8"/>
  <c r="A32" i="8"/>
  <c r="B32" i="8"/>
  <c r="A33" i="8"/>
  <c r="B33" i="8"/>
  <c r="C2711" i="1"/>
  <c r="B2714" i="1" s="1"/>
  <c r="N2744" i="1"/>
  <c r="N2748" i="1" s="1"/>
  <c r="M2744" i="1"/>
  <c r="M2748" i="1" s="1"/>
  <c r="L2744" i="1"/>
  <c r="L2748" i="1" s="1"/>
  <c r="K2744" i="1"/>
  <c r="K2748" i="1" s="1"/>
  <c r="G2744" i="1"/>
  <c r="G2748" i="1" s="1"/>
  <c r="F2744" i="1"/>
  <c r="F2748" i="1" s="1"/>
  <c r="E2744" i="1"/>
  <c r="E2748" i="1" s="1"/>
  <c r="D2744" i="1"/>
  <c r="D2748" i="1" s="1"/>
  <c r="I2741" i="1"/>
  <c r="J2741" i="1" s="1"/>
  <c r="J2744" i="1" s="1"/>
  <c r="J2748" i="1" s="1"/>
  <c r="I2739" i="1"/>
  <c r="I2744" i="1" s="1"/>
  <c r="I2748" i="1" s="1"/>
  <c r="G2737" i="1"/>
  <c r="H2737" i="1" s="1"/>
  <c r="H2744" i="1" s="1"/>
  <c r="H2748" i="1" s="1"/>
  <c r="F2736" i="1"/>
  <c r="F2735" i="1"/>
  <c r="G2735" i="1" s="1"/>
  <c r="E2734" i="1"/>
  <c r="E2733" i="1"/>
  <c r="F2733" i="1" s="1"/>
  <c r="D2732" i="1"/>
  <c r="E2731" i="1"/>
  <c r="C2094" i="1"/>
  <c r="B2097" i="1" s="1"/>
  <c r="G2131" i="1"/>
  <c r="N2127" i="1"/>
  <c r="N2131" i="1" s="1"/>
  <c r="M2127" i="1"/>
  <c r="M2131" i="1" s="1"/>
  <c r="L2127" i="1"/>
  <c r="L2131" i="1" s="1"/>
  <c r="K2127" i="1"/>
  <c r="K2131" i="1" s="1"/>
  <c r="G2127" i="1"/>
  <c r="F2127" i="1"/>
  <c r="F2131" i="1" s="1"/>
  <c r="E2127" i="1"/>
  <c r="E2131" i="1" s="1"/>
  <c r="D2127" i="1"/>
  <c r="D2131" i="1" s="1"/>
  <c r="I2124" i="1"/>
  <c r="J2124" i="1" s="1"/>
  <c r="J2127" i="1" s="1"/>
  <c r="J2131" i="1" s="1"/>
  <c r="I2122" i="1"/>
  <c r="G2120" i="1"/>
  <c r="H2120" i="1" s="1"/>
  <c r="F2119" i="1"/>
  <c r="F2118" i="1"/>
  <c r="G2118" i="1" s="1"/>
  <c r="E2117" i="1"/>
  <c r="E2116" i="1"/>
  <c r="F2116" i="1" s="1"/>
  <c r="D2115" i="1"/>
  <c r="E2114" i="1"/>
  <c r="C1443" i="1"/>
  <c r="B1446" i="1" s="1"/>
  <c r="N1476" i="1"/>
  <c r="M1476" i="1"/>
  <c r="L1476" i="1"/>
  <c r="K1476" i="1"/>
  <c r="G1476" i="1"/>
  <c r="F1476" i="1"/>
  <c r="E1476" i="1"/>
  <c r="D1476" i="1"/>
  <c r="I1473" i="1"/>
  <c r="J1473" i="1" s="1"/>
  <c r="J1476" i="1" s="1"/>
  <c r="I1471" i="1"/>
  <c r="F1468" i="1"/>
  <c r="E1466" i="1"/>
  <c r="D1464" i="1"/>
  <c r="E1463" i="1"/>
  <c r="N1460" i="1"/>
  <c r="M1460" i="1"/>
  <c r="L1460" i="1"/>
  <c r="K1460" i="1"/>
  <c r="J1460" i="1"/>
  <c r="I1460" i="1"/>
  <c r="H1460" i="1"/>
  <c r="G1460" i="1"/>
  <c r="F1460" i="1"/>
  <c r="E1460" i="1"/>
  <c r="D1460" i="1"/>
  <c r="E1456" i="1"/>
  <c r="F1456" i="1" s="1"/>
  <c r="G1456" i="1" s="1"/>
  <c r="H1456" i="1" s="1"/>
  <c r="I1456" i="1" s="1"/>
  <c r="J1456" i="1" s="1"/>
  <c r="K1456" i="1" s="1"/>
  <c r="L1456" i="1" s="1"/>
  <c r="M1456" i="1" s="1"/>
  <c r="N1456" i="1" s="1"/>
  <c r="K1454" i="1"/>
  <c r="G1454" i="1"/>
  <c r="D1454" i="1"/>
  <c r="N1449" i="1"/>
  <c r="M1449" i="1"/>
  <c r="L1449" i="1"/>
  <c r="K1449" i="1"/>
  <c r="J1449" i="1"/>
  <c r="H1449" i="1"/>
  <c r="G1449" i="1"/>
  <c r="F1449" i="1"/>
  <c r="E1449" i="1"/>
  <c r="D1449" i="1"/>
  <c r="E1445" i="1"/>
  <c r="F1445" i="1" s="1"/>
  <c r="G1445" i="1" s="1"/>
  <c r="H1445" i="1" s="1"/>
  <c r="I1445" i="1" s="1"/>
  <c r="J1445" i="1" s="1"/>
  <c r="K1445" i="1" s="1"/>
  <c r="L1445" i="1" s="1"/>
  <c r="M1445" i="1" s="1"/>
  <c r="N1445" i="1" s="1"/>
  <c r="C1915" i="1"/>
  <c r="B1918" i="1" s="1"/>
  <c r="N1948" i="1"/>
  <c r="N1952" i="1" s="1"/>
  <c r="M1948" i="1"/>
  <c r="M1952" i="1" s="1"/>
  <c r="L1948" i="1"/>
  <c r="L1952" i="1" s="1"/>
  <c r="K1948" i="1"/>
  <c r="K1952" i="1" s="1"/>
  <c r="G1948" i="1"/>
  <c r="G1952" i="1" s="1"/>
  <c r="F1948" i="1"/>
  <c r="F1952" i="1" s="1"/>
  <c r="E1948" i="1"/>
  <c r="E1952" i="1" s="1"/>
  <c r="D1948" i="1"/>
  <c r="D1952" i="1" s="1"/>
  <c r="I1945" i="1"/>
  <c r="J1945" i="1" s="1"/>
  <c r="J1948" i="1" s="1"/>
  <c r="J1952" i="1" s="1"/>
  <c r="I1943" i="1"/>
  <c r="G1941" i="1"/>
  <c r="H1941" i="1" s="1"/>
  <c r="F1940" i="1"/>
  <c r="F1939" i="1"/>
  <c r="G1939" i="1" s="1"/>
  <c r="E1938" i="1"/>
  <c r="E1937" i="1"/>
  <c r="F1937" i="1" s="1"/>
  <c r="D1936" i="1"/>
  <c r="E1935" i="1"/>
  <c r="C1873" i="1"/>
  <c r="B1876" i="1" s="1"/>
  <c r="N1906" i="1"/>
  <c r="M1906" i="1"/>
  <c r="L1906" i="1"/>
  <c r="K1906" i="1"/>
  <c r="G1906" i="1"/>
  <c r="F1906" i="1"/>
  <c r="E1906" i="1"/>
  <c r="D1906" i="1"/>
  <c r="I1903" i="1"/>
  <c r="J1903" i="1" s="1"/>
  <c r="J1906" i="1" s="1"/>
  <c r="I1901" i="1"/>
  <c r="F1898" i="1"/>
  <c r="E1896" i="1"/>
  <c r="D1894" i="1"/>
  <c r="E1893" i="1"/>
  <c r="E1892" i="1"/>
  <c r="F1892" i="1" s="1"/>
  <c r="G1892" i="1" s="1"/>
  <c r="H1892" i="1" s="1"/>
  <c r="I1892" i="1" s="1"/>
  <c r="J1892" i="1" s="1"/>
  <c r="K1892" i="1" s="1"/>
  <c r="L1892" i="1" s="1"/>
  <c r="M1892" i="1" s="1"/>
  <c r="N1892" i="1" s="1"/>
  <c r="N1890" i="1"/>
  <c r="M1890" i="1"/>
  <c r="L1890" i="1"/>
  <c r="K1890" i="1"/>
  <c r="J1890" i="1"/>
  <c r="I1890" i="1"/>
  <c r="H1890" i="1"/>
  <c r="G1890" i="1"/>
  <c r="F1890" i="1"/>
  <c r="E1890" i="1"/>
  <c r="D1890" i="1"/>
  <c r="E1886" i="1"/>
  <c r="F1886" i="1" s="1"/>
  <c r="G1886" i="1" s="1"/>
  <c r="H1886" i="1" s="1"/>
  <c r="I1886" i="1" s="1"/>
  <c r="J1886" i="1" s="1"/>
  <c r="K1886" i="1" s="1"/>
  <c r="L1886" i="1" s="1"/>
  <c r="M1886" i="1" s="1"/>
  <c r="N1886" i="1" s="1"/>
  <c r="M1884" i="1"/>
  <c r="I1884" i="1"/>
  <c r="D1884" i="1"/>
  <c r="E1881" i="1"/>
  <c r="F1881" i="1" s="1"/>
  <c r="G1881" i="1" s="1"/>
  <c r="H1881" i="1" s="1"/>
  <c r="I1881" i="1" s="1"/>
  <c r="J1881" i="1" s="1"/>
  <c r="K1881" i="1" s="1"/>
  <c r="L1881" i="1" s="1"/>
  <c r="M1881" i="1" s="1"/>
  <c r="N1881" i="1" s="1"/>
  <c r="N1879" i="1"/>
  <c r="M1879" i="1"/>
  <c r="L1879" i="1"/>
  <c r="K1879" i="1"/>
  <c r="J1879" i="1"/>
  <c r="H1879" i="1"/>
  <c r="G1879" i="1"/>
  <c r="F1879" i="1"/>
  <c r="E1879" i="1"/>
  <c r="D1879" i="1"/>
  <c r="I1876" i="1"/>
  <c r="E1875" i="1"/>
  <c r="F1875" i="1" s="1"/>
  <c r="G1875" i="1" s="1"/>
  <c r="H1875" i="1" s="1"/>
  <c r="I1875" i="1" s="1"/>
  <c r="J1875" i="1" s="1"/>
  <c r="K1875" i="1" s="1"/>
  <c r="L1875" i="1" s="1"/>
  <c r="M1875" i="1" s="1"/>
  <c r="N1875" i="1" s="1"/>
  <c r="C644" i="1"/>
  <c r="N677" i="1"/>
  <c r="M677" i="1"/>
  <c r="L677" i="1"/>
  <c r="K677" i="1"/>
  <c r="G677" i="1"/>
  <c r="F677" i="1"/>
  <c r="E677" i="1"/>
  <c r="D677" i="1"/>
  <c r="I674" i="1"/>
  <c r="J674" i="1" s="1"/>
  <c r="J677" i="1" s="1"/>
  <c r="I672" i="1"/>
  <c r="F669" i="1"/>
  <c r="E667" i="1"/>
  <c r="D665" i="1"/>
  <c r="E664" i="1"/>
  <c r="E663" i="1"/>
  <c r="F663" i="1" s="1"/>
  <c r="G663" i="1" s="1"/>
  <c r="H663" i="1" s="1"/>
  <c r="I663" i="1" s="1"/>
  <c r="J663" i="1" s="1"/>
  <c r="K663" i="1" s="1"/>
  <c r="L663" i="1" s="1"/>
  <c r="M663" i="1" s="1"/>
  <c r="N663" i="1" s="1"/>
  <c r="N661" i="1"/>
  <c r="M661" i="1"/>
  <c r="L661" i="1"/>
  <c r="K661" i="1"/>
  <c r="J661" i="1"/>
  <c r="I661" i="1"/>
  <c r="H661" i="1"/>
  <c r="G661" i="1"/>
  <c r="F661" i="1"/>
  <c r="E661" i="1"/>
  <c r="D661" i="1"/>
  <c r="E657" i="1"/>
  <c r="F657" i="1" s="1"/>
  <c r="G657" i="1" s="1"/>
  <c r="H657" i="1" s="1"/>
  <c r="I657" i="1" s="1"/>
  <c r="J657" i="1" s="1"/>
  <c r="K657" i="1" s="1"/>
  <c r="L657" i="1" s="1"/>
  <c r="M657" i="1" s="1"/>
  <c r="N657" i="1" s="1"/>
  <c r="M655" i="1"/>
  <c r="I655" i="1"/>
  <c r="E655" i="1"/>
  <c r="D655" i="1"/>
  <c r="N650" i="1"/>
  <c r="M650" i="1"/>
  <c r="L650" i="1"/>
  <c r="K650" i="1"/>
  <c r="J650" i="1"/>
  <c r="H650" i="1"/>
  <c r="G650" i="1"/>
  <c r="F650" i="1"/>
  <c r="E650" i="1"/>
  <c r="D650" i="1"/>
  <c r="B647" i="1"/>
  <c r="C602" i="1"/>
  <c r="B605" i="1" s="1"/>
  <c r="N635" i="1"/>
  <c r="M635" i="1"/>
  <c r="L635" i="1"/>
  <c r="K635" i="1"/>
  <c r="G635" i="1"/>
  <c r="F635" i="1"/>
  <c r="E635" i="1"/>
  <c r="D635" i="1"/>
  <c r="I630" i="1"/>
  <c r="I635" i="1" s="1"/>
  <c r="F627" i="1"/>
  <c r="E625" i="1"/>
  <c r="D623" i="1"/>
  <c r="E622" i="1"/>
  <c r="N619" i="1"/>
  <c r="M619" i="1"/>
  <c r="L619" i="1"/>
  <c r="K619" i="1"/>
  <c r="J619" i="1"/>
  <c r="I619" i="1"/>
  <c r="H619" i="1"/>
  <c r="G619" i="1"/>
  <c r="F619" i="1"/>
  <c r="E619" i="1"/>
  <c r="D619" i="1"/>
  <c r="E615" i="1"/>
  <c r="F615" i="1" s="1"/>
  <c r="G615" i="1" s="1"/>
  <c r="H615" i="1" s="1"/>
  <c r="I615" i="1" s="1"/>
  <c r="J615" i="1" s="1"/>
  <c r="K615" i="1" s="1"/>
  <c r="L615" i="1" s="1"/>
  <c r="M615" i="1" s="1"/>
  <c r="N615" i="1" s="1"/>
  <c r="K613" i="1"/>
  <c r="J613" i="1"/>
  <c r="F613" i="1"/>
  <c r="D613" i="1"/>
  <c r="N608" i="1"/>
  <c r="M608" i="1"/>
  <c r="L608" i="1"/>
  <c r="K608" i="1"/>
  <c r="J608" i="1"/>
  <c r="H608" i="1"/>
  <c r="G608" i="1"/>
  <c r="F608" i="1"/>
  <c r="E608" i="1"/>
  <c r="D608" i="1"/>
  <c r="C834" i="1"/>
  <c r="B837" i="1" s="1"/>
  <c r="N867" i="1"/>
  <c r="M867" i="1"/>
  <c r="L867" i="1"/>
  <c r="K867" i="1"/>
  <c r="G867" i="1"/>
  <c r="H862" i="1"/>
  <c r="I862" i="1" s="1"/>
  <c r="F859" i="1"/>
  <c r="F858" i="1"/>
  <c r="G858" i="1" s="1"/>
  <c r="E857" i="1"/>
  <c r="D855" i="1"/>
  <c r="D867" i="1" s="1"/>
  <c r="E854" i="1"/>
  <c r="E853" i="1"/>
  <c r="F853" i="1" s="1"/>
  <c r="G853" i="1" s="1"/>
  <c r="H853" i="1" s="1"/>
  <c r="I853" i="1" s="1"/>
  <c r="J853" i="1" s="1"/>
  <c r="K853" i="1" s="1"/>
  <c r="L853" i="1" s="1"/>
  <c r="M853" i="1" s="1"/>
  <c r="N853" i="1" s="1"/>
  <c r="N851" i="1"/>
  <c r="M851" i="1"/>
  <c r="L851" i="1"/>
  <c r="K851" i="1"/>
  <c r="J851" i="1"/>
  <c r="I851" i="1"/>
  <c r="H851" i="1"/>
  <c r="G851" i="1"/>
  <c r="F851" i="1"/>
  <c r="E851" i="1"/>
  <c r="D851" i="1"/>
  <c r="E847" i="1"/>
  <c r="F847" i="1" s="1"/>
  <c r="G847" i="1" s="1"/>
  <c r="H847" i="1" s="1"/>
  <c r="I847" i="1" s="1"/>
  <c r="J847" i="1" s="1"/>
  <c r="K847" i="1" s="1"/>
  <c r="L847" i="1" s="1"/>
  <c r="M847" i="1" s="1"/>
  <c r="N847" i="1" s="1"/>
  <c r="L845" i="1"/>
  <c r="I845" i="1"/>
  <c r="H845" i="1"/>
  <c r="E842" i="1"/>
  <c r="F842" i="1" s="1"/>
  <c r="G842" i="1" s="1"/>
  <c r="H842" i="1" s="1"/>
  <c r="I842" i="1" s="1"/>
  <c r="J842" i="1" s="1"/>
  <c r="K842" i="1" s="1"/>
  <c r="L842" i="1" s="1"/>
  <c r="M842" i="1" s="1"/>
  <c r="N842" i="1" s="1"/>
  <c r="N840" i="1"/>
  <c r="M840" i="1"/>
  <c r="L840" i="1"/>
  <c r="K840" i="1"/>
  <c r="J840" i="1"/>
  <c r="I840" i="1"/>
  <c r="G840" i="1"/>
  <c r="F840" i="1"/>
  <c r="E840" i="1"/>
  <c r="D840" i="1"/>
  <c r="C1683" i="1"/>
  <c r="B1686" i="1" s="1"/>
  <c r="N1716" i="1"/>
  <c r="M1716" i="1"/>
  <c r="L1716" i="1"/>
  <c r="K1716" i="1"/>
  <c r="G1716" i="1"/>
  <c r="F1716" i="1"/>
  <c r="E1716" i="1"/>
  <c r="D1716" i="1"/>
  <c r="H1711" i="1"/>
  <c r="I1711" i="1" s="1"/>
  <c r="F1708" i="1"/>
  <c r="E1706" i="1"/>
  <c r="D1704" i="1"/>
  <c r="E1703" i="1"/>
  <c r="E1702" i="1"/>
  <c r="F1702" i="1" s="1"/>
  <c r="G1702" i="1" s="1"/>
  <c r="H1702" i="1" s="1"/>
  <c r="I1702" i="1" s="1"/>
  <c r="J1702" i="1" s="1"/>
  <c r="K1702" i="1" s="1"/>
  <c r="L1702" i="1" s="1"/>
  <c r="M1702" i="1" s="1"/>
  <c r="N1702" i="1" s="1"/>
  <c r="N1700" i="1"/>
  <c r="M1700" i="1"/>
  <c r="L1700" i="1"/>
  <c r="K1700" i="1"/>
  <c r="J1700" i="1"/>
  <c r="I1700" i="1"/>
  <c r="H1700" i="1"/>
  <c r="G1700" i="1"/>
  <c r="F1700" i="1"/>
  <c r="E1700" i="1"/>
  <c r="D1700" i="1"/>
  <c r="E1696" i="1"/>
  <c r="F1696" i="1" s="1"/>
  <c r="G1696" i="1" s="1"/>
  <c r="H1696" i="1" s="1"/>
  <c r="I1696" i="1" s="1"/>
  <c r="J1696" i="1" s="1"/>
  <c r="K1696" i="1" s="1"/>
  <c r="L1696" i="1" s="1"/>
  <c r="M1696" i="1" s="1"/>
  <c r="N1696" i="1" s="1"/>
  <c r="M1694" i="1"/>
  <c r="I1694" i="1"/>
  <c r="E1694" i="1"/>
  <c r="D1694" i="1"/>
  <c r="N1689" i="1"/>
  <c r="M1689" i="1"/>
  <c r="L1689" i="1"/>
  <c r="K1689" i="1"/>
  <c r="J1689" i="1"/>
  <c r="I1689" i="1"/>
  <c r="G1689" i="1"/>
  <c r="F1689" i="1"/>
  <c r="E1689" i="1"/>
  <c r="D1689" i="1"/>
  <c r="E1685" i="1"/>
  <c r="F1685" i="1" s="1"/>
  <c r="G1685" i="1" s="1"/>
  <c r="H1685" i="1" s="1"/>
  <c r="I1685" i="1" s="1"/>
  <c r="J1685" i="1" s="1"/>
  <c r="K1685" i="1" s="1"/>
  <c r="L1685" i="1" s="1"/>
  <c r="M1685" i="1" s="1"/>
  <c r="N1685" i="1" s="1"/>
  <c r="C924" i="1"/>
  <c r="B927" i="1" s="1"/>
  <c r="E957" i="1"/>
  <c r="D957" i="1"/>
  <c r="H953" i="1"/>
  <c r="H952" i="1"/>
  <c r="I952" i="1" s="1"/>
  <c r="G951" i="1"/>
  <c r="F949" i="1"/>
  <c r="E947" i="1"/>
  <c r="D945" i="1"/>
  <c r="E944" i="1"/>
  <c r="N941" i="1"/>
  <c r="M941" i="1"/>
  <c r="L941" i="1"/>
  <c r="K941" i="1"/>
  <c r="J941" i="1"/>
  <c r="I941" i="1"/>
  <c r="H941" i="1"/>
  <c r="G941" i="1"/>
  <c r="F941" i="1"/>
  <c r="E941" i="1"/>
  <c r="D941" i="1"/>
  <c r="E937" i="1"/>
  <c r="F937" i="1" s="1"/>
  <c r="G937" i="1" s="1"/>
  <c r="H937" i="1" s="1"/>
  <c r="I937" i="1" s="1"/>
  <c r="J937" i="1" s="1"/>
  <c r="K937" i="1" s="1"/>
  <c r="L937" i="1" s="1"/>
  <c r="M937" i="1" s="1"/>
  <c r="N937" i="1" s="1"/>
  <c r="M935" i="1"/>
  <c r="L935" i="1"/>
  <c r="I935" i="1"/>
  <c r="G935" i="1"/>
  <c r="D935" i="1"/>
  <c r="E932" i="1"/>
  <c r="F932" i="1" s="1"/>
  <c r="G932" i="1" s="1"/>
  <c r="H932" i="1" s="1"/>
  <c r="I932" i="1" s="1"/>
  <c r="J932" i="1" s="1"/>
  <c r="K932" i="1" s="1"/>
  <c r="L932" i="1" s="1"/>
  <c r="M932" i="1" s="1"/>
  <c r="N932" i="1" s="1"/>
  <c r="N930" i="1"/>
  <c r="M930" i="1"/>
  <c r="L930" i="1"/>
  <c r="K930" i="1"/>
  <c r="J930" i="1"/>
  <c r="I930" i="1"/>
  <c r="G930" i="1"/>
  <c r="F930" i="1"/>
  <c r="E930" i="1"/>
  <c r="D930" i="1"/>
  <c r="E926" i="1"/>
  <c r="F926" i="1" s="1"/>
  <c r="G926" i="1" s="1"/>
  <c r="H926" i="1" s="1"/>
  <c r="I926" i="1" s="1"/>
  <c r="J926" i="1" s="1"/>
  <c r="K926" i="1" s="1"/>
  <c r="L926" i="1" s="1"/>
  <c r="M926" i="1" s="1"/>
  <c r="N926" i="1" s="1"/>
  <c r="C1258" i="1"/>
  <c r="B1261" i="1" s="1"/>
  <c r="N1291" i="1"/>
  <c r="M1291" i="1"/>
  <c r="L1291" i="1"/>
  <c r="K1291" i="1"/>
  <c r="G1291" i="1"/>
  <c r="F1291" i="1"/>
  <c r="E1291" i="1"/>
  <c r="D1291" i="1"/>
  <c r="I1288" i="1"/>
  <c r="J1288" i="1" s="1"/>
  <c r="J1291" i="1" s="1"/>
  <c r="I1286" i="1"/>
  <c r="H1286" i="1"/>
  <c r="F1283" i="1"/>
  <c r="E1281" i="1"/>
  <c r="D1279" i="1"/>
  <c r="E1278" i="1"/>
  <c r="E1277" i="1"/>
  <c r="F1277" i="1" s="1"/>
  <c r="G1277" i="1" s="1"/>
  <c r="H1277" i="1" s="1"/>
  <c r="I1277" i="1" s="1"/>
  <c r="J1277" i="1" s="1"/>
  <c r="K1277" i="1" s="1"/>
  <c r="L1277" i="1" s="1"/>
  <c r="M1277" i="1" s="1"/>
  <c r="N1277" i="1" s="1"/>
  <c r="N1275" i="1"/>
  <c r="M1275" i="1"/>
  <c r="L1275" i="1"/>
  <c r="K1275" i="1"/>
  <c r="J1275" i="1"/>
  <c r="I1275" i="1"/>
  <c r="H1275" i="1"/>
  <c r="G1275" i="1"/>
  <c r="F1275" i="1"/>
  <c r="E1275" i="1"/>
  <c r="D1275" i="1"/>
  <c r="E1271" i="1"/>
  <c r="F1271" i="1" s="1"/>
  <c r="G1271" i="1" s="1"/>
  <c r="H1271" i="1" s="1"/>
  <c r="I1271" i="1" s="1"/>
  <c r="J1271" i="1" s="1"/>
  <c r="K1271" i="1" s="1"/>
  <c r="L1271" i="1" s="1"/>
  <c r="M1271" i="1" s="1"/>
  <c r="N1271" i="1" s="1"/>
  <c r="G1264" i="1"/>
  <c r="F1264" i="1"/>
  <c r="E1264" i="1"/>
  <c r="D1264" i="1"/>
  <c r="E1260" i="1"/>
  <c r="F1260" i="1" s="1"/>
  <c r="G1260" i="1" s="1"/>
  <c r="H1260" i="1" s="1"/>
  <c r="I1260" i="1" s="1"/>
  <c r="J1260" i="1" s="1"/>
  <c r="K1260" i="1" s="1"/>
  <c r="C2672" i="1"/>
  <c r="B2675" i="1" s="1"/>
  <c r="N2703" i="1"/>
  <c r="M2703" i="1"/>
  <c r="L2703" i="1"/>
  <c r="K2703" i="1"/>
  <c r="J2703" i="1"/>
  <c r="H2703" i="1"/>
  <c r="G2703" i="1"/>
  <c r="F2703" i="1"/>
  <c r="E2703" i="1"/>
  <c r="D2703" i="1"/>
  <c r="B2702" i="1"/>
  <c r="B2701" i="1"/>
  <c r="I2700" i="1"/>
  <c r="I2703" i="1" s="1"/>
  <c r="B2700" i="1"/>
  <c r="B2699" i="1"/>
  <c r="B2698" i="1"/>
  <c r="F2697" i="1"/>
  <c r="B2697" i="1"/>
  <c r="B2696" i="1"/>
  <c r="E2695" i="1"/>
  <c r="B2695" i="1"/>
  <c r="B2694" i="1"/>
  <c r="D2693" i="1"/>
  <c r="B2693" i="1"/>
  <c r="E2692" i="1"/>
  <c r="B2692" i="1"/>
  <c r="J2689" i="1"/>
  <c r="I2689" i="1"/>
  <c r="H2689" i="1"/>
  <c r="G2689" i="1"/>
  <c r="F2689" i="1"/>
  <c r="E2689" i="1"/>
  <c r="D2689" i="1"/>
  <c r="E2685" i="1"/>
  <c r="F2685" i="1" s="1"/>
  <c r="G2685" i="1" s="1"/>
  <c r="H2685" i="1" s="1"/>
  <c r="I2685" i="1" s="1"/>
  <c r="J2685" i="1" s="1"/>
  <c r="E2680" i="1"/>
  <c r="F2680" i="1" s="1"/>
  <c r="G2680" i="1" s="1"/>
  <c r="H2680" i="1" s="1"/>
  <c r="I2680" i="1" s="1"/>
  <c r="J2680" i="1" s="1"/>
  <c r="N2678" i="1"/>
  <c r="M2678" i="1"/>
  <c r="L2678" i="1"/>
  <c r="K2678" i="1"/>
  <c r="J2678" i="1"/>
  <c r="I2678" i="1"/>
  <c r="G2678" i="1"/>
  <c r="G2698" i="1" s="1"/>
  <c r="H2698" i="1" s="1"/>
  <c r="I2698" i="1" s="1"/>
  <c r="F2678" i="1"/>
  <c r="E2678" i="1"/>
  <c r="D2678" i="1"/>
  <c r="E2674" i="1"/>
  <c r="F2674" i="1" s="1"/>
  <c r="G2674" i="1" s="1"/>
  <c r="H2674" i="1" s="1"/>
  <c r="I2674" i="1" s="1"/>
  <c r="J2674" i="1" s="1"/>
  <c r="K2674" i="1" s="1"/>
  <c r="C2053" i="1"/>
  <c r="B2056" i="1" s="1"/>
  <c r="N2086" i="1"/>
  <c r="M2086" i="1"/>
  <c r="L2086" i="1"/>
  <c r="K2086" i="1"/>
  <c r="I2083" i="1"/>
  <c r="J2083" i="1" s="1"/>
  <c r="J2086" i="1" s="1"/>
  <c r="B2083" i="1"/>
  <c r="B2082" i="1"/>
  <c r="H2081" i="1"/>
  <c r="I2081" i="1" s="1"/>
  <c r="B2081" i="1"/>
  <c r="B2080" i="1"/>
  <c r="B2079" i="1"/>
  <c r="F2078" i="1"/>
  <c r="B2078" i="1"/>
  <c r="B2077" i="1"/>
  <c r="E2076" i="1"/>
  <c r="B2076" i="1"/>
  <c r="B2075" i="1"/>
  <c r="D2074" i="1"/>
  <c r="B2074" i="1"/>
  <c r="B2073" i="1"/>
  <c r="E2072" i="1"/>
  <c r="F2072" i="1" s="1"/>
  <c r="G2072" i="1" s="1"/>
  <c r="H2072" i="1" s="1"/>
  <c r="I2072" i="1" s="1"/>
  <c r="J2072" i="1" s="1"/>
  <c r="K2072" i="1" s="1"/>
  <c r="L2072" i="1" s="1"/>
  <c r="M2072" i="1" s="1"/>
  <c r="N2072" i="1" s="1"/>
  <c r="J2070" i="1"/>
  <c r="I2070" i="1"/>
  <c r="H2070" i="1"/>
  <c r="G2070" i="1"/>
  <c r="F2070" i="1"/>
  <c r="E2070" i="1"/>
  <c r="D2070" i="1"/>
  <c r="E2066" i="1"/>
  <c r="F2066" i="1" s="1"/>
  <c r="E2064" i="1"/>
  <c r="D2064" i="1"/>
  <c r="E2061" i="1"/>
  <c r="F2061" i="1" s="1"/>
  <c r="N2059" i="1"/>
  <c r="M2059" i="1"/>
  <c r="L2059" i="1"/>
  <c r="L2090" i="1" s="1"/>
  <c r="K2059" i="1"/>
  <c r="J2059" i="1"/>
  <c r="G2059" i="1"/>
  <c r="F2059" i="1"/>
  <c r="E2059" i="1"/>
  <c r="D2059" i="1"/>
  <c r="E2055" i="1"/>
  <c r="F2055" i="1" s="1"/>
  <c r="G2055" i="1" s="1"/>
  <c r="C2985" i="1"/>
  <c r="B2988" i="1" s="1"/>
  <c r="N3014" i="1"/>
  <c r="M3014" i="1"/>
  <c r="L3014" i="1"/>
  <c r="K3014" i="1"/>
  <c r="J3014" i="1"/>
  <c r="I3014" i="1"/>
  <c r="B3013" i="1"/>
  <c r="B3012" i="1"/>
  <c r="H3011" i="1"/>
  <c r="H3014" i="1" s="1"/>
  <c r="B3011" i="1"/>
  <c r="F3010" i="1"/>
  <c r="B3010" i="1"/>
  <c r="G3009" i="1"/>
  <c r="G3014" i="1" s="1"/>
  <c r="B3009" i="1"/>
  <c r="E3008" i="1"/>
  <c r="B3008" i="1"/>
  <c r="F3007" i="1"/>
  <c r="F3014" i="1" s="1"/>
  <c r="B3007" i="1"/>
  <c r="D3006" i="1"/>
  <c r="D3014" i="1" s="1"/>
  <c r="B3006" i="1"/>
  <c r="E3005" i="1"/>
  <c r="B3005" i="1"/>
  <c r="E3004" i="1"/>
  <c r="F3004" i="1" s="1"/>
  <c r="G3004" i="1" s="1"/>
  <c r="H3004" i="1" s="1"/>
  <c r="I3004" i="1" s="1"/>
  <c r="J3004" i="1" s="1"/>
  <c r="K3004" i="1" s="1"/>
  <c r="L3004" i="1" s="1"/>
  <c r="M3004" i="1" s="1"/>
  <c r="N3004" i="1" s="1"/>
  <c r="N3002" i="1"/>
  <c r="M3002" i="1"/>
  <c r="L3002" i="1"/>
  <c r="K3002" i="1"/>
  <c r="J3002" i="1"/>
  <c r="I3002" i="1"/>
  <c r="H3002" i="1"/>
  <c r="G3002" i="1"/>
  <c r="F3002" i="1"/>
  <c r="E3002" i="1"/>
  <c r="D3002" i="1"/>
  <c r="E2998" i="1"/>
  <c r="F2998" i="1" s="1"/>
  <c r="L2996" i="1"/>
  <c r="M2996" i="1"/>
  <c r="K2996" i="1"/>
  <c r="I2996" i="1"/>
  <c r="G2996" i="1"/>
  <c r="E2996" i="1"/>
  <c r="D2996" i="1"/>
  <c r="E2993" i="1"/>
  <c r="F2993" i="1" s="1"/>
  <c r="N2991" i="1"/>
  <c r="M2991" i="1"/>
  <c r="L2991" i="1"/>
  <c r="K2991" i="1"/>
  <c r="J2991" i="1"/>
  <c r="I2991" i="1"/>
  <c r="H2991" i="1"/>
  <c r="G2991" i="1"/>
  <c r="D2991" i="1"/>
  <c r="E2987" i="1"/>
  <c r="F2987" i="1" s="1"/>
  <c r="G2987" i="1" s="1"/>
  <c r="C2947" i="1"/>
  <c r="I2976" i="1"/>
  <c r="I2975" i="1"/>
  <c r="B2975" i="1"/>
  <c r="G2974" i="1"/>
  <c r="B2974" i="1"/>
  <c r="H2973" i="1"/>
  <c r="H2976" i="1" s="1"/>
  <c r="B2973" i="1"/>
  <c r="F2972" i="1"/>
  <c r="B2972" i="1"/>
  <c r="G2971" i="1"/>
  <c r="G2976" i="1" s="1"/>
  <c r="B2971" i="1"/>
  <c r="E2970" i="1"/>
  <c r="B2970" i="1"/>
  <c r="F2969" i="1"/>
  <c r="F2976" i="1" s="1"/>
  <c r="B2969" i="1"/>
  <c r="D2968" i="1"/>
  <c r="D2976" i="1" s="1"/>
  <c r="B2968" i="1"/>
  <c r="E2967" i="1"/>
  <c r="B2967" i="1"/>
  <c r="E2966" i="1"/>
  <c r="F2966" i="1" s="1"/>
  <c r="G2966" i="1" s="1"/>
  <c r="H2966" i="1" s="1"/>
  <c r="I2966" i="1" s="1"/>
  <c r="J2966" i="1" s="1"/>
  <c r="K2966" i="1" s="1"/>
  <c r="L2966" i="1" s="1"/>
  <c r="M2966" i="1" s="1"/>
  <c r="N2966" i="1" s="1"/>
  <c r="N2964" i="1"/>
  <c r="M2964" i="1"/>
  <c r="L2964" i="1"/>
  <c r="K2964" i="1"/>
  <c r="J2964" i="1"/>
  <c r="I2964" i="1"/>
  <c r="H2964" i="1"/>
  <c r="G2964" i="1"/>
  <c r="F2964" i="1"/>
  <c r="E2964" i="1"/>
  <c r="D2964" i="1"/>
  <c r="N2953" i="1"/>
  <c r="M2953" i="1"/>
  <c r="L2953" i="1"/>
  <c r="K2953" i="1"/>
  <c r="J2953" i="1"/>
  <c r="I2953" i="1"/>
  <c r="H2953" i="1"/>
  <c r="E2949" i="1"/>
  <c r="F2949" i="1" s="1"/>
  <c r="G2949" i="1" s="1"/>
  <c r="B2950" i="1"/>
  <c r="B22" i="8"/>
  <c r="B24" i="8"/>
  <c r="B25" i="8"/>
  <c r="B26" i="8"/>
  <c r="B27" i="8"/>
  <c r="B28" i="8"/>
  <c r="B29" i="8"/>
  <c r="B30" i="8"/>
  <c r="B31" i="8"/>
  <c r="B34" i="8"/>
  <c r="B35" i="8"/>
  <c r="B36" i="8"/>
  <c r="B38" i="8"/>
  <c r="B40" i="8"/>
  <c r="B41" i="8"/>
  <c r="B42" i="8"/>
  <c r="B43" i="8"/>
  <c r="B44" i="8"/>
  <c r="B45" i="8"/>
  <c r="B47" i="8"/>
  <c r="B49" i="8"/>
  <c r="B51" i="8"/>
  <c r="B52" i="8"/>
  <c r="B53" i="8"/>
  <c r="B54" i="8"/>
  <c r="B56" i="8"/>
  <c r="B57" i="8"/>
  <c r="B58" i="8"/>
  <c r="B61" i="8"/>
  <c r="B62" i="8"/>
  <c r="B66" i="8"/>
  <c r="B67" i="8"/>
  <c r="B68" i="8"/>
  <c r="B69" i="8"/>
  <c r="B70" i="8"/>
  <c r="B71" i="8"/>
  <c r="B72" i="8"/>
  <c r="B73" i="8"/>
  <c r="B74" i="8"/>
  <c r="B79" i="8"/>
  <c r="B80" i="8"/>
  <c r="B81" i="8"/>
  <c r="B85" i="8"/>
  <c r="B23" i="8"/>
  <c r="B48" i="8"/>
  <c r="A23" i="8"/>
  <c r="A48" i="8"/>
  <c r="A79" i="8"/>
  <c r="A80" i="8"/>
  <c r="A81" i="8"/>
  <c r="A71" i="8"/>
  <c r="A72" i="8"/>
  <c r="A73" i="8"/>
  <c r="A74" i="8"/>
  <c r="A58" i="8"/>
  <c r="A61" i="8"/>
  <c r="A62" i="8"/>
  <c r="A66" i="8"/>
  <c r="A67" i="8"/>
  <c r="A68" i="8"/>
  <c r="A69" i="8"/>
  <c r="A70" i="8"/>
  <c r="N2610" i="1"/>
  <c r="N2416" i="1"/>
  <c r="M2414" i="1"/>
  <c r="L2412" i="1"/>
  <c r="N2318" i="1"/>
  <c r="N1671" i="1"/>
  <c r="N1621" i="1"/>
  <c r="N1431" i="1"/>
  <c r="I1476" i="1" l="1"/>
  <c r="I1948" i="1"/>
  <c r="I1952" i="1" s="1"/>
  <c r="G1284" i="1"/>
  <c r="H1284" i="1" s="1"/>
  <c r="H1291" i="1" s="1"/>
  <c r="K845" i="1"/>
  <c r="K871" i="1" s="1"/>
  <c r="G845" i="1"/>
  <c r="N935" i="1"/>
  <c r="J935" i="1"/>
  <c r="F935" i="1"/>
  <c r="H935" i="1"/>
  <c r="K2707" i="1"/>
  <c r="H655" i="1"/>
  <c r="D845" i="1"/>
  <c r="K935" i="1"/>
  <c r="L1454" i="1"/>
  <c r="H1454" i="1"/>
  <c r="H1694" i="1"/>
  <c r="L1694" i="1"/>
  <c r="J1694" i="1"/>
  <c r="J2064" i="1"/>
  <c r="H2996" i="1"/>
  <c r="K1720" i="1"/>
  <c r="M2707" i="1"/>
  <c r="K3018" i="1"/>
  <c r="M2090" i="1"/>
  <c r="I2086" i="1"/>
  <c r="K2090" i="1"/>
  <c r="E2694" i="1"/>
  <c r="F2694" i="1" s="1"/>
  <c r="N2707" i="1"/>
  <c r="I2702" i="1"/>
  <c r="L2707" i="1"/>
  <c r="I954" i="1"/>
  <c r="J954" i="1" s="1"/>
  <c r="E2976" i="1"/>
  <c r="M3018" i="1"/>
  <c r="E3014" i="1"/>
  <c r="E3018" i="1" s="1"/>
  <c r="N2090" i="1"/>
  <c r="G2079" i="1"/>
  <c r="H2079" i="1" s="1"/>
  <c r="H2086" i="1" s="1"/>
  <c r="I1713" i="1"/>
  <c r="J1713" i="1" s="1"/>
  <c r="G3018" i="1"/>
  <c r="F2696" i="1"/>
  <c r="G2696" i="1" s="1"/>
  <c r="I1291" i="1"/>
  <c r="G950" i="1"/>
  <c r="H950" i="1" s="1"/>
  <c r="H957" i="1" s="1"/>
  <c r="F1707" i="1"/>
  <c r="G1707" i="1" s="1"/>
  <c r="G860" i="1"/>
  <c r="H860" i="1" s="1"/>
  <c r="L871" i="1"/>
  <c r="F626" i="1"/>
  <c r="G626" i="1" s="1"/>
  <c r="I677" i="1"/>
  <c r="I681" i="1" s="1"/>
  <c r="N613" i="1"/>
  <c r="K655" i="1"/>
  <c r="K681" i="1" s="1"/>
  <c r="F1694" i="1"/>
  <c r="L1884" i="1"/>
  <c r="H1884" i="1"/>
  <c r="H2064" i="1"/>
  <c r="H2090" i="1" s="1"/>
  <c r="I1906" i="1"/>
  <c r="I1910" i="1" s="1"/>
  <c r="K1480" i="1"/>
  <c r="I2127" i="1"/>
  <c r="I2131" i="1" s="1"/>
  <c r="G1694" i="1"/>
  <c r="K1884" i="1"/>
  <c r="K1910" i="1" s="1"/>
  <c r="I2064" i="1"/>
  <c r="I2090" i="1" s="1"/>
  <c r="G2064" i="1"/>
  <c r="G871" i="1"/>
  <c r="L655" i="1"/>
  <c r="G1910" i="1"/>
  <c r="N845" i="1"/>
  <c r="N871" i="1" s="1"/>
  <c r="J845" i="1"/>
  <c r="F845" i="1"/>
  <c r="M1454" i="1"/>
  <c r="I1454" i="1"/>
  <c r="I1480" i="1" s="1"/>
  <c r="E1454" i="1"/>
  <c r="J2624" i="1"/>
  <c r="I2635" i="1"/>
  <c r="I2630" i="1"/>
  <c r="H613" i="1"/>
  <c r="I3018" i="1"/>
  <c r="N655" i="1"/>
  <c r="N681" i="1" s="1"/>
  <c r="J655" i="1"/>
  <c r="J681" i="1" s="1"/>
  <c r="F655" i="1"/>
  <c r="E935" i="1"/>
  <c r="N1884" i="1"/>
  <c r="J1884" i="1"/>
  <c r="J1910" i="1" s="1"/>
  <c r="F1884" i="1"/>
  <c r="N2996" i="1"/>
  <c r="N3018" i="1" s="1"/>
  <c r="J2996" i="1"/>
  <c r="F2996" i="1"/>
  <c r="F3018" i="1" s="1"/>
  <c r="I613" i="1"/>
  <c r="E613" i="1"/>
  <c r="N1454" i="1"/>
  <c r="N1480" i="1" s="1"/>
  <c r="J1454" i="1"/>
  <c r="J1480" i="1" s="1"/>
  <c r="F1454" i="1"/>
  <c r="F2064" i="1"/>
  <c r="K639" i="1"/>
  <c r="I639" i="1"/>
  <c r="J635" i="1"/>
  <c r="J3018" i="1"/>
  <c r="H3018" i="1"/>
  <c r="L3018" i="1"/>
  <c r="J2090" i="1"/>
  <c r="E1910" i="1"/>
  <c r="N1720" i="1"/>
  <c r="E1480" i="1"/>
  <c r="F1480" i="1"/>
  <c r="G1480" i="1"/>
  <c r="F681" i="1"/>
  <c r="E681" i="1"/>
  <c r="L613" i="1"/>
  <c r="L639" i="1" s="1"/>
  <c r="G681" i="1"/>
  <c r="N1910" i="1"/>
  <c r="H2127" i="1"/>
  <c r="H2131" i="1" s="1"/>
  <c r="I2120" i="1"/>
  <c r="L1480" i="1"/>
  <c r="D1480" i="1"/>
  <c r="M1480" i="1"/>
  <c r="F639" i="1"/>
  <c r="F1467" i="1"/>
  <c r="G1467" i="1" s="1"/>
  <c r="G1469" i="1"/>
  <c r="H1469" i="1" s="1"/>
  <c r="E1465" i="1"/>
  <c r="F1465" i="1" s="1"/>
  <c r="H1948" i="1"/>
  <c r="H1952" i="1" s="1"/>
  <c r="I1941" i="1"/>
  <c r="D1910" i="1"/>
  <c r="L1910" i="1"/>
  <c r="G639" i="1"/>
  <c r="F1910" i="1"/>
  <c r="M1910" i="1"/>
  <c r="G1899" i="1"/>
  <c r="H1899" i="1" s="1"/>
  <c r="F1720" i="1"/>
  <c r="D681" i="1"/>
  <c r="F1897" i="1"/>
  <c r="G1897" i="1" s="1"/>
  <c r="L681" i="1"/>
  <c r="E1895" i="1"/>
  <c r="F1895" i="1" s="1"/>
  <c r="M681" i="1"/>
  <c r="G670" i="1"/>
  <c r="H670" i="1" s="1"/>
  <c r="G1720" i="1"/>
  <c r="D871" i="1"/>
  <c r="F668" i="1"/>
  <c r="G668" i="1" s="1"/>
  <c r="D639" i="1"/>
  <c r="M639" i="1"/>
  <c r="E666" i="1"/>
  <c r="F666" i="1" s="1"/>
  <c r="E639" i="1"/>
  <c r="J639" i="1"/>
  <c r="N639" i="1"/>
  <c r="G628" i="1"/>
  <c r="H628" i="1" s="1"/>
  <c r="E624" i="1"/>
  <c r="F624" i="1" s="1"/>
  <c r="M871" i="1"/>
  <c r="E867" i="1"/>
  <c r="E871" i="1" s="1"/>
  <c r="H867" i="1"/>
  <c r="H871" i="1" s="1"/>
  <c r="I860" i="1"/>
  <c r="I864" i="1"/>
  <c r="J864" i="1" s="1"/>
  <c r="J867" i="1" s="1"/>
  <c r="J871" i="1" s="1"/>
  <c r="D1720" i="1"/>
  <c r="M1720" i="1"/>
  <c r="E856" i="1"/>
  <c r="F856" i="1" s="1"/>
  <c r="F867" i="1" s="1"/>
  <c r="L1720" i="1"/>
  <c r="E1720" i="1"/>
  <c r="K1713" i="1"/>
  <c r="J1716" i="1"/>
  <c r="J1720" i="1" s="1"/>
  <c r="G1709" i="1"/>
  <c r="H1709" i="1" s="1"/>
  <c r="H1716" i="1" s="1"/>
  <c r="E1705" i="1"/>
  <c r="F1705" i="1" s="1"/>
  <c r="E961" i="1"/>
  <c r="K954" i="1"/>
  <c r="J957" i="1"/>
  <c r="J961" i="1" s="1"/>
  <c r="H961" i="1"/>
  <c r="D961" i="1"/>
  <c r="E946" i="1"/>
  <c r="F946" i="1" s="1"/>
  <c r="F948" i="1"/>
  <c r="G948" i="1" s="1"/>
  <c r="L1260" i="1"/>
  <c r="K1266" i="1"/>
  <c r="F1282" i="1"/>
  <c r="G1282" i="1" s="1"/>
  <c r="E1280" i="1"/>
  <c r="F1280" i="1" s="1"/>
  <c r="L2674" i="1"/>
  <c r="K2685" i="1"/>
  <c r="K2691" i="1"/>
  <c r="K2680" i="1"/>
  <c r="H2055" i="1"/>
  <c r="G2066" i="1"/>
  <c r="G2061" i="1"/>
  <c r="D2073" i="1"/>
  <c r="E2073" i="1" s="1"/>
  <c r="E2075" i="1"/>
  <c r="F2075" i="1" s="1"/>
  <c r="F2077" i="1"/>
  <c r="G2077" i="1" s="1"/>
  <c r="G2086" i="1" s="1"/>
  <c r="G2090" i="1" s="1"/>
  <c r="D3018" i="1"/>
  <c r="G2993" i="1"/>
  <c r="G2998" i="1"/>
  <c r="H2987" i="1"/>
  <c r="G2960" i="1"/>
  <c r="G2955" i="1"/>
  <c r="H2949" i="1"/>
  <c r="G957" i="1" l="1"/>
  <c r="G961" i="1" s="1"/>
  <c r="H1720" i="1"/>
  <c r="I867" i="1"/>
  <c r="I871" i="1" s="1"/>
  <c r="E2086" i="1"/>
  <c r="E2090" i="1" s="1"/>
  <c r="F957" i="1"/>
  <c r="F961" i="1" s="1"/>
  <c r="F871" i="1"/>
  <c r="I1716" i="1"/>
  <c r="I1720" i="1" s="1"/>
  <c r="I957" i="1"/>
  <c r="I961" i="1" s="1"/>
  <c r="J2635" i="1"/>
  <c r="J2630" i="1"/>
  <c r="K2624" i="1"/>
  <c r="H1476" i="1"/>
  <c r="H1480" i="1" s="1"/>
  <c r="I1469" i="1"/>
  <c r="H1906" i="1"/>
  <c r="H1910" i="1" s="1"/>
  <c r="I1899" i="1"/>
  <c r="H677" i="1"/>
  <c r="H681" i="1" s="1"/>
  <c r="H635" i="1"/>
  <c r="H639" i="1" s="1"/>
  <c r="L1713" i="1"/>
  <c r="N1713" i="1" s="1"/>
  <c r="M1713" i="1"/>
  <c r="L954" i="1"/>
  <c r="M954" i="1"/>
  <c r="M957" i="1" s="1"/>
  <c r="M961" i="1" s="1"/>
  <c r="K957" i="1"/>
  <c r="K961" i="1" s="1"/>
  <c r="L1266" i="1"/>
  <c r="M1260" i="1"/>
  <c r="L2691" i="1"/>
  <c r="M2674" i="1"/>
  <c r="L2685" i="1"/>
  <c r="L2680" i="1"/>
  <c r="H2066" i="1"/>
  <c r="H2061" i="1"/>
  <c r="I2055" i="1"/>
  <c r="D2086" i="1"/>
  <c r="D2090" i="1" s="1"/>
  <c r="F2086" i="1"/>
  <c r="F2090" i="1" s="1"/>
  <c r="H2998" i="1"/>
  <c r="H2993" i="1"/>
  <c r="I2987" i="1"/>
  <c r="I2949" i="1"/>
  <c r="H2960" i="1"/>
  <c r="H2955" i="1"/>
  <c r="L2624" i="1" l="1"/>
  <c r="K2635" i="1"/>
  <c r="K2630" i="1"/>
  <c r="L957" i="1"/>
  <c r="L961" i="1" s="1"/>
  <c r="N954" i="1"/>
  <c r="N957" i="1" s="1"/>
  <c r="N961" i="1" s="1"/>
  <c r="N1260" i="1"/>
  <c r="N1266" i="1" s="1"/>
  <c r="M1266" i="1"/>
  <c r="M2691" i="1"/>
  <c r="M2685" i="1"/>
  <c r="M2680" i="1"/>
  <c r="N2674" i="1"/>
  <c r="I2061" i="1"/>
  <c r="J2055" i="1"/>
  <c r="I2066" i="1"/>
  <c r="I2998" i="1"/>
  <c r="I2993" i="1"/>
  <c r="J2987" i="1"/>
  <c r="J2949" i="1"/>
  <c r="I2960" i="1"/>
  <c r="I2955" i="1"/>
  <c r="L2630" i="1" l="1"/>
  <c r="M2624" i="1"/>
  <c r="L2635" i="1"/>
  <c r="N2685" i="1"/>
  <c r="N2680" i="1"/>
  <c r="N2691" i="1"/>
  <c r="J2061" i="1"/>
  <c r="K2055" i="1"/>
  <c r="J2066" i="1"/>
  <c r="J2998" i="1"/>
  <c r="J2993" i="1"/>
  <c r="K2987" i="1"/>
  <c r="J2960" i="1"/>
  <c r="J2955" i="1"/>
  <c r="K2949" i="1"/>
  <c r="N2624" i="1" l="1"/>
  <c r="M2635" i="1"/>
  <c r="M2630" i="1"/>
  <c r="K2061" i="1"/>
  <c r="K2066" i="1"/>
  <c r="L2055" i="1"/>
  <c r="K2998" i="1"/>
  <c r="L2987" i="1"/>
  <c r="K2993" i="1"/>
  <c r="K2960" i="1"/>
  <c r="K2955" i="1"/>
  <c r="L2949" i="1"/>
  <c r="N2635" i="1" l="1"/>
  <c r="N2630" i="1"/>
  <c r="L2066" i="1"/>
  <c r="L2061" i="1"/>
  <c r="M2055" i="1"/>
  <c r="L2998" i="1"/>
  <c r="L2993" i="1"/>
  <c r="M2987" i="1"/>
  <c r="M2949" i="1"/>
  <c r="L2960" i="1"/>
  <c r="L2955" i="1"/>
  <c r="M2066" i="1" l="1"/>
  <c r="M2061" i="1"/>
  <c r="N2055" i="1"/>
  <c r="M2998" i="1"/>
  <c r="M2993" i="1"/>
  <c r="N2987" i="1"/>
  <c r="N2949" i="1"/>
  <c r="M2960" i="1"/>
  <c r="M2955" i="1"/>
  <c r="N2061" i="1" l="1"/>
  <c r="N2066" i="1"/>
  <c r="N2998" i="1"/>
  <c r="N2993" i="1"/>
  <c r="N2960" i="1"/>
  <c r="N2955" i="1"/>
  <c r="A19" i="6" l="1"/>
  <c r="A20" i="6"/>
  <c r="A18" i="6"/>
  <c r="A17" i="6"/>
  <c r="E1357" i="1"/>
  <c r="F1357" i="1"/>
  <c r="G1357" i="1"/>
  <c r="H1357" i="1"/>
  <c r="I1357" i="1"/>
  <c r="J1357" i="1"/>
  <c r="K1357" i="1"/>
  <c r="L1357" i="1"/>
  <c r="M1357" i="1"/>
  <c r="N1357" i="1"/>
  <c r="E1358" i="1"/>
  <c r="F1358" i="1"/>
  <c r="G1358" i="1"/>
  <c r="H1358" i="1"/>
  <c r="I1358" i="1"/>
  <c r="J1358" i="1"/>
  <c r="K1358" i="1"/>
  <c r="L1358" i="1"/>
  <c r="M1358" i="1"/>
  <c r="N1358" i="1"/>
  <c r="D1358" i="1"/>
  <c r="D1357" i="1"/>
  <c r="E178" i="1"/>
  <c r="F178" i="1"/>
  <c r="G178" i="1"/>
  <c r="H178" i="1"/>
  <c r="I178" i="1"/>
  <c r="J178" i="1"/>
  <c r="K178" i="1"/>
  <c r="L178" i="1"/>
  <c r="M178" i="1"/>
  <c r="N178" i="1"/>
  <c r="E179" i="1"/>
  <c r="F179" i="1"/>
  <c r="G179" i="1"/>
  <c r="H179" i="1"/>
  <c r="I179" i="1"/>
  <c r="J179" i="1"/>
  <c r="K179" i="1"/>
  <c r="L179" i="1"/>
  <c r="M179" i="1"/>
  <c r="N179" i="1"/>
  <c r="D179" i="1"/>
  <c r="D178" i="1"/>
  <c r="D3032" i="1"/>
  <c r="D2908" i="1"/>
  <c r="E2860" i="1"/>
  <c r="F2860" i="1"/>
  <c r="G2860" i="1"/>
  <c r="H2860" i="1"/>
  <c r="I2860" i="1"/>
  <c r="J2860" i="1"/>
  <c r="K2860" i="1"/>
  <c r="L2860" i="1"/>
  <c r="M2860" i="1"/>
  <c r="N2860" i="1"/>
  <c r="D2860" i="1"/>
  <c r="E2811" i="1"/>
  <c r="F2811" i="1"/>
  <c r="G2811" i="1"/>
  <c r="H2811" i="1"/>
  <c r="I2811" i="1"/>
  <c r="J2811" i="1"/>
  <c r="K2811" i="1"/>
  <c r="L2811" i="1"/>
  <c r="M2811" i="1"/>
  <c r="N2811" i="1"/>
  <c r="D2811" i="1"/>
  <c r="D2762" i="1"/>
  <c r="D2582" i="1"/>
  <c r="E2533" i="1"/>
  <c r="F2533" i="1"/>
  <c r="G2533" i="1"/>
  <c r="H2533" i="1"/>
  <c r="I2533" i="1"/>
  <c r="J2533" i="1"/>
  <c r="K2533" i="1"/>
  <c r="L2533" i="1"/>
  <c r="M2533" i="1"/>
  <c r="N2533" i="1"/>
  <c r="D2533" i="1"/>
  <c r="E2485" i="1"/>
  <c r="F2485" i="1"/>
  <c r="G2485" i="1"/>
  <c r="H2485" i="1"/>
  <c r="I2485" i="1"/>
  <c r="J2485" i="1"/>
  <c r="K2485" i="1"/>
  <c r="L2485" i="1"/>
  <c r="M2485" i="1"/>
  <c r="N2485" i="1"/>
  <c r="D2485" i="1"/>
  <c r="E2437" i="1"/>
  <c r="F2437" i="1"/>
  <c r="G2437" i="1"/>
  <c r="H2437" i="1"/>
  <c r="I2437" i="1"/>
  <c r="J2437" i="1"/>
  <c r="K2437" i="1"/>
  <c r="L2437" i="1"/>
  <c r="M2437" i="1"/>
  <c r="N2437" i="1"/>
  <c r="D2437" i="1"/>
  <c r="E2388" i="1"/>
  <c r="F2388" i="1"/>
  <c r="G2388" i="1"/>
  <c r="H2388" i="1"/>
  <c r="I2388" i="1"/>
  <c r="J2388" i="1"/>
  <c r="K2388" i="1"/>
  <c r="L2388" i="1"/>
  <c r="M2388" i="1"/>
  <c r="N2388" i="1"/>
  <c r="D2388" i="1"/>
  <c r="E2339" i="1"/>
  <c r="F2339" i="1"/>
  <c r="G2339" i="1"/>
  <c r="H2339" i="1"/>
  <c r="I2339" i="1"/>
  <c r="J2339" i="1"/>
  <c r="K2339" i="1"/>
  <c r="L2339" i="1"/>
  <c r="M2339" i="1"/>
  <c r="N2339" i="1"/>
  <c r="D2339" i="1"/>
  <c r="E2290" i="1"/>
  <c r="F2290" i="1"/>
  <c r="G2290" i="1"/>
  <c r="H2290" i="1"/>
  <c r="I2290" i="1"/>
  <c r="J2290" i="1"/>
  <c r="K2290" i="1"/>
  <c r="L2290" i="1"/>
  <c r="M2290" i="1"/>
  <c r="N2290" i="1"/>
  <c r="D2290" i="1"/>
  <c r="D2241" i="1"/>
  <c r="E2193" i="1"/>
  <c r="F2193" i="1"/>
  <c r="G2193" i="1"/>
  <c r="H2193" i="1"/>
  <c r="I2193" i="1"/>
  <c r="J2193" i="1"/>
  <c r="K2193" i="1"/>
  <c r="L2193" i="1"/>
  <c r="M2193" i="1"/>
  <c r="N2193" i="1"/>
  <c r="D2193" i="1"/>
  <c r="D2145" i="1"/>
  <c r="D2014" i="1"/>
  <c r="E1966" i="1"/>
  <c r="F1966" i="1"/>
  <c r="G1966" i="1"/>
  <c r="H1966" i="1"/>
  <c r="I1966" i="1"/>
  <c r="J1966" i="1"/>
  <c r="K1966" i="1"/>
  <c r="L1966" i="1"/>
  <c r="M1966" i="1"/>
  <c r="N1966" i="1"/>
  <c r="D1966" i="1"/>
  <c r="E1834" i="1"/>
  <c r="F1834" i="1"/>
  <c r="G1834" i="1"/>
  <c r="H1834" i="1"/>
  <c r="I1834" i="1"/>
  <c r="J1834" i="1"/>
  <c r="K1834" i="1"/>
  <c r="L1834" i="1"/>
  <c r="M1834" i="1"/>
  <c r="N1834" i="1"/>
  <c r="D1834" i="1"/>
  <c r="E1785" i="1"/>
  <c r="F1785" i="1"/>
  <c r="G1785" i="1"/>
  <c r="H1785" i="1"/>
  <c r="I1785" i="1"/>
  <c r="J1785" i="1"/>
  <c r="K1785" i="1"/>
  <c r="L1785" i="1"/>
  <c r="M1785" i="1"/>
  <c r="N1785" i="1"/>
  <c r="D1785" i="1"/>
  <c r="D1735" i="1"/>
  <c r="E1643" i="1"/>
  <c r="F1643" i="1"/>
  <c r="G1643" i="1"/>
  <c r="H1643" i="1"/>
  <c r="I1643" i="1"/>
  <c r="J1643" i="1"/>
  <c r="K1643" i="1"/>
  <c r="L1643" i="1"/>
  <c r="M1643" i="1"/>
  <c r="N1643" i="1"/>
  <c r="D1643" i="1"/>
  <c r="D1593" i="1"/>
  <c r="E1543" i="1"/>
  <c r="F1543" i="1"/>
  <c r="G1543" i="1"/>
  <c r="H1543" i="1"/>
  <c r="I1543" i="1"/>
  <c r="J1543" i="1"/>
  <c r="K1543" i="1"/>
  <c r="L1543" i="1"/>
  <c r="M1543" i="1"/>
  <c r="N1543" i="1"/>
  <c r="D1543" i="1"/>
  <c r="E1494" i="1"/>
  <c r="F1494" i="1"/>
  <c r="G1494" i="1"/>
  <c r="H1494" i="1"/>
  <c r="I1494" i="1"/>
  <c r="J1494" i="1"/>
  <c r="K1494" i="1"/>
  <c r="L1494" i="1"/>
  <c r="M1494" i="1"/>
  <c r="N1494" i="1"/>
  <c r="D1494" i="1"/>
  <c r="D1403" i="1"/>
  <c r="D1309" i="1"/>
  <c r="D1219" i="1"/>
  <c r="D1171" i="1"/>
  <c r="E1122" i="1"/>
  <c r="F1122" i="1"/>
  <c r="G1122" i="1"/>
  <c r="H1122" i="1"/>
  <c r="I1122" i="1"/>
  <c r="J1122" i="1"/>
  <c r="K1122" i="1"/>
  <c r="L1122" i="1"/>
  <c r="M1122" i="1"/>
  <c r="N1122" i="1"/>
  <c r="D1122" i="1"/>
  <c r="D1073" i="1"/>
  <c r="D1024" i="1"/>
  <c r="D975" i="1"/>
  <c r="E885" i="1"/>
  <c r="F885" i="1"/>
  <c r="G885" i="1"/>
  <c r="H885" i="1"/>
  <c r="I885" i="1"/>
  <c r="J885" i="1"/>
  <c r="K885" i="1"/>
  <c r="L885" i="1"/>
  <c r="M885" i="1"/>
  <c r="N885" i="1"/>
  <c r="D885" i="1"/>
  <c r="E795" i="1"/>
  <c r="F795" i="1"/>
  <c r="G795" i="1"/>
  <c r="H795" i="1"/>
  <c r="I795" i="1"/>
  <c r="J795" i="1"/>
  <c r="K795" i="1"/>
  <c r="L795" i="1"/>
  <c r="M795" i="1"/>
  <c r="N795" i="1"/>
  <c r="D795" i="1"/>
  <c r="E746" i="1"/>
  <c r="F746" i="1"/>
  <c r="G746" i="1"/>
  <c r="H746" i="1"/>
  <c r="I746" i="1"/>
  <c r="J746" i="1"/>
  <c r="K746" i="1"/>
  <c r="L746" i="1"/>
  <c r="M746" i="1"/>
  <c r="N746" i="1"/>
  <c r="D746" i="1"/>
  <c r="D696" i="1"/>
  <c r="E562" i="1"/>
  <c r="F562" i="1"/>
  <c r="G562" i="1"/>
  <c r="H562" i="1"/>
  <c r="I562" i="1"/>
  <c r="J562" i="1"/>
  <c r="K562" i="1"/>
  <c r="L562" i="1"/>
  <c r="M562" i="1"/>
  <c r="N562" i="1"/>
  <c r="E563" i="1"/>
  <c r="F563" i="1"/>
  <c r="G563" i="1"/>
  <c r="H563" i="1"/>
  <c r="I563" i="1"/>
  <c r="J563" i="1"/>
  <c r="K563" i="1"/>
  <c r="L563" i="1"/>
  <c r="M563" i="1"/>
  <c r="N563" i="1"/>
  <c r="D563" i="1"/>
  <c r="D562" i="1"/>
  <c r="E514" i="1"/>
  <c r="F514" i="1"/>
  <c r="G514" i="1"/>
  <c r="H514" i="1"/>
  <c r="I514" i="1"/>
  <c r="J514" i="1"/>
  <c r="K514" i="1"/>
  <c r="L514" i="1"/>
  <c r="M514" i="1"/>
  <c r="N514" i="1"/>
  <c r="E515" i="1"/>
  <c r="F515" i="1"/>
  <c r="G515" i="1"/>
  <c r="H515" i="1"/>
  <c r="I515" i="1"/>
  <c r="J515" i="1"/>
  <c r="K515" i="1"/>
  <c r="L515" i="1"/>
  <c r="M515" i="1"/>
  <c r="N515" i="1"/>
  <c r="D515" i="1"/>
  <c r="D514" i="1"/>
  <c r="E466" i="1"/>
  <c r="F466" i="1"/>
  <c r="G466" i="1"/>
  <c r="H466" i="1"/>
  <c r="I466" i="1"/>
  <c r="J466" i="1"/>
  <c r="K466" i="1"/>
  <c r="L466" i="1"/>
  <c r="M466" i="1"/>
  <c r="N466" i="1"/>
  <c r="E467" i="1"/>
  <c r="F467" i="1"/>
  <c r="G467" i="1"/>
  <c r="H467" i="1"/>
  <c r="I467" i="1"/>
  <c r="J467" i="1"/>
  <c r="K467" i="1"/>
  <c r="L467" i="1"/>
  <c r="M467" i="1"/>
  <c r="N467" i="1"/>
  <c r="D467" i="1"/>
  <c r="D466" i="1"/>
  <c r="E417" i="1"/>
  <c r="F417" i="1"/>
  <c r="G417" i="1"/>
  <c r="H417" i="1"/>
  <c r="I417" i="1"/>
  <c r="J417" i="1"/>
  <c r="K417" i="1"/>
  <c r="L417" i="1"/>
  <c r="M417" i="1"/>
  <c r="N417" i="1"/>
  <c r="E418" i="1"/>
  <c r="F418" i="1"/>
  <c r="G418" i="1"/>
  <c r="H418" i="1"/>
  <c r="I418" i="1"/>
  <c r="J418" i="1"/>
  <c r="K418" i="1"/>
  <c r="L418" i="1"/>
  <c r="M418" i="1"/>
  <c r="N418" i="1"/>
  <c r="D418" i="1"/>
  <c r="D417" i="1"/>
  <c r="E368" i="1"/>
  <c r="F368" i="1"/>
  <c r="G368" i="1"/>
  <c r="H368" i="1"/>
  <c r="I368" i="1"/>
  <c r="J368" i="1"/>
  <c r="K368" i="1"/>
  <c r="L368" i="1"/>
  <c r="M368" i="1"/>
  <c r="N368" i="1"/>
  <c r="E369" i="1"/>
  <c r="F369" i="1"/>
  <c r="G369" i="1"/>
  <c r="H369" i="1"/>
  <c r="I369" i="1"/>
  <c r="J369" i="1"/>
  <c r="K369" i="1"/>
  <c r="L369" i="1"/>
  <c r="M369" i="1"/>
  <c r="N369" i="1"/>
  <c r="D369" i="1"/>
  <c r="D368" i="1"/>
  <c r="E319" i="1"/>
  <c r="F319" i="1"/>
  <c r="G319" i="1"/>
  <c r="H319" i="1"/>
  <c r="I319" i="1"/>
  <c r="J319" i="1"/>
  <c r="K319" i="1"/>
  <c r="L319" i="1"/>
  <c r="M319" i="1"/>
  <c r="N319" i="1"/>
  <c r="E320" i="1"/>
  <c r="F320" i="1"/>
  <c r="G320" i="1"/>
  <c r="H320" i="1"/>
  <c r="I320" i="1"/>
  <c r="J320" i="1"/>
  <c r="K320" i="1"/>
  <c r="L320" i="1"/>
  <c r="M320" i="1"/>
  <c r="N320" i="1"/>
  <c r="D320" i="1"/>
  <c r="D319" i="1"/>
  <c r="E270" i="1"/>
  <c r="F270" i="1"/>
  <c r="G270" i="1"/>
  <c r="H270" i="1"/>
  <c r="I270" i="1"/>
  <c r="J270" i="1"/>
  <c r="K270" i="1"/>
  <c r="L270" i="1"/>
  <c r="M270" i="1"/>
  <c r="N270" i="1"/>
  <c r="E271" i="1"/>
  <c r="F271" i="1"/>
  <c r="G271" i="1"/>
  <c r="H271" i="1"/>
  <c r="I271" i="1"/>
  <c r="J271" i="1"/>
  <c r="K271" i="1"/>
  <c r="L271" i="1"/>
  <c r="M271" i="1"/>
  <c r="N271" i="1"/>
  <c r="D271" i="1"/>
  <c r="D270" i="1"/>
  <c r="E221" i="1"/>
  <c r="F221" i="1"/>
  <c r="G221" i="1"/>
  <c r="H221" i="1"/>
  <c r="I221" i="1"/>
  <c r="J221" i="1"/>
  <c r="K221" i="1"/>
  <c r="L221" i="1"/>
  <c r="M221" i="1"/>
  <c r="N221" i="1"/>
  <c r="E222" i="1"/>
  <c r="F222" i="1"/>
  <c r="G222" i="1"/>
  <c r="H222" i="1"/>
  <c r="I222" i="1"/>
  <c r="J222" i="1"/>
  <c r="K222" i="1"/>
  <c r="L222" i="1"/>
  <c r="M222" i="1"/>
  <c r="N222" i="1"/>
  <c r="D222" i="1"/>
  <c r="D221" i="1"/>
  <c r="E128" i="1"/>
  <c r="F128" i="1"/>
  <c r="G128" i="1"/>
  <c r="H128" i="1"/>
  <c r="I128" i="1"/>
  <c r="J128" i="1"/>
  <c r="K128" i="1"/>
  <c r="L128" i="1"/>
  <c r="M128" i="1"/>
  <c r="N128" i="1"/>
  <c r="E129" i="1"/>
  <c r="F129" i="1"/>
  <c r="G129" i="1"/>
  <c r="H129" i="1"/>
  <c r="I129" i="1"/>
  <c r="J129" i="1"/>
  <c r="K129" i="1"/>
  <c r="L129" i="1"/>
  <c r="M129" i="1"/>
  <c r="N129" i="1"/>
  <c r="D129" i="1"/>
  <c r="D128" i="1"/>
  <c r="E79" i="1"/>
  <c r="F79" i="1"/>
  <c r="G79" i="1"/>
  <c r="H79" i="1"/>
  <c r="I79" i="1"/>
  <c r="J79" i="1"/>
  <c r="K79" i="1"/>
  <c r="L79" i="1"/>
  <c r="M79" i="1"/>
  <c r="N79" i="1"/>
  <c r="E80" i="1"/>
  <c r="F80" i="1"/>
  <c r="G80" i="1"/>
  <c r="H80" i="1"/>
  <c r="I80" i="1"/>
  <c r="J80" i="1"/>
  <c r="K80" i="1"/>
  <c r="L80" i="1"/>
  <c r="M80" i="1"/>
  <c r="N80" i="1"/>
  <c r="D80" i="1"/>
  <c r="D79" i="1"/>
  <c r="E2340" i="1" l="1"/>
  <c r="E2438" i="1"/>
  <c r="E2583" i="1"/>
  <c r="E1310" i="1"/>
  <c r="E419" i="1"/>
  <c r="E1123" i="1"/>
  <c r="H2242" i="1"/>
  <c r="M2340" i="1"/>
  <c r="E2763" i="1"/>
  <c r="E2861" i="1"/>
  <c r="E3033" i="1"/>
  <c r="E1359" i="1"/>
  <c r="E1644" i="1"/>
  <c r="E1967" i="1"/>
  <c r="K2146" i="1"/>
  <c r="E2242" i="1"/>
  <c r="I2340" i="1"/>
  <c r="K1967" i="1"/>
  <c r="G1967" i="1"/>
  <c r="G2146" i="1"/>
  <c r="H1359" i="1"/>
  <c r="E180" i="1"/>
  <c r="E272" i="1"/>
  <c r="K370" i="1"/>
  <c r="E697" i="1"/>
  <c r="E976" i="1"/>
  <c r="D697" i="1"/>
  <c r="I1495" i="1"/>
  <c r="E1495" i="1"/>
  <c r="M2861" i="1"/>
  <c r="I2861" i="1"/>
  <c r="K2909" i="1"/>
  <c r="M180" i="1"/>
  <c r="D1495" i="1"/>
  <c r="L321" i="1"/>
  <c r="M419" i="1"/>
  <c r="E747" i="1"/>
  <c r="K747" i="1"/>
  <c r="G747" i="1"/>
  <c r="M796" i="1"/>
  <c r="I796" i="1"/>
  <c r="E796" i="1"/>
  <c r="K886" i="1"/>
  <c r="G886" i="1"/>
  <c r="L1025" i="1"/>
  <c r="H1025" i="1"/>
  <c r="M1123" i="1"/>
  <c r="I1123" i="1"/>
  <c r="H1544" i="1"/>
  <c r="M1644" i="1"/>
  <c r="I1644" i="1"/>
  <c r="F697" i="1"/>
  <c r="K1025" i="1"/>
  <c r="G1025" i="1"/>
  <c r="M1074" i="1"/>
  <c r="L81" i="1"/>
  <c r="H81" i="1"/>
  <c r="L223" i="1"/>
  <c r="H223" i="1"/>
  <c r="H321" i="1"/>
  <c r="I419" i="1"/>
  <c r="K1172" i="1"/>
  <c r="G1172" i="1"/>
  <c r="L1310" i="1"/>
  <c r="H1310" i="1"/>
  <c r="K1736" i="1"/>
  <c r="G1736" i="1"/>
  <c r="K1835" i="1"/>
  <c r="G1835" i="1"/>
  <c r="K81" i="1"/>
  <c r="G81" i="1"/>
  <c r="K223" i="1"/>
  <c r="G223" i="1"/>
  <c r="I1074" i="1"/>
  <c r="E1074" i="1"/>
  <c r="J1359" i="1"/>
  <c r="F1359" i="1"/>
  <c r="D419" i="1"/>
  <c r="G2389" i="1"/>
  <c r="H2486" i="1"/>
  <c r="M2583" i="1"/>
  <c r="I2583" i="1"/>
  <c r="L2763" i="1"/>
  <c r="H2763" i="1"/>
  <c r="G2909" i="1"/>
  <c r="I180" i="1"/>
  <c r="K272" i="1"/>
  <c r="G272" i="1"/>
  <c r="G370" i="1"/>
  <c r="L468" i="1"/>
  <c r="H468" i="1"/>
  <c r="L564" i="1"/>
  <c r="H564" i="1"/>
  <c r="H1835" i="1"/>
  <c r="L1359" i="1"/>
  <c r="G130" i="1"/>
  <c r="L370" i="1"/>
  <c r="G419" i="1"/>
  <c r="H516" i="1"/>
  <c r="J697" i="1"/>
  <c r="M747" i="1"/>
  <c r="G796" i="1"/>
  <c r="L976" i="1"/>
  <c r="H976" i="1"/>
  <c r="L1074" i="1"/>
  <c r="H1074" i="1"/>
  <c r="M1172" i="1"/>
  <c r="I1172" i="1"/>
  <c r="E1172" i="1"/>
  <c r="K1220" i="1"/>
  <c r="G1220" i="1"/>
  <c r="H1404" i="1"/>
  <c r="L1495" i="1"/>
  <c r="H1495" i="1"/>
  <c r="L1594" i="1"/>
  <c r="H1594" i="1"/>
  <c r="K1644" i="1"/>
  <c r="G1644" i="1"/>
  <c r="K516" i="1"/>
  <c r="G516" i="1"/>
  <c r="I697" i="1"/>
  <c r="L747" i="1"/>
  <c r="H747" i="1"/>
  <c r="L886" i="1"/>
  <c r="H886" i="1"/>
  <c r="K976" i="1"/>
  <c r="G976" i="1"/>
  <c r="L1172" i="1"/>
  <c r="H1172" i="1"/>
  <c r="M1310" i="1"/>
  <c r="I1310" i="1"/>
  <c r="K1404" i="1"/>
  <c r="G1404" i="1"/>
  <c r="K1594" i="1"/>
  <c r="G1594" i="1"/>
  <c r="L1736" i="1"/>
  <c r="H1736" i="1"/>
  <c r="D1786" i="1"/>
  <c r="H1967" i="1"/>
  <c r="H2146" i="1"/>
  <c r="D2194" i="1"/>
  <c r="M2242" i="1"/>
  <c r="I2242" i="1"/>
  <c r="K2291" i="1"/>
  <c r="G2291" i="1"/>
  <c r="L2389" i="1"/>
  <c r="H2389" i="1"/>
  <c r="K2438" i="1"/>
  <c r="G2438" i="1"/>
  <c r="K2534" i="1"/>
  <c r="G2534" i="1"/>
  <c r="M2763" i="1"/>
  <c r="I2763" i="1"/>
  <c r="K2812" i="1"/>
  <c r="G2812" i="1"/>
  <c r="L2909" i="1"/>
  <c r="H2909" i="1"/>
  <c r="K3033" i="1"/>
  <c r="G3033" i="1"/>
  <c r="K1359" i="1"/>
  <c r="G1359" i="1"/>
  <c r="D81" i="1"/>
  <c r="L130" i="1"/>
  <c r="H130" i="1"/>
  <c r="D223" i="1"/>
  <c r="M272" i="1"/>
  <c r="I272" i="1"/>
  <c r="K321" i="1"/>
  <c r="G321" i="1"/>
  <c r="L419" i="1"/>
  <c r="H419" i="1"/>
  <c r="K468" i="1"/>
  <c r="G468" i="1"/>
  <c r="K564" i="1"/>
  <c r="G564" i="1"/>
  <c r="L796" i="1"/>
  <c r="H796" i="1"/>
  <c r="M976" i="1"/>
  <c r="I976" i="1"/>
  <c r="L1123" i="1"/>
  <c r="H1123" i="1"/>
  <c r="L1220" i="1"/>
  <c r="H1220" i="1"/>
  <c r="K1310" i="1"/>
  <c r="G1310" i="1"/>
  <c r="M1495" i="1"/>
  <c r="K1544" i="1"/>
  <c r="G1544" i="1"/>
  <c r="L1644" i="1"/>
  <c r="H1644" i="1"/>
  <c r="L1786" i="1"/>
  <c r="H1786" i="1"/>
  <c r="L2015" i="1"/>
  <c r="H2015" i="1"/>
  <c r="D2146" i="1"/>
  <c r="L2194" i="1"/>
  <c r="H2194" i="1"/>
  <c r="K2242" i="1"/>
  <c r="G2242" i="1"/>
  <c r="L2340" i="1"/>
  <c r="H2340" i="1"/>
  <c r="M2438" i="1"/>
  <c r="I2438" i="1"/>
  <c r="K2486" i="1"/>
  <c r="G2486" i="1"/>
  <c r="L2583" i="1"/>
  <c r="H2583" i="1"/>
  <c r="K2763" i="1"/>
  <c r="G2763" i="1"/>
  <c r="H2861" i="1"/>
  <c r="M3033" i="1"/>
  <c r="I3033" i="1"/>
  <c r="L180" i="1"/>
  <c r="H180" i="1"/>
  <c r="M1359" i="1"/>
  <c r="I1359" i="1"/>
  <c r="K130" i="1"/>
  <c r="L272" i="1"/>
  <c r="H272" i="1"/>
  <c r="H370" i="1"/>
  <c r="K419" i="1"/>
  <c r="L516" i="1"/>
  <c r="N697" i="1"/>
  <c r="I747" i="1"/>
  <c r="K796" i="1"/>
  <c r="K1786" i="1"/>
  <c r="G1786" i="1"/>
  <c r="I1967" i="1"/>
  <c r="K2015" i="1"/>
  <c r="G2015" i="1"/>
  <c r="K2194" i="1"/>
  <c r="G2194" i="1"/>
  <c r="L2291" i="1"/>
  <c r="H2291" i="1"/>
  <c r="K2340" i="1"/>
  <c r="G2340" i="1"/>
  <c r="M2389" i="1"/>
  <c r="I2389" i="1"/>
  <c r="L2438" i="1"/>
  <c r="H2438" i="1"/>
  <c r="L2534" i="1"/>
  <c r="H2534" i="1"/>
  <c r="K2583" i="1"/>
  <c r="H2812" i="1"/>
  <c r="L3033" i="1"/>
  <c r="H3033" i="1"/>
  <c r="K180" i="1"/>
  <c r="G180" i="1"/>
  <c r="M1736" i="1"/>
  <c r="I1736" i="1"/>
  <c r="E1736" i="1"/>
  <c r="K697" i="1"/>
  <c r="G697" i="1"/>
  <c r="N886" i="1"/>
  <c r="J886" i="1"/>
  <c r="F886" i="1"/>
  <c r="N81" i="1"/>
  <c r="J81" i="1"/>
  <c r="F81" i="1"/>
  <c r="N2015" i="1"/>
  <c r="J2015" i="1"/>
  <c r="F2015" i="1"/>
  <c r="L2242" i="1"/>
  <c r="M2909" i="1"/>
  <c r="I2909" i="1"/>
  <c r="E2909" i="1"/>
  <c r="M468" i="1"/>
  <c r="I468" i="1"/>
  <c r="E468" i="1"/>
  <c r="I1025" i="1"/>
  <c r="E1025" i="1"/>
  <c r="K1123" i="1"/>
  <c r="G1123" i="1"/>
  <c r="J2146" i="1"/>
  <c r="F2146" i="1"/>
  <c r="N2583" i="1"/>
  <c r="J2583" i="1"/>
  <c r="F2583" i="1"/>
  <c r="F419" i="1"/>
  <c r="N747" i="1"/>
  <c r="J747" i="1"/>
  <c r="F747" i="1"/>
  <c r="M886" i="1"/>
  <c r="I886" i="1"/>
  <c r="E886" i="1"/>
  <c r="N1074" i="1"/>
  <c r="J1074" i="1"/>
  <c r="F1074" i="1"/>
  <c r="M1220" i="1"/>
  <c r="I1220" i="1"/>
  <c r="E1220" i="1"/>
  <c r="D1310" i="1"/>
  <c r="M1544" i="1"/>
  <c r="I1544" i="1"/>
  <c r="E1544" i="1"/>
  <c r="M2812" i="1"/>
  <c r="I2812" i="1"/>
  <c r="E2812" i="1"/>
  <c r="D2909" i="1"/>
  <c r="J419" i="1"/>
  <c r="M223" i="1"/>
  <c r="I223" i="1"/>
  <c r="E223" i="1"/>
  <c r="N321" i="1"/>
  <c r="J321" i="1"/>
  <c r="F321" i="1"/>
  <c r="M516" i="1"/>
  <c r="I516" i="1"/>
  <c r="E516" i="1"/>
  <c r="N1495" i="1"/>
  <c r="J1495" i="1"/>
  <c r="F1495" i="1"/>
  <c r="M2291" i="1"/>
  <c r="I2291" i="1"/>
  <c r="E2291" i="1"/>
  <c r="G2583" i="1"/>
  <c r="N2763" i="1"/>
  <c r="J2763" i="1"/>
  <c r="F2763" i="1"/>
  <c r="L2861" i="1"/>
  <c r="M81" i="1"/>
  <c r="I81" i="1"/>
  <c r="E81" i="1"/>
  <c r="N370" i="1"/>
  <c r="J370" i="1"/>
  <c r="F370" i="1"/>
  <c r="M564" i="1"/>
  <c r="I564" i="1"/>
  <c r="E564" i="1"/>
  <c r="N976" i="1"/>
  <c r="J976" i="1"/>
  <c r="F976" i="1"/>
  <c r="N1123" i="1"/>
  <c r="J1123" i="1"/>
  <c r="F1123" i="1"/>
  <c r="N1310" i="1"/>
  <c r="J1310" i="1"/>
  <c r="F1310" i="1"/>
  <c r="N1404" i="1"/>
  <c r="J1404" i="1"/>
  <c r="F1404" i="1"/>
  <c r="M1835" i="1"/>
  <c r="I1835" i="1"/>
  <c r="E1835" i="1"/>
  <c r="I2015" i="1"/>
  <c r="E2015" i="1"/>
  <c r="N2389" i="1"/>
  <c r="J2389" i="1"/>
  <c r="F2389" i="1"/>
  <c r="J2486" i="1"/>
  <c r="F2486" i="1"/>
  <c r="K2861" i="1"/>
  <c r="G2861" i="1"/>
  <c r="N180" i="1"/>
  <c r="J180" i="1"/>
  <c r="F180" i="1"/>
  <c r="N130" i="1"/>
  <c r="J130" i="1"/>
  <c r="F130" i="1"/>
  <c r="N223" i="1"/>
  <c r="J223" i="1"/>
  <c r="F223" i="1"/>
  <c r="N272" i="1"/>
  <c r="J272" i="1"/>
  <c r="F272" i="1"/>
  <c r="M370" i="1"/>
  <c r="I370" i="1"/>
  <c r="E370" i="1"/>
  <c r="N516" i="1"/>
  <c r="J516" i="1"/>
  <c r="F516" i="1"/>
  <c r="M697" i="1"/>
  <c r="K1074" i="1"/>
  <c r="G1074" i="1"/>
  <c r="N1172" i="1"/>
  <c r="J1172" i="1"/>
  <c r="F1172" i="1"/>
  <c r="J1544" i="1"/>
  <c r="F1544" i="1"/>
  <c r="N1736" i="1"/>
  <c r="J1736" i="1"/>
  <c r="F1736" i="1"/>
  <c r="L1835" i="1"/>
  <c r="I2194" i="1"/>
  <c r="E2194" i="1"/>
  <c r="N2291" i="1"/>
  <c r="J2291" i="1"/>
  <c r="F2291" i="1"/>
  <c r="I2486" i="1"/>
  <c r="E2486" i="1"/>
  <c r="J2812" i="1"/>
  <c r="J2909" i="1"/>
  <c r="F2909" i="1"/>
  <c r="M130" i="1"/>
  <c r="E130" i="1"/>
  <c r="M321" i="1"/>
  <c r="I321" i="1"/>
  <c r="E321" i="1"/>
  <c r="N468" i="1"/>
  <c r="J468" i="1"/>
  <c r="N1220" i="1"/>
  <c r="J1220" i="1"/>
  <c r="F1220" i="1"/>
  <c r="L1404" i="1"/>
  <c r="K1495" i="1"/>
  <c r="G1495" i="1"/>
  <c r="M1594" i="1"/>
  <c r="I1594" i="1"/>
  <c r="E1594" i="1"/>
  <c r="I1786" i="1"/>
  <c r="E1786" i="1"/>
  <c r="J1835" i="1"/>
  <c r="F1835" i="1"/>
  <c r="M1967" i="1"/>
  <c r="L2146" i="1"/>
  <c r="J2194" i="1"/>
  <c r="F2194" i="1"/>
  <c r="N2340" i="1"/>
  <c r="J2340" i="1"/>
  <c r="F2340" i="1"/>
  <c r="K2389" i="1"/>
  <c r="N2438" i="1"/>
  <c r="J2438" i="1"/>
  <c r="F2438" i="1"/>
  <c r="M2534" i="1"/>
  <c r="I2534" i="1"/>
  <c r="E2534" i="1"/>
  <c r="N3033" i="1"/>
  <c r="J3033" i="1"/>
  <c r="F3033" i="1"/>
  <c r="D564" i="1"/>
  <c r="D747" i="1"/>
  <c r="D976" i="1"/>
  <c r="D1172" i="1"/>
  <c r="D2340" i="1"/>
  <c r="I130" i="1"/>
  <c r="F468" i="1"/>
  <c r="N564" i="1"/>
  <c r="J564" i="1"/>
  <c r="F564" i="1"/>
  <c r="L697" i="1"/>
  <c r="H697" i="1"/>
  <c r="N796" i="1"/>
  <c r="J796" i="1"/>
  <c r="F796" i="1"/>
  <c r="J1025" i="1"/>
  <c r="F1025" i="1"/>
  <c r="I1404" i="1"/>
  <c r="E1404" i="1"/>
  <c r="L1544" i="1"/>
  <c r="J1594" i="1"/>
  <c r="F1594" i="1"/>
  <c r="N1644" i="1"/>
  <c r="J1644" i="1"/>
  <c r="F1644" i="1"/>
  <c r="N1786" i="1"/>
  <c r="J1786" i="1"/>
  <c r="F1786" i="1"/>
  <c r="J1967" i="1"/>
  <c r="F1967" i="1"/>
  <c r="M2146" i="1"/>
  <c r="I2146" i="1"/>
  <c r="E2146" i="1"/>
  <c r="J2242" i="1"/>
  <c r="F2242" i="1"/>
  <c r="N2534" i="1"/>
  <c r="J2534" i="1"/>
  <c r="F2534" i="1"/>
  <c r="L2812" i="1"/>
  <c r="J2861" i="1"/>
  <c r="F2861" i="1"/>
  <c r="N1359" i="1"/>
  <c r="N419" i="1"/>
  <c r="N2909" i="1"/>
  <c r="N2861" i="1"/>
  <c r="N2812" i="1"/>
  <c r="F2812" i="1"/>
  <c r="D2583" i="1"/>
  <c r="N2486" i="1"/>
  <c r="L2486" i="1"/>
  <c r="M2486" i="1"/>
  <c r="E2389" i="1"/>
  <c r="N2242" i="1"/>
  <c r="N2194" i="1"/>
  <c r="M2194" i="1"/>
  <c r="N2146" i="1"/>
  <c r="M2015" i="1"/>
  <c r="N1967" i="1"/>
  <c r="L1967" i="1"/>
  <c r="N1835" i="1"/>
  <c r="M1786" i="1"/>
  <c r="N1594" i="1"/>
  <c r="N1544" i="1"/>
  <c r="M1404" i="1"/>
  <c r="N1025" i="1"/>
  <c r="M1025" i="1"/>
  <c r="D3033" i="1"/>
  <c r="D2861" i="1"/>
  <c r="D2812" i="1"/>
  <c r="D2763" i="1"/>
  <c r="D2534" i="1"/>
  <c r="D2486" i="1"/>
  <c r="D2438" i="1"/>
  <c r="D2389" i="1"/>
  <c r="D2291" i="1"/>
  <c r="D2242" i="1"/>
  <c r="D2015" i="1"/>
  <c r="D1967" i="1"/>
  <c r="D1835" i="1"/>
  <c r="D1736" i="1"/>
  <c r="D1644" i="1"/>
  <c r="D1594" i="1"/>
  <c r="D1544" i="1"/>
  <c r="D1404" i="1"/>
  <c r="D1220" i="1"/>
  <c r="D1123" i="1"/>
  <c r="D1074" i="1"/>
  <c r="D1025" i="1"/>
  <c r="D886" i="1"/>
  <c r="D796" i="1"/>
  <c r="D516" i="1"/>
  <c r="D468" i="1"/>
  <c r="D272" i="1"/>
  <c r="D370" i="1"/>
  <c r="D321" i="1"/>
  <c r="D130" i="1"/>
  <c r="H2682" i="1" l="1"/>
  <c r="E2682" i="1"/>
  <c r="G2682" i="1"/>
  <c r="I2682" i="1"/>
  <c r="J2682" i="1"/>
  <c r="F2682" i="1"/>
  <c r="G2681" i="1"/>
  <c r="J2681" i="1"/>
  <c r="F2681" i="1"/>
  <c r="H2681" i="1"/>
  <c r="I2681" i="1"/>
  <c r="E2681" i="1"/>
  <c r="M9" i="6"/>
  <c r="L9" i="6"/>
  <c r="F2683" i="1" l="1"/>
  <c r="F2707" i="1" s="1"/>
  <c r="I2683" i="1"/>
  <c r="I2707" i="1" s="1"/>
  <c r="H2958" i="1"/>
  <c r="H2980" i="1" s="1"/>
  <c r="G2683" i="1"/>
  <c r="G2707" i="1" s="1"/>
  <c r="J2683" i="1"/>
  <c r="J2707" i="1" s="1"/>
  <c r="H2683" i="1"/>
  <c r="H2707" i="1" s="1"/>
  <c r="D2683" i="1"/>
  <c r="D2707" i="1" s="1"/>
  <c r="I2958" i="1"/>
  <c r="I2980" i="1" s="1"/>
  <c r="J2958" i="1"/>
  <c r="J2980" i="1" s="1"/>
  <c r="E2683" i="1"/>
  <c r="E2707" i="1" s="1"/>
  <c r="F2958" i="1"/>
  <c r="F2980" i="1" s="1"/>
  <c r="D2958" i="1"/>
  <c r="D2980" i="1" s="1"/>
  <c r="M2958" i="1"/>
  <c r="M2980" i="1" s="1"/>
  <c r="N2958" i="1"/>
  <c r="N2980" i="1" s="1"/>
  <c r="G2958" i="1"/>
  <c r="G2980" i="1" s="1"/>
  <c r="E2958" i="1"/>
  <c r="E2980" i="1" s="1"/>
  <c r="K2958" i="1"/>
  <c r="K2980" i="1" s="1"/>
  <c r="L2958" i="1"/>
  <c r="L2980" i="1" s="1"/>
  <c r="L20" i="6"/>
  <c r="G3063" i="1"/>
  <c r="G3067" i="1" s="1"/>
  <c r="F3063" i="1"/>
  <c r="F3067" i="1" s="1"/>
  <c r="E3063" i="1"/>
  <c r="E3067" i="1" s="1"/>
  <c r="D3063" i="1"/>
  <c r="D3067" i="1" s="1"/>
  <c r="N3060" i="1"/>
  <c r="N3063" i="1" s="1"/>
  <c r="M3058" i="1"/>
  <c r="L3056" i="1"/>
  <c r="J3054" i="1"/>
  <c r="K3054" i="1" s="1"/>
  <c r="K3063" i="1" s="1"/>
  <c r="K3067" i="1" s="1"/>
  <c r="I3052" i="1"/>
  <c r="J3052" i="1" s="1"/>
  <c r="I3050" i="1"/>
  <c r="G3048" i="1"/>
  <c r="H3048" i="1" s="1"/>
  <c r="H3063" i="1" s="1"/>
  <c r="H3067" i="1" s="1"/>
  <c r="F3047" i="1"/>
  <c r="F3046" i="1"/>
  <c r="G3046" i="1" s="1"/>
  <c r="E3045" i="1"/>
  <c r="E3044" i="1"/>
  <c r="F3044" i="1" s="1"/>
  <c r="D3043" i="1"/>
  <c r="E3042" i="1"/>
  <c r="D3041" i="1"/>
  <c r="E3041" i="1" s="1"/>
  <c r="F3041" i="1" s="1"/>
  <c r="G3041" i="1" s="1"/>
  <c r="H3041" i="1" s="1"/>
  <c r="I3041" i="1" s="1"/>
  <c r="J3041" i="1" s="1"/>
  <c r="K3041" i="1" s="1"/>
  <c r="L3041" i="1" s="1"/>
  <c r="M3041" i="1" s="1"/>
  <c r="N3041" i="1" s="1"/>
  <c r="E3035" i="1"/>
  <c r="F3035" i="1" s="1"/>
  <c r="G3035" i="1" s="1"/>
  <c r="H3035" i="1" s="1"/>
  <c r="I3035" i="1" s="1"/>
  <c r="J3035" i="1" s="1"/>
  <c r="K3035" i="1" s="1"/>
  <c r="L3035" i="1" s="1"/>
  <c r="M3035" i="1" s="1"/>
  <c r="N3035" i="1" s="1"/>
  <c r="E3030" i="1"/>
  <c r="F3030" i="1" s="1"/>
  <c r="G3030" i="1" s="1"/>
  <c r="H3030" i="1" s="1"/>
  <c r="I3030" i="1" s="1"/>
  <c r="J3030" i="1" s="1"/>
  <c r="K3030" i="1" s="1"/>
  <c r="L3030" i="1" s="1"/>
  <c r="M3030" i="1" s="1"/>
  <c r="N3030" i="1" s="1"/>
  <c r="N3028" i="1"/>
  <c r="M3028" i="1"/>
  <c r="L3028" i="1"/>
  <c r="B3025" i="1"/>
  <c r="E3024" i="1"/>
  <c r="F3024" i="1" s="1"/>
  <c r="G3024" i="1" s="1"/>
  <c r="H3024" i="1" s="1"/>
  <c r="I3024" i="1" s="1"/>
  <c r="J3024" i="1" s="1"/>
  <c r="K3024" i="1" s="1"/>
  <c r="L3024" i="1" s="1"/>
  <c r="M3024" i="1" s="1"/>
  <c r="N3024" i="1" s="1"/>
  <c r="G2939" i="1"/>
  <c r="G2943" i="1" s="1"/>
  <c r="F2939" i="1"/>
  <c r="F2943" i="1" s="1"/>
  <c r="E2939" i="1"/>
  <c r="E2943" i="1" s="1"/>
  <c r="D2939" i="1"/>
  <c r="D2943" i="1" s="1"/>
  <c r="N2936" i="1"/>
  <c r="N2939" i="1" s="1"/>
  <c r="M2934" i="1"/>
  <c r="L2932" i="1"/>
  <c r="J2930" i="1"/>
  <c r="K2930" i="1" s="1"/>
  <c r="K2939" i="1" s="1"/>
  <c r="K2943" i="1" s="1"/>
  <c r="I2928" i="1"/>
  <c r="J2928" i="1" s="1"/>
  <c r="I2926" i="1"/>
  <c r="G2924" i="1"/>
  <c r="H2924" i="1" s="1"/>
  <c r="H2939" i="1" s="1"/>
  <c r="H2943" i="1" s="1"/>
  <c r="F2923" i="1"/>
  <c r="F2922" i="1"/>
  <c r="G2922" i="1" s="1"/>
  <c r="E2921" i="1"/>
  <c r="E2920" i="1"/>
  <c r="F2920" i="1" s="1"/>
  <c r="D2919" i="1"/>
  <c r="E2918" i="1"/>
  <c r="D2917" i="1"/>
  <c r="E2917" i="1" s="1"/>
  <c r="F2917" i="1" s="1"/>
  <c r="G2917" i="1" s="1"/>
  <c r="H2917" i="1" s="1"/>
  <c r="I2917" i="1" s="1"/>
  <c r="J2917" i="1" s="1"/>
  <c r="K2917" i="1" s="1"/>
  <c r="L2917" i="1" s="1"/>
  <c r="M2917" i="1" s="1"/>
  <c r="N2917" i="1" s="1"/>
  <c r="E2911" i="1"/>
  <c r="F2911" i="1" s="1"/>
  <c r="G2911" i="1" s="1"/>
  <c r="H2911" i="1" s="1"/>
  <c r="I2911" i="1" s="1"/>
  <c r="J2911" i="1" s="1"/>
  <c r="K2911" i="1" s="1"/>
  <c r="L2911" i="1" s="1"/>
  <c r="M2911" i="1" s="1"/>
  <c r="N2911" i="1" s="1"/>
  <c r="E2906" i="1"/>
  <c r="F2906" i="1" s="1"/>
  <c r="G2906" i="1" s="1"/>
  <c r="H2906" i="1" s="1"/>
  <c r="I2906" i="1" s="1"/>
  <c r="J2906" i="1" s="1"/>
  <c r="K2906" i="1" s="1"/>
  <c r="L2906" i="1" s="1"/>
  <c r="M2906" i="1" s="1"/>
  <c r="N2906" i="1" s="1"/>
  <c r="N2904" i="1"/>
  <c r="M2904" i="1"/>
  <c r="L2904" i="1"/>
  <c r="B2901" i="1"/>
  <c r="E2900" i="1"/>
  <c r="F2900" i="1" s="1"/>
  <c r="G2900" i="1" s="1"/>
  <c r="H2900" i="1" s="1"/>
  <c r="I2900" i="1" s="1"/>
  <c r="J2900" i="1" s="1"/>
  <c r="K2900" i="1" s="1"/>
  <c r="L2900" i="1" s="1"/>
  <c r="M2900" i="1" s="1"/>
  <c r="N2900" i="1" s="1"/>
  <c r="G2891" i="1"/>
  <c r="G2895" i="1" s="1"/>
  <c r="F2891" i="1"/>
  <c r="F2895" i="1" s="1"/>
  <c r="E2891" i="1"/>
  <c r="E2895" i="1" s="1"/>
  <c r="D2891" i="1"/>
  <c r="D2895" i="1" s="1"/>
  <c r="N2888" i="1"/>
  <c r="N2891" i="1" s="1"/>
  <c r="M2886" i="1"/>
  <c r="L2884" i="1"/>
  <c r="J2882" i="1"/>
  <c r="K2882" i="1" s="1"/>
  <c r="K2891" i="1" s="1"/>
  <c r="K2895" i="1" s="1"/>
  <c r="I2880" i="1"/>
  <c r="J2880" i="1" s="1"/>
  <c r="I2878" i="1"/>
  <c r="G2876" i="1"/>
  <c r="H2876" i="1" s="1"/>
  <c r="H2891" i="1" s="1"/>
  <c r="H2895" i="1" s="1"/>
  <c r="F2875" i="1"/>
  <c r="F2874" i="1"/>
  <c r="G2874" i="1" s="1"/>
  <c r="E2873" i="1"/>
  <c r="E2872" i="1"/>
  <c r="F2872" i="1" s="1"/>
  <c r="D2871" i="1"/>
  <c r="E2870" i="1"/>
  <c r="D2869" i="1"/>
  <c r="E2869" i="1" s="1"/>
  <c r="F2869" i="1" s="1"/>
  <c r="G2869" i="1" s="1"/>
  <c r="H2869" i="1" s="1"/>
  <c r="I2869" i="1" s="1"/>
  <c r="J2869" i="1" s="1"/>
  <c r="K2869" i="1" s="1"/>
  <c r="L2869" i="1" s="1"/>
  <c r="M2869" i="1" s="1"/>
  <c r="N2869" i="1" s="1"/>
  <c r="E2863" i="1"/>
  <c r="F2863" i="1" s="1"/>
  <c r="G2863" i="1" s="1"/>
  <c r="H2863" i="1" s="1"/>
  <c r="I2863" i="1" s="1"/>
  <c r="J2863" i="1" s="1"/>
  <c r="K2863" i="1" s="1"/>
  <c r="L2863" i="1" s="1"/>
  <c r="M2863" i="1" s="1"/>
  <c r="N2863" i="1" s="1"/>
  <c r="E2858" i="1"/>
  <c r="F2858" i="1" s="1"/>
  <c r="G2858" i="1" s="1"/>
  <c r="H2858" i="1" s="1"/>
  <c r="I2858" i="1" s="1"/>
  <c r="J2858" i="1" s="1"/>
  <c r="K2858" i="1" s="1"/>
  <c r="L2858" i="1" s="1"/>
  <c r="M2858" i="1" s="1"/>
  <c r="N2858" i="1" s="1"/>
  <c r="N2856" i="1"/>
  <c r="M2856" i="1"/>
  <c r="L2856" i="1"/>
  <c r="B2853" i="1"/>
  <c r="E2852" i="1"/>
  <c r="F2852" i="1" s="1"/>
  <c r="G2852" i="1" s="1"/>
  <c r="H2852" i="1" s="1"/>
  <c r="I2852" i="1" s="1"/>
  <c r="J2852" i="1" s="1"/>
  <c r="K2852" i="1" s="1"/>
  <c r="L2852" i="1" s="1"/>
  <c r="M2852" i="1" s="1"/>
  <c r="N2852" i="1" s="1"/>
  <c r="G2793" i="1"/>
  <c r="G2797" i="1" s="1"/>
  <c r="F2793" i="1"/>
  <c r="F2797" i="1" s="1"/>
  <c r="E2793" i="1"/>
  <c r="E2797" i="1" s="1"/>
  <c r="D2793" i="1"/>
  <c r="D2797" i="1" s="1"/>
  <c r="N2790" i="1"/>
  <c r="N2793" i="1" s="1"/>
  <c r="M2788" i="1"/>
  <c r="L2786" i="1"/>
  <c r="J2784" i="1"/>
  <c r="K2784" i="1" s="1"/>
  <c r="K2793" i="1" s="1"/>
  <c r="K2797" i="1" s="1"/>
  <c r="I2782" i="1"/>
  <c r="J2782" i="1" s="1"/>
  <c r="I2780" i="1"/>
  <c r="G2778" i="1"/>
  <c r="H2778" i="1" s="1"/>
  <c r="H2793" i="1" s="1"/>
  <c r="H2797" i="1" s="1"/>
  <c r="F2777" i="1"/>
  <c r="F2776" i="1"/>
  <c r="G2776" i="1" s="1"/>
  <c r="E2775" i="1"/>
  <c r="E2774" i="1"/>
  <c r="F2774" i="1" s="1"/>
  <c r="D2773" i="1"/>
  <c r="E2772" i="1"/>
  <c r="D2771" i="1"/>
  <c r="E2771" i="1" s="1"/>
  <c r="F2771" i="1" s="1"/>
  <c r="G2771" i="1" s="1"/>
  <c r="H2771" i="1" s="1"/>
  <c r="I2771" i="1" s="1"/>
  <c r="J2771" i="1" s="1"/>
  <c r="K2771" i="1" s="1"/>
  <c r="L2771" i="1" s="1"/>
  <c r="M2771" i="1" s="1"/>
  <c r="N2771" i="1" s="1"/>
  <c r="E2765" i="1"/>
  <c r="F2765" i="1" s="1"/>
  <c r="G2765" i="1" s="1"/>
  <c r="H2765" i="1" s="1"/>
  <c r="I2765" i="1" s="1"/>
  <c r="J2765" i="1" s="1"/>
  <c r="K2765" i="1" s="1"/>
  <c r="L2765" i="1" s="1"/>
  <c r="M2765" i="1" s="1"/>
  <c r="N2765" i="1" s="1"/>
  <c r="E2760" i="1"/>
  <c r="F2760" i="1" s="1"/>
  <c r="G2760" i="1" s="1"/>
  <c r="H2760" i="1" s="1"/>
  <c r="I2760" i="1" s="1"/>
  <c r="J2760" i="1" s="1"/>
  <c r="K2760" i="1" s="1"/>
  <c r="L2760" i="1" s="1"/>
  <c r="M2760" i="1" s="1"/>
  <c r="N2760" i="1" s="1"/>
  <c r="N2758" i="1"/>
  <c r="M2758" i="1"/>
  <c r="L2758" i="1"/>
  <c r="B2755" i="1"/>
  <c r="E2754" i="1"/>
  <c r="F2754" i="1" s="1"/>
  <c r="G2754" i="1" s="1"/>
  <c r="H2754" i="1" s="1"/>
  <c r="I2754" i="1" s="1"/>
  <c r="J2754" i="1" s="1"/>
  <c r="K2754" i="1" s="1"/>
  <c r="L2754" i="1" s="1"/>
  <c r="M2754" i="1" s="1"/>
  <c r="N2754" i="1" s="1"/>
  <c r="G2564" i="1"/>
  <c r="G2568" i="1" s="1"/>
  <c r="F2564" i="1"/>
  <c r="F2568" i="1" s="1"/>
  <c r="E2564" i="1"/>
  <c r="E2568" i="1" s="1"/>
  <c r="D2564" i="1"/>
  <c r="D2568" i="1" s="1"/>
  <c r="N2561" i="1"/>
  <c r="N2564" i="1" s="1"/>
  <c r="M2559" i="1"/>
  <c r="L2557" i="1"/>
  <c r="J2555" i="1"/>
  <c r="K2555" i="1" s="1"/>
  <c r="K2564" i="1" s="1"/>
  <c r="K2568" i="1" s="1"/>
  <c r="I2553" i="1"/>
  <c r="J2553" i="1" s="1"/>
  <c r="I2551" i="1"/>
  <c r="G2549" i="1"/>
  <c r="H2549" i="1" s="1"/>
  <c r="H2564" i="1" s="1"/>
  <c r="H2568" i="1" s="1"/>
  <c r="F2548" i="1"/>
  <c r="F2547" i="1"/>
  <c r="G2547" i="1" s="1"/>
  <c r="E2546" i="1"/>
  <c r="E2545" i="1"/>
  <c r="F2545" i="1" s="1"/>
  <c r="D2544" i="1"/>
  <c r="E2543" i="1"/>
  <c r="D2542" i="1"/>
  <c r="E2542" i="1" s="1"/>
  <c r="F2542" i="1" s="1"/>
  <c r="G2542" i="1" s="1"/>
  <c r="H2542" i="1" s="1"/>
  <c r="I2542" i="1" s="1"/>
  <c r="J2542" i="1" s="1"/>
  <c r="K2542" i="1" s="1"/>
  <c r="L2542" i="1" s="1"/>
  <c r="M2542" i="1" s="1"/>
  <c r="N2542" i="1" s="1"/>
  <c r="E2536" i="1"/>
  <c r="F2536" i="1" s="1"/>
  <c r="G2536" i="1" s="1"/>
  <c r="H2536" i="1" s="1"/>
  <c r="I2536" i="1" s="1"/>
  <c r="J2536" i="1" s="1"/>
  <c r="K2536" i="1" s="1"/>
  <c r="L2536" i="1" s="1"/>
  <c r="M2536" i="1" s="1"/>
  <c r="N2536" i="1" s="1"/>
  <c r="E2531" i="1"/>
  <c r="F2531" i="1" s="1"/>
  <c r="G2531" i="1" s="1"/>
  <c r="H2531" i="1" s="1"/>
  <c r="I2531" i="1" s="1"/>
  <c r="J2531" i="1" s="1"/>
  <c r="K2531" i="1" s="1"/>
  <c r="L2531" i="1" s="1"/>
  <c r="M2531" i="1" s="1"/>
  <c r="N2531" i="1" s="1"/>
  <c r="N2529" i="1"/>
  <c r="M2529" i="1"/>
  <c r="L2529" i="1"/>
  <c r="B2526" i="1"/>
  <c r="E2525" i="1"/>
  <c r="F2525" i="1" s="1"/>
  <c r="G2525" i="1" s="1"/>
  <c r="H2525" i="1" s="1"/>
  <c r="I2525" i="1" s="1"/>
  <c r="J2525" i="1" s="1"/>
  <c r="K2525" i="1" s="1"/>
  <c r="L2525" i="1" s="1"/>
  <c r="M2525" i="1" s="1"/>
  <c r="N2525" i="1" s="1"/>
  <c r="G2516" i="1"/>
  <c r="G2520" i="1" s="1"/>
  <c r="F2516" i="1"/>
  <c r="F2520" i="1" s="1"/>
  <c r="E2516" i="1"/>
  <c r="E2520" i="1" s="1"/>
  <c r="D2516" i="1"/>
  <c r="D2520" i="1" s="1"/>
  <c r="N2513" i="1"/>
  <c r="N2516" i="1" s="1"/>
  <c r="M2511" i="1"/>
  <c r="L2509" i="1"/>
  <c r="J2507" i="1"/>
  <c r="K2507" i="1" s="1"/>
  <c r="K2516" i="1" s="1"/>
  <c r="K2520" i="1" s="1"/>
  <c r="I2505" i="1"/>
  <c r="J2505" i="1" s="1"/>
  <c r="I2503" i="1"/>
  <c r="G2501" i="1"/>
  <c r="H2501" i="1" s="1"/>
  <c r="H2516" i="1" s="1"/>
  <c r="H2520" i="1" s="1"/>
  <c r="F2500" i="1"/>
  <c r="F2499" i="1"/>
  <c r="G2499" i="1" s="1"/>
  <c r="E2498" i="1"/>
  <c r="E2497" i="1"/>
  <c r="F2497" i="1" s="1"/>
  <c r="D2496" i="1"/>
  <c r="E2495" i="1"/>
  <c r="D2494" i="1"/>
  <c r="E2494" i="1" s="1"/>
  <c r="F2494" i="1" s="1"/>
  <c r="G2494" i="1" s="1"/>
  <c r="H2494" i="1" s="1"/>
  <c r="I2494" i="1" s="1"/>
  <c r="J2494" i="1" s="1"/>
  <c r="K2494" i="1" s="1"/>
  <c r="L2494" i="1" s="1"/>
  <c r="M2494" i="1" s="1"/>
  <c r="N2494" i="1" s="1"/>
  <c r="E2488" i="1"/>
  <c r="F2488" i="1" s="1"/>
  <c r="G2488" i="1" s="1"/>
  <c r="H2488" i="1" s="1"/>
  <c r="I2488" i="1" s="1"/>
  <c r="J2488" i="1" s="1"/>
  <c r="K2488" i="1" s="1"/>
  <c r="L2488" i="1" s="1"/>
  <c r="M2488" i="1" s="1"/>
  <c r="N2488" i="1" s="1"/>
  <c r="E2483" i="1"/>
  <c r="F2483" i="1" s="1"/>
  <c r="G2483" i="1" s="1"/>
  <c r="H2483" i="1" s="1"/>
  <c r="I2483" i="1" s="1"/>
  <c r="J2483" i="1" s="1"/>
  <c r="K2483" i="1" s="1"/>
  <c r="L2483" i="1" s="1"/>
  <c r="M2483" i="1" s="1"/>
  <c r="N2483" i="1" s="1"/>
  <c r="N2481" i="1"/>
  <c r="M2481" i="1"/>
  <c r="L2481" i="1"/>
  <c r="B2478" i="1"/>
  <c r="E2477" i="1"/>
  <c r="F2477" i="1" s="1"/>
  <c r="G2477" i="1" s="1"/>
  <c r="H2477" i="1" s="1"/>
  <c r="I2477" i="1" s="1"/>
  <c r="J2477" i="1" s="1"/>
  <c r="K2477" i="1" s="1"/>
  <c r="L2477" i="1" s="1"/>
  <c r="M2477" i="1" s="1"/>
  <c r="N2477" i="1" s="1"/>
  <c r="G2468" i="1"/>
  <c r="G2472" i="1" s="1"/>
  <c r="F2468" i="1"/>
  <c r="F2472" i="1" s="1"/>
  <c r="E2468" i="1"/>
  <c r="E2472" i="1" s="1"/>
  <c r="D2468" i="1"/>
  <c r="D2472" i="1" s="1"/>
  <c r="N2465" i="1"/>
  <c r="N2468" i="1" s="1"/>
  <c r="M2463" i="1"/>
  <c r="L2461" i="1"/>
  <c r="J2459" i="1"/>
  <c r="K2459" i="1" s="1"/>
  <c r="K2468" i="1" s="1"/>
  <c r="K2472" i="1" s="1"/>
  <c r="I2457" i="1"/>
  <c r="J2457" i="1" s="1"/>
  <c r="I2455" i="1"/>
  <c r="G2453" i="1"/>
  <c r="H2453" i="1" s="1"/>
  <c r="H2468" i="1" s="1"/>
  <c r="H2472" i="1" s="1"/>
  <c r="F2452" i="1"/>
  <c r="F2451" i="1"/>
  <c r="G2451" i="1" s="1"/>
  <c r="E2450" i="1"/>
  <c r="E2449" i="1"/>
  <c r="F2449" i="1" s="1"/>
  <c r="D2448" i="1"/>
  <c r="E2447" i="1"/>
  <c r="D2446" i="1"/>
  <c r="E2446" i="1" s="1"/>
  <c r="F2446" i="1" s="1"/>
  <c r="G2446" i="1" s="1"/>
  <c r="H2446" i="1" s="1"/>
  <c r="I2446" i="1" s="1"/>
  <c r="J2446" i="1" s="1"/>
  <c r="K2446" i="1" s="1"/>
  <c r="L2446" i="1" s="1"/>
  <c r="M2446" i="1" s="1"/>
  <c r="N2446" i="1" s="1"/>
  <c r="E2440" i="1"/>
  <c r="F2440" i="1" s="1"/>
  <c r="G2440" i="1" s="1"/>
  <c r="H2440" i="1" s="1"/>
  <c r="I2440" i="1" s="1"/>
  <c r="J2440" i="1" s="1"/>
  <c r="K2440" i="1" s="1"/>
  <c r="L2440" i="1" s="1"/>
  <c r="M2440" i="1" s="1"/>
  <c r="N2440" i="1" s="1"/>
  <c r="E2435" i="1"/>
  <c r="F2435" i="1" s="1"/>
  <c r="G2435" i="1" s="1"/>
  <c r="H2435" i="1" s="1"/>
  <c r="I2435" i="1" s="1"/>
  <c r="J2435" i="1" s="1"/>
  <c r="K2435" i="1" s="1"/>
  <c r="L2435" i="1" s="1"/>
  <c r="M2435" i="1" s="1"/>
  <c r="N2435" i="1" s="1"/>
  <c r="N2433" i="1"/>
  <c r="M2433" i="1"/>
  <c r="L2433" i="1"/>
  <c r="B2430" i="1"/>
  <c r="E2429" i="1"/>
  <c r="F2429" i="1" s="1"/>
  <c r="G2429" i="1" s="1"/>
  <c r="H2429" i="1" s="1"/>
  <c r="I2429" i="1" s="1"/>
  <c r="J2429" i="1" s="1"/>
  <c r="K2429" i="1" s="1"/>
  <c r="L2429" i="1" s="1"/>
  <c r="M2429" i="1" s="1"/>
  <c r="N2429" i="1" s="1"/>
  <c r="G2370" i="1"/>
  <c r="G2374" i="1" s="1"/>
  <c r="F2370" i="1"/>
  <c r="F2374" i="1" s="1"/>
  <c r="E2370" i="1"/>
  <c r="E2374" i="1" s="1"/>
  <c r="D2370" i="1"/>
  <c r="D2374" i="1" s="1"/>
  <c r="N2367" i="1"/>
  <c r="N2370" i="1" s="1"/>
  <c r="M2365" i="1"/>
  <c r="L2363" i="1"/>
  <c r="J2361" i="1"/>
  <c r="K2361" i="1" s="1"/>
  <c r="K2370" i="1" s="1"/>
  <c r="K2374" i="1" s="1"/>
  <c r="I2359" i="1"/>
  <c r="J2359" i="1" s="1"/>
  <c r="I2357" i="1"/>
  <c r="G2355" i="1"/>
  <c r="H2355" i="1" s="1"/>
  <c r="H2370" i="1" s="1"/>
  <c r="H2374" i="1" s="1"/>
  <c r="F2354" i="1"/>
  <c r="F2353" i="1"/>
  <c r="G2353" i="1" s="1"/>
  <c r="E2352" i="1"/>
  <c r="E2351" i="1"/>
  <c r="F2351" i="1" s="1"/>
  <c r="D2350" i="1"/>
  <c r="E2349" i="1"/>
  <c r="D2348" i="1"/>
  <c r="E2348" i="1" s="1"/>
  <c r="F2348" i="1" s="1"/>
  <c r="G2348" i="1" s="1"/>
  <c r="H2348" i="1" s="1"/>
  <c r="I2348" i="1" s="1"/>
  <c r="J2348" i="1" s="1"/>
  <c r="K2348" i="1" s="1"/>
  <c r="L2348" i="1" s="1"/>
  <c r="M2348" i="1" s="1"/>
  <c r="N2348" i="1" s="1"/>
  <c r="E2342" i="1"/>
  <c r="F2342" i="1" s="1"/>
  <c r="G2342" i="1" s="1"/>
  <c r="H2342" i="1" s="1"/>
  <c r="I2342" i="1" s="1"/>
  <c r="J2342" i="1" s="1"/>
  <c r="K2342" i="1" s="1"/>
  <c r="L2342" i="1" s="1"/>
  <c r="M2342" i="1" s="1"/>
  <c r="N2342" i="1" s="1"/>
  <c r="E2337" i="1"/>
  <c r="F2337" i="1" s="1"/>
  <c r="G2337" i="1" s="1"/>
  <c r="H2337" i="1" s="1"/>
  <c r="I2337" i="1" s="1"/>
  <c r="J2337" i="1" s="1"/>
  <c r="K2337" i="1" s="1"/>
  <c r="L2337" i="1" s="1"/>
  <c r="M2337" i="1" s="1"/>
  <c r="N2337" i="1" s="1"/>
  <c r="N2335" i="1"/>
  <c r="M2335" i="1"/>
  <c r="L2335" i="1"/>
  <c r="B2332" i="1"/>
  <c r="E2331" i="1"/>
  <c r="F2331" i="1" s="1"/>
  <c r="G2331" i="1" s="1"/>
  <c r="H2331" i="1" s="1"/>
  <c r="I2331" i="1" s="1"/>
  <c r="J2331" i="1" s="1"/>
  <c r="K2331" i="1" s="1"/>
  <c r="L2331" i="1" s="1"/>
  <c r="M2331" i="1" s="1"/>
  <c r="N2331" i="1" s="1"/>
  <c r="G2272" i="1"/>
  <c r="G2276" i="1" s="1"/>
  <c r="F2272" i="1"/>
  <c r="F2276" i="1" s="1"/>
  <c r="E2272" i="1"/>
  <c r="E2276" i="1" s="1"/>
  <c r="D2272" i="1"/>
  <c r="D2276" i="1" s="1"/>
  <c r="N2269" i="1"/>
  <c r="N2272" i="1" s="1"/>
  <c r="M2267" i="1"/>
  <c r="L2265" i="1"/>
  <c r="J2263" i="1"/>
  <c r="K2263" i="1" s="1"/>
  <c r="K2272" i="1" s="1"/>
  <c r="K2276" i="1" s="1"/>
  <c r="I2261" i="1"/>
  <c r="J2261" i="1" s="1"/>
  <c r="I2259" i="1"/>
  <c r="G2257" i="1"/>
  <c r="H2257" i="1" s="1"/>
  <c r="H2272" i="1" s="1"/>
  <c r="H2276" i="1" s="1"/>
  <c r="F2256" i="1"/>
  <c r="F2255" i="1"/>
  <c r="G2255" i="1" s="1"/>
  <c r="E2254" i="1"/>
  <c r="E2253" i="1"/>
  <c r="F2253" i="1" s="1"/>
  <c r="D2252" i="1"/>
  <c r="E2251" i="1"/>
  <c r="D2250" i="1"/>
  <c r="E2250" i="1" s="1"/>
  <c r="F2250" i="1" s="1"/>
  <c r="G2250" i="1" s="1"/>
  <c r="H2250" i="1" s="1"/>
  <c r="I2250" i="1" s="1"/>
  <c r="J2250" i="1" s="1"/>
  <c r="K2250" i="1" s="1"/>
  <c r="L2250" i="1" s="1"/>
  <c r="M2250" i="1" s="1"/>
  <c r="N2250" i="1" s="1"/>
  <c r="E2244" i="1"/>
  <c r="F2244" i="1" s="1"/>
  <c r="G2244" i="1" s="1"/>
  <c r="H2244" i="1" s="1"/>
  <c r="I2244" i="1" s="1"/>
  <c r="J2244" i="1" s="1"/>
  <c r="K2244" i="1" s="1"/>
  <c r="L2244" i="1" s="1"/>
  <c r="M2244" i="1" s="1"/>
  <c r="N2244" i="1" s="1"/>
  <c r="E2239" i="1"/>
  <c r="F2239" i="1" s="1"/>
  <c r="G2239" i="1" s="1"/>
  <c r="H2239" i="1" s="1"/>
  <c r="I2239" i="1" s="1"/>
  <c r="J2239" i="1" s="1"/>
  <c r="K2239" i="1" s="1"/>
  <c r="L2239" i="1" s="1"/>
  <c r="M2239" i="1" s="1"/>
  <c r="N2239" i="1" s="1"/>
  <c r="N2237" i="1"/>
  <c r="M2237" i="1"/>
  <c r="L2237" i="1"/>
  <c r="B2234" i="1"/>
  <c r="E2233" i="1"/>
  <c r="F2233" i="1" s="1"/>
  <c r="G2233" i="1" s="1"/>
  <c r="H2233" i="1" s="1"/>
  <c r="I2233" i="1" s="1"/>
  <c r="J2233" i="1" s="1"/>
  <c r="K2233" i="1" s="1"/>
  <c r="L2233" i="1" s="1"/>
  <c r="M2233" i="1" s="1"/>
  <c r="N2233" i="1" s="1"/>
  <c r="G2224" i="1"/>
  <c r="G2228" i="1" s="1"/>
  <c r="F2224" i="1"/>
  <c r="F2228" i="1" s="1"/>
  <c r="E2224" i="1"/>
  <c r="E2228" i="1" s="1"/>
  <c r="D2224" i="1"/>
  <c r="D2228" i="1" s="1"/>
  <c r="N2221" i="1"/>
  <c r="N2224" i="1" s="1"/>
  <c r="M2219" i="1"/>
  <c r="L2217" i="1"/>
  <c r="J2215" i="1"/>
  <c r="K2215" i="1" s="1"/>
  <c r="K2224" i="1" s="1"/>
  <c r="K2228" i="1" s="1"/>
  <c r="I2213" i="1"/>
  <c r="J2213" i="1" s="1"/>
  <c r="I2211" i="1"/>
  <c r="G2209" i="1"/>
  <c r="H2209" i="1" s="1"/>
  <c r="H2224" i="1" s="1"/>
  <c r="H2228" i="1" s="1"/>
  <c r="F2208" i="1"/>
  <c r="F2207" i="1"/>
  <c r="G2207" i="1" s="1"/>
  <c r="E2206" i="1"/>
  <c r="E2205" i="1"/>
  <c r="F2205" i="1" s="1"/>
  <c r="D2204" i="1"/>
  <c r="E2203" i="1"/>
  <c r="D2202" i="1"/>
  <c r="E2202" i="1" s="1"/>
  <c r="F2202" i="1" s="1"/>
  <c r="G2202" i="1" s="1"/>
  <c r="H2202" i="1" s="1"/>
  <c r="I2202" i="1" s="1"/>
  <c r="J2202" i="1" s="1"/>
  <c r="K2202" i="1" s="1"/>
  <c r="L2202" i="1" s="1"/>
  <c r="M2202" i="1" s="1"/>
  <c r="N2202" i="1" s="1"/>
  <c r="E2196" i="1"/>
  <c r="F2196" i="1" s="1"/>
  <c r="G2196" i="1" s="1"/>
  <c r="H2196" i="1" s="1"/>
  <c r="I2196" i="1" s="1"/>
  <c r="J2196" i="1" s="1"/>
  <c r="K2196" i="1" s="1"/>
  <c r="L2196" i="1" s="1"/>
  <c r="M2196" i="1" s="1"/>
  <c r="N2196" i="1" s="1"/>
  <c r="E2191" i="1"/>
  <c r="F2191" i="1" s="1"/>
  <c r="G2191" i="1" s="1"/>
  <c r="H2191" i="1" s="1"/>
  <c r="I2191" i="1" s="1"/>
  <c r="J2191" i="1" s="1"/>
  <c r="K2191" i="1" s="1"/>
  <c r="L2191" i="1" s="1"/>
  <c r="M2191" i="1" s="1"/>
  <c r="N2191" i="1" s="1"/>
  <c r="N2189" i="1"/>
  <c r="M2189" i="1"/>
  <c r="L2189" i="1"/>
  <c r="B2186" i="1"/>
  <c r="E2185" i="1"/>
  <c r="F2185" i="1" s="1"/>
  <c r="G2185" i="1" s="1"/>
  <c r="H2185" i="1" s="1"/>
  <c r="I2185" i="1" s="1"/>
  <c r="J2185" i="1" s="1"/>
  <c r="K2185" i="1" s="1"/>
  <c r="L2185" i="1" s="1"/>
  <c r="M2185" i="1" s="1"/>
  <c r="N2185" i="1" s="1"/>
  <c r="G2045" i="1"/>
  <c r="G2049" i="1" s="1"/>
  <c r="F2045" i="1"/>
  <c r="F2049" i="1" s="1"/>
  <c r="E2045" i="1"/>
  <c r="E2049" i="1" s="1"/>
  <c r="D2045" i="1"/>
  <c r="D2049" i="1" s="1"/>
  <c r="N2042" i="1"/>
  <c r="N2045" i="1" s="1"/>
  <c r="M2040" i="1"/>
  <c r="L2038" i="1"/>
  <c r="J2036" i="1"/>
  <c r="K2036" i="1" s="1"/>
  <c r="K2045" i="1" s="1"/>
  <c r="K2049" i="1" s="1"/>
  <c r="I2034" i="1"/>
  <c r="J2034" i="1" s="1"/>
  <c r="I2032" i="1"/>
  <c r="G2030" i="1"/>
  <c r="H2030" i="1" s="1"/>
  <c r="H2045" i="1" s="1"/>
  <c r="H2049" i="1" s="1"/>
  <c r="F2029" i="1"/>
  <c r="F2028" i="1"/>
  <c r="G2028" i="1" s="1"/>
  <c r="E2027" i="1"/>
  <c r="E2026" i="1"/>
  <c r="F2026" i="1" s="1"/>
  <c r="D2025" i="1"/>
  <c r="E2024" i="1"/>
  <c r="D2023" i="1"/>
  <c r="E2023" i="1" s="1"/>
  <c r="F2023" i="1" s="1"/>
  <c r="G2023" i="1" s="1"/>
  <c r="H2023" i="1" s="1"/>
  <c r="I2023" i="1" s="1"/>
  <c r="J2023" i="1" s="1"/>
  <c r="K2023" i="1" s="1"/>
  <c r="L2023" i="1" s="1"/>
  <c r="M2023" i="1" s="1"/>
  <c r="N2023" i="1" s="1"/>
  <c r="E2017" i="1"/>
  <c r="F2017" i="1" s="1"/>
  <c r="G2017" i="1" s="1"/>
  <c r="H2017" i="1" s="1"/>
  <c r="I2017" i="1" s="1"/>
  <c r="J2017" i="1" s="1"/>
  <c r="K2017" i="1" s="1"/>
  <c r="L2017" i="1" s="1"/>
  <c r="M2017" i="1" s="1"/>
  <c r="N2017" i="1" s="1"/>
  <c r="E2012" i="1"/>
  <c r="F2012" i="1" s="1"/>
  <c r="G2012" i="1" s="1"/>
  <c r="H2012" i="1" s="1"/>
  <c r="I2012" i="1" s="1"/>
  <c r="J2012" i="1" s="1"/>
  <c r="K2012" i="1" s="1"/>
  <c r="L2012" i="1" s="1"/>
  <c r="M2012" i="1" s="1"/>
  <c r="N2012" i="1" s="1"/>
  <c r="N2010" i="1"/>
  <c r="M2010" i="1"/>
  <c r="L2010" i="1"/>
  <c r="B2007" i="1"/>
  <c r="E2006" i="1"/>
  <c r="F2006" i="1" s="1"/>
  <c r="G2006" i="1" s="1"/>
  <c r="H2006" i="1" s="1"/>
  <c r="I2006" i="1" s="1"/>
  <c r="J2006" i="1" s="1"/>
  <c r="K2006" i="1" s="1"/>
  <c r="L2006" i="1" s="1"/>
  <c r="M2006" i="1" s="1"/>
  <c r="N2006" i="1" s="1"/>
  <c r="G1997" i="1"/>
  <c r="G2001" i="1" s="1"/>
  <c r="F1997" i="1"/>
  <c r="F2001" i="1" s="1"/>
  <c r="E1997" i="1"/>
  <c r="E2001" i="1" s="1"/>
  <c r="D1997" i="1"/>
  <c r="D2001" i="1" s="1"/>
  <c r="N1994" i="1"/>
  <c r="N1997" i="1" s="1"/>
  <c r="M1992" i="1"/>
  <c r="L1990" i="1"/>
  <c r="J1988" i="1"/>
  <c r="K1988" i="1" s="1"/>
  <c r="K1997" i="1" s="1"/>
  <c r="K2001" i="1" s="1"/>
  <c r="I1986" i="1"/>
  <c r="J1986" i="1" s="1"/>
  <c r="I1984" i="1"/>
  <c r="G1982" i="1"/>
  <c r="H1982" i="1" s="1"/>
  <c r="H1997" i="1" s="1"/>
  <c r="H2001" i="1" s="1"/>
  <c r="F1981" i="1"/>
  <c r="F1980" i="1"/>
  <c r="G1980" i="1" s="1"/>
  <c r="E1979" i="1"/>
  <c r="E1978" i="1"/>
  <c r="F1978" i="1" s="1"/>
  <c r="D1977" i="1"/>
  <c r="E1976" i="1"/>
  <c r="D1975" i="1"/>
  <c r="E1975" i="1" s="1"/>
  <c r="F1975" i="1" s="1"/>
  <c r="G1975" i="1" s="1"/>
  <c r="H1975" i="1" s="1"/>
  <c r="I1975" i="1" s="1"/>
  <c r="J1975" i="1" s="1"/>
  <c r="K1975" i="1" s="1"/>
  <c r="L1975" i="1" s="1"/>
  <c r="M1975" i="1" s="1"/>
  <c r="N1975" i="1" s="1"/>
  <c r="E1969" i="1"/>
  <c r="F1969" i="1" s="1"/>
  <c r="G1969" i="1" s="1"/>
  <c r="H1969" i="1" s="1"/>
  <c r="I1969" i="1" s="1"/>
  <c r="J1969" i="1" s="1"/>
  <c r="K1969" i="1" s="1"/>
  <c r="L1969" i="1" s="1"/>
  <c r="M1969" i="1" s="1"/>
  <c r="N1969" i="1" s="1"/>
  <c r="E1964" i="1"/>
  <c r="F1964" i="1" s="1"/>
  <c r="G1964" i="1" s="1"/>
  <c r="H1964" i="1" s="1"/>
  <c r="I1964" i="1" s="1"/>
  <c r="J1964" i="1" s="1"/>
  <c r="K1964" i="1" s="1"/>
  <c r="L1964" i="1" s="1"/>
  <c r="M1964" i="1" s="1"/>
  <c r="N1964" i="1" s="1"/>
  <c r="N1962" i="1"/>
  <c r="M1962" i="1"/>
  <c r="L1962" i="1"/>
  <c r="B1959" i="1"/>
  <c r="E1958" i="1"/>
  <c r="F1958" i="1" s="1"/>
  <c r="G1958" i="1" s="1"/>
  <c r="H1958" i="1" s="1"/>
  <c r="I1958" i="1" s="1"/>
  <c r="J1958" i="1" s="1"/>
  <c r="K1958" i="1" s="1"/>
  <c r="L1958" i="1" s="1"/>
  <c r="M1958" i="1" s="1"/>
  <c r="N1958" i="1" s="1"/>
  <c r="G1865" i="1"/>
  <c r="G1869" i="1" s="1"/>
  <c r="F1865" i="1"/>
  <c r="F1869" i="1" s="1"/>
  <c r="E1865" i="1"/>
  <c r="E1869" i="1" s="1"/>
  <c r="D1865" i="1"/>
  <c r="D1869" i="1" s="1"/>
  <c r="N1862" i="1"/>
  <c r="N1865" i="1" s="1"/>
  <c r="M1860" i="1"/>
  <c r="L1858" i="1"/>
  <c r="J1856" i="1"/>
  <c r="K1856" i="1" s="1"/>
  <c r="K1865" i="1" s="1"/>
  <c r="K1869" i="1" s="1"/>
  <c r="I1854" i="1"/>
  <c r="J1854" i="1" s="1"/>
  <c r="I1852" i="1"/>
  <c r="G1850" i="1"/>
  <c r="H1850" i="1" s="1"/>
  <c r="H1865" i="1" s="1"/>
  <c r="H1869" i="1" s="1"/>
  <c r="F1849" i="1"/>
  <c r="F1848" i="1"/>
  <c r="G1848" i="1" s="1"/>
  <c r="E1847" i="1"/>
  <c r="E1846" i="1"/>
  <c r="F1846" i="1" s="1"/>
  <c r="D1845" i="1"/>
  <c r="E1844" i="1"/>
  <c r="D1843" i="1"/>
  <c r="E1843" i="1" s="1"/>
  <c r="F1843" i="1" s="1"/>
  <c r="G1843" i="1" s="1"/>
  <c r="H1843" i="1" s="1"/>
  <c r="I1843" i="1" s="1"/>
  <c r="J1843" i="1" s="1"/>
  <c r="K1843" i="1" s="1"/>
  <c r="L1843" i="1" s="1"/>
  <c r="M1843" i="1" s="1"/>
  <c r="N1843" i="1" s="1"/>
  <c r="E1837" i="1"/>
  <c r="F1837" i="1" s="1"/>
  <c r="G1837" i="1" s="1"/>
  <c r="H1837" i="1" s="1"/>
  <c r="I1837" i="1" s="1"/>
  <c r="J1837" i="1" s="1"/>
  <c r="K1837" i="1" s="1"/>
  <c r="L1837" i="1" s="1"/>
  <c r="M1837" i="1" s="1"/>
  <c r="N1837" i="1" s="1"/>
  <c r="E1832" i="1"/>
  <c r="F1832" i="1" s="1"/>
  <c r="G1832" i="1" s="1"/>
  <c r="H1832" i="1" s="1"/>
  <c r="I1832" i="1" s="1"/>
  <c r="J1832" i="1" s="1"/>
  <c r="K1832" i="1" s="1"/>
  <c r="L1832" i="1" s="1"/>
  <c r="M1832" i="1" s="1"/>
  <c r="N1832" i="1" s="1"/>
  <c r="N1830" i="1"/>
  <c r="M1830" i="1"/>
  <c r="L1830" i="1"/>
  <c r="B1827" i="1"/>
  <c r="E1826" i="1"/>
  <c r="F1826" i="1" s="1"/>
  <c r="G1826" i="1" s="1"/>
  <c r="H1826" i="1" s="1"/>
  <c r="I1826" i="1" s="1"/>
  <c r="J1826" i="1" s="1"/>
  <c r="K1826" i="1" s="1"/>
  <c r="L1826" i="1" s="1"/>
  <c r="M1826" i="1" s="1"/>
  <c r="N1826" i="1" s="1"/>
  <c r="G1525" i="1"/>
  <c r="G1529" i="1" s="1"/>
  <c r="F1525" i="1"/>
  <c r="F1529" i="1" s="1"/>
  <c r="E1525" i="1"/>
  <c r="E1529" i="1" s="1"/>
  <c r="D1525" i="1"/>
  <c r="D1529" i="1" s="1"/>
  <c r="N1522" i="1"/>
  <c r="N1525" i="1" s="1"/>
  <c r="M1520" i="1"/>
  <c r="L1518" i="1"/>
  <c r="J1516" i="1"/>
  <c r="K1516" i="1" s="1"/>
  <c r="K1525" i="1" s="1"/>
  <c r="K1529" i="1" s="1"/>
  <c r="I1514" i="1"/>
  <c r="J1514" i="1" s="1"/>
  <c r="I1512" i="1"/>
  <c r="G1510" i="1"/>
  <c r="H1510" i="1" s="1"/>
  <c r="H1525" i="1" s="1"/>
  <c r="H1529" i="1" s="1"/>
  <c r="F1509" i="1"/>
  <c r="F1508" i="1"/>
  <c r="G1508" i="1" s="1"/>
  <c r="E1507" i="1"/>
  <c r="E1506" i="1"/>
  <c r="F1506" i="1" s="1"/>
  <c r="D1505" i="1"/>
  <c r="E1504" i="1"/>
  <c r="D1503" i="1"/>
  <c r="E1503" i="1" s="1"/>
  <c r="F1503" i="1" s="1"/>
  <c r="G1503" i="1" s="1"/>
  <c r="H1503" i="1" s="1"/>
  <c r="I1503" i="1" s="1"/>
  <c r="J1503" i="1" s="1"/>
  <c r="K1503" i="1" s="1"/>
  <c r="L1503" i="1" s="1"/>
  <c r="M1503" i="1" s="1"/>
  <c r="N1503" i="1" s="1"/>
  <c r="E1497" i="1"/>
  <c r="F1497" i="1" s="1"/>
  <c r="G1497" i="1" s="1"/>
  <c r="H1497" i="1" s="1"/>
  <c r="I1497" i="1" s="1"/>
  <c r="J1497" i="1" s="1"/>
  <c r="K1497" i="1" s="1"/>
  <c r="L1497" i="1" s="1"/>
  <c r="M1497" i="1" s="1"/>
  <c r="N1497" i="1" s="1"/>
  <c r="E1492" i="1"/>
  <c r="F1492" i="1" s="1"/>
  <c r="G1492" i="1" s="1"/>
  <c r="H1492" i="1" s="1"/>
  <c r="I1492" i="1" s="1"/>
  <c r="J1492" i="1" s="1"/>
  <c r="K1492" i="1" s="1"/>
  <c r="L1492" i="1" s="1"/>
  <c r="M1492" i="1" s="1"/>
  <c r="N1492" i="1" s="1"/>
  <c r="N1490" i="1"/>
  <c r="M1490" i="1"/>
  <c r="L1490" i="1"/>
  <c r="B1487" i="1"/>
  <c r="E1486" i="1"/>
  <c r="F1486" i="1" s="1"/>
  <c r="G1486" i="1" s="1"/>
  <c r="H1486" i="1" s="1"/>
  <c r="I1486" i="1" s="1"/>
  <c r="J1486" i="1" s="1"/>
  <c r="K1486" i="1" s="1"/>
  <c r="L1486" i="1" s="1"/>
  <c r="M1486" i="1" s="1"/>
  <c r="N1486" i="1" s="1"/>
  <c r="G1340" i="1"/>
  <c r="G1344" i="1" s="1"/>
  <c r="F1340" i="1"/>
  <c r="F1344" i="1" s="1"/>
  <c r="E1340" i="1"/>
  <c r="E1344" i="1" s="1"/>
  <c r="D1340" i="1"/>
  <c r="D1344" i="1" s="1"/>
  <c r="N1337" i="1"/>
  <c r="N1340" i="1" s="1"/>
  <c r="M1335" i="1"/>
  <c r="L1333" i="1"/>
  <c r="J1331" i="1"/>
  <c r="K1331" i="1" s="1"/>
  <c r="K1340" i="1" s="1"/>
  <c r="K1344" i="1" s="1"/>
  <c r="I1329" i="1"/>
  <c r="J1329" i="1" s="1"/>
  <c r="I1327" i="1"/>
  <c r="G1325" i="1"/>
  <c r="H1325" i="1" s="1"/>
  <c r="H1340" i="1" s="1"/>
  <c r="H1344" i="1" s="1"/>
  <c r="F1324" i="1"/>
  <c r="F1323" i="1"/>
  <c r="G1323" i="1" s="1"/>
  <c r="E1322" i="1"/>
  <c r="E1321" i="1"/>
  <c r="F1321" i="1" s="1"/>
  <c r="D1320" i="1"/>
  <c r="E1319" i="1"/>
  <c r="D1318" i="1"/>
  <c r="E1318" i="1" s="1"/>
  <c r="F1318" i="1" s="1"/>
  <c r="G1318" i="1" s="1"/>
  <c r="H1318" i="1" s="1"/>
  <c r="I1318" i="1" s="1"/>
  <c r="J1318" i="1" s="1"/>
  <c r="K1318" i="1" s="1"/>
  <c r="L1318" i="1" s="1"/>
  <c r="M1318" i="1" s="1"/>
  <c r="N1318" i="1" s="1"/>
  <c r="E1312" i="1"/>
  <c r="F1312" i="1" s="1"/>
  <c r="G1312" i="1" s="1"/>
  <c r="H1312" i="1" s="1"/>
  <c r="I1312" i="1" s="1"/>
  <c r="J1312" i="1" s="1"/>
  <c r="K1312" i="1" s="1"/>
  <c r="L1312" i="1" s="1"/>
  <c r="M1312" i="1" s="1"/>
  <c r="N1312" i="1" s="1"/>
  <c r="E1307" i="1"/>
  <c r="F1307" i="1" s="1"/>
  <c r="G1307" i="1" s="1"/>
  <c r="H1307" i="1" s="1"/>
  <c r="I1307" i="1" s="1"/>
  <c r="J1307" i="1" s="1"/>
  <c r="K1307" i="1" s="1"/>
  <c r="L1307" i="1" s="1"/>
  <c r="M1307" i="1" s="1"/>
  <c r="N1307" i="1" s="1"/>
  <c r="N1305" i="1"/>
  <c r="M1305" i="1"/>
  <c r="L1305" i="1"/>
  <c r="B1302" i="1"/>
  <c r="E1301" i="1"/>
  <c r="F1301" i="1" s="1"/>
  <c r="G1301" i="1" s="1"/>
  <c r="H1301" i="1" s="1"/>
  <c r="I1301" i="1" s="1"/>
  <c r="J1301" i="1" s="1"/>
  <c r="K1301" i="1" s="1"/>
  <c r="L1301" i="1" s="1"/>
  <c r="M1301" i="1" s="1"/>
  <c r="N1301" i="1" s="1"/>
  <c r="L2220" i="1" l="1"/>
  <c r="M2220" i="1" s="1"/>
  <c r="M2224" i="1" s="1"/>
  <c r="M2228" i="1" s="1"/>
  <c r="L1861" i="1"/>
  <c r="M1861" i="1" s="1"/>
  <c r="L2268" i="1"/>
  <c r="M2268" i="1" s="1"/>
  <c r="L2560" i="1"/>
  <c r="M2560" i="1" s="1"/>
  <c r="M2564" i="1" s="1"/>
  <c r="M2568" i="1" s="1"/>
  <c r="L3059" i="1"/>
  <c r="M3059" i="1" s="1"/>
  <c r="M3063" i="1" s="1"/>
  <c r="M3067" i="1" s="1"/>
  <c r="L2512" i="1"/>
  <c r="M2512" i="1" s="1"/>
  <c r="M2516" i="1" s="1"/>
  <c r="M2520" i="1" s="1"/>
  <c r="L2935" i="1"/>
  <c r="M2935" i="1" s="1"/>
  <c r="M2939" i="1" s="1"/>
  <c r="M2943" i="1" s="1"/>
  <c r="L2366" i="1"/>
  <c r="L2370" i="1" s="1"/>
  <c r="L2374" i="1" s="1"/>
  <c r="L2789" i="1"/>
  <c r="M2789" i="1" s="1"/>
  <c r="L1521" i="1"/>
  <c r="M1521" i="1" s="1"/>
  <c r="L1993" i="1"/>
  <c r="M1993" i="1" s="1"/>
  <c r="M1997" i="1" s="1"/>
  <c r="M2001" i="1" s="1"/>
  <c r="L1336" i="1"/>
  <c r="M1336" i="1" s="1"/>
  <c r="M1340" i="1" s="1"/>
  <c r="M1344" i="1" s="1"/>
  <c r="L2041" i="1"/>
  <c r="M2041" i="1" s="1"/>
  <c r="M2045" i="1" s="1"/>
  <c r="M2049" i="1" s="1"/>
  <c r="L2464" i="1"/>
  <c r="M2464" i="1" s="1"/>
  <c r="M2468" i="1" s="1"/>
  <c r="M2472" i="1" s="1"/>
  <c r="L2887" i="1"/>
  <c r="M2887" i="1" s="1"/>
  <c r="M2891" i="1" s="1"/>
  <c r="M2895" i="1" s="1"/>
  <c r="J2939" i="1"/>
  <c r="J2943" i="1" s="1"/>
  <c r="J2370" i="1"/>
  <c r="J2374" i="1" s="1"/>
  <c r="I2793" i="1"/>
  <c r="I2797" i="1" s="1"/>
  <c r="J2468" i="1"/>
  <c r="J2472" i="1" s="1"/>
  <c r="I3063" i="1"/>
  <c r="I3067" i="1" s="1"/>
  <c r="J2516" i="1"/>
  <c r="J2520" i="1" s="1"/>
  <c r="I2939" i="1"/>
  <c r="I2943" i="1" s="1"/>
  <c r="I2370" i="1"/>
  <c r="I2374" i="1" s="1"/>
  <c r="N2568" i="1"/>
  <c r="M73" i="8" s="1"/>
  <c r="N3067" i="1"/>
  <c r="M84" i="8" s="1"/>
  <c r="J1865" i="1"/>
  <c r="J1869" i="1" s="1"/>
  <c r="J2224" i="1"/>
  <c r="J2228" i="1" s="1"/>
  <c r="N2472" i="1"/>
  <c r="M71" i="8" s="1"/>
  <c r="N2520" i="1"/>
  <c r="M72" i="8" s="1"/>
  <c r="I2564" i="1"/>
  <c r="I2568" i="1" s="1"/>
  <c r="J2793" i="1"/>
  <c r="J2797" i="1" s="1"/>
  <c r="N2895" i="1"/>
  <c r="M80" i="8" s="1"/>
  <c r="I2891" i="1"/>
  <c r="I2895" i="1" s="1"/>
  <c r="I2468" i="1"/>
  <c r="I2472" i="1" s="1"/>
  <c r="I2516" i="1"/>
  <c r="I2520" i="1" s="1"/>
  <c r="J2564" i="1"/>
  <c r="J2568" i="1" s="1"/>
  <c r="N2797" i="1"/>
  <c r="M78" i="8" s="1"/>
  <c r="J2891" i="1"/>
  <c r="J2895" i="1" s="1"/>
  <c r="N2943" i="1"/>
  <c r="M81" i="8" s="1"/>
  <c r="J3063" i="1"/>
  <c r="J3067" i="1" s="1"/>
  <c r="M2793" i="1"/>
  <c r="M2797" i="1" s="1"/>
  <c r="N2374" i="1"/>
  <c r="M69" i="8" s="1"/>
  <c r="J2272" i="1"/>
  <c r="J2276" i="1" s="1"/>
  <c r="M2366" i="1"/>
  <c r="M2370" i="1" s="1"/>
  <c r="M2374" i="1" s="1"/>
  <c r="J2045" i="1"/>
  <c r="J2049" i="1" s="1"/>
  <c r="N2276" i="1"/>
  <c r="M67" i="8" s="1"/>
  <c r="I1997" i="1"/>
  <c r="I2001" i="1" s="1"/>
  <c r="N2228" i="1"/>
  <c r="M66" i="8" s="1"/>
  <c r="I2224" i="1"/>
  <c r="I2228" i="1" s="1"/>
  <c r="I2272" i="1"/>
  <c r="I2276" i="1" s="1"/>
  <c r="M2272" i="1"/>
  <c r="M2276" i="1" s="1"/>
  <c r="J1997" i="1"/>
  <c r="J2001" i="1" s="1"/>
  <c r="I1865" i="1"/>
  <c r="I1869" i="1" s="1"/>
  <c r="N2049" i="1"/>
  <c r="M62" i="8" s="1"/>
  <c r="N2001" i="1"/>
  <c r="M61" i="8" s="1"/>
  <c r="N1869" i="1"/>
  <c r="I2045" i="1"/>
  <c r="I2049" i="1" s="1"/>
  <c r="L2045" i="1"/>
  <c r="L2049" i="1" s="1"/>
  <c r="M1865" i="1"/>
  <c r="M1869" i="1" s="1"/>
  <c r="I1525" i="1"/>
  <c r="I1529" i="1" s="1"/>
  <c r="N1529" i="1"/>
  <c r="M51" i="8" s="1"/>
  <c r="J1525" i="1"/>
  <c r="J1529" i="1" s="1"/>
  <c r="L1525" i="1"/>
  <c r="L1529" i="1" s="1"/>
  <c r="M1525" i="1"/>
  <c r="M1529" i="1" s="1"/>
  <c r="I1340" i="1"/>
  <c r="I1344" i="1" s="1"/>
  <c r="N1344" i="1"/>
  <c r="J1340" i="1"/>
  <c r="J1344" i="1" s="1"/>
  <c r="L1340" i="1"/>
  <c r="L1344" i="1" s="1"/>
  <c r="L2516" i="1" l="1"/>
  <c r="L2520" i="1" s="1"/>
  <c r="L1865" i="1"/>
  <c r="L1869" i="1" s="1"/>
  <c r="L2564" i="1"/>
  <c r="L2568" i="1" s="1"/>
  <c r="L2468" i="1"/>
  <c r="L2472" i="1" s="1"/>
  <c r="L2793" i="1"/>
  <c r="L2797" i="1" s="1"/>
  <c r="L3063" i="1"/>
  <c r="L3067" i="1" s="1"/>
  <c r="L2224" i="1"/>
  <c r="L2228" i="1" s="1"/>
  <c r="L2891" i="1"/>
  <c r="L2895" i="1" s="1"/>
  <c r="L1997" i="1"/>
  <c r="L2001" i="1" s="1"/>
  <c r="L2272" i="1"/>
  <c r="L2276" i="1" s="1"/>
  <c r="L2939" i="1"/>
  <c r="L2943" i="1" s="1"/>
  <c r="G1104" i="1"/>
  <c r="G1108" i="1" s="1"/>
  <c r="F1104" i="1"/>
  <c r="F1108" i="1" s="1"/>
  <c r="E1104" i="1"/>
  <c r="E1108" i="1" s="1"/>
  <c r="D1104" i="1"/>
  <c r="D1108" i="1" s="1"/>
  <c r="N1101" i="1"/>
  <c r="N1104" i="1" s="1"/>
  <c r="M1099" i="1"/>
  <c r="L1097" i="1"/>
  <c r="J1095" i="1"/>
  <c r="K1095" i="1" s="1"/>
  <c r="K1104" i="1" s="1"/>
  <c r="K1108" i="1" s="1"/>
  <c r="I1093" i="1"/>
  <c r="J1093" i="1" s="1"/>
  <c r="I1091" i="1"/>
  <c r="G1089" i="1"/>
  <c r="H1089" i="1" s="1"/>
  <c r="H1104" i="1" s="1"/>
  <c r="H1108" i="1" s="1"/>
  <c r="F1088" i="1"/>
  <c r="F1087" i="1"/>
  <c r="G1087" i="1" s="1"/>
  <c r="E1086" i="1"/>
  <c r="E1085" i="1"/>
  <c r="F1085" i="1" s="1"/>
  <c r="D1084" i="1"/>
  <c r="E1083" i="1"/>
  <c r="D1082" i="1"/>
  <c r="E1082" i="1" s="1"/>
  <c r="F1082" i="1" s="1"/>
  <c r="G1082" i="1" s="1"/>
  <c r="H1082" i="1" s="1"/>
  <c r="I1082" i="1" s="1"/>
  <c r="J1082" i="1" s="1"/>
  <c r="K1082" i="1" s="1"/>
  <c r="L1082" i="1" s="1"/>
  <c r="M1082" i="1" s="1"/>
  <c r="N1082" i="1" s="1"/>
  <c r="E1076" i="1"/>
  <c r="F1076" i="1" s="1"/>
  <c r="G1076" i="1" s="1"/>
  <c r="H1076" i="1" s="1"/>
  <c r="I1076" i="1" s="1"/>
  <c r="J1076" i="1" s="1"/>
  <c r="K1076" i="1" s="1"/>
  <c r="L1076" i="1" s="1"/>
  <c r="M1076" i="1" s="1"/>
  <c r="N1076" i="1" s="1"/>
  <c r="E1071" i="1"/>
  <c r="F1071" i="1" s="1"/>
  <c r="G1071" i="1" s="1"/>
  <c r="H1071" i="1" s="1"/>
  <c r="I1071" i="1" s="1"/>
  <c r="J1071" i="1" s="1"/>
  <c r="K1071" i="1" s="1"/>
  <c r="L1071" i="1" s="1"/>
  <c r="M1071" i="1" s="1"/>
  <c r="N1071" i="1" s="1"/>
  <c r="N1069" i="1"/>
  <c r="M1069" i="1"/>
  <c r="L1069" i="1"/>
  <c r="B1066" i="1"/>
  <c r="E1065" i="1"/>
  <c r="F1065" i="1" s="1"/>
  <c r="G1065" i="1" s="1"/>
  <c r="H1065" i="1" s="1"/>
  <c r="I1065" i="1" s="1"/>
  <c r="J1065" i="1" s="1"/>
  <c r="K1065" i="1" s="1"/>
  <c r="L1065" i="1" s="1"/>
  <c r="M1065" i="1" s="1"/>
  <c r="N1065" i="1" s="1"/>
  <c r="G1006" i="1"/>
  <c r="G1010" i="1" s="1"/>
  <c r="F1006" i="1"/>
  <c r="F1010" i="1" s="1"/>
  <c r="E1006" i="1"/>
  <c r="E1010" i="1" s="1"/>
  <c r="D1006" i="1"/>
  <c r="D1010" i="1" s="1"/>
  <c r="N1003" i="1"/>
  <c r="N1006" i="1" s="1"/>
  <c r="M1001" i="1"/>
  <c r="L999" i="1"/>
  <c r="J997" i="1"/>
  <c r="K997" i="1" s="1"/>
  <c r="K1006" i="1" s="1"/>
  <c r="K1010" i="1" s="1"/>
  <c r="I995" i="1"/>
  <c r="J995" i="1" s="1"/>
  <c r="I993" i="1"/>
  <c r="G991" i="1"/>
  <c r="H991" i="1" s="1"/>
  <c r="H1006" i="1" s="1"/>
  <c r="H1010" i="1" s="1"/>
  <c r="F990" i="1"/>
  <c r="F989" i="1"/>
  <c r="G989" i="1" s="1"/>
  <c r="E988" i="1"/>
  <c r="E987" i="1"/>
  <c r="F987" i="1" s="1"/>
  <c r="D986" i="1"/>
  <c r="E985" i="1"/>
  <c r="D984" i="1"/>
  <c r="E984" i="1" s="1"/>
  <c r="F984" i="1" s="1"/>
  <c r="G984" i="1" s="1"/>
  <c r="H984" i="1" s="1"/>
  <c r="I984" i="1" s="1"/>
  <c r="J984" i="1" s="1"/>
  <c r="K984" i="1" s="1"/>
  <c r="L984" i="1" s="1"/>
  <c r="M984" i="1" s="1"/>
  <c r="N984" i="1" s="1"/>
  <c r="E978" i="1"/>
  <c r="F978" i="1" s="1"/>
  <c r="G978" i="1" s="1"/>
  <c r="H978" i="1" s="1"/>
  <c r="I978" i="1" s="1"/>
  <c r="J978" i="1" s="1"/>
  <c r="K978" i="1" s="1"/>
  <c r="L978" i="1" s="1"/>
  <c r="M978" i="1" s="1"/>
  <c r="N978" i="1" s="1"/>
  <c r="E973" i="1"/>
  <c r="F973" i="1" s="1"/>
  <c r="G973" i="1" s="1"/>
  <c r="H973" i="1" s="1"/>
  <c r="I973" i="1" s="1"/>
  <c r="J973" i="1" s="1"/>
  <c r="K973" i="1" s="1"/>
  <c r="L973" i="1" s="1"/>
  <c r="M973" i="1" s="1"/>
  <c r="N973" i="1" s="1"/>
  <c r="N971" i="1"/>
  <c r="L971" i="1"/>
  <c r="M971" i="1"/>
  <c r="B968" i="1"/>
  <c r="E967" i="1"/>
  <c r="F967" i="1" s="1"/>
  <c r="G967" i="1" s="1"/>
  <c r="H967" i="1" s="1"/>
  <c r="I967" i="1" s="1"/>
  <c r="J967" i="1" s="1"/>
  <c r="K967" i="1" s="1"/>
  <c r="L967" i="1" s="1"/>
  <c r="M967" i="1" s="1"/>
  <c r="N967" i="1" s="1"/>
  <c r="L1100" i="1" l="1"/>
  <c r="M1100" i="1" s="1"/>
  <c r="I1104" i="1"/>
  <c r="I1108" i="1" s="1"/>
  <c r="I1006" i="1"/>
  <c r="I1010" i="1" s="1"/>
  <c r="N1108" i="1"/>
  <c r="J1006" i="1"/>
  <c r="J1010" i="1" s="1"/>
  <c r="J1104" i="1"/>
  <c r="J1108" i="1" s="1"/>
  <c r="M1104" i="1"/>
  <c r="M1108" i="1" s="1"/>
  <c r="N1010" i="1"/>
  <c r="L1002" i="1"/>
  <c r="L1104" i="1" l="1"/>
  <c r="L1108" i="1" s="1"/>
  <c r="L1006" i="1"/>
  <c r="L1010" i="1" s="1"/>
  <c r="M1002" i="1"/>
  <c r="M1006" i="1" s="1"/>
  <c r="M1010" i="1" s="1"/>
  <c r="K742" i="1" l="1"/>
  <c r="J742" i="1"/>
  <c r="I742" i="1"/>
  <c r="H742" i="1"/>
  <c r="N777" i="1"/>
  <c r="E777" i="1"/>
  <c r="D777" i="1"/>
  <c r="M777" i="1"/>
  <c r="N774" i="1"/>
  <c r="M772" i="1"/>
  <c r="L770" i="1"/>
  <c r="L777" i="1" s="1"/>
  <c r="K768" i="1"/>
  <c r="K777" i="1" s="1"/>
  <c r="J766" i="1"/>
  <c r="J777" i="1" s="1"/>
  <c r="H762" i="1"/>
  <c r="F761" i="1"/>
  <c r="E759" i="1"/>
  <c r="D757" i="1"/>
  <c r="D755" i="1"/>
  <c r="E755" i="1" s="1"/>
  <c r="F755" i="1" s="1"/>
  <c r="G755" i="1" s="1"/>
  <c r="H755" i="1" s="1"/>
  <c r="I755" i="1" s="1"/>
  <c r="J755" i="1" s="1"/>
  <c r="K755" i="1" s="1"/>
  <c r="L755" i="1" s="1"/>
  <c r="M755" i="1" s="1"/>
  <c r="N755" i="1" s="1"/>
  <c r="K753" i="1"/>
  <c r="J753" i="1"/>
  <c r="I753" i="1"/>
  <c r="H753" i="1"/>
  <c r="G753" i="1"/>
  <c r="F753" i="1"/>
  <c r="E753" i="1"/>
  <c r="D753" i="1"/>
  <c r="D749" i="1"/>
  <c r="E749" i="1" s="1"/>
  <c r="F749" i="1" s="1"/>
  <c r="G749" i="1" s="1"/>
  <c r="H749" i="1" s="1"/>
  <c r="I749" i="1" s="1"/>
  <c r="J749" i="1" s="1"/>
  <c r="K749" i="1" s="1"/>
  <c r="L749" i="1" s="1"/>
  <c r="M749" i="1" s="1"/>
  <c r="N749" i="1" s="1"/>
  <c r="D744" i="1"/>
  <c r="E744" i="1" s="1"/>
  <c r="F744" i="1" s="1"/>
  <c r="G744" i="1" s="1"/>
  <c r="H744" i="1" s="1"/>
  <c r="I744" i="1" s="1"/>
  <c r="J744" i="1" s="1"/>
  <c r="K744" i="1" s="1"/>
  <c r="L744" i="1" s="1"/>
  <c r="M744" i="1" s="1"/>
  <c r="N744" i="1" s="1"/>
  <c r="G742" i="1"/>
  <c r="F742" i="1"/>
  <c r="E742" i="1"/>
  <c r="D742" i="1"/>
  <c r="N742" i="1"/>
  <c r="M742" i="1"/>
  <c r="L742" i="1"/>
  <c r="B739" i="1"/>
  <c r="D738" i="1"/>
  <c r="E738" i="1" s="1"/>
  <c r="F738" i="1" s="1"/>
  <c r="G738" i="1" s="1"/>
  <c r="H738" i="1" s="1"/>
  <c r="I738" i="1" s="1"/>
  <c r="J738" i="1" s="1"/>
  <c r="K738" i="1" s="1"/>
  <c r="L738" i="1" s="1"/>
  <c r="M738" i="1" s="1"/>
  <c r="N738" i="1" s="1"/>
  <c r="I598" i="1"/>
  <c r="H598" i="1"/>
  <c r="G598" i="1"/>
  <c r="F598" i="1"/>
  <c r="E598" i="1"/>
  <c r="D598" i="1"/>
  <c r="N591" i="1"/>
  <c r="I583" i="1"/>
  <c r="J583" i="1" s="1"/>
  <c r="I581" i="1"/>
  <c r="G579" i="1"/>
  <c r="H579" i="1" s="1"/>
  <c r="I579" i="1" s="1"/>
  <c r="F578" i="1"/>
  <c r="F577" i="1"/>
  <c r="G577" i="1" s="1"/>
  <c r="E576" i="1"/>
  <c r="E575" i="1"/>
  <c r="F575" i="1" s="1"/>
  <c r="D574" i="1"/>
  <c r="E573" i="1"/>
  <c r="D572" i="1"/>
  <c r="E572" i="1" s="1"/>
  <c r="F572" i="1" s="1"/>
  <c r="G572" i="1" s="1"/>
  <c r="H572" i="1" s="1"/>
  <c r="I572" i="1" s="1"/>
  <c r="J572" i="1" s="1"/>
  <c r="K572" i="1" s="1"/>
  <c r="L572" i="1" s="1"/>
  <c r="M572" i="1" s="1"/>
  <c r="N572" i="1" s="1"/>
  <c r="E566" i="1"/>
  <c r="F566" i="1" s="1"/>
  <c r="G566" i="1" s="1"/>
  <c r="H566" i="1" s="1"/>
  <c r="I566" i="1" s="1"/>
  <c r="J566" i="1" s="1"/>
  <c r="K566" i="1" s="1"/>
  <c r="L566" i="1" s="1"/>
  <c r="M566" i="1" s="1"/>
  <c r="N566" i="1" s="1"/>
  <c r="E561" i="1"/>
  <c r="F561" i="1" s="1"/>
  <c r="G561" i="1" s="1"/>
  <c r="H561" i="1" s="1"/>
  <c r="I561" i="1" s="1"/>
  <c r="J561" i="1" s="1"/>
  <c r="K561" i="1" s="1"/>
  <c r="L561" i="1" s="1"/>
  <c r="M561" i="1" s="1"/>
  <c r="N561" i="1" s="1"/>
  <c r="N559" i="1"/>
  <c r="M559" i="1"/>
  <c r="L559" i="1"/>
  <c r="K559" i="1"/>
  <c r="J559" i="1"/>
  <c r="B556" i="1"/>
  <c r="E555" i="1"/>
  <c r="F555" i="1" s="1"/>
  <c r="G555" i="1" s="1"/>
  <c r="H555" i="1" s="1"/>
  <c r="I555" i="1" s="1"/>
  <c r="J555" i="1" s="1"/>
  <c r="K555" i="1" s="1"/>
  <c r="L555" i="1" s="1"/>
  <c r="M555" i="1" s="1"/>
  <c r="N555" i="1" s="1"/>
  <c r="I550" i="1"/>
  <c r="H550" i="1"/>
  <c r="G550" i="1"/>
  <c r="F550" i="1"/>
  <c r="E550" i="1"/>
  <c r="D550" i="1"/>
  <c r="N543" i="1"/>
  <c r="I535" i="1"/>
  <c r="J535" i="1" s="1"/>
  <c r="I533" i="1"/>
  <c r="G531" i="1"/>
  <c r="H531" i="1" s="1"/>
  <c r="I531" i="1" s="1"/>
  <c r="F530" i="1"/>
  <c r="F529" i="1"/>
  <c r="G529" i="1" s="1"/>
  <c r="E528" i="1"/>
  <c r="E527" i="1"/>
  <c r="F527" i="1" s="1"/>
  <c r="D526" i="1"/>
  <c r="E525" i="1"/>
  <c r="D524" i="1"/>
  <c r="E524" i="1" s="1"/>
  <c r="F524" i="1" s="1"/>
  <c r="G524" i="1" s="1"/>
  <c r="H524" i="1" s="1"/>
  <c r="I524" i="1" s="1"/>
  <c r="J524" i="1" s="1"/>
  <c r="K524" i="1" s="1"/>
  <c r="L524" i="1" s="1"/>
  <c r="M524" i="1" s="1"/>
  <c r="N524" i="1" s="1"/>
  <c r="E518" i="1"/>
  <c r="F518" i="1" s="1"/>
  <c r="G518" i="1" s="1"/>
  <c r="H518" i="1" s="1"/>
  <c r="I518" i="1" s="1"/>
  <c r="J518" i="1" s="1"/>
  <c r="K518" i="1" s="1"/>
  <c r="L518" i="1" s="1"/>
  <c r="M518" i="1" s="1"/>
  <c r="N518" i="1" s="1"/>
  <c r="E513" i="1"/>
  <c r="F513" i="1" s="1"/>
  <c r="G513" i="1" s="1"/>
  <c r="H513" i="1" s="1"/>
  <c r="I513" i="1" s="1"/>
  <c r="J513" i="1" s="1"/>
  <c r="K513" i="1" s="1"/>
  <c r="L513" i="1" s="1"/>
  <c r="M513" i="1" s="1"/>
  <c r="N513" i="1" s="1"/>
  <c r="N511" i="1"/>
  <c r="M511" i="1"/>
  <c r="L511" i="1"/>
  <c r="K511" i="1"/>
  <c r="J511" i="1"/>
  <c r="B508" i="1"/>
  <c r="E507" i="1"/>
  <c r="F507" i="1" s="1"/>
  <c r="G507" i="1" s="1"/>
  <c r="H507" i="1" s="1"/>
  <c r="I507" i="1" s="1"/>
  <c r="J507" i="1" s="1"/>
  <c r="K507" i="1" s="1"/>
  <c r="L507" i="1" s="1"/>
  <c r="M507" i="1" s="1"/>
  <c r="N507" i="1" s="1"/>
  <c r="K463" i="1"/>
  <c r="I502" i="1"/>
  <c r="H502" i="1"/>
  <c r="G502" i="1"/>
  <c r="F502" i="1"/>
  <c r="E502" i="1"/>
  <c r="D502" i="1"/>
  <c r="N495" i="1"/>
  <c r="I487" i="1"/>
  <c r="J487" i="1" s="1"/>
  <c r="I485" i="1"/>
  <c r="G483" i="1"/>
  <c r="H483" i="1" s="1"/>
  <c r="I483" i="1" s="1"/>
  <c r="F482" i="1"/>
  <c r="F481" i="1"/>
  <c r="G481" i="1" s="1"/>
  <c r="E480" i="1"/>
  <c r="E479" i="1"/>
  <c r="F479" i="1" s="1"/>
  <c r="D478" i="1"/>
  <c r="E477" i="1"/>
  <c r="D476" i="1"/>
  <c r="E476" i="1" s="1"/>
  <c r="F476" i="1" s="1"/>
  <c r="G476" i="1" s="1"/>
  <c r="H476" i="1" s="1"/>
  <c r="I476" i="1" s="1"/>
  <c r="J476" i="1" s="1"/>
  <c r="K476" i="1" s="1"/>
  <c r="L476" i="1" s="1"/>
  <c r="M476" i="1" s="1"/>
  <c r="N476" i="1" s="1"/>
  <c r="E470" i="1"/>
  <c r="F470" i="1" s="1"/>
  <c r="G470" i="1" s="1"/>
  <c r="H470" i="1" s="1"/>
  <c r="I470" i="1" s="1"/>
  <c r="J470" i="1" s="1"/>
  <c r="K470" i="1" s="1"/>
  <c r="L470" i="1" s="1"/>
  <c r="M470" i="1" s="1"/>
  <c r="N470" i="1" s="1"/>
  <c r="E465" i="1"/>
  <c r="F465" i="1" s="1"/>
  <c r="G465" i="1" s="1"/>
  <c r="H465" i="1" s="1"/>
  <c r="I465" i="1" s="1"/>
  <c r="J465" i="1" s="1"/>
  <c r="K465" i="1" s="1"/>
  <c r="L465" i="1" s="1"/>
  <c r="M465" i="1" s="1"/>
  <c r="N465" i="1" s="1"/>
  <c r="N463" i="1"/>
  <c r="M463" i="1"/>
  <c r="J463" i="1"/>
  <c r="L463" i="1"/>
  <c r="B460" i="1"/>
  <c r="E459" i="1"/>
  <c r="F459" i="1" s="1"/>
  <c r="G459" i="1" s="1"/>
  <c r="H459" i="1" s="1"/>
  <c r="I459" i="1" s="1"/>
  <c r="J459" i="1" s="1"/>
  <c r="K459" i="1" s="1"/>
  <c r="L459" i="1" s="1"/>
  <c r="M459" i="1" s="1"/>
  <c r="N459" i="1" s="1"/>
  <c r="J355" i="1"/>
  <c r="I355" i="1"/>
  <c r="H355" i="1"/>
  <c r="G355" i="1"/>
  <c r="F355" i="1"/>
  <c r="E355" i="1"/>
  <c r="D355" i="1"/>
  <c r="N351" i="1"/>
  <c r="M351" i="1"/>
  <c r="N348" i="1"/>
  <c r="K344" i="1"/>
  <c r="L344" i="1" s="1"/>
  <c r="L351" i="1" s="1"/>
  <c r="J342" i="1"/>
  <c r="K342" i="1" s="1"/>
  <c r="I340" i="1"/>
  <c r="J340" i="1" s="1"/>
  <c r="I338" i="1"/>
  <c r="G336" i="1"/>
  <c r="H336" i="1" s="1"/>
  <c r="I336" i="1" s="1"/>
  <c r="F335" i="1"/>
  <c r="F334" i="1"/>
  <c r="G334" i="1" s="1"/>
  <c r="E333" i="1"/>
  <c r="E332" i="1"/>
  <c r="F332" i="1" s="1"/>
  <c r="D331" i="1"/>
  <c r="E330" i="1"/>
  <c r="D329" i="1"/>
  <c r="E329" i="1" s="1"/>
  <c r="F329" i="1" s="1"/>
  <c r="G329" i="1" s="1"/>
  <c r="H329" i="1" s="1"/>
  <c r="I329" i="1" s="1"/>
  <c r="J329" i="1" s="1"/>
  <c r="K329" i="1" s="1"/>
  <c r="L329" i="1" s="1"/>
  <c r="M329" i="1" s="1"/>
  <c r="N329" i="1" s="1"/>
  <c r="E323" i="1"/>
  <c r="F323" i="1" s="1"/>
  <c r="G323" i="1" s="1"/>
  <c r="H323" i="1" s="1"/>
  <c r="I323" i="1" s="1"/>
  <c r="J323" i="1" s="1"/>
  <c r="K323" i="1" s="1"/>
  <c r="L323" i="1" s="1"/>
  <c r="M323" i="1" s="1"/>
  <c r="N323" i="1" s="1"/>
  <c r="E318" i="1"/>
  <c r="F318" i="1" s="1"/>
  <c r="G318" i="1" s="1"/>
  <c r="H318" i="1" s="1"/>
  <c r="I318" i="1" s="1"/>
  <c r="J318" i="1" s="1"/>
  <c r="K318" i="1" s="1"/>
  <c r="L318" i="1" s="1"/>
  <c r="M318" i="1" s="1"/>
  <c r="N318" i="1" s="1"/>
  <c r="N316" i="1"/>
  <c r="M316" i="1"/>
  <c r="L316" i="1"/>
  <c r="B313" i="1"/>
  <c r="E312" i="1"/>
  <c r="F312" i="1" s="1"/>
  <c r="G312" i="1" s="1"/>
  <c r="H312" i="1" s="1"/>
  <c r="I312" i="1" s="1"/>
  <c r="J312" i="1" s="1"/>
  <c r="K312" i="1" s="1"/>
  <c r="L312" i="1" s="1"/>
  <c r="M312" i="1" s="1"/>
  <c r="N312" i="1" s="1"/>
  <c r="J306" i="1"/>
  <c r="I306" i="1"/>
  <c r="H306" i="1"/>
  <c r="G306" i="1"/>
  <c r="F306" i="1"/>
  <c r="E306" i="1"/>
  <c r="D306" i="1"/>
  <c r="N302" i="1"/>
  <c r="M302" i="1"/>
  <c r="N299" i="1"/>
  <c r="K295" i="1"/>
  <c r="L295" i="1" s="1"/>
  <c r="L302" i="1" s="1"/>
  <c r="J293" i="1"/>
  <c r="K293" i="1" s="1"/>
  <c r="I291" i="1"/>
  <c r="J291" i="1" s="1"/>
  <c r="I289" i="1"/>
  <c r="G287" i="1"/>
  <c r="H287" i="1" s="1"/>
  <c r="I287" i="1" s="1"/>
  <c r="F286" i="1"/>
  <c r="F285" i="1"/>
  <c r="G285" i="1" s="1"/>
  <c r="E284" i="1"/>
  <c r="E283" i="1"/>
  <c r="F283" i="1" s="1"/>
  <c r="D282" i="1"/>
  <c r="E281" i="1"/>
  <c r="D280" i="1"/>
  <c r="E280" i="1" s="1"/>
  <c r="F280" i="1" s="1"/>
  <c r="G280" i="1" s="1"/>
  <c r="H280" i="1" s="1"/>
  <c r="I280" i="1" s="1"/>
  <c r="J280" i="1" s="1"/>
  <c r="K280" i="1" s="1"/>
  <c r="L280" i="1" s="1"/>
  <c r="M280" i="1" s="1"/>
  <c r="N280" i="1" s="1"/>
  <c r="E274" i="1"/>
  <c r="F274" i="1" s="1"/>
  <c r="G274" i="1" s="1"/>
  <c r="H274" i="1" s="1"/>
  <c r="I274" i="1" s="1"/>
  <c r="J274" i="1" s="1"/>
  <c r="K274" i="1" s="1"/>
  <c r="L274" i="1" s="1"/>
  <c r="M274" i="1" s="1"/>
  <c r="N274" i="1" s="1"/>
  <c r="E269" i="1"/>
  <c r="F269" i="1" s="1"/>
  <c r="G269" i="1" s="1"/>
  <c r="H269" i="1" s="1"/>
  <c r="I269" i="1" s="1"/>
  <c r="J269" i="1" s="1"/>
  <c r="K269" i="1" s="1"/>
  <c r="L269" i="1" s="1"/>
  <c r="M269" i="1" s="1"/>
  <c r="N269" i="1" s="1"/>
  <c r="N267" i="1"/>
  <c r="M267" i="1"/>
  <c r="L267" i="1"/>
  <c r="B264" i="1"/>
  <c r="E263" i="1"/>
  <c r="F263" i="1" s="1"/>
  <c r="G263" i="1" s="1"/>
  <c r="H263" i="1" s="1"/>
  <c r="I263" i="1" s="1"/>
  <c r="J263" i="1" s="1"/>
  <c r="K263" i="1" s="1"/>
  <c r="L263" i="1" s="1"/>
  <c r="M263" i="1" s="1"/>
  <c r="N263" i="1" s="1"/>
  <c r="N1150" i="1"/>
  <c r="L1149" i="1"/>
  <c r="M1148" i="1"/>
  <c r="K1147" i="1"/>
  <c r="L1146" i="1"/>
  <c r="L1153" i="1" s="1"/>
  <c r="J1145" i="1"/>
  <c r="K1144" i="1"/>
  <c r="K1153" i="1" s="1"/>
  <c r="I1143" i="1"/>
  <c r="J1142" i="1"/>
  <c r="J1153" i="1" s="1"/>
  <c r="B1142" i="1"/>
  <c r="H1141" i="1"/>
  <c r="B1141" i="1"/>
  <c r="I1140" i="1"/>
  <c r="I1153" i="1" s="1"/>
  <c r="B1140" i="1"/>
  <c r="G1139" i="1"/>
  <c r="B1139" i="1"/>
  <c r="G1138" i="1"/>
  <c r="H1138" i="1" s="1"/>
  <c r="H1153" i="1" s="1"/>
  <c r="B1138" i="1"/>
  <c r="F1137" i="1"/>
  <c r="B1137" i="1"/>
  <c r="F1136" i="1"/>
  <c r="G1136" i="1" s="1"/>
  <c r="G1153" i="1" s="1"/>
  <c r="B1136" i="1"/>
  <c r="E1135" i="1"/>
  <c r="B1135" i="1"/>
  <c r="E1134" i="1"/>
  <c r="F1134" i="1" s="1"/>
  <c r="F1153" i="1" s="1"/>
  <c r="B1134" i="1"/>
  <c r="D1133" i="1"/>
  <c r="B1133" i="1"/>
  <c r="D1132" i="1"/>
  <c r="E1132" i="1" s="1"/>
  <c r="B1132" i="1"/>
  <c r="D1131" i="1"/>
  <c r="E1131" i="1" s="1"/>
  <c r="F1131" i="1" s="1"/>
  <c r="G1131" i="1" s="1"/>
  <c r="H1131" i="1" s="1"/>
  <c r="I1131" i="1" s="1"/>
  <c r="J1131" i="1" s="1"/>
  <c r="K1131" i="1" s="1"/>
  <c r="L1131" i="1" s="1"/>
  <c r="M1131" i="1" s="1"/>
  <c r="N1131" i="1" s="1"/>
  <c r="N1129" i="1"/>
  <c r="M1129" i="1"/>
  <c r="L1129" i="1"/>
  <c r="K1129" i="1"/>
  <c r="J1129" i="1"/>
  <c r="I1129" i="1"/>
  <c r="H1129" i="1"/>
  <c r="G1129" i="1"/>
  <c r="F1129" i="1"/>
  <c r="E1129" i="1"/>
  <c r="D1129" i="1"/>
  <c r="N1118" i="1"/>
  <c r="M1118" i="1"/>
  <c r="L1118" i="1"/>
  <c r="B1115" i="1"/>
  <c r="D1114" i="1"/>
  <c r="E1114" i="1" s="1"/>
  <c r="J257" i="1"/>
  <c r="I257" i="1"/>
  <c r="H257" i="1"/>
  <c r="G257" i="1"/>
  <c r="F257" i="1"/>
  <c r="E257" i="1"/>
  <c r="D257" i="1"/>
  <c r="N253" i="1"/>
  <c r="M253" i="1"/>
  <c r="N250" i="1"/>
  <c r="K246" i="1"/>
  <c r="L246" i="1" s="1"/>
  <c r="L253" i="1" s="1"/>
  <c r="J244" i="1"/>
  <c r="K244" i="1" s="1"/>
  <c r="I242" i="1"/>
  <c r="J242" i="1" s="1"/>
  <c r="I240" i="1"/>
  <c r="G238" i="1"/>
  <c r="H238" i="1" s="1"/>
  <c r="I238" i="1" s="1"/>
  <c r="F237" i="1"/>
  <c r="F236" i="1"/>
  <c r="G236" i="1" s="1"/>
  <c r="E235" i="1"/>
  <c r="E234" i="1"/>
  <c r="F234" i="1" s="1"/>
  <c r="D233" i="1"/>
  <c r="E232" i="1"/>
  <c r="D231" i="1"/>
  <c r="E231" i="1" s="1"/>
  <c r="F231" i="1" s="1"/>
  <c r="G231" i="1" s="1"/>
  <c r="H231" i="1" s="1"/>
  <c r="I231" i="1" s="1"/>
  <c r="J231" i="1" s="1"/>
  <c r="K231" i="1" s="1"/>
  <c r="L231" i="1" s="1"/>
  <c r="M231" i="1" s="1"/>
  <c r="N231" i="1" s="1"/>
  <c r="E225" i="1"/>
  <c r="F225" i="1" s="1"/>
  <c r="G225" i="1" s="1"/>
  <c r="H225" i="1" s="1"/>
  <c r="I225" i="1" s="1"/>
  <c r="J225" i="1" s="1"/>
  <c r="K225" i="1" s="1"/>
  <c r="L225" i="1" s="1"/>
  <c r="M225" i="1" s="1"/>
  <c r="N225" i="1" s="1"/>
  <c r="E220" i="1"/>
  <c r="F220" i="1" s="1"/>
  <c r="G220" i="1" s="1"/>
  <c r="H220" i="1" s="1"/>
  <c r="I220" i="1" s="1"/>
  <c r="J220" i="1" s="1"/>
  <c r="K220" i="1" s="1"/>
  <c r="L220" i="1" s="1"/>
  <c r="M220" i="1" s="1"/>
  <c r="N220" i="1" s="1"/>
  <c r="N218" i="1"/>
  <c r="L218" i="1"/>
  <c r="M218" i="1"/>
  <c r="B215" i="1"/>
  <c r="E214" i="1"/>
  <c r="F214" i="1" s="1"/>
  <c r="G214" i="1" s="1"/>
  <c r="H214" i="1" s="1"/>
  <c r="I214" i="1" s="1"/>
  <c r="J214" i="1" s="1"/>
  <c r="K214" i="1" s="1"/>
  <c r="L214" i="1" s="1"/>
  <c r="M214" i="1" s="1"/>
  <c r="N214" i="1" s="1"/>
  <c r="N550" i="1" l="1"/>
  <c r="M30" i="8" s="1"/>
  <c r="N502" i="1"/>
  <c r="M29" i="8" s="1"/>
  <c r="N781" i="1"/>
  <c r="M35" i="8" s="1"/>
  <c r="H764" i="1"/>
  <c r="I764" i="1" s="1"/>
  <c r="I777" i="1" s="1"/>
  <c r="E758" i="1"/>
  <c r="F758" i="1" s="1"/>
  <c r="K491" i="1"/>
  <c r="L491" i="1" s="1"/>
  <c r="L498" i="1" s="1"/>
  <c r="L502" i="1" s="1"/>
  <c r="K539" i="1"/>
  <c r="L539" i="1" s="1"/>
  <c r="L546" i="1" s="1"/>
  <c r="K587" i="1"/>
  <c r="L587" i="1" s="1"/>
  <c r="L594" i="1" s="1"/>
  <c r="L598" i="1" s="1"/>
  <c r="M781" i="1"/>
  <c r="M598" i="1"/>
  <c r="L781" i="1"/>
  <c r="H777" i="1"/>
  <c r="D756" i="1"/>
  <c r="E756" i="1" s="1"/>
  <c r="F760" i="1"/>
  <c r="G760" i="1" s="1"/>
  <c r="G777" i="1" s="1"/>
  <c r="E1153" i="1"/>
  <c r="M306" i="1"/>
  <c r="G1157" i="1"/>
  <c r="K1157" i="1"/>
  <c r="N598" i="1"/>
  <c r="M31" i="8" s="1"/>
  <c r="N306" i="1"/>
  <c r="M25" i="8" s="1"/>
  <c r="M355" i="1"/>
  <c r="J585" i="1"/>
  <c r="K585" i="1" s="1"/>
  <c r="K351" i="1"/>
  <c r="K355" i="1" s="1"/>
  <c r="M550" i="1"/>
  <c r="L550" i="1"/>
  <c r="J537" i="1"/>
  <c r="K537" i="1" s="1"/>
  <c r="K546" i="1" s="1"/>
  <c r="K550" i="1" s="1"/>
  <c r="M502" i="1"/>
  <c r="J489" i="1"/>
  <c r="K302" i="1"/>
  <c r="K306" i="1" s="1"/>
  <c r="N355" i="1"/>
  <c r="M26" i="8" s="1"/>
  <c r="H1157" i="1"/>
  <c r="L1157" i="1"/>
  <c r="N257" i="1"/>
  <c r="M24" i="8" s="1"/>
  <c r="L355" i="1"/>
  <c r="L306" i="1"/>
  <c r="I1157" i="1"/>
  <c r="K253" i="1"/>
  <c r="K257" i="1" s="1"/>
  <c r="F1157" i="1"/>
  <c r="J1157" i="1"/>
  <c r="D1153" i="1"/>
  <c r="M1153" i="1"/>
  <c r="D1120" i="1"/>
  <c r="D1125" i="1"/>
  <c r="M257" i="1"/>
  <c r="F1114" i="1"/>
  <c r="E1120" i="1"/>
  <c r="E1125" i="1"/>
  <c r="L257" i="1"/>
  <c r="K594" i="1" l="1"/>
  <c r="K598" i="1" s="1"/>
  <c r="E1157" i="1"/>
  <c r="J594" i="1"/>
  <c r="J598" i="1" s="1"/>
  <c r="N1153" i="1"/>
  <c r="J546" i="1"/>
  <c r="J550" i="1" s="1"/>
  <c r="J498" i="1"/>
  <c r="J502" i="1" s="1"/>
  <c r="K489" i="1"/>
  <c r="K498" i="1" s="1"/>
  <c r="K502" i="1" s="1"/>
  <c r="D1157" i="1"/>
  <c r="M1157" i="1"/>
  <c r="N1157" i="1"/>
  <c r="F1125" i="1"/>
  <c r="F1120" i="1"/>
  <c r="G1114" i="1"/>
  <c r="N823" i="1"/>
  <c r="M400" i="1"/>
  <c r="N397" i="1"/>
  <c r="M160" i="1"/>
  <c r="N157" i="1"/>
  <c r="M111" i="1"/>
  <c r="N108" i="1"/>
  <c r="G1125" i="1" l="1"/>
  <c r="G1120" i="1"/>
  <c r="H1114" i="1"/>
  <c r="I1114" i="1" l="1"/>
  <c r="H1125" i="1"/>
  <c r="H1120" i="1"/>
  <c r="M2842" i="1"/>
  <c r="N2839" i="1"/>
  <c r="N1055" i="1"/>
  <c r="M1053" i="1"/>
  <c r="M1055" i="1" s="1"/>
  <c r="N1052" i="1"/>
  <c r="M1050" i="1"/>
  <c r="L1048" i="1"/>
  <c r="N449" i="1"/>
  <c r="M447" i="1"/>
  <c r="M449" i="1" s="1"/>
  <c r="N448" i="1"/>
  <c r="N727" i="1"/>
  <c r="M727" i="1"/>
  <c r="N724" i="1"/>
  <c r="N1813" i="1"/>
  <c r="N1763" i="1"/>
  <c r="M1761" i="1"/>
  <c r="L1759" i="1"/>
  <c r="N1571" i="1"/>
  <c r="M1569" i="1"/>
  <c r="L1570" i="1"/>
  <c r="L1567" i="1"/>
  <c r="K1568" i="1"/>
  <c r="K1565" i="1"/>
  <c r="N1202" i="1"/>
  <c r="N1206" i="1" s="1"/>
  <c r="M1202" i="1"/>
  <c r="L1202" i="1"/>
  <c r="L1206" i="1" s="1"/>
  <c r="G1202" i="1"/>
  <c r="G1206" i="1" s="1"/>
  <c r="F1202" i="1"/>
  <c r="F1206" i="1" s="1"/>
  <c r="E1202" i="1"/>
  <c r="E1206" i="1" s="1"/>
  <c r="D1202" i="1"/>
  <c r="D1206" i="1" s="1"/>
  <c r="N1201" i="1"/>
  <c r="M1199" i="1"/>
  <c r="L1197" i="1"/>
  <c r="K1195" i="1"/>
  <c r="L1195" i="1" s="1"/>
  <c r="K1193" i="1"/>
  <c r="K1202" i="1" s="1"/>
  <c r="K1206" i="1" s="1"/>
  <c r="I1191" i="1"/>
  <c r="J1191" i="1" s="1"/>
  <c r="J1202" i="1" s="1"/>
  <c r="J1206" i="1" s="1"/>
  <c r="I1189" i="1"/>
  <c r="G1187" i="1"/>
  <c r="H1187" i="1" s="1"/>
  <c r="F1186" i="1"/>
  <c r="F1185" i="1"/>
  <c r="G1185" i="1" s="1"/>
  <c r="E1184" i="1"/>
  <c r="E1183" i="1"/>
  <c r="F1183" i="1" s="1"/>
  <c r="D1182" i="1"/>
  <c r="E1181" i="1"/>
  <c r="D1180" i="1"/>
  <c r="E1180" i="1" s="1"/>
  <c r="F1180" i="1" s="1"/>
  <c r="G1180" i="1" s="1"/>
  <c r="H1180" i="1" s="1"/>
  <c r="I1180" i="1" s="1"/>
  <c r="J1180" i="1" s="1"/>
  <c r="K1180" i="1" s="1"/>
  <c r="L1180" i="1" s="1"/>
  <c r="M1180" i="1" s="1"/>
  <c r="N1180" i="1" s="1"/>
  <c r="D1174" i="1"/>
  <c r="E1174" i="1" s="1"/>
  <c r="F1174" i="1" s="1"/>
  <c r="G1174" i="1" s="1"/>
  <c r="H1174" i="1" s="1"/>
  <c r="I1174" i="1" s="1"/>
  <c r="J1174" i="1" s="1"/>
  <c r="K1174" i="1" s="1"/>
  <c r="L1174" i="1" s="1"/>
  <c r="M1174" i="1" s="1"/>
  <c r="N1174" i="1" s="1"/>
  <c r="D1169" i="1"/>
  <c r="E1169" i="1" s="1"/>
  <c r="F1169" i="1" s="1"/>
  <c r="G1169" i="1" s="1"/>
  <c r="H1169" i="1" s="1"/>
  <c r="I1169" i="1" s="1"/>
  <c r="J1169" i="1" s="1"/>
  <c r="K1169" i="1" s="1"/>
  <c r="L1169" i="1" s="1"/>
  <c r="M1169" i="1" s="1"/>
  <c r="N1169" i="1" s="1"/>
  <c r="M1167" i="1"/>
  <c r="B1164" i="1"/>
  <c r="D1163" i="1"/>
  <c r="E1163" i="1" s="1"/>
  <c r="F1163" i="1" s="1"/>
  <c r="G1163" i="1" s="1"/>
  <c r="H1163" i="1" s="1"/>
  <c r="I1163" i="1" s="1"/>
  <c r="J1163" i="1" s="1"/>
  <c r="K1163" i="1" s="1"/>
  <c r="L1163" i="1" s="1"/>
  <c r="M1163" i="1" s="1"/>
  <c r="N1163" i="1" s="1"/>
  <c r="N1249" i="1"/>
  <c r="M1247" i="1"/>
  <c r="N1247" i="1" s="1"/>
  <c r="L1245" i="1"/>
  <c r="M1245" i="1" s="1"/>
  <c r="K1243" i="1"/>
  <c r="L1243" i="1" s="1"/>
  <c r="K1241" i="1"/>
  <c r="N913" i="1"/>
  <c r="N916" i="1" s="1"/>
  <c r="M911" i="1"/>
  <c r="N2176" i="1"/>
  <c r="N2173" i="1"/>
  <c r="M1197" i="1" l="1"/>
  <c r="N1199" i="1"/>
  <c r="J1114" i="1"/>
  <c r="I1125" i="1"/>
  <c r="I1120" i="1"/>
  <c r="M1206" i="1"/>
  <c r="I1202" i="1"/>
  <c r="I1206" i="1" s="1"/>
  <c r="H1202" i="1"/>
  <c r="H1206" i="1" s="1"/>
  <c r="I1187" i="1"/>
  <c r="M2171" i="1"/>
  <c r="M2176" i="1" s="1"/>
  <c r="D9" i="6"/>
  <c r="B48" i="6"/>
  <c r="B4" i="6"/>
  <c r="J1125" i="1" l="1"/>
  <c r="J1120" i="1"/>
  <c r="K1114" i="1"/>
  <c r="C20" i="6"/>
  <c r="K1125" i="1" l="1"/>
  <c r="K1120" i="1"/>
  <c r="L1114" i="1"/>
  <c r="M1215" i="1"/>
  <c r="M1114" i="1" l="1"/>
  <c r="L1125" i="1"/>
  <c r="L1120" i="1"/>
  <c r="D1228" i="1"/>
  <c r="E1228" i="1" s="1"/>
  <c r="F1228" i="1" s="1"/>
  <c r="G1228" i="1" s="1"/>
  <c r="H1228" i="1" s="1"/>
  <c r="I1228" i="1" s="1"/>
  <c r="J1228" i="1" s="1"/>
  <c r="K1228" i="1" s="1"/>
  <c r="L1228" i="1" s="1"/>
  <c r="M1228" i="1" s="1"/>
  <c r="N1228" i="1" s="1"/>
  <c r="D1222" i="1"/>
  <c r="E1222" i="1" s="1"/>
  <c r="F1222" i="1" s="1"/>
  <c r="G1222" i="1" s="1"/>
  <c r="H1222" i="1" s="1"/>
  <c r="I1222" i="1" s="1"/>
  <c r="J1222" i="1" s="1"/>
  <c r="K1222" i="1" s="1"/>
  <c r="L1222" i="1" s="1"/>
  <c r="M1222" i="1" s="1"/>
  <c r="N1222" i="1" s="1"/>
  <c r="D1217" i="1"/>
  <c r="E1217" i="1" s="1"/>
  <c r="F1217" i="1" s="1"/>
  <c r="G1217" i="1" s="1"/>
  <c r="H1217" i="1" s="1"/>
  <c r="I1217" i="1" s="1"/>
  <c r="J1217" i="1" s="1"/>
  <c r="K1217" i="1" s="1"/>
  <c r="L1217" i="1" s="1"/>
  <c r="M1217" i="1" s="1"/>
  <c r="N1217" i="1" s="1"/>
  <c r="D1211" i="1"/>
  <c r="E1211" i="1" s="1"/>
  <c r="F1211" i="1" s="1"/>
  <c r="G1211" i="1" s="1"/>
  <c r="H1211" i="1" s="1"/>
  <c r="I1211" i="1" s="1"/>
  <c r="J1211" i="1" s="1"/>
  <c r="K1211" i="1" s="1"/>
  <c r="L1211" i="1" s="1"/>
  <c r="M1211" i="1" s="1"/>
  <c r="N1211" i="1" s="1"/>
  <c r="N2141" i="1"/>
  <c r="N881" i="1"/>
  <c r="N1114" i="1" l="1"/>
  <c r="M1120" i="1"/>
  <c r="M1125" i="1"/>
  <c r="N791" i="1"/>
  <c r="N125" i="1"/>
  <c r="M880" i="1"/>
  <c r="E2148" i="1"/>
  <c r="F2148" i="1" s="1"/>
  <c r="G2148" i="1" s="1"/>
  <c r="H2148" i="1" s="1"/>
  <c r="I2148" i="1" s="1"/>
  <c r="J2148" i="1" s="1"/>
  <c r="K2148" i="1" s="1"/>
  <c r="L2148" i="1" s="1"/>
  <c r="M2148" i="1" s="1"/>
  <c r="N2148" i="1" s="1"/>
  <c r="E2143" i="1"/>
  <c r="F2143" i="1" s="1"/>
  <c r="G2143" i="1" s="1"/>
  <c r="H2143" i="1" s="1"/>
  <c r="I2143" i="1" s="1"/>
  <c r="J2143" i="1" s="1"/>
  <c r="K2143" i="1" s="1"/>
  <c r="L2143" i="1" s="1"/>
  <c r="M2143" i="1" s="1"/>
  <c r="N2143" i="1" s="1"/>
  <c r="E2137" i="1"/>
  <c r="F2137" i="1" s="1"/>
  <c r="G2137" i="1" s="1"/>
  <c r="H2137" i="1" s="1"/>
  <c r="I2137" i="1" s="1"/>
  <c r="J2137" i="1" s="1"/>
  <c r="K2137" i="1" s="1"/>
  <c r="L2137" i="1" s="1"/>
  <c r="M2137" i="1" s="1"/>
  <c r="N2137" i="1" s="1"/>
  <c r="E888" i="1"/>
  <c r="F888" i="1" s="1"/>
  <c r="G888" i="1" s="1"/>
  <c r="H888" i="1" s="1"/>
  <c r="I888" i="1" s="1"/>
  <c r="J888" i="1" s="1"/>
  <c r="K888" i="1" s="1"/>
  <c r="L888" i="1" s="1"/>
  <c r="M888" i="1" s="1"/>
  <c r="N888" i="1" s="1"/>
  <c r="E883" i="1"/>
  <c r="F883" i="1" s="1"/>
  <c r="G883" i="1" s="1"/>
  <c r="H883" i="1" s="1"/>
  <c r="I883" i="1" s="1"/>
  <c r="J883" i="1" s="1"/>
  <c r="K883" i="1" s="1"/>
  <c r="L883" i="1" s="1"/>
  <c r="M883" i="1" s="1"/>
  <c r="N883" i="1" s="1"/>
  <c r="E877" i="1"/>
  <c r="F877" i="1" s="1"/>
  <c r="G877" i="1" s="1"/>
  <c r="H877" i="1" s="1"/>
  <c r="I877" i="1" s="1"/>
  <c r="J877" i="1" s="1"/>
  <c r="K877" i="1" s="1"/>
  <c r="L877" i="1" s="1"/>
  <c r="M877" i="1" s="1"/>
  <c r="N877" i="1" s="1"/>
  <c r="E798" i="1"/>
  <c r="F798" i="1" s="1"/>
  <c r="G798" i="1" s="1"/>
  <c r="H798" i="1" s="1"/>
  <c r="I798" i="1" s="1"/>
  <c r="J798" i="1" s="1"/>
  <c r="K798" i="1" s="1"/>
  <c r="L798" i="1" s="1"/>
  <c r="M798" i="1" s="1"/>
  <c r="N798" i="1" s="1"/>
  <c r="E793" i="1"/>
  <c r="F793" i="1" s="1"/>
  <c r="G793" i="1" s="1"/>
  <c r="H793" i="1" s="1"/>
  <c r="I793" i="1" s="1"/>
  <c r="J793" i="1" s="1"/>
  <c r="K793" i="1" s="1"/>
  <c r="L793" i="1" s="1"/>
  <c r="M793" i="1" s="1"/>
  <c r="N793" i="1" s="1"/>
  <c r="E787" i="1"/>
  <c r="F787" i="1" s="1"/>
  <c r="G787" i="1" s="1"/>
  <c r="H787" i="1" s="1"/>
  <c r="I787" i="1" s="1"/>
  <c r="J787" i="1" s="1"/>
  <c r="K787" i="1" s="1"/>
  <c r="L787" i="1" s="1"/>
  <c r="M787" i="1" s="1"/>
  <c r="N787" i="1" s="1"/>
  <c r="E372" i="1"/>
  <c r="F372" i="1" s="1"/>
  <c r="G372" i="1" s="1"/>
  <c r="H372" i="1" s="1"/>
  <c r="I372" i="1" s="1"/>
  <c r="J372" i="1" s="1"/>
  <c r="K372" i="1" s="1"/>
  <c r="L372" i="1" s="1"/>
  <c r="M372" i="1" s="1"/>
  <c r="N372" i="1" s="1"/>
  <c r="E367" i="1"/>
  <c r="F367" i="1" s="1"/>
  <c r="G367" i="1" s="1"/>
  <c r="H367" i="1" s="1"/>
  <c r="I367" i="1" s="1"/>
  <c r="J367" i="1" s="1"/>
  <c r="K367" i="1" s="1"/>
  <c r="L367" i="1" s="1"/>
  <c r="M367" i="1" s="1"/>
  <c r="N367" i="1" s="1"/>
  <c r="E361" i="1"/>
  <c r="F361" i="1" s="1"/>
  <c r="G361" i="1" s="1"/>
  <c r="H361" i="1" s="1"/>
  <c r="I361" i="1" s="1"/>
  <c r="J361" i="1" s="1"/>
  <c r="K361" i="1" s="1"/>
  <c r="L361" i="1" s="1"/>
  <c r="M361" i="1" s="1"/>
  <c r="N361" i="1" s="1"/>
  <c r="E132" i="1"/>
  <c r="F132" i="1" s="1"/>
  <c r="G132" i="1" s="1"/>
  <c r="H132" i="1" s="1"/>
  <c r="I132" i="1" s="1"/>
  <c r="J132" i="1" s="1"/>
  <c r="K132" i="1" s="1"/>
  <c r="L132" i="1" s="1"/>
  <c r="M132" i="1" s="1"/>
  <c r="N132" i="1" s="1"/>
  <c r="E127" i="1"/>
  <c r="F127" i="1" s="1"/>
  <c r="G127" i="1" s="1"/>
  <c r="H127" i="1" s="1"/>
  <c r="I127" i="1" s="1"/>
  <c r="J127" i="1" s="1"/>
  <c r="K127" i="1" s="1"/>
  <c r="L127" i="1" s="1"/>
  <c r="M127" i="1" s="1"/>
  <c r="N127" i="1" s="1"/>
  <c r="E121" i="1"/>
  <c r="F121" i="1" s="1"/>
  <c r="G121" i="1" s="1"/>
  <c r="H121" i="1" s="1"/>
  <c r="I121" i="1" s="1"/>
  <c r="J121" i="1" s="1"/>
  <c r="K121" i="1" s="1"/>
  <c r="L121" i="1" s="1"/>
  <c r="M121" i="1" s="1"/>
  <c r="N121" i="1" s="1"/>
  <c r="E83" i="1"/>
  <c r="E78" i="1"/>
  <c r="F78" i="1" s="1"/>
  <c r="G78" i="1" s="1"/>
  <c r="H78" i="1" s="1"/>
  <c r="I78" i="1" s="1"/>
  <c r="J78" i="1" s="1"/>
  <c r="K78" i="1" s="1"/>
  <c r="L78" i="1" s="1"/>
  <c r="M78" i="1" s="1"/>
  <c r="N78" i="1" s="1"/>
  <c r="E72" i="1"/>
  <c r="F72" i="1" s="1"/>
  <c r="G72" i="1" s="1"/>
  <c r="H72" i="1" s="1"/>
  <c r="I72" i="1" s="1"/>
  <c r="J72" i="1" s="1"/>
  <c r="K72" i="1" s="1"/>
  <c r="L72" i="1" s="1"/>
  <c r="M72" i="1" s="1"/>
  <c r="N72" i="1" s="1"/>
  <c r="M826" i="1"/>
  <c r="M364" i="1"/>
  <c r="M125" i="1"/>
  <c r="M2384" i="1"/>
  <c r="M1031" i="1"/>
  <c r="M1020" i="1"/>
  <c r="M444" i="1"/>
  <c r="M425" i="1"/>
  <c r="M414" i="1"/>
  <c r="M722" i="1"/>
  <c r="M692" i="1"/>
  <c r="M2818" i="1"/>
  <c r="M2807" i="1"/>
  <c r="M2608" i="1"/>
  <c r="M2589" i="1"/>
  <c r="M2578" i="1"/>
  <c r="M1674" i="1"/>
  <c r="M1639" i="1"/>
  <c r="M1434" i="1"/>
  <c r="M1410" i="1"/>
  <c r="M1399" i="1"/>
  <c r="M1624" i="1"/>
  <c r="M1600" i="1"/>
  <c r="M1589" i="1"/>
  <c r="M2321" i="1"/>
  <c r="M2297" i="1"/>
  <c r="M2286" i="1"/>
  <c r="M1383" i="1"/>
  <c r="M1365" i="1"/>
  <c r="M1354" i="1"/>
  <c r="M186" i="1"/>
  <c r="M175" i="1"/>
  <c r="M1811" i="1"/>
  <c r="M1792" i="1"/>
  <c r="M1781" i="1"/>
  <c r="M1742" i="1"/>
  <c r="M1731" i="1"/>
  <c r="M1550" i="1"/>
  <c r="M1539" i="1"/>
  <c r="N365" i="1"/>
  <c r="N76" i="1"/>
  <c r="L76" i="1"/>
  <c r="M881" i="1" l="1"/>
  <c r="M2140" i="1"/>
  <c r="M2141" i="1" s="1"/>
  <c r="M365" i="1"/>
  <c r="M790" i="1"/>
  <c r="M791" i="1" s="1"/>
  <c r="M830" i="1" s="1"/>
  <c r="L36" i="8" s="1"/>
  <c r="M2415" i="1"/>
  <c r="M115" i="1"/>
  <c r="L21" i="8" s="1"/>
  <c r="M2609" i="1"/>
  <c r="M2317" i="1"/>
  <c r="F83" i="1"/>
  <c r="N1125" i="1"/>
  <c r="N1120" i="1"/>
  <c r="M2846" i="1"/>
  <c r="M208" i="1"/>
  <c r="M2180" i="1"/>
  <c r="M1059" i="1"/>
  <c r="M2325" i="1"/>
  <c r="M1438" i="1"/>
  <c r="L49" i="8" s="1"/>
  <c r="M731" i="1"/>
  <c r="L34" i="8" s="1"/>
  <c r="M1678" i="1"/>
  <c r="M1628" i="1"/>
  <c r="M1387" i="1"/>
  <c r="M164" i="1"/>
  <c r="L22" i="8" s="1"/>
  <c r="M404" i="1" l="1"/>
  <c r="M453" i="1"/>
  <c r="G83" i="1"/>
  <c r="H83" i="1" s="1"/>
  <c r="I83" i="1" s="1"/>
  <c r="J83" i="1" s="1"/>
  <c r="K83" i="1" s="1"/>
  <c r="L83" i="1" s="1"/>
  <c r="M83" i="1" s="1"/>
  <c r="N83" i="1" s="1"/>
  <c r="J781" i="1"/>
  <c r="F781" i="1"/>
  <c r="G781" i="1"/>
  <c r="I781" i="1"/>
  <c r="E781" i="1"/>
  <c r="H781" i="1"/>
  <c r="D781" i="1"/>
  <c r="K781" i="1"/>
  <c r="M912" i="1"/>
  <c r="L44" i="6" s="1"/>
  <c r="N1020" i="1"/>
  <c r="N414" i="1"/>
  <c r="N692" i="1"/>
  <c r="N2807" i="1"/>
  <c r="L2578" i="1"/>
  <c r="N1639" i="1"/>
  <c r="N1589" i="1"/>
  <c r="N1781" i="1"/>
  <c r="N1731" i="1"/>
  <c r="M1816" i="1" l="1"/>
  <c r="M1820" i="1" s="1"/>
  <c r="L57" i="8" s="1"/>
  <c r="N1766" i="1"/>
  <c r="N1770" i="1" s="1"/>
  <c r="M916" i="1"/>
  <c r="M920" i="1" s="1"/>
  <c r="L38" i="8" s="1"/>
  <c r="N1539" i="1"/>
  <c r="M1766" i="1" l="1"/>
  <c r="M1574" i="1"/>
  <c r="M1578" i="1" s="1"/>
  <c r="M1770" i="1"/>
  <c r="L56" i="8" s="1"/>
  <c r="C6" i="6"/>
  <c r="D6" i="6" l="1"/>
  <c r="C22" i="6"/>
  <c r="C16" i="6"/>
  <c r="C11" i="6"/>
  <c r="C48" i="6"/>
  <c r="E6" i="6" l="1"/>
  <c r="D48" i="6"/>
  <c r="D11" i="6"/>
  <c r="D22" i="6"/>
  <c r="D16" i="6"/>
  <c r="L880" i="1"/>
  <c r="L881" i="1" s="1"/>
  <c r="K880" i="1"/>
  <c r="F6" i="6" l="1"/>
  <c r="E11" i="6"/>
  <c r="E16" i="6"/>
  <c r="E48" i="6"/>
  <c r="E22" i="6"/>
  <c r="L1020" i="1"/>
  <c r="L414" i="1"/>
  <c r="L692" i="1"/>
  <c r="L1639" i="1"/>
  <c r="L1399" i="1"/>
  <c r="L1589" i="1"/>
  <c r="L2286" i="1"/>
  <c r="L1781" i="1"/>
  <c r="L1731" i="1"/>
  <c r="L1539" i="1"/>
  <c r="G6" i="6" l="1"/>
  <c r="F16" i="6"/>
  <c r="F22" i="6"/>
  <c r="F11" i="6"/>
  <c r="F48" i="6"/>
  <c r="H6" i="6" l="1"/>
  <c r="G22" i="6"/>
  <c r="G48" i="6"/>
  <c r="G16" i="6"/>
  <c r="G11" i="6"/>
  <c r="K153" i="1"/>
  <c r="I6" i="6" l="1"/>
  <c r="H48" i="6"/>
  <c r="H11" i="6"/>
  <c r="H22" i="6"/>
  <c r="H16" i="6"/>
  <c r="N2180" i="1"/>
  <c r="M65" i="8" s="1"/>
  <c r="E2155" i="1"/>
  <c r="L909" i="1"/>
  <c r="L916" i="1" s="1"/>
  <c r="K819" i="1"/>
  <c r="N826" i="1"/>
  <c r="N830" i="1" s="1"/>
  <c r="M36" i="8" s="1"/>
  <c r="J830" i="1"/>
  <c r="N400" i="1"/>
  <c r="N404" i="1" s="1"/>
  <c r="M27" i="8" s="1"/>
  <c r="K393" i="1"/>
  <c r="L393" i="1" s="1"/>
  <c r="L400" i="1" s="1"/>
  <c r="L153" i="1"/>
  <c r="L160" i="1" s="1"/>
  <c r="N160" i="1"/>
  <c r="N164" i="1" s="1"/>
  <c r="M22" i="8" s="1"/>
  <c r="N111" i="1"/>
  <c r="E90" i="1"/>
  <c r="D91" i="1"/>
  <c r="E92" i="1"/>
  <c r="E93" i="1"/>
  <c r="F94" i="1"/>
  <c r="F95" i="1"/>
  <c r="G96" i="1"/>
  <c r="I98" i="1"/>
  <c r="K124" i="1"/>
  <c r="K2384" i="1"/>
  <c r="L2384" i="1"/>
  <c r="N2384" i="1"/>
  <c r="F92" i="1" l="1"/>
  <c r="H96" i="1"/>
  <c r="G94" i="1"/>
  <c r="J6" i="6"/>
  <c r="I11" i="6"/>
  <c r="I16" i="6"/>
  <c r="I48" i="6"/>
  <c r="I22" i="6"/>
  <c r="N115" i="1"/>
  <c r="M21" i="8" s="1"/>
  <c r="L819" i="1"/>
  <c r="L826" i="1" s="1"/>
  <c r="K790" i="1"/>
  <c r="K364" i="1"/>
  <c r="K104" i="1"/>
  <c r="L1055" i="1"/>
  <c r="E1034" i="1"/>
  <c r="D1035" i="1"/>
  <c r="E1037" i="1"/>
  <c r="F1039" i="1"/>
  <c r="H1040" i="1"/>
  <c r="I1040" i="1" s="1"/>
  <c r="G1041" i="1"/>
  <c r="J1044" i="1"/>
  <c r="K1046" i="1"/>
  <c r="K1055" i="1" s="1"/>
  <c r="L425" i="1"/>
  <c r="N425" i="1"/>
  <c r="N446" i="1"/>
  <c r="L442" i="1"/>
  <c r="L449" i="1" s="1"/>
  <c r="L720" i="1"/>
  <c r="L727" i="1" s="1"/>
  <c r="L2842" i="1"/>
  <c r="L104" i="1" l="1"/>
  <c r="I96" i="1"/>
  <c r="K6" i="6"/>
  <c r="L6" i="6" s="1"/>
  <c r="L48" i="6" s="1"/>
  <c r="J16" i="6"/>
  <c r="J22" i="6"/>
  <c r="J11" i="6"/>
  <c r="J48" i="6"/>
  <c r="L111" i="1" l="1"/>
  <c r="N453" i="1"/>
  <c r="M28" i="8" s="1"/>
  <c r="L22" i="6"/>
  <c r="L11" i="6"/>
  <c r="M6" i="6"/>
  <c r="L16" i="6"/>
  <c r="K22" i="6"/>
  <c r="K16" i="6"/>
  <c r="K11" i="6"/>
  <c r="K48" i="6"/>
  <c r="N2608" i="1"/>
  <c r="L2606" i="1"/>
  <c r="L2613" i="1" s="1"/>
  <c r="K2604" i="1"/>
  <c r="K2613" i="1" s="1"/>
  <c r="E2592" i="1"/>
  <c r="D2593" i="1"/>
  <c r="F2594" i="1"/>
  <c r="E2595" i="1"/>
  <c r="G2596" i="1"/>
  <c r="F2597" i="1"/>
  <c r="H2598" i="1"/>
  <c r="G2599" i="1"/>
  <c r="H2601" i="1"/>
  <c r="E1653" i="1"/>
  <c r="D1654" i="1"/>
  <c r="F1655" i="1"/>
  <c r="E1656" i="1"/>
  <c r="G1657" i="1"/>
  <c r="F1658" i="1"/>
  <c r="H1659" i="1"/>
  <c r="I1659" i="1" s="1"/>
  <c r="G1660" i="1"/>
  <c r="I1661" i="1"/>
  <c r="I1664" i="1"/>
  <c r="N2321" i="1"/>
  <c r="L2321" i="1"/>
  <c r="K2321" i="1"/>
  <c r="J2321" i="1"/>
  <c r="N1383" i="1"/>
  <c r="L1550" i="1"/>
  <c r="L1809" i="1"/>
  <c r="L1816" i="1" s="1"/>
  <c r="K1807" i="1"/>
  <c r="K1816" i="1" s="1"/>
  <c r="D1796" i="1"/>
  <c r="E1798" i="1"/>
  <c r="F1800" i="1"/>
  <c r="J1805" i="1"/>
  <c r="J1816" i="1" s="1"/>
  <c r="L1766" i="1"/>
  <c r="K1757" i="1"/>
  <c r="K1766" i="1" s="1"/>
  <c r="E1745" i="1"/>
  <c r="D1746" i="1"/>
  <c r="D1766" i="1" s="1"/>
  <c r="E1748" i="1"/>
  <c r="F1750" i="1"/>
  <c r="J1755" i="1"/>
  <c r="J1766" i="1" s="1"/>
  <c r="M48" i="6" l="1"/>
  <c r="M11" i="6"/>
  <c r="M22" i="6"/>
  <c r="M16" i="6"/>
  <c r="M2613" i="1"/>
  <c r="M2617" i="1" l="1"/>
  <c r="L1574" i="1"/>
  <c r="J1566" i="1"/>
  <c r="K1574" i="1"/>
  <c r="J1563" i="1"/>
  <c r="J1574" i="1" s="1"/>
  <c r="B1563" i="1"/>
  <c r="B1562" i="1"/>
  <c r="B1561" i="1"/>
  <c r="B1560" i="1"/>
  <c r="B1559" i="1"/>
  <c r="B1558" i="1"/>
  <c r="B1557" i="1"/>
  <c r="B1556" i="1"/>
  <c r="B1555" i="1"/>
  <c r="B1554" i="1"/>
  <c r="B1553" i="1"/>
  <c r="E1553" i="1"/>
  <c r="D1554" i="1"/>
  <c r="D1574" i="1" s="1"/>
  <c r="E1556" i="1"/>
  <c r="F1558" i="1"/>
  <c r="H1561" i="1"/>
  <c r="I1564" i="1"/>
  <c r="I1561" i="1" l="1"/>
  <c r="I1574" i="1" s="1"/>
  <c r="N1550" i="1" l="1"/>
  <c r="N1742" i="1"/>
  <c r="N1792" i="1"/>
  <c r="N175" i="1"/>
  <c r="N186" i="1"/>
  <c r="N1354" i="1"/>
  <c r="N1365" i="1"/>
  <c r="N2286" i="1"/>
  <c r="N2297" i="1"/>
  <c r="N1600" i="1"/>
  <c r="N1624" i="1"/>
  <c r="N1399" i="1"/>
  <c r="N1410" i="1"/>
  <c r="N1434" i="1"/>
  <c r="N1674" i="1"/>
  <c r="N2578" i="1"/>
  <c r="N2589" i="1"/>
  <c r="N2818" i="1"/>
  <c r="N1031" i="1"/>
  <c r="N2846" i="1" l="1"/>
  <c r="M79" i="8" s="1"/>
  <c r="N1578" i="1"/>
  <c r="N208" i="1"/>
  <c r="N1820" i="1"/>
  <c r="M57" i="8" s="1"/>
  <c r="N731" i="1"/>
  <c r="N1387" i="1"/>
  <c r="N1438" i="1"/>
  <c r="M49" i="8" s="1"/>
  <c r="N1678" i="1"/>
  <c r="N2325" i="1"/>
  <c r="M68" i="8" s="1"/>
  <c r="N1628" i="1"/>
  <c r="M20" i="6"/>
  <c r="N1059" i="1" l="1"/>
  <c r="E1229" i="1"/>
  <c r="D1230" i="1"/>
  <c r="E1231" i="1"/>
  <c r="F1231" i="1" s="1"/>
  <c r="E1232" i="1"/>
  <c r="F1233" i="1"/>
  <c r="G1233" i="1" s="1"/>
  <c r="F1234" i="1"/>
  <c r="G1235" i="1"/>
  <c r="H1235" i="1" s="1"/>
  <c r="I1235" i="1" s="1"/>
  <c r="I1237" i="1"/>
  <c r="I1239" i="1"/>
  <c r="J1239" i="1" s="1"/>
  <c r="D1250" i="1"/>
  <c r="E1250" i="1"/>
  <c r="F1250" i="1"/>
  <c r="G1250" i="1"/>
  <c r="J1250" i="1" l="1"/>
  <c r="J1254" i="1" s="1"/>
  <c r="M1250" i="1"/>
  <c r="M1254" i="1" s="1"/>
  <c r="K1250" i="1" l="1"/>
  <c r="K1254" i="1" s="1"/>
  <c r="K201" i="1"/>
  <c r="D2822" i="1"/>
  <c r="E2824" i="1"/>
  <c r="F2826" i="1"/>
  <c r="I2831" i="1"/>
  <c r="J2831" i="1" s="1"/>
  <c r="K2833" i="1"/>
  <c r="K2842" i="1" s="1"/>
  <c r="L1250" i="1" l="1"/>
  <c r="L1254" i="1" s="1"/>
  <c r="N1250" i="1"/>
  <c r="N1254" i="1" s="1"/>
  <c r="J1055" i="1"/>
  <c r="D707" i="1"/>
  <c r="E709" i="1"/>
  <c r="F711" i="1"/>
  <c r="H712" i="1"/>
  <c r="J716" i="1"/>
  <c r="J727" i="1" s="1"/>
  <c r="K718" i="1"/>
  <c r="K727" i="1" s="1"/>
  <c r="J440" i="1"/>
  <c r="J1031" i="1"/>
  <c r="K1031" i="1"/>
  <c r="L1031" i="1"/>
  <c r="J2384" i="1"/>
  <c r="E428" i="1"/>
  <c r="D429" i="1"/>
  <c r="E431" i="1"/>
  <c r="F433" i="1"/>
  <c r="H434" i="1"/>
  <c r="I434" i="1" s="1"/>
  <c r="J438" i="1"/>
  <c r="J425" i="1"/>
  <c r="K425" i="1"/>
  <c r="E139" i="1"/>
  <c r="D140" i="1"/>
  <c r="E141" i="1"/>
  <c r="E142" i="1"/>
  <c r="F143" i="1"/>
  <c r="F144" i="1"/>
  <c r="G145" i="1"/>
  <c r="I147" i="1"/>
  <c r="I149" i="1"/>
  <c r="J149" i="1" s="1"/>
  <c r="J151" i="1"/>
  <c r="K151" i="1" s="1"/>
  <c r="K160" i="1" s="1"/>
  <c r="K164" i="1" s="1"/>
  <c r="J22" i="8" s="1"/>
  <c r="J365" i="1"/>
  <c r="G143" i="1" l="1"/>
  <c r="H145" i="1"/>
  <c r="F141" i="1"/>
  <c r="K440" i="1"/>
  <c r="K449" i="1" s="1"/>
  <c r="J449" i="1"/>
  <c r="K1059" i="1"/>
  <c r="J1059" i="1"/>
  <c r="E379" i="1"/>
  <c r="D380" i="1"/>
  <c r="E381" i="1"/>
  <c r="F381" i="1" s="1"/>
  <c r="E382" i="1"/>
  <c r="F383" i="1"/>
  <c r="G383" i="1" s="1"/>
  <c r="F384" i="1"/>
  <c r="G385" i="1"/>
  <c r="H385" i="1" s="1"/>
  <c r="I385" i="1" s="1"/>
  <c r="I387" i="1"/>
  <c r="I389" i="1"/>
  <c r="J389" i="1" s="1"/>
  <c r="I145" i="1" l="1"/>
  <c r="K453" i="1"/>
  <c r="J453" i="1"/>
  <c r="E805" i="1"/>
  <c r="D806" i="1"/>
  <c r="E807" i="1"/>
  <c r="F807" i="1" s="1"/>
  <c r="E808" i="1"/>
  <c r="F809" i="1"/>
  <c r="G809" i="1" s="1"/>
  <c r="F810" i="1"/>
  <c r="G811" i="1"/>
  <c r="I813" i="1"/>
  <c r="I815" i="1"/>
  <c r="J815" i="1" s="1"/>
  <c r="J817" i="1"/>
  <c r="K817" i="1" s="1"/>
  <c r="K826" i="1" s="1"/>
  <c r="K830" i="1" s="1"/>
  <c r="H811" i="1" l="1"/>
  <c r="K2169" i="1"/>
  <c r="D2156" i="1"/>
  <c r="E2157" i="1"/>
  <c r="F2157" i="1" s="1"/>
  <c r="E2158" i="1"/>
  <c r="F2159" i="1"/>
  <c r="G2159" i="1" s="1"/>
  <c r="F2160" i="1"/>
  <c r="G2161" i="1"/>
  <c r="H2161" i="1" s="1"/>
  <c r="I2161" i="1" s="1"/>
  <c r="I2163" i="1"/>
  <c r="K2167" i="1"/>
  <c r="K2176" i="1" l="1"/>
  <c r="K2180" i="1" s="1"/>
  <c r="L2169" i="1"/>
  <c r="I2165" i="1"/>
  <c r="J2165" i="1" s="1"/>
  <c r="J2176" i="1" s="1"/>
  <c r="L2176" i="1" l="1"/>
  <c r="K1674" i="1"/>
  <c r="L1674" i="1"/>
  <c r="L1678" i="1" s="1"/>
  <c r="K2818" i="1"/>
  <c r="L2818" i="1"/>
  <c r="L2589" i="1"/>
  <c r="I1424" i="1"/>
  <c r="K1410" i="1"/>
  <c r="L1410" i="1"/>
  <c r="K1434" i="1"/>
  <c r="L1434" i="1"/>
  <c r="I1614" i="1"/>
  <c r="K1600" i="1"/>
  <c r="L1600" i="1"/>
  <c r="K1624" i="1"/>
  <c r="L1624" i="1"/>
  <c r="I2311" i="1"/>
  <c r="K2297" i="1"/>
  <c r="L2297" i="1"/>
  <c r="K1380" i="1"/>
  <c r="K1365" i="1"/>
  <c r="L1365" i="1"/>
  <c r="L1354" i="1"/>
  <c r="K1382" i="1"/>
  <c r="L1382" i="1" s="1"/>
  <c r="L1383" i="1" s="1"/>
  <c r="K186" i="1"/>
  <c r="L186" i="1"/>
  <c r="K203" i="1"/>
  <c r="L175" i="1"/>
  <c r="K1792" i="1"/>
  <c r="L1792" i="1"/>
  <c r="K1742" i="1"/>
  <c r="L1742" i="1"/>
  <c r="K1550" i="1"/>
  <c r="K2846" i="1" l="1"/>
  <c r="L1628" i="1"/>
  <c r="K1628" i="1"/>
  <c r="L2617" i="1"/>
  <c r="K1678" i="1"/>
  <c r="K1383" i="1"/>
  <c r="L203" i="1"/>
  <c r="K204" i="1"/>
  <c r="N2613" i="1"/>
  <c r="N2617" i="1" s="1"/>
  <c r="L1387" i="1"/>
  <c r="L1770" i="1"/>
  <c r="K1578" i="1" l="1"/>
  <c r="L204" i="1"/>
  <c r="K208" i="1"/>
  <c r="K1387" i="1"/>
  <c r="K9" i="6"/>
  <c r="L208" i="1" l="1"/>
  <c r="K20" i="6"/>
  <c r="A22" i="8" l="1"/>
  <c r="A24" i="8"/>
  <c r="A25" i="8"/>
  <c r="A26" i="8"/>
  <c r="A27" i="8"/>
  <c r="A28" i="8"/>
  <c r="A29" i="8"/>
  <c r="A30" i="8"/>
  <c r="A31" i="8"/>
  <c r="A34" i="8"/>
  <c r="A35" i="8"/>
  <c r="A36" i="8"/>
  <c r="A38" i="8"/>
  <c r="A40" i="8"/>
  <c r="A41" i="8"/>
  <c r="A42" i="8"/>
  <c r="A43" i="8"/>
  <c r="A44" i="8"/>
  <c r="A45" i="8"/>
  <c r="A47" i="8"/>
  <c r="A49" i="8"/>
  <c r="A51" i="8"/>
  <c r="A52" i="8"/>
  <c r="A53" i="8"/>
  <c r="A54" i="8"/>
  <c r="A56" i="8"/>
  <c r="A57" i="8"/>
  <c r="J1674" i="1" l="1"/>
  <c r="J1434" i="1"/>
  <c r="J1624" i="1"/>
  <c r="K1820" i="1"/>
  <c r="K1770" i="1"/>
  <c r="J9" i="6"/>
  <c r="J907" i="1" l="1"/>
  <c r="K907" i="1" s="1"/>
  <c r="K916" i="1" s="1"/>
  <c r="B2138" i="1"/>
  <c r="G1254" i="1"/>
  <c r="F1254" i="1"/>
  <c r="E1254" i="1"/>
  <c r="D1254" i="1"/>
  <c r="I1250" i="1"/>
  <c r="H1250" i="1"/>
  <c r="B1212" i="1"/>
  <c r="G2176" i="1"/>
  <c r="G2180" i="1" s="1"/>
  <c r="F2176" i="1"/>
  <c r="F2180" i="1" s="1"/>
  <c r="E2176" i="1"/>
  <c r="E2180" i="1" s="1"/>
  <c r="D2176" i="1"/>
  <c r="D2180" i="1" s="1"/>
  <c r="H2176" i="1"/>
  <c r="D2154" i="1"/>
  <c r="E2154" i="1" s="1"/>
  <c r="F2154" i="1" s="1"/>
  <c r="G2154" i="1" s="1"/>
  <c r="H2154" i="1" s="1"/>
  <c r="I2154" i="1" s="1"/>
  <c r="J2154" i="1" s="1"/>
  <c r="K2154" i="1" s="1"/>
  <c r="L2154" i="1" s="1"/>
  <c r="M2154" i="1" s="1"/>
  <c r="N2154" i="1" s="1"/>
  <c r="J391" i="1"/>
  <c r="J76" i="1"/>
  <c r="J102" i="1" l="1"/>
  <c r="K920" i="1"/>
  <c r="K391" i="1"/>
  <c r="K400" i="1" s="1"/>
  <c r="K404" i="1" s="1"/>
  <c r="J400" i="1"/>
  <c r="I2176" i="1"/>
  <c r="I2180" i="1" s="1"/>
  <c r="I1254" i="1"/>
  <c r="H1254" i="1"/>
  <c r="H2180" i="1"/>
  <c r="K102" i="1" l="1"/>
  <c r="J2180" i="1"/>
  <c r="G916" i="1"/>
  <c r="G920" i="1" s="1"/>
  <c r="F916" i="1"/>
  <c r="F920" i="1" s="1"/>
  <c r="E916" i="1"/>
  <c r="E920" i="1" s="1"/>
  <c r="D916" i="1"/>
  <c r="D920" i="1" s="1"/>
  <c r="I905" i="1"/>
  <c r="I903" i="1"/>
  <c r="G901" i="1"/>
  <c r="F900" i="1"/>
  <c r="F899" i="1"/>
  <c r="G899" i="1" s="1"/>
  <c r="E898" i="1"/>
  <c r="E897" i="1"/>
  <c r="F897" i="1" s="1"/>
  <c r="D896" i="1"/>
  <c r="E895" i="1"/>
  <c r="D894" i="1"/>
  <c r="E894" i="1" s="1"/>
  <c r="F894" i="1" s="1"/>
  <c r="G894" i="1" s="1"/>
  <c r="H894" i="1" s="1"/>
  <c r="I894" i="1" s="1"/>
  <c r="J894" i="1" s="1"/>
  <c r="K894" i="1" s="1"/>
  <c r="L894" i="1" s="1"/>
  <c r="M894" i="1" s="1"/>
  <c r="N894" i="1" s="1"/>
  <c r="B878" i="1"/>
  <c r="G830" i="1"/>
  <c r="F830" i="1"/>
  <c r="E830" i="1"/>
  <c r="D830" i="1"/>
  <c r="D804" i="1"/>
  <c r="E804" i="1" s="1"/>
  <c r="F804" i="1" s="1"/>
  <c r="G804" i="1" s="1"/>
  <c r="H804" i="1" s="1"/>
  <c r="I804" i="1" s="1"/>
  <c r="J804" i="1" s="1"/>
  <c r="K804" i="1" s="1"/>
  <c r="L804" i="1" s="1"/>
  <c r="M804" i="1" s="1"/>
  <c r="N804" i="1" s="1"/>
  <c r="B788" i="1"/>
  <c r="G404" i="1"/>
  <c r="F404" i="1"/>
  <c r="E404" i="1"/>
  <c r="D404" i="1"/>
  <c r="H404" i="1"/>
  <c r="D378" i="1"/>
  <c r="E378" i="1" s="1"/>
  <c r="F378" i="1" s="1"/>
  <c r="G378" i="1" s="1"/>
  <c r="H378" i="1" s="1"/>
  <c r="I378" i="1" s="1"/>
  <c r="J378" i="1" s="1"/>
  <c r="K378" i="1" s="1"/>
  <c r="L378" i="1" s="1"/>
  <c r="M378" i="1" s="1"/>
  <c r="N378" i="1" s="1"/>
  <c r="B362" i="1"/>
  <c r="G164" i="1"/>
  <c r="F22" i="8" s="1"/>
  <c r="F164" i="1"/>
  <c r="E22" i="8" s="1"/>
  <c r="E164" i="1"/>
  <c r="D22" i="8" s="1"/>
  <c r="D164" i="1"/>
  <c r="C22" i="8" s="1"/>
  <c r="D138" i="1"/>
  <c r="E138" i="1" s="1"/>
  <c r="F138" i="1" s="1"/>
  <c r="G138" i="1" s="1"/>
  <c r="H138" i="1" s="1"/>
  <c r="I138" i="1" s="1"/>
  <c r="J138" i="1" s="1"/>
  <c r="K138" i="1" s="1"/>
  <c r="L138" i="1" s="1"/>
  <c r="M138" i="1" s="1"/>
  <c r="N138" i="1" s="1"/>
  <c r="B122" i="1"/>
  <c r="G115" i="1"/>
  <c r="F21" i="8" s="1"/>
  <c r="F115" i="1"/>
  <c r="E21" i="8" s="1"/>
  <c r="E115" i="1"/>
  <c r="D21" i="8" s="1"/>
  <c r="D115" i="1"/>
  <c r="C21" i="8" s="1"/>
  <c r="I100" i="1"/>
  <c r="D89" i="1"/>
  <c r="E89" i="1" s="1"/>
  <c r="F89" i="1" s="1"/>
  <c r="G89" i="1" s="1"/>
  <c r="H89" i="1" s="1"/>
  <c r="I89" i="1" s="1"/>
  <c r="J89" i="1" s="1"/>
  <c r="K89" i="1" s="1"/>
  <c r="L89" i="1" s="1"/>
  <c r="M89" i="1" s="1"/>
  <c r="N89" i="1" s="1"/>
  <c r="B73" i="1"/>
  <c r="J703" i="1"/>
  <c r="K703" i="1"/>
  <c r="K731" i="1" s="1"/>
  <c r="I2384" i="1"/>
  <c r="J2297" i="1"/>
  <c r="K111" i="1" l="1"/>
  <c r="K115" i="1" s="1"/>
  <c r="J21" i="8" s="1"/>
  <c r="H901" i="1"/>
  <c r="H916" i="1" s="1"/>
  <c r="H920" i="1" s="1"/>
  <c r="J100" i="1"/>
  <c r="I916" i="1"/>
  <c r="I920" i="1" s="1"/>
  <c r="J2325" i="1"/>
  <c r="J115" i="1"/>
  <c r="I21" i="8" s="1"/>
  <c r="J164" i="1"/>
  <c r="I22" i="8" s="1"/>
  <c r="J404" i="1"/>
  <c r="J905" i="1"/>
  <c r="J916" i="1" s="1"/>
  <c r="I115" i="1"/>
  <c r="H21" i="8" s="1"/>
  <c r="I830" i="1"/>
  <c r="I404" i="1"/>
  <c r="I164" i="1"/>
  <c r="H22" i="8" s="1"/>
  <c r="H830" i="1"/>
  <c r="H164" i="1"/>
  <c r="G22" i="8" s="1"/>
  <c r="H115" i="1"/>
  <c r="G21" i="8" s="1"/>
  <c r="J731" i="1" l="1"/>
  <c r="J920" i="1"/>
  <c r="J1410" i="1" l="1"/>
  <c r="J1600" i="1"/>
  <c r="J1365" i="1"/>
  <c r="J186" i="1"/>
  <c r="J1628" i="1" l="1"/>
  <c r="J1438" i="1"/>
  <c r="I2408" i="1"/>
  <c r="J2408" i="1" s="1"/>
  <c r="K2589" i="1"/>
  <c r="J2419" i="1" l="1"/>
  <c r="J2423" i="1" s="1"/>
  <c r="M2419" i="1"/>
  <c r="M2423" i="1" s="1"/>
  <c r="J20" i="6"/>
  <c r="H2829" i="1"/>
  <c r="I2829" i="1" s="1"/>
  <c r="K2419" i="1" l="1"/>
  <c r="G1559" i="1"/>
  <c r="F1557" i="1"/>
  <c r="G1557" i="1" s="1"/>
  <c r="E1555" i="1"/>
  <c r="E1747" i="1"/>
  <c r="F1749" i="1"/>
  <c r="G1749" i="1" s="1"/>
  <c r="G1751" i="1"/>
  <c r="H1751" i="1" s="1"/>
  <c r="H1753" i="1"/>
  <c r="D1795" i="1"/>
  <c r="E1795" i="1" s="1"/>
  <c r="E1797" i="1"/>
  <c r="F1797" i="1" s="1"/>
  <c r="F1799" i="1"/>
  <c r="G1799" i="1" s="1"/>
  <c r="G1801" i="1"/>
  <c r="H1801" i="1" s="1"/>
  <c r="H1803" i="1"/>
  <c r="I1803" i="1" s="1"/>
  <c r="I1816" i="1" s="1"/>
  <c r="H2578" i="1"/>
  <c r="H714" i="1"/>
  <c r="H436" i="1"/>
  <c r="H1559" i="1" l="1"/>
  <c r="H1574" i="1" s="1"/>
  <c r="I436" i="1"/>
  <c r="K2423" i="1"/>
  <c r="J44" i="6"/>
  <c r="H2600" i="1"/>
  <c r="I2600" i="1" s="1"/>
  <c r="G1574" i="1"/>
  <c r="I1753" i="1"/>
  <c r="I1766" i="1" s="1"/>
  <c r="N2419" i="1"/>
  <c r="N2423" i="1" s="1"/>
  <c r="L2419" i="1"/>
  <c r="L2423" i="1" s="1"/>
  <c r="I2602" i="1"/>
  <c r="J2602" i="1" s="1"/>
  <c r="F1747" i="1"/>
  <c r="F1766" i="1" s="1"/>
  <c r="E1766" i="1"/>
  <c r="H1816" i="1"/>
  <c r="F1555" i="1"/>
  <c r="F1574" i="1" s="1"/>
  <c r="E1574" i="1"/>
  <c r="G1816" i="1"/>
  <c r="H1766" i="1"/>
  <c r="G1766" i="1"/>
  <c r="I714" i="1"/>
  <c r="I727" i="1" s="1"/>
  <c r="H727" i="1"/>
  <c r="H1042" i="1"/>
  <c r="I1042" i="1" s="1"/>
  <c r="I449" i="1" l="1"/>
  <c r="J2613" i="1"/>
  <c r="K44" i="6"/>
  <c r="J2818" i="1"/>
  <c r="I1611" i="1"/>
  <c r="G1375" i="1"/>
  <c r="B1378" i="1"/>
  <c r="H1377" i="1"/>
  <c r="B1377" i="1"/>
  <c r="H198" i="1"/>
  <c r="G196" i="1"/>
  <c r="B199" i="1"/>
  <c r="B198" i="1"/>
  <c r="E9" i="6" l="1"/>
  <c r="F9" i="6"/>
  <c r="E2384" i="1"/>
  <c r="F2384" i="1"/>
  <c r="G2384" i="1"/>
  <c r="D2384" i="1"/>
  <c r="E1020" i="1"/>
  <c r="F1020" i="1"/>
  <c r="G1020" i="1"/>
  <c r="D1020" i="1"/>
  <c r="E414" i="1"/>
  <c r="F414" i="1"/>
  <c r="G414" i="1"/>
  <c r="D414" i="1"/>
  <c r="E692" i="1"/>
  <c r="F692" i="1"/>
  <c r="G692" i="1"/>
  <c r="D692" i="1"/>
  <c r="E2807" i="1"/>
  <c r="F2807" i="1"/>
  <c r="G2807" i="1"/>
  <c r="D2807" i="1"/>
  <c r="E2578" i="1"/>
  <c r="F2578" i="1"/>
  <c r="G2578" i="1"/>
  <c r="D2578" i="1"/>
  <c r="D1639" i="1"/>
  <c r="D1399" i="1"/>
  <c r="D1589" i="1"/>
  <c r="H1422" i="1"/>
  <c r="F2825" i="1" l="1"/>
  <c r="G2825" i="1" s="1"/>
  <c r="F432" i="1"/>
  <c r="E2823" i="1"/>
  <c r="F2823" i="1" s="1"/>
  <c r="E430" i="1"/>
  <c r="F430" i="1" s="1"/>
  <c r="D2821" i="1"/>
  <c r="E2821" i="1" s="1"/>
  <c r="D706" i="1"/>
  <c r="E706" i="1" s="1"/>
  <c r="F710" i="1"/>
  <c r="G710" i="1" s="1"/>
  <c r="F1038" i="1"/>
  <c r="G1038" i="1" s="1"/>
  <c r="E708" i="1"/>
  <c r="F708" i="1" s="1"/>
  <c r="E1036" i="1"/>
  <c r="F1036" i="1" s="1"/>
  <c r="G2827" i="1"/>
  <c r="H2827" i="1"/>
  <c r="G432" i="1"/>
  <c r="J2842" i="1" l="1"/>
  <c r="J2846" i="1" l="1"/>
  <c r="B2381" i="1" l="1"/>
  <c r="D2380" i="1"/>
  <c r="E2380" i="1" s="1"/>
  <c r="F2380" i="1" s="1"/>
  <c r="G2380" i="1" s="1"/>
  <c r="H2380" i="1" s="1"/>
  <c r="I2380" i="1" s="1"/>
  <c r="J2380" i="1" s="1"/>
  <c r="K2380" i="1" s="1"/>
  <c r="E2400" i="1"/>
  <c r="F2402" i="1"/>
  <c r="H2406" i="1"/>
  <c r="D2386" i="1"/>
  <c r="E2386" i="1" s="1"/>
  <c r="F2386" i="1" s="1"/>
  <c r="G2386" i="1" s="1"/>
  <c r="H2386" i="1" s="1"/>
  <c r="I2386" i="1" s="1"/>
  <c r="J2386" i="1" s="1"/>
  <c r="D2391" i="1"/>
  <c r="E2391" i="1" s="1"/>
  <c r="F2391" i="1" s="1"/>
  <c r="G2391" i="1" s="1"/>
  <c r="H2391" i="1" s="1"/>
  <c r="I2391" i="1" s="1"/>
  <c r="J2391" i="1" s="1"/>
  <c r="D2395" i="1"/>
  <c r="E2395" i="1"/>
  <c r="F2395" i="1"/>
  <c r="G2395" i="1"/>
  <c r="H2395" i="1"/>
  <c r="I2395" i="1"/>
  <c r="D2397" i="1"/>
  <c r="E2397" i="1" s="1"/>
  <c r="F2397" i="1" s="1"/>
  <c r="G2397" i="1" s="1"/>
  <c r="H2397" i="1" s="1"/>
  <c r="I2397" i="1" s="1"/>
  <c r="J2397" i="1" s="1"/>
  <c r="E2398" i="1"/>
  <c r="D2399" i="1"/>
  <c r="E2401" i="1"/>
  <c r="F2403" i="1"/>
  <c r="H2404" i="1"/>
  <c r="D2419" i="1"/>
  <c r="E2419" i="1"/>
  <c r="F2419" i="1"/>
  <c r="G2419" i="1"/>
  <c r="G2402" i="1" l="1"/>
  <c r="F2400" i="1"/>
  <c r="K2391" i="1"/>
  <c r="K2397" i="1"/>
  <c r="K2386" i="1"/>
  <c r="L2380" i="1"/>
  <c r="F2423" i="1"/>
  <c r="I2406" i="1"/>
  <c r="H2419" i="1"/>
  <c r="E2423" i="1"/>
  <c r="G2423" i="1"/>
  <c r="D2423" i="1"/>
  <c r="M2380" i="1" l="1"/>
  <c r="L2397" i="1"/>
  <c r="L2391" i="1"/>
  <c r="L2386" i="1"/>
  <c r="I2419" i="1"/>
  <c r="I2423" i="1" s="1"/>
  <c r="H2423" i="1"/>
  <c r="J2589" i="1"/>
  <c r="D2842" i="1"/>
  <c r="E2842" i="1"/>
  <c r="G2613" i="1"/>
  <c r="F2613" i="1"/>
  <c r="D2613" i="1"/>
  <c r="H1674" i="1"/>
  <c r="G1674" i="1"/>
  <c r="F1674" i="1"/>
  <c r="D1674" i="1"/>
  <c r="G1420" i="1"/>
  <c r="H1419" i="1"/>
  <c r="F1418" i="1"/>
  <c r="G1417" i="1"/>
  <c r="E1416" i="1"/>
  <c r="F1415" i="1"/>
  <c r="D1414" i="1"/>
  <c r="E1413" i="1"/>
  <c r="J1678" i="1"/>
  <c r="I2308" i="1"/>
  <c r="H2309" i="1"/>
  <c r="J1792" i="1"/>
  <c r="J1820" i="1" s="1"/>
  <c r="J1742" i="1"/>
  <c r="J1550" i="1"/>
  <c r="D1434" i="1" l="1"/>
  <c r="F1434" i="1"/>
  <c r="H1434" i="1"/>
  <c r="G1434" i="1"/>
  <c r="N2380" i="1"/>
  <c r="M2397" i="1"/>
  <c r="M2391" i="1"/>
  <c r="M2386" i="1"/>
  <c r="J2617" i="1"/>
  <c r="J1770" i="1"/>
  <c r="E1434" i="1"/>
  <c r="E1674" i="1"/>
  <c r="E2613" i="1"/>
  <c r="I1674" i="1"/>
  <c r="A33" i="6"/>
  <c r="A32" i="6"/>
  <c r="J1578" i="1" l="1"/>
  <c r="N2386" i="1"/>
  <c r="N2397" i="1"/>
  <c r="N2391" i="1"/>
  <c r="I9" i="6"/>
  <c r="I20" i="6" l="1"/>
  <c r="G449" i="1" l="1"/>
  <c r="D449" i="1"/>
  <c r="F449" i="1" l="1"/>
  <c r="E449" i="1"/>
  <c r="E727" i="1"/>
  <c r="D727" i="1"/>
  <c r="G1031" i="1" l="1"/>
  <c r="H1031" i="1"/>
  <c r="I1031" i="1"/>
  <c r="H449" i="1"/>
  <c r="G425" i="1"/>
  <c r="H425" i="1"/>
  <c r="I425" i="1"/>
  <c r="G703" i="1"/>
  <c r="H703" i="1"/>
  <c r="I703" i="1"/>
  <c r="I1055" i="1" l="1"/>
  <c r="H1055" i="1"/>
  <c r="I2842" i="1"/>
  <c r="H2842" i="1"/>
  <c r="H731" i="1"/>
  <c r="G1055" i="1"/>
  <c r="I453" i="1" l="1"/>
  <c r="I1059" i="1"/>
  <c r="H453" i="1"/>
  <c r="I731" i="1"/>
  <c r="G1059" i="1"/>
  <c r="H1059" i="1"/>
  <c r="B1376" i="1" l="1"/>
  <c r="B1375" i="1"/>
  <c r="B197" i="1"/>
  <c r="B196" i="1"/>
  <c r="G1610" i="1"/>
  <c r="G2307" i="1"/>
  <c r="G2818" i="1" l="1"/>
  <c r="H2818" i="1"/>
  <c r="I2818" i="1"/>
  <c r="I2846" i="1" l="1"/>
  <c r="H2846" i="1" l="1"/>
  <c r="A31" i="6" l="1"/>
  <c r="A30" i="6"/>
  <c r="I1550" i="1" l="1"/>
  <c r="I1578" i="1" s="1"/>
  <c r="I1742" i="1"/>
  <c r="I1792" i="1"/>
  <c r="I186" i="1"/>
  <c r="I1378" i="1"/>
  <c r="J1378" i="1" s="1"/>
  <c r="J1383" i="1" s="1"/>
  <c r="J1387" i="1" s="1"/>
  <c r="I1365" i="1"/>
  <c r="I2297" i="1"/>
  <c r="I1600" i="1"/>
  <c r="I1410" i="1"/>
  <c r="I1650" i="1"/>
  <c r="I2589" i="1"/>
  <c r="H9" i="6"/>
  <c r="I1678" i="1" l="1"/>
  <c r="I199" i="1"/>
  <c r="H20" i="6"/>
  <c r="J199" i="1" l="1"/>
  <c r="A29" i="6"/>
  <c r="A28" i="6"/>
  <c r="J204" i="1" l="1"/>
  <c r="J208" i="1" s="1"/>
  <c r="I44" i="6"/>
  <c r="F1608" i="1"/>
  <c r="E1606" i="1"/>
  <c r="F2305" i="1"/>
  <c r="E2303" i="1"/>
  <c r="B1374" i="1"/>
  <c r="F1373" i="1"/>
  <c r="B1373" i="1"/>
  <c r="B1372" i="1"/>
  <c r="E1371" i="1"/>
  <c r="B1371" i="1"/>
  <c r="B1370" i="1"/>
  <c r="B195" i="1"/>
  <c r="F194" i="1"/>
  <c r="B194" i="1"/>
  <c r="B193" i="1"/>
  <c r="E192" i="1"/>
  <c r="B192" i="1"/>
  <c r="B191" i="1"/>
  <c r="H2589" i="1"/>
  <c r="H1650" i="1"/>
  <c r="H1410" i="1"/>
  <c r="H1600" i="1"/>
  <c r="H2297" i="1"/>
  <c r="H1365" i="1"/>
  <c r="H1376" i="1"/>
  <c r="I1376" i="1" s="1"/>
  <c r="I1383" i="1" s="1"/>
  <c r="I1387" i="1" s="1"/>
  <c r="H186" i="1"/>
  <c r="H197" i="1"/>
  <c r="H1792" i="1"/>
  <c r="H1742" i="1"/>
  <c r="H1550" i="1"/>
  <c r="H1578" i="1" s="1"/>
  <c r="G9" i="6"/>
  <c r="I197" i="1" l="1"/>
  <c r="I1820" i="1"/>
  <c r="H2613" i="1"/>
  <c r="G20" i="6"/>
  <c r="A27" i="6"/>
  <c r="I204" i="1" l="1"/>
  <c r="I208" i="1" s="1"/>
  <c r="I2613" i="1"/>
  <c r="G2589" i="1"/>
  <c r="G1650" i="1"/>
  <c r="G1410" i="1"/>
  <c r="G1600" i="1"/>
  <c r="H1609" i="1"/>
  <c r="G2297" i="1"/>
  <c r="H2306" i="1"/>
  <c r="H2321" i="1" s="1"/>
  <c r="G1365" i="1"/>
  <c r="G1374" i="1"/>
  <c r="H1374" i="1" s="1"/>
  <c r="H1383" i="1" s="1"/>
  <c r="G186" i="1"/>
  <c r="G195" i="1"/>
  <c r="G1792" i="1"/>
  <c r="G1742" i="1"/>
  <c r="G1550" i="1"/>
  <c r="G1578" i="1" s="1"/>
  <c r="H195" i="1" l="1"/>
  <c r="H204" i="1" s="1"/>
  <c r="H208" i="1" s="1"/>
  <c r="H1678" i="1"/>
  <c r="H1438" i="1"/>
  <c r="H1387" i="1"/>
  <c r="H1624" i="1"/>
  <c r="H1628" i="1" s="1"/>
  <c r="I1609" i="1"/>
  <c r="I1624" i="1" s="1"/>
  <c r="H2325" i="1"/>
  <c r="I1628" i="1" l="1"/>
  <c r="I1770" i="1"/>
  <c r="I2617" i="1"/>
  <c r="B21" i="8"/>
  <c r="A21" i="8"/>
  <c r="A26" i="6"/>
  <c r="A25" i="6"/>
  <c r="A24" i="6"/>
  <c r="A23" i="6"/>
  <c r="B1369" i="1"/>
  <c r="B1368" i="1"/>
  <c r="B190" i="1"/>
  <c r="B189" i="1"/>
  <c r="G453" i="1"/>
  <c r="G727" i="1"/>
  <c r="G731" i="1" s="1"/>
  <c r="G1678" i="1"/>
  <c r="G1438" i="1"/>
  <c r="G1607" i="1"/>
  <c r="G2304" i="1"/>
  <c r="G2321" i="1" s="1"/>
  <c r="G2325" i="1" s="1"/>
  <c r="G1372" i="1"/>
  <c r="G1383" i="1" s="1"/>
  <c r="G1387" i="1" s="1"/>
  <c r="D1368" i="1"/>
  <c r="E1368" i="1" s="1"/>
  <c r="F193" i="1"/>
  <c r="E191" i="1"/>
  <c r="D189" i="1"/>
  <c r="F1031" i="1"/>
  <c r="E1031" i="1"/>
  <c r="D1031" i="1"/>
  <c r="F425" i="1"/>
  <c r="E425" i="1"/>
  <c r="D425" i="1"/>
  <c r="F703" i="1"/>
  <c r="E703" i="1"/>
  <c r="D703" i="1"/>
  <c r="F2818" i="1"/>
  <c r="E2818" i="1"/>
  <c r="D2818" i="1"/>
  <c r="F2589" i="1"/>
  <c r="E2589" i="1"/>
  <c r="D2589" i="1"/>
  <c r="F1650" i="1"/>
  <c r="E1650" i="1"/>
  <c r="D1650" i="1"/>
  <c r="F1410" i="1"/>
  <c r="E1410" i="1"/>
  <c r="D1410" i="1"/>
  <c r="F1600" i="1"/>
  <c r="E1600" i="1"/>
  <c r="D1600" i="1"/>
  <c r="F2297" i="1"/>
  <c r="E2297" i="1"/>
  <c r="D2297" i="1"/>
  <c r="F1365" i="1"/>
  <c r="E1365" i="1"/>
  <c r="D1365" i="1"/>
  <c r="F186" i="1"/>
  <c r="E186" i="1"/>
  <c r="D186" i="1"/>
  <c r="F1792" i="1"/>
  <c r="E1792" i="1"/>
  <c r="D1792" i="1"/>
  <c r="F1742" i="1"/>
  <c r="E1742" i="1"/>
  <c r="D1742" i="1"/>
  <c r="F1550" i="1"/>
  <c r="E1550" i="1"/>
  <c r="D1550" i="1"/>
  <c r="B1017" i="1"/>
  <c r="B411" i="1"/>
  <c r="B689" i="1"/>
  <c r="B2804" i="1"/>
  <c r="B2575" i="1"/>
  <c r="B1636" i="1"/>
  <c r="B1396" i="1"/>
  <c r="B1586" i="1"/>
  <c r="B2283" i="1"/>
  <c r="B1351" i="1"/>
  <c r="B172" i="1"/>
  <c r="B1778" i="1"/>
  <c r="B1728" i="1"/>
  <c r="B1536" i="1"/>
  <c r="B23" i="7"/>
  <c r="B24" i="7" s="1"/>
  <c r="B25" i="7" s="1"/>
  <c r="B26" i="7" s="1"/>
  <c r="B30" i="7" s="1"/>
  <c r="B31" i="7" s="1"/>
  <c r="B32" i="7" s="1"/>
  <c r="B33" i="7" s="1"/>
  <c r="B34" i="7" s="1"/>
  <c r="B35" i="7" s="1"/>
  <c r="B36" i="7" s="1"/>
  <c r="B37" i="7" s="1"/>
  <c r="B38" i="7" s="1"/>
  <c r="B39" i="7" s="1"/>
  <c r="B40" i="7" s="1"/>
  <c r="F1055" i="1"/>
  <c r="D190" i="1"/>
  <c r="D1369" i="1"/>
  <c r="D2301" i="1"/>
  <c r="D2321" i="1" s="1"/>
  <c r="D1604" i="1"/>
  <c r="D1055" i="1"/>
  <c r="E2300" i="1"/>
  <c r="E1603" i="1"/>
  <c r="D1033" i="1"/>
  <c r="E1033" i="1" s="1"/>
  <c r="F1033" i="1" s="1"/>
  <c r="G1033" i="1" s="1"/>
  <c r="H1033" i="1" s="1"/>
  <c r="I1033" i="1" s="1"/>
  <c r="J1033" i="1" s="1"/>
  <c r="K1033" i="1" s="1"/>
  <c r="L1033" i="1" s="1"/>
  <c r="M1033" i="1" s="1"/>
  <c r="N1033" i="1" s="1"/>
  <c r="D427" i="1"/>
  <c r="E427" i="1" s="1"/>
  <c r="F427" i="1" s="1"/>
  <c r="G427" i="1" s="1"/>
  <c r="H427" i="1" s="1"/>
  <c r="I427" i="1" s="1"/>
  <c r="J427" i="1" s="1"/>
  <c r="K427" i="1" s="1"/>
  <c r="L427" i="1" s="1"/>
  <c r="M427" i="1" s="1"/>
  <c r="N427" i="1" s="1"/>
  <c r="D705" i="1"/>
  <c r="E705" i="1" s="1"/>
  <c r="F705" i="1" s="1"/>
  <c r="G705" i="1" s="1"/>
  <c r="H705" i="1" s="1"/>
  <c r="I705" i="1" s="1"/>
  <c r="J705" i="1" s="1"/>
  <c r="K705" i="1" s="1"/>
  <c r="L705" i="1" s="1"/>
  <c r="M705" i="1" s="1"/>
  <c r="N705" i="1" s="1"/>
  <c r="D2820" i="1"/>
  <c r="E2820" i="1" s="1"/>
  <c r="F2820" i="1" s="1"/>
  <c r="G2820" i="1" s="1"/>
  <c r="H2820" i="1" s="1"/>
  <c r="I2820" i="1" s="1"/>
  <c r="J2820" i="1" s="1"/>
  <c r="D2591" i="1"/>
  <c r="E2591" i="1" s="1"/>
  <c r="F2591" i="1" s="1"/>
  <c r="G2591" i="1" s="1"/>
  <c r="H2591" i="1" s="1"/>
  <c r="I2591" i="1" s="1"/>
  <c r="J2591" i="1" s="1"/>
  <c r="K2591" i="1" s="1"/>
  <c r="L2591" i="1" s="1"/>
  <c r="M2591" i="1" s="1"/>
  <c r="N2591" i="1" s="1"/>
  <c r="D1652" i="1"/>
  <c r="E1652" i="1" s="1"/>
  <c r="F1652" i="1" s="1"/>
  <c r="G1652" i="1" s="1"/>
  <c r="H1652" i="1" s="1"/>
  <c r="I1652" i="1" s="1"/>
  <c r="J1652" i="1" s="1"/>
  <c r="K1652" i="1" s="1"/>
  <c r="L1652" i="1" s="1"/>
  <c r="M1652" i="1" s="1"/>
  <c r="N1652" i="1" s="1"/>
  <c r="D1412" i="1"/>
  <c r="E1412" i="1" s="1"/>
  <c r="F1412" i="1" s="1"/>
  <c r="G1412" i="1" s="1"/>
  <c r="H1412" i="1" s="1"/>
  <c r="I1412" i="1" s="1"/>
  <c r="J1412" i="1" s="1"/>
  <c r="K1412" i="1" s="1"/>
  <c r="L1412" i="1" s="1"/>
  <c r="M1412" i="1" s="1"/>
  <c r="N1412" i="1" s="1"/>
  <c r="D1602" i="1"/>
  <c r="E1602" i="1" s="1"/>
  <c r="F1602" i="1" s="1"/>
  <c r="G1602" i="1" s="1"/>
  <c r="H1602" i="1" s="1"/>
  <c r="I1602" i="1" s="1"/>
  <c r="J1602" i="1" s="1"/>
  <c r="K1602" i="1" s="1"/>
  <c r="L1602" i="1" s="1"/>
  <c r="M1602" i="1" s="1"/>
  <c r="N1602" i="1" s="1"/>
  <c r="D2299" i="1"/>
  <c r="E2299" i="1" s="1"/>
  <c r="F2299" i="1" s="1"/>
  <c r="G2299" i="1" s="1"/>
  <c r="H2299" i="1" s="1"/>
  <c r="I2299" i="1" s="1"/>
  <c r="J2299" i="1" s="1"/>
  <c r="K2299" i="1" s="1"/>
  <c r="L2299" i="1" s="1"/>
  <c r="M2299" i="1" s="1"/>
  <c r="N2299" i="1" s="1"/>
  <c r="D1367" i="1"/>
  <c r="E1367" i="1" s="1"/>
  <c r="F1367" i="1" s="1"/>
  <c r="G1367" i="1" s="1"/>
  <c r="H1367" i="1" s="1"/>
  <c r="I1367" i="1" s="1"/>
  <c r="J1367" i="1" s="1"/>
  <c r="K1367" i="1" s="1"/>
  <c r="L1367" i="1" s="1"/>
  <c r="M1367" i="1" s="1"/>
  <c r="N1367" i="1" s="1"/>
  <c r="D188" i="1"/>
  <c r="E188" i="1" s="1"/>
  <c r="D1794" i="1"/>
  <c r="E1794" i="1" s="1"/>
  <c r="F1794" i="1" s="1"/>
  <c r="G1794" i="1" s="1"/>
  <c r="H1794" i="1" s="1"/>
  <c r="I1794" i="1" s="1"/>
  <c r="J1794" i="1" s="1"/>
  <c r="K1794" i="1" s="1"/>
  <c r="L1794" i="1" s="1"/>
  <c r="M1794" i="1" s="1"/>
  <c r="N1794" i="1" s="1"/>
  <c r="D1744" i="1"/>
  <c r="E1744" i="1" s="1"/>
  <c r="F1744" i="1" s="1"/>
  <c r="G1744" i="1" s="1"/>
  <c r="H1744" i="1" s="1"/>
  <c r="I1744" i="1" s="1"/>
  <c r="J1744" i="1" s="1"/>
  <c r="K1744" i="1" s="1"/>
  <c r="L1744" i="1" s="1"/>
  <c r="M1744" i="1" s="1"/>
  <c r="N1744" i="1" s="1"/>
  <c r="D1552" i="1"/>
  <c r="E1552" i="1" s="1"/>
  <c r="F1552" i="1" s="1"/>
  <c r="G1552" i="1" s="1"/>
  <c r="H1552" i="1" s="1"/>
  <c r="I1552" i="1" s="1"/>
  <c r="J1552" i="1" s="1"/>
  <c r="K1552" i="1" s="1"/>
  <c r="L1552" i="1" s="1"/>
  <c r="M1552" i="1" s="1"/>
  <c r="N1552" i="1" s="1"/>
  <c r="D1027" i="1"/>
  <c r="E1027" i="1" s="1"/>
  <c r="F1027" i="1" s="1"/>
  <c r="G1027" i="1" s="1"/>
  <c r="H1027" i="1" s="1"/>
  <c r="I1027" i="1" s="1"/>
  <c r="J1027" i="1" s="1"/>
  <c r="K1027" i="1" s="1"/>
  <c r="L1027" i="1" s="1"/>
  <c r="M1027" i="1" s="1"/>
  <c r="N1027" i="1" s="1"/>
  <c r="D1022" i="1"/>
  <c r="E1022" i="1" s="1"/>
  <c r="F1022" i="1" s="1"/>
  <c r="G1022" i="1" s="1"/>
  <c r="H1022" i="1" s="1"/>
  <c r="I1022" i="1" s="1"/>
  <c r="J1022" i="1" s="1"/>
  <c r="K1022" i="1" s="1"/>
  <c r="L1022" i="1" s="1"/>
  <c r="M1022" i="1" s="1"/>
  <c r="N1022" i="1" s="1"/>
  <c r="D421" i="1"/>
  <c r="E421" i="1" s="1"/>
  <c r="F421" i="1" s="1"/>
  <c r="G421" i="1" s="1"/>
  <c r="H421" i="1" s="1"/>
  <c r="I421" i="1" s="1"/>
  <c r="J421" i="1" s="1"/>
  <c r="K421" i="1" s="1"/>
  <c r="L421" i="1" s="1"/>
  <c r="M421" i="1" s="1"/>
  <c r="N421" i="1" s="1"/>
  <c r="D416" i="1"/>
  <c r="E416" i="1" s="1"/>
  <c r="F416" i="1" s="1"/>
  <c r="G416" i="1" s="1"/>
  <c r="H416" i="1" s="1"/>
  <c r="I416" i="1" s="1"/>
  <c r="J416" i="1" s="1"/>
  <c r="K416" i="1" s="1"/>
  <c r="L416" i="1" s="1"/>
  <c r="M416" i="1" s="1"/>
  <c r="N416" i="1" s="1"/>
  <c r="D699" i="1"/>
  <c r="E699" i="1" s="1"/>
  <c r="F699" i="1" s="1"/>
  <c r="G699" i="1" s="1"/>
  <c r="H699" i="1" s="1"/>
  <c r="I699" i="1" s="1"/>
  <c r="J699" i="1" s="1"/>
  <c r="K699" i="1" s="1"/>
  <c r="L699" i="1" s="1"/>
  <c r="M699" i="1" s="1"/>
  <c r="N699" i="1" s="1"/>
  <c r="D694" i="1"/>
  <c r="E694" i="1" s="1"/>
  <c r="F694" i="1" s="1"/>
  <c r="G694" i="1" s="1"/>
  <c r="H694" i="1" s="1"/>
  <c r="I694" i="1" s="1"/>
  <c r="J694" i="1" s="1"/>
  <c r="K694" i="1" s="1"/>
  <c r="L694" i="1" s="1"/>
  <c r="M694" i="1" s="1"/>
  <c r="N694" i="1" s="1"/>
  <c r="D2814" i="1"/>
  <c r="E2814" i="1" s="1"/>
  <c r="F2814" i="1" s="1"/>
  <c r="G2814" i="1" s="1"/>
  <c r="H2814" i="1" s="1"/>
  <c r="I2814" i="1" s="1"/>
  <c r="J2814" i="1" s="1"/>
  <c r="D2809" i="1"/>
  <c r="E2809" i="1" s="1"/>
  <c r="F2809" i="1" s="1"/>
  <c r="G2809" i="1" s="1"/>
  <c r="H2809" i="1" s="1"/>
  <c r="I2809" i="1" s="1"/>
  <c r="J2809" i="1" s="1"/>
  <c r="D2585" i="1"/>
  <c r="E2585" i="1" s="1"/>
  <c r="F2585" i="1" s="1"/>
  <c r="D2580" i="1"/>
  <c r="E2580" i="1" s="1"/>
  <c r="F2580" i="1" s="1"/>
  <c r="D1646" i="1"/>
  <c r="E1646" i="1" s="1"/>
  <c r="F1646" i="1" s="1"/>
  <c r="D1641" i="1"/>
  <c r="E1641" i="1" s="1"/>
  <c r="F1641" i="1" s="1"/>
  <c r="D1406" i="1"/>
  <c r="E1406" i="1" s="1"/>
  <c r="F1406" i="1" s="1"/>
  <c r="D1401" i="1"/>
  <c r="E1401" i="1" s="1"/>
  <c r="F1401" i="1" s="1"/>
  <c r="D1596" i="1"/>
  <c r="E1596" i="1" s="1"/>
  <c r="F1596" i="1" s="1"/>
  <c r="D1591" i="1"/>
  <c r="E1591" i="1" s="1"/>
  <c r="F1591" i="1" s="1"/>
  <c r="D2293" i="1"/>
  <c r="E2293" i="1" s="1"/>
  <c r="F2293" i="1" s="1"/>
  <c r="D2288" i="1"/>
  <c r="E2288" i="1" s="1"/>
  <c r="F2288" i="1" s="1"/>
  <c r="D1361" i="1"/>
  <c r="E1361" i="1" s="1"/>
  <c r="F1361" i="1" s="1"/>
  <c r="D1356" i="1"/>
  <c r="E1356" i="1" s="1"/>
  <c r="F1356" i="1" s="1"/>
  <c r="D182" i="1"/>
  <c r="E182" i="1" s="1"/>
  <c r="F182" i="1" s="1"/>
  <c r="D177" i="1"/>
  <c r="E177" i="1" s="1"/>
  <c r="F177" i="1" s="1"/>
  <c r="D1788" i="1"/>
  <c r="E1788" i="1" s="1"/>
  <c r="F1788" i="1" s="1"/>
  <c r="D1783" i="1"/>
  <c r="E1783" i="1" s="1"/>
  <c r="F1783" i="1" s="1"/>
  <c r="D1738" i="1"/>
  <c r="E1738" i="1" s="1"/>
  <c r="F1738" i="1" s="1"/>
  <c r="D1733" i="1"/>
  <c r="E1733" i="1" s="1"/>
  <c r="F1733" i="1" s="1"/>
  <c r="D1016" i="1"/>
  <c r="E1016" i="1" s="1"/>
  <c r="F1016" i="1" s="1"/>
  <c r="G1016" i="1" s="1"/>
  <c r="H1016" i="1" s="1"/>
  <c r="I1016" i="1" s="1"/>
  <c r="J1016" i="1" s="1"/>
  <c r="K1016" i="1" s="1"/>
  <c r="L1016" i="1" s="1"/>
  <c r="M1016" i="1" s="1"/>
  <c r="N1016" i="1" s="1"/>
  <c r="D410" i="1"/>
  <c r="E410" i="1" s="1"/>
  <c r="F410" i="1" s="1"/>
  <c r="G410" i="1" s="1"/>
  <c r="H410" i="1" s="1"/>
  <c r="I410" i="1" s="1"/>
  <c r="J410" i="1" s="1"/>
  <c r="K410" i="1" s="1"/>
  <c r="L410" i="1" s="1"/>
  <c r="M410" i="1" s="1"/>
  <c r="N410" i="1" s="1"/>
  <c r="D688" i="1"/>
  <c r="E688" i="1" s="1"/>
  <c r="F688" i="1" s="1"/>
  <c r="G688" i="1" s="1"/>
  <c r="H688" i="1" s="1"/>
  <c r="I688" i="1" s="1"/>
  <c r="J688" i="1" s="1"/>
  <c r="K688" i="1" s="1"/>
  <c r="L688" i="1" s="1"/>
  <c r="M688" i="1" s="1"/>
  <c r="N688" i="1" s="1"/>
  <c r="D2803" i="1"/>
  <c r="E2803" i="1" s="1"/>
  <c r="F2803" i="1" s="1"/>
  <c r="G2803" i="1" s="1"/>
  <c r="H2803" i="1" s="1"/>
  <c r="I2803" i="1" s="1"/>
  <c r="J2803" i="1" s="1"/>
  <c r="K2803" i="1" s="1"/>
  <c r="D2574" i="1"/>
  <c r="E2574" i="1" s="1"/>
  <c r="F2574" i="1" s="1"/>
  <c r="G2574" i="1" s="1"/>
  <c r="H2574" i="1" s="1"/>
  <c r="I2574" i="1" s="1"/>
  <c r="J2574" i="1" s="1"/>
  <c r="K2574" i="1" s="1"/>
  <c r="L2574" i="1" s="1"/>
  <c r="M2574" i="1" s="1"/>
  <c r="N2574" i="1" s="1"/>
  <c r="D1635" i="1"/>
  <c r="E1635" i="1" s="1"/>
  <c r="F1635" i="1" s="1"/>
  <c r="G1635" i="1" s="1"/>
  <c r="H1635" i="1" s="1"/>
  <c r="I1635" i="1" s="1"/>
  <c r="J1635" i="1" s="1"/>
  <c r="D1546" i="1"/>
  <c r="E1546" i="1" s="1"/>
  <c r="F1546" i="1" s="1"/>
  <c r="D1541" i="1"/>
  <c r="E1541" i="1" s="1"/>
  <c r="F1541" i="1" s="1"/>
  <c r="D1777" i="1"/>
  <c r="E1777" i="1" s="1"/>
  <c r="F1777" i="1" s="1"/>
  <c r="G1777" i="1" s="1"/>
  <c r="H1777" i="1" s="1"/>
  <c r="I1777" i="1" s="1"/>
  <c r="J1777" i="1" s="1"/>
  <c r="K1777" i="1" s="1"/>
  <c r="L1777" i="1" s="1"/>
  <c r="M1777" i="1" s="1"/>
  <c r="N1777" i="1" s="1"/>
  <c r="D1727" i="1"/>
  <c r="E1727" i="1" s="1"/>
  <c r="F1727" i="1" s="1"/>
  <c r="G1727" i="1" s="1"/>
  <c r="H1727" i="1" s="1"/>
  <c r="I1727" i="1" s="1"/>
  <c r="J1727" i="1" s="1"/>
  <c r="K1727" i="1" s="1"/>
  <c r="L1727" i="1" s="1"/>
  <c r="D1395" i="1"/>
  <c r="E1395" i="1" s="1"/>
  <c r="F1395" i="1" s="1"/>
  <c r="G1395" i="1" s="1"/>
  <c r="H1395" i="1" s="1"/>
  <c r="I1395" i="1" s="1"/>
  <c r="J1395" i="1" s="1"/>
  <c r="K1395" i="1" s="1"/>
  <c r="L1395" i="1" s="1"/>
  <c r="M1395" i="1" s="1"/>
  <c r="N1395" i="1" s="1"/>
  <c r="D1585" i="1"/>
  <c r="E1585" i="1" s="1"/>
  <c r="F1585" i="1" s="1"/>
  <c r="G1585" i="1" s="1"/>
  <c r="H1585" i="1" s="1"/>
  <c r="I1585" i="1" s="1"/>
  <c r="J1585" i="1" s="1"/>
  <c r="K1585" i="1" s="1"/>
  <c r="L1585" i="1" s="1"/>
  <c r="M1585" i="1" s="1"/>
  <c r="N1585" i="1" s="1"/>
  <c r="D2282" i="1"/>
  <c r="E2282" i="1" s="1"/>
  <c r="F2282" i="1" s="1"/>
  <c r="G2282" i="1" s="1"/>
  <c r="H2282" i="1" s="1"/>
  <c r="I2282" i="1" s="1"/>
  <c r="J2282" i="1" s="1"/>
  <c r="K2282" i="1" s="1"/>
  <c r="L2282" i="1" s="1"/>
  <c r="M2282" i="1" s="1"/>
  <c r="N2282" i="1" s="1"/>
  <c r="D1350" i="1"/>
  <c r="E1350" i="1" s="1"/>
  <c r="F1350" i="1" s="1"/>
  <c r="G1350" i="1" s="1"/>
  <c r="H1350" i="1" s="1"/>
  <c r="I1350" i="1" s="1"/>
  <c r="J1350" i="1" s="1"/>
  <c r="D171" i="1"/>
  <c r="E171" i="1" s="1"/>
  <c r="F171" i="1" s="1"/>
  <c r="G171" i="1" s="1"/>
  <c r="H171" i="1" s="1"/>
  <c r="I171" i="1" s="1"/>
  <c r="J171" i="1" s="1"/>
  <c r="K171" i="1" s="1"/>
  <c r="L171" i="1" s="1"/>
  <c r="M171" i="1" s="1"/>
  <c r="N171" i="1" s="1"/>
  <c r="D1535" i="1"/>
  <c r="E1535" i="1" s="1"/>
  <c r="F1535" i="1" s="1"/>
  <c r="G1535" i="1" s="1"/>
  <c r="H1535" i="1" s="1"/>
  <c r="I1535" i="1" s="1"/>
  <c r="J1535" i="1" s="1"/>
  <c r="K1535" i="1" s="1"/>
  <c r="L1535" i="1" s="1"/>
  <c r="D5" i="8" l="1"/>
  <c r="H5" i="8"/>
  <c r="L5" i="8"/>
  <c r="F6" i="8"/>
  <c r="J6" i="8"/>
  <c r="D7" i="8"/>
  <c r="H7" i="8"/>
  <c r="L7" i="8"/>
  <c r="F8" i="8"/>
  <c r="J8" i="8"/>
  <c r="D9" i="8"/>
  <c r="H9" i="8"/>
  <c r="L9" i="8"/>
  <c r="F10" i="8"/>
  <c r="J10" i="8"/>
  <c r="D11" i="8"/>
  <c r="H11" i="8"/>
  <c r="L11" i="8"/>
  <c r="F12" i="8"/>
  <c r="J12" i="8"/>
  <c r="D13" i="8"/>
  <c r="H13" i="8"/>
  <c r="L13" i="8"/>
  <c r="C8" i="8"/>
  <c r="C12" i="8"/>
  <c r="E5" i="8"/>
  <c r="I5" i="8"/>
  <c r="M5" i="8"/>
  <c r="G6" i="8"/>
  <c r="E7" i="8"/>
  <c r="I7" i="8"/>
  <c r="M7" i="8"/>
  <c r="G8" i="8"/>
  <c r="K8" i="8"/>
  <c r="E9" i="8"/>
  <c r="I9" i="8"/>
  <c r="M9" i="8"/>
  <c r="G10" i="8"/>
  <c r="K10" i="8"/>
  <c r="E11" i="8"/>
  <c r="I11" i="8"/>
  <c r="M11" i="8"/>
  <c r="G12" i="8"/>
  <c r="K12" i="8"/>
  <c r="E13" i="8"/>
  <c r="I13" i="8"/>
  <c r="M13" i="8"/>
  <c r="C9" i="8"/>
  <c r="C13" i="8"/>
  <c r="J5" i="8"/>
  <c r="D6" i="8"/>
  <c r="H6" i="8"/>
  <c r="L6" i="8"/>
  <c r="F7" i="8"/>
  <c r="J7" i="8"/>
  <c r="D8" i="8"/>
  <c r="H8" i="8"/>
  <c r="L8" i="8"/>
  <c r="F9" i="8"/>
  <c r="J9" i="8"/>
  <c r="D10" i="8"/>
  <c r="H10" i="8"/>
  <c r="L10" i="8"/>
  <c r="F11" i="8"/>
  <c r="J11" i="8"/>
  <c r="D12" i="8"/>
  <c r="H12" i="8"/>
  <c r="L12" i="8"/>
  <c r="F13" i="8"/>
  <c r="J13" i="8"/>
  <c r="C6" i="8"/>
  <c r="C10" i="8"/>
  <c r="F5" i="8"/>
  <c r="G5" i="8"/>
  <c r="K5" i="8"/>
  <c r="E6" i="8"/>
  <c r="I6" i="8"/>
  <c r="G7" i="8"/>
  <c r="K7" i="8"/>
  <c r="E8" i="8"/>
  <c r="I8" i="8"/>
  <c r="M8" i="8"/>
  <c r="G9" i="8"/>
  <c r="K9" i="8"/>
  <c r="E10" i="8"/>
  <c r="I10" i="8"/>
  <c r="M10" i="8"/>
  <c r="G11" i="8"/>
  <c r="K11" i="8"/>
  <c r="E12" i="8"/>
  <c r="I12" i="8"/>
  <c r="M12" i="8"/>
  <c r="G13" i="8"/>
  <c r="K13" i="8"/>
  <c r="C7" i="8"/>
  <c r="C11" i="8"/>
  <c r="F188" i="1"/>
  <c r="F191" i="1"/>
  <c r="F204" i="1" s="1"/>
  <c r="D1624" i="1"/>
  <c r="D1628" i="1" s="1"/>
  <c r="G193" i="1"/>
  <c r="G204" i="1" s="1"/>
  <c r="G208" i="1" s="1"/>
  <c r="E189" i="1"/>
  <c r="G1624" i="1"/>
  <c r="G1628" i="1" s="1"/>
  <c r="G44" i="6"/>
  <c r="L1541" i="1"/>
  <c r="M1535" i="1"/>
  <c r="L1546" i="1"/>
  <c r="M1727" i="1"/>
  <c r="L1733" i="1"/>
  <c r="L1738" i="1"/>
  <c r="L2803" i="1"/>
  <c r="K2814" i="1"/>
  <c r="K2820" i="1"/>
  <c r="K2809" i="1"/>
  <c r="L2809" i="1" s="1"/>
  <c r="M2809" i="1" s="1"/>
  <c r="N2809" i="1" s="1"/>
  <c r="M182" i="1"/>
  <c r="M177" i="1"/>
  <c r="M2288" i="1"/>
  <c r="M2293" i="1"/>
  <c r="M1596" i="1"/>
  <c r="M1591" i="1"/>
  <c r="M1788" i="1"/>
  <c r="M1783" i="1"/>
  <c r="M1406" i="1"/>
  <c r="M1401" i="1"/>
  <c r="N2585" i="1"/>
  <c r="N2580" i="1"/>
  <c r="L2585" i="1"/>
  <c r="L2580" i="1"/>
  <c r="K1401" i="1"/>
  <c r="K1406" i="1"/>
  <c r="K1591" i="1"/>
  <c r="K1596" i="1"/>
  <c r="K2288" i="1"/>
  <c r="K2293" i="1"/>
  <c r="K177" i="1"/>
  <c r="K182" i="1"/>
  <c r="K1783" i="1"/>
  <c r="K1788" i="1"/>
  <c r="K1546" i="1"/>
  <c r="K1541" i="1"/>
  <c r="J1788" i="1"/>
  <c r="J1596" i="1"/>
  <c r="J2293" i="1"/>
  <c r="K1350" i="1"/>
  <c r="L1350" i="1" s="1"/>
  <c r="M1350" i="1" s="1"/>
  <c r="N1350" i="1" s="1"/>
  <c r="J1361" i="1"/>
  <c r="J1406" i="1"/>
  <c r="J1401" i="1"/>
  <c r="K1635" i="1"/>
  <c r="L1635" i="1" s="1"/>
  <c r="M1635" i="1" s="1"/>
  <c r="N1635" i="1" s="1"/>
  <c r="J1641" i="1"/>
  <c r="J1646" i="1"/>
  <c r="K2585" i="1"/>
  <c r="K2580" i="1"/>
  <c r="K1733" i="1"/>
  <c r="K1738" i="1"/>
  <c r="D1816" i="1"/>
  <c r="J182" i="1"/>
  <c r="J177" i="1"/>
  <c r="J1783" i="1"/>
  <c r="J2585" i="1"/>
  <c r="J2580" i="1"/>
  <c r="J1738" i="1"/>
  <c r="J1733" i="1"/>
  <c r="J2288" i="1"/>
  <c r="G2842" i="1"/>
  <c r="G2846" i="1" s="1"/>
  <c r="J1356" i="1"/>
  <c r="J1591" i="1"/>
  <c r="J1546" i="1"/>
  <c r="J1541" i="1"/>
  <c r="F731" i="1"/>
  <c r="I1546" i="1"/>
  <c r="I1541" i="1"/>
  <c r="I1738" i="1"/>
  <c r="I1733" i="1"/>
  <c r="I177" i="1"/>
  <c r="I182" i="1"/>
  <c r="I1788" i="1"/>
  <c r="I1783" i="1"/>
  <c r="I1361" i="1"/>
  <c r="I1356" i="1"/>
  <c r="I1646" i="1"/>
  <c r="I1641" i="1"/>
  <c r="I2288" i="1"/>
  <c r="I2293" i="1"/>
  <c r="I1596" i="1"/>
  <c r="I1591" i="1"/>
  <c r="I1406" i="1"/>
  <c r="I1401" i="1"/>
  <c r="I2580" i="1"/>
  <c r="I2585" i="1"/>
  <c r="D1383" i="1"/>
  <c r="D204" i="1"/>
  <c r="D453" i="1"/>
  <c r="D2846" i="1"/>
  <c r="E204" i="1"/>
  <c r="E1383" i="1"/>
  <c r="F1370" i="1"/>
  <c r="F1383" i="1" s="1"/>
  <c r="F1605" i="1"/>
  <c r="E1624" i="1"/>
  <c r="E2321" i="1"/>
  <c r="F2302" i="1"/>
  <c r="F2321" i="1" s="1"/>
  <c r="D1770" i="1"/>
  <c r="D1059" i="1"/>
  <c r="F2846" i="1"/>
  <c r="D731" i="1"/>
  <c r="E1055" i="1"/>
  <c r="E731" i="1"/>
  <c r="H177" i="1"/>
  <c r="H182" i="1"/>
  <c r="H1788" i="1"/>
  <c r="H1783" i="1"/>
  <c r="H1361" i="1"/>
  <c r="H1356" i="1"/>
  <c r="H1401" i="1"/>
  <c r="H1406" i="1"/>
  <c r="H2585" i="1"/>
  <c r="H2580" i="1"/>
  <c r="H2293" i="1"/>
  <c r="H2288" i="1"/>
  <c r="H1596" i="1"/>
  <c r="H1591" i="1"/>
  <c r="H1646" i="1"/>
  <c r="H1641" i="1"/>
  <c r="H1546" i="1"/>
  <c r="H1541" i="1"/>
  <c r="H1733" i="1"/>
  <c r="H1738" i="1"/>
  <c r="F1059" i="1"/>
  <c r="G2585" i="1"/>
  <c r="G2580" i="1"/>
  <c r="G1646" i="1"/>
  <c r="G1641" i="1"/>
  <c r="G1406" i="1"/>
  <c r="G1401" i="1"/>
  <c r="G1596" i="1"/>
  <c r="G1591" i="1"/>
  <c r="G2293" i="1"/>
  <c r="G2288" i="1"/>
  <c r="G1361" i="1"/>
  <c r="G1356" i="1"/>
  <c r="G182" i="1"/>
  <c r="G177" i="1"/>
  <c r="G1788" i="1"/>
  <c r="G1783" i="1"/>
  <c r="G1738" i="1"/>
  <c r="G1733" i="1"/>
  <c r="G1546" i="1"/>
  <c r="G1541" i="1"/>
  <c r="D1678" i="1"/>
  <c r="D1438" i="1"/>
  <c r="D180" i="1"/>
  <c r="D1578" i="1"/>
  <c r="E20" i="6"/>
  <c r="F20" i="6"/>
  <c r="D2617" i="1"/>
  <c r="D1359" i="1"/>
  <c r="D20" i="6"/>
  <c r="E1578" i="1"/>
  <c r="F1578" i="1"/>
  <c r="G188" i="1" l="1"/>
  <c r="H188" i="1" s="1"/>
  <c r="I188" i="1" s="1"/>
  <c r="J188" i="1" s="1"/>
  <c r="K188" i="1" s="1"/>
  <c r="L188" i="1" s="1"/>
  <c r="M188" i="1" s="1"/>
  <c r="N188" i="1" s="1"/>
  <c r="N1269" i="1"/>
  <c r="J1269" i="1"/>
  <c r="F1269" i="1"/>
  <c r="M1269" i="1"/>
  <c r="I1269" i="1"/>
  <c r="E1269" i="1"/>
  <c r="L1269" i="1"/>
  <c r="H1269" i="1"/>
  <c r="D1269" i="1"/>
  <c r="K1269" i="1"/>
  <c r="G1269" i="1"/>
  <c r="F1624" i="1"/>
  <c r="F1628" i="1" s="1"/>
  <c r="F453" i="1"/>
  <c r="D2325" i="1"/>
  <c r="C44" i="6"/>
  <c r="M1733" i="1"/>
  <c r="M1738" i="1"/>
  <c r="N1727" i="1"/>
  <c r="L2814" i="1"/>
  <c r="L2820" i="1"/>
  <c r="M2803" i="1"/>
  <c r="M1541" i="1"/>
  <c r="M1546" i="1"/>
  <c r="N1535" i="1"/>
  <c r="M2585" i="1"/>
  <c r="M2580" i="1"/>
  <c r="M1641" i="1"/>
  <c r="M1646" i="1"/>
  <c r="M1361" i="1"/>
  <c r="M1356" i="1"/>
  <c r="F208" i="1"/>
  <c r="N1406" i="1"/>
  <c r="N1401" i="1"/>
  <c r="N1788" i="1"/>
  <c r="N1783" i="1"/>
  <c r="N1596" i="1"/>
  <c r="N1591" i="1"/>
  <c r="N177" i="1"/>
  <c r="N182" i="1"/>
  <c r="N2293" i="1"/>
  <c r="N2288" i="1"/>
  <c r="K1641" i="1"/>
  <c r="K1646" i="1"/>
  <c r="L1401" i="1"/>
  <c r="L1406" i="1"/>
  <c r="L1591" i="1"/>
  <c r="L1596" i="1"/>
  <c r="L2288" i="1"/>
  <c r="L2293" i="1"/>
  <c r="K1361" i="1"/>
  <c r="K1356" i="1"/>
  <c r="L1783" i="1"/>
  <c r="L1788" i="1"/>
  <c r="L177" i="1"/>
  <c r="L182" i="1"/>
  <c r="E1387" i="1"/>
  <c r="D1820" i="1"/>
  <c r="F1438" i="1"/>
  <c r="E2846" i="1"/>
  <c r="D208" i="1"/>
  <c r="C23" i="8" s="1"/>
  <c r="C5" i="8" s="1"/>
  <c r="F1387" i="1"/>
  <c r="D1387" i="1"/>
  <c r="F2325" i="1"/>
  <c r="E1059" i="1"/>
  <c r="F1678" i="1"/>
  <c r="E2617" i="1"/>
  <c r="E453" i="1"/>
  <c r="E208" i="1"/>
  <c r="G2617" i="1"/>
  <c r="H2617" i="1"/>
  <c r="E2325" i="1"/>
  <c r="F2617" i="1"/>
  <c r="D1295" i="1" l="1"/>
  <c r="C14" i="6"/>
  <c r="C49" i="6" s="1"/>
  <c r="I1295" i="1"/>
  <c r="H14" i="6"/>
  <c r="N1295" i="1"/>
  <c r="M14" i="6"/>
  <c r="E1295" i="1"/>
  <c r="D14" i="6"/>
  <c r="H1295" i="1"/>
  <c r="G14" i="6"/>
  <c r="G49" i="6" s="1"/>
  <c r="M1295" i="1"/>
  <c r="L14" i="6"/>
  <c r="L49" i="6" s="1"/>
  <c r="K1295" i="1"/>
  <c r="J14" i="6"/>
  <c r="J49" i="6" s="1"/>
  <c r="J1295" i="1"/>
  <c r="I14" i="6"/>
  <c r="I49" i="6" s="1"/>
  <c r="G1295" i="1"/>
  <c r="F14" i="6"/>
  <c r="L1295" i="1"/>
  <c r="F1295" i="1"/>
  <c r="E14" i="6"/>
  <c r="N2803" i="1"/>
  <c r="M2820" i="1"/>
  <c r="M2814" i="1"/>
  <c r="N1541" i="1"/>
  <c r="N1546" i="1"/>
  <c r="N1733" i="1"/>
  <c r="N1738" i="1"/>
  <c r="N1646" i="1"/>
  <c r="N1641" i="1"/>
  <c r="N1356" i="1"/>
  <c r="N1361" i="1"/>
  <c r="L1641" i="1"/>
  <c r="L1646" i="1"/>
  <c r="L1361" i="1"/>
  <c r="L1356" i="1"/>
  <c r="N2820" i="1" l="1"/>
  <c r="N2814" i="1"/>
  <c r="F44" i="6" l="1"/>
  <c r="F49" i="6" s="1"/>
  <c r="E1816" i="1" l="1"/>
  <c r="F1816" i="1"/>
  <c r="G1770" i="1"/>
  <c r="H1770" i="1"/>
  <c r="G1820" i="1"/>
  <c r="H1820" i="1"/>
  <c r="D44" i="6"/>
  <c r="D49" i="6" s="1"/>
  <c r="E1820" i="1" l="1"/>
  <c r="E1770" i="1"/>
  <c r="E44" i="6" l="1"/>
  <c r="E49" i="6" s="1"/>
  <c r="F1820" i="1"/>
  <c r="F1770" i="1"/>
  <c r="I1421" i="1" l="1"/>
  <c r="I1434" i="1" l="1"/>
  <c r="I1438" i="1" l="1"/>
  <c r="I2310" i="1"/>
  <c r="I2321" i="1" l="1"/>
  <c r="I2325" i="1" s="1"/>
  <c r="H44" i="6"/>
  <c r="H49" i="6" s="1"/>
  <c r="N920" i="1" l="1"/>
  <c r="M38" i="8" s="1"/>
  <c r="M6" i="8" s="1"/>
  <c r="L920" i="1" l="1"/>
  <c r="L124" i="1"/>
  <c r="L125" i="1" s="1"/>
  <c r="L364" i="1"/>
  <c r="L365" i="1" s="1"/>
  <c r="L2141" i="1"/>
  <c r="L790" i="1"/>
  <c r="L115" i="1"/>
  <c r="K21" i="8" s="1"/>
  <c r="L404" i="1" l="1"/>
  <c r="L2180" i="1"/>
  <c r="L791" i="1"/>
  <c r="L164" i="1"/>
  <c r="K22" i="8" s="1"/>
  <c r="L453" i="1"/>
  <c r="K6" i="8" l="1"/>
  <c r="L830" i="1"/>
  <c r="K14" i="6"/>
  <c r="K49" i="6" s="1"/>
  <c r="L1438" i="1"/>
  <c r="L2325" i="1" l="1"/>
  <c r="L1820" i="1"/>
  <c r="L1578" i="1" l="1"/>
  <c r="K1438" i="1" l="1"/>
  <c r="K2325" i="1" l="1"/>
  <c r="L731" i="1" l="1"/>
  <c r="L1059" i="1"/>
  <c r="L2846" i="1" l="1"/>
  <c r="K2617" i="1" l="1"/>
</calcChain>
</file>

<file path=xl/sharedStrings.xml><?xml version="1.0" encoding="utf-8"?>
<sst xmlns="http://schemas.openxmlformats.org/spreadsheetml/2006/main" count="2871" uniqueCount="312">
  <si>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</si>
  <si>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</si>
  <si>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</si>
  <si>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</si>
  <si>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</si>
  <si>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</si>
  <si>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</si>
  <si>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</si>
  <si>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</si>
  <si>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</si>
  <si>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</si>
  <si>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</si>
  <si>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</si>
  <si>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</si>
  <si>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</si>
  <si>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</si>
  <si>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</si>
  <si>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</si>
  <si>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</si>
  <si>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</si>
  <si>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</si>
  <si>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</si>
  <si>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</si>
  <si>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</si>
  <si>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</si>
  <si>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</si>
  <si>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</si>
  <si>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</si>
  <si>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</si>
  <si>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</si>
  <si>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</si>
  <si>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</si>
  <si>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</si>
  <si>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</si>
  <si>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</si>
  <si>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</si>
  <si>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</si>
  <si>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</si>
  <si>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</si>
  <si>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</si>
  <si>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</si>
  <si>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</si>
  <si>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</si>
  <si>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</si>
  <si>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</si>
  <si>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</si>
  <si>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</si>
  <si>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</si>
  <si>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</si>
  <si>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</si>
  <si>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</si>
  <si>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</si>
  <si>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</si>
  <si>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</si>
  <si>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</si>
  <si>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</si>
  <si>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</si>
  <si>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</si>
  <si>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</si>
  <si>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</si>
  <si>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</si>
  <si>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</si>
  <si>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</si>
  <si>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</si>
  <si>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</si>
  <si>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</si>
  <si>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</si>
  <si>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</si>
  <si>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</si>
  <si>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</si>
  <si>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</si>
  <si>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</si>
  <si>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</si>
  <si>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</si>
  <si>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</si>
  <si>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</si>
  <si>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</si>
  <si>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</si>
  <si>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</si>
  <si>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</si>
  <si>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</si>
  <si>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</si>
  <si>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</si>
  <si>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</si>
  <si>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</si>
  <si>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</si>
  <si>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</si>
  <si>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</si>
  <si>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</si>
  <si>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</si>
  <si>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</si>
  <si>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</si>
  <si>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</si>
  <si>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</si>
  <si>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</si>
  <si>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</si>
  <si>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</si>
  <si>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</si>
  <si>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</si>
  <si>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</si>
  <si>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</si>
  <si>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</si>
  <si>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</si>
  <si>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</si>
  <si>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</si>
  <si>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</si>
  <si>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</si>
  <si>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</si>
  <si>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</si>
  <si>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</si>
  <si>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</si>
  <si>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</si>
  <si>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</si>
  <si>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</si>
  <si>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</si>
  <si>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</si>
  <si>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</si>
  <si>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</si>
  <si>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</si>
  <si>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</si>
  <si>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</si>
  <si>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</si>
  <si>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</si>
  <si>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</si>
  <si>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</si>
  <si>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</si>
  <si>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</si>
  <si>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</si>
  <si>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</si>
  <si>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</si>
  <si>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</si>
  <si>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Marengo I</t>
  </si>
  <si>
    <t>W185</t>
  </si>
  <si>
    <t>Marengo II</t>
  </si>
  <si>
    <t>W772</t>
  </si>
  <si>
    <t>Bennett Creek Windfarm - REC Only</t>
  </si>
  <si>
    <t>W542</t>
  </si>
  <si>
    <t>Hot Springs Windfarm - REC Only</t>
  </si>
  <si>
    <t>W543</t>
  </si>
  <si>
    <t>Prospect 2 (Upgrade 1999)</t>
  </si>
  <si>
    <t>W140</t>
  </si>
  <si>
    <t>Lemolo 1 (Upgrade 2003)</t>
  </si>
  <si>
    <t>W157</t>
  </si>
  <si>
    <t>W180</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</si>
  <si>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</si>
  <si>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</si>
  <si>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</si>
  <si>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</si>
  <si>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</si>
  <si>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</si>
  <si>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</si>
  <si>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</si>
  <si>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</si>
  <si>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</si>
  <si>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</si>
  <si>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Top of the World</t>
  </si>
  <si>
    <t>W1749</t>
  </si>
  <si>
    <t>Dunlap I</t>
  </si>
  <si>
    <t>W1687</t>
  </si>
  <si>
    <t>Campbell Hill/Three Buttes</t>
  </si>
  <si>
    <t>W1383</t>
  </si>
  <si>
    <t>Glenrock Wind I</t>
  </si>
  <si>
    <t>W964</t>
  </si>
  <si>
    <t>Rolling Hills</t>
  </si>
  <si>
    <t>W928</t>
  </si>
  <si>
    <t>TBD</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</si>
  <si>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</si>
  <si>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</si>
  <si>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</si>
  <si>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</si>
  <si>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</si>
  <si>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</si>
  <si>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</si>
  <si>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</si>
  <si>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</si>
  <si>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</si>
  <si>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</si>
  <si>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</si>
  <si>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Adams Solar</t>
  </si>
  <si>
    <t>Bear Creek Solar</t>
  </si>
  <si>
    <t>Bly Solar</t>
  </si>
  <si>
    <t>Elbe Solar</t>
  </si>
  <si>
    <t>Enterprise Solar</t>
  </si>
  <si>
    <t>Pavant Solar</t>
  </si>
  <si>
    <t>W4619</t>
  </si>
  <si>
    <t>W4938</t>
  </si>
  <si>
    <t>2018 Surplus Applied to 2017</t>
  </si>
  <si>
    <t>2018 Surplus Applied to 2019</t>
  </si>
  <si>
    <t>2019 Surplus Applied to 2018</t>
  </si>
  <si>
    <t>2019 Surplus Applied to 2020</t>
  </si>
  <si>
    <t>2020 Surplus Applied to 2019</t>
  </si>
  <si>
    <t>2020 Surplus Applied to 2021</t>
  </si>
  <si>
    <t>Allocation Factors:</t>
  </si>
  <si>
    <r>
      <rPr>
        <b/>
        <sz val="11"/>
        <color theme="1"/>
        <rFont val="Calibri"/>
        <family val="2"/>
      </rPr>
      <t>Note 1</t>
    </r>
    <r>
      <rPr>
        <sz val="11"/>
        <color theme="1"/>
        <rFont val="Calibri"/>
        <family val="2"/>
      </rPr>
      <t>: Any surplus or deficit in row 43 (RCW 19.285 Compliance Surplus / (Deficit)) is a result of rounding in the Facility Detail tab. The correct target amount of RECs have been/will be retired for all compliance years.</t>
    </r>
  </si>
  <si>
    <t>W7039</t>
  </si>
  <si>
    <t>W7046</t>
  </si>
  <si>
    <t>W7044</t>
  </si>
  <si>
    <t>W4942</t>
  </si>
  <si>
    <t>W4943</t>
  </si>
  <si>
    <t>Granite Mountain East</t>
  </si>
  <si>
    <t>Granite Mountain West</t>
  </si>
  <si>
    <t>2021 Surplus Applied to 2020</t>
  </si>
  <si>
    <t>2021 Surplus Applied to 2022</t>
  </si>
  <si>
    <t>PacifiCorp</t>
  </si>
  <si>
    <t>Bennett Creek Wind Farm - REC Only</t>
  </si>
  <si>
    <t>Hot Springs Wind Farm - REC Only</t>
  </si>
  <si>
    <t>JC Boyle (Upgrate 2005)</t>
  </si>
  <si>
    <t>Lemolo 2 (Upgrage 2009)</t>
  </si>
  <si>
    <t>Bigfork</t>
  </si>
  <si>
    <t>Blundell</t>
  </si>
  <si>
    <t>Blundell II</t>
  </si>
  <si>
    <t>Campbell Hill</t>
  </si>
  <si>
    <t>Cedar Springs Wind I</t>
  </si>
  <si>
    <t>Cedar Springs Wind II</t>
  </si>
  <si>
    <t>Cedar Springs Wind III</t>
  </si>
  <si>
    <t>Ekola Flats Wind</t>
  </si>
  <si>
    <t>Enterprise</t>
  </si>
  <si>
    <t>Foote Creek I</t>
  </si>
  <si>
    <t>Glenrock I</t>
  </si>
  <si>
    <t>Glenrock III</t>
  </si>
  <si>
    <t>High Plains</t>
  </si>
  <si>
    <t xml:space="preserve">JC Boyle </t>
  </si>
  <si>
    <t>Latigo Wind</t>
  </si>
  <si>
    <t xml:space="preserve">Lemolo 1 </t>
  </si>
  <si>
    <t xml:space="preserve">Lemolo 2 </t>
  </si>
  <si>
    <t>McFadden Ridge</t>
  </si>
  <si>
    <t>Mountain Wind 1</t>
  </si>
  <si>
    <t>Mountain Wind 2</t>
  </si>
  <si>
    <t>Pavant</t>
  </si>
  <si>
    <t>Pavant Solar II LLC</t>
  </si>
  <si>
    <t>Pioneer Wind Park I LLC</t>
  </si>
  <si>
    <t xml:space="preserve">Prospect 2 </t>
  </si>
  <si>
    <t xml:space="preserve">Rock River I </t>
  </si>
  <si>
    <t>Sage Solar I, LLC</t>
  </si>
  <si>
    <t>Sage Solar II, LLC</t>
  </si>
  <si>
    <t>Sage Solar III, LLC</t>
  </si>
  <si>
    <t>Sweetwater Solar, LLC</t>
  </si>
  <si>
    <t xml:space="preserve">Wolverine Creek </t>
  </si>
  <si>
    <t>W179</t>
  </si>
  <si>
    <t>W194</t>
  </si>
  <si>
    <t>W230</t>
  </si>
  <si>
    <t>W10953</t>
  </si>
  <si>
    <t>W10972</t>
  </si>
  <si>
    <t>W201</t>
  </si>
  <si>
    <t>W965</t>
  </si>
  <si>
    <t>W1334</t>
  </si>
  <si>
    <t>W1341</t>
  </si>
  <si>
    <t>W1022</t>
  </si>
  <si>
    <t>W1023</t>
  </si>
  <si>
    <t>W5057</t>
  </si>
  <si>
    <t>W5126</t>
  </si>
  <si>
    <t>W187</t>
  </si>
  <si>
    <t>W8800</t>
  </si>
  <si>
    <t>W8808</t>
  </si>
  <si>
    <t>W8811</t>
  </si>
  <si>
    <t>W7365</t>
  </si>
  <si>
    <t>W188</t>
  </si>
  <si>
    <t>W7047</t>
  </si>
  <si>
    <t>W200</t>
  </si>
  <si>
    <t>Latigo</t>
  </si>
  <si>
    <t xml:space="preserve">McFadden Ridge </t>
  </si>
  <si>
    <t>Mountain Wind I</t>
  </si>
  <si>
    <t>Mountain Wind II</t>
  </si>
  <si>
    <t>Pavant Solar II</t>
  </si>
  <si>
    <t>Pioneer Wind Park</t>
  </si>
  <si>
    <t>Rock River</t>
  </si>
  <si>
    <t>Sage Solar I</t>
  </si>
  <si>
    <t>Sage Solar II</t>
  </si>
  <si>
    <t>Sage Solar III</t>
  </si>
  <si>
    <t>Sweetwater Solar</t>
  </si>
  <si>
    <t>TB Flats Wind I</t>
  </si>
  <si>
    <t>TB Flats Wind II</t>
  </si>
  <si>
    <t>Wolverine Creek</t>
  </si>
  <si>
    <t>2010 - 2020 actual retail sales. 2021 load forecast based on 2019 IRP progress report.</t>
  </si>
  <si>
    <t>2011 - 2020 is based on actual generation or REC purchase data. Generation forecast begins JJanuary 2021.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</si>
  <si>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 xml:space="preserve">2011 - 2020 actual System Generation (SG) and Control Area Generation West (CAGW) allocation factors. Forecast factors (2021 onward). </t>
  </si>
  <si>
    <t>*Tuana Springs - REC Only</t>
  </si>
  <si>
    <t>W1503</t>
  </si>
  <si>
    <t>1,063 RECs from Power County Wind Park South</t>
  </si>
  <si>
    <t>Wanapum (Upgrade)</t>
  </si>
  <si>
    <t>NA</t>
  </si>
  <si>
    <t>Nine Canyon Wind Project - REC Only</t>
  </si>
  <si>
    <t>W684</t>
  </si>
  <si>
    <t>SPI Aberdeen - REC Only</t>
  </si>
  <si>
    <t>W1640</t>
  </si>
  <si>
    <t>Fighting Creek - REC Only</t>
  </si>
  <si>
    <t>W2659</t>
  </si>
  <si>
    <t>Hidden Hollow - REC Only</t>
  </si>
  <si>
    <t>W1634</t>
  </si>
  <si>
    <t>Elkhorn Valley Wind - REC Only</t>
  </si>
  <si>
    <t>W186</t>
  </si>
  <si>
    <t>Lower Snake – Phalen Gulch - REC Only</t>
  </si>
  <si>
    <t>W2670</t>
  </si>
  <si>
    <t>Condon Wind Power Project - Condon Wind Power Project - REC Only</t>
  </si>
  <si>
    <t>W774</t>
  </si>
  <si>
    <t>Condon Wind Power Project - Condon Phase II - REC Only</t>
  </si>
  <si>
    <t>W833</t>
  </si>
  <si>
    <t>Klondike I - Klondike Wind Power LLC - REC Only</t>
  </si>
  <si>
    <t>W238</t>
  </si>
  <si>
    <t>Meadow Creek Wind Farm - Five Pine Project - REC Only</t>
  </si>
  <si>
    <t>W3186</t>
  </si>
  <si>
    <t>Meadow Creek Wind Farm - North Point Wind Farm - REC Only</t>
  </si>
  <si>
    <t>W3185</t>
  </si>
  <si>
    <t>Nine Canyon Wind Project - Nine Canyon Phase 3 - REC Only</t>
  </si>
  <si>
    <t>W697</t>
  </si>
  <si>
    <t>Stateline (WA) - FPL Energy Vansycle LLC - REC Only</t>
  </si>
  <si>
    <t>W248</t>
  </si>
  <si>
    <t>Seven Mile Hill II</t>
  </si>
  <si>
    <t>W976</t>
  </si>
  <si>
    <t>W11072</t>
  </si>
  <si>
    <t>W11488</t>
  </si>
  <si>
    <t>W4909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</si>
</sst>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7">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1"/>
      <color rgb="FFFF0000"/>
      <name val="Calibri"/>
      <family val="2"/>
    </font>
    <font>
      <sz val="11"/>
      <color theme="5"/>
      <name val="Calibri"/>
      <family val="2"/>
    </font>
    <font>
      <sz val="10"/>
      <name val="MS Sans Serif"/>
      <family val="2"/>
    </font>
    <font>
      <b/>
      <sz val="14"/>
      <color rgb="FFFF0000"/>
      <name val="Calibri"/>
      <family val="2"/>
    </font>
    <font>
      <sz val="11"/>
      <color theme="1"/>
      <name val="Calibri"/>
      <family val="2"/>
    </font>
    <font>
      <b/>
      <sz val="11"/>
      <color theme="1"/>
      <name val="Calibri"/>
      <family val="2"/>
    </font>
    <font>
      <b/>
      <sz val="22"/>
      <color rgb="FFFF0000"/>
      <name val="Calibri"/>
      <family val="2"/>
    </font>
    <font>
      <b/>
      <sz val="10"/>
      <color rgb="FFFF0000"/>
      <name val="Calibri"/>
      <family val="2"/>
    </font>
    <font>
      <sz val="16"/>
      <name val="Calibri"/>
      <family val="2"/>
    </font>
    <font>
      <b/>
      <sz val="16"/>
      <color rgb="FFFF0000"/>
      <name val="Calibri"/>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B050"/>
        <bgColor indexed="64"/>
      </patternFill>
    </fill>
  </fills>
  <borders count="6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29" fillId="0" borderId="0" applyFont="0" applyFill="0" applyBorder="0" applyAlignment="0" applyProtection="0"/>
  </cellStyleXfs>
  <cellXfs count="390">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164" fontId="2" fillId="7" borderId="19" xfId="1" applyNumberFormat="1" applyFont="1" applyFill="1" applyBorder="1" applyAlignment="1">
      <alignment horizontal="left" vertical="center" wrapText="1" shrinkToFit="1"/>
    </xf>
    <xf numFmtId="166" fontId="2" fillId="0" borderId="7" xfId="2" applyFont="1" applyFill="1" applyBorder="1" applyAlignment="1">
      <alignment vertical="center" wrapText="1"/>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167" fontId="2" fillId="2" borderId="22"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7" fontId="2" fillId="0" borderId="0" xfId="0" applyNumberFormat="1" applyFont="1" applyFill="1" applyBorder="1" applyAlignment="1">
      <alignment horizontal="center"/>
    </xf>
    <xf numFmtId="164" fontId="2" fillId="2" borderId="31" xfId="1" applyNumberFormat="1" applyFont="1" applyFill="1" applyBorder="1" applyAlignment="1"/>
    <xf numFmtId="164" fontId="2" fillId="2" borderId="32" xfId="1" applyNumberFormat="1" applyFont="1" applyFill="1" applyBorder="1" applyAlignment="1"/>
    <xf numFmtId="164" fontId="2" fillId="2" borderId="33" xfId="1" applyNumberFormat="1" applyFont="1" applyFill="1" applyBorder="1" applyAlignment="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4"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20" xfId="1" applyNumberFormat="1" applyFont="1" applyBorder="1"/>
    <xf numFmtId="164" fontId="2" fillId="2" borderId="39" xfId="1" applyNumberFormat="1" applyFont="1" applyFill="1" applyBorder="1" applyAlignment="1"/>
    <xf numFmtId="164" fontId="2" fillId="2" borderId="35" xfId="1" applyNumberFormat="1" applyFont="1" applyFill="1" applyBorder="1" applyAlignment="1"/>
    <xf numFmtId="164" fontId="2" fillId="2" borderId="37"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1" xfId="1" applyNumberFormat="1" applyFont="1" applyFill="1" applyBorder="1"/>
    <xf numFmtId="164" fontId="7" fillId="6" borderId="41" xfId="1" applyNumberFormat="1" applyFont="1" applyFill="1" applyBorder="1"/>
    <xf numFmtId="164" fontId="2" fillId="9" borderId="42"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5" xfId="1" applyNumberFormat="1" applyFont="1" applyFill="1" applyBorder="1"/>
    <xf numFmtId="164" fontId="2" fillId="7" borderId="44" xfId="1" applyNumberFormat="1" applyFont="1" applyFill="1" applyBorder="1"/>
    <xf numFmtId="0" fontId="2" fillId="0" borderId="0" xfId="0" applyFont="1" applyBorder="1" applyAlignment="1">
      <alignment horizontal="center"/>
    </xf>
    <xf numFmtId="0" fontId="2" fillId="0" borderId="36" xfId="0" applyFont="1" applyBorder="1" applyAlignment="1">
      <alignment horizontal="center"/>
    </xf>
    <xf numFmtId="164" fontId="2" fillId="9" borderId="47" xfId="1" applyNumberFormat="1" applyFont="1" applyFill="1" applyBorder="1"/>
    <xf numFmtId="164" fontId="2" fillId="0" borderId="48" xfId="1" applyNumberFormat="1" applyFont="1" applyFill="1" applyBorder="1"/>
    <xf numFmtId="164" fontId="2" fillId="9" borderId="49" xfId="1" applyNumberFormat="1" applyFont="1" applyFill="1" applyBorder="1"/>
    <xf numFmtId="0" fontId="1" fillId="0" borderId="0" xfId="0" applyFont="1" applyBorder="1" applyAlignment="1"/>
    <xf numFmtId="164" fontId="2" fillId="2" borderId="38" xfId="1" applyNumberFormat="1" applyFont="1" applyFill="1" applyBorder="1"/>
    <xf numFmtId="0" fontId="1" fillId="0" borderId="23" xfId="0" applyFont="1" applyBorder="1" applyAlignment="1"/>
    <xf numFmtId="0" fontId="25" fillId="0" borderId="0" xfId="0" applyFont="1"/>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3" fillId="0" borderId="0" xfId="1" applyNumberFormat="1" applyFont="1" applyBorder="1"/>
    <xf numFmtId="9" fontId="2" fillId="2" borderId="5" xfId="3" applyFont="1" applyFill="1" applyBorder="1"/>
    <xf numFmtId="9" fontId="2" fillId="2" borderId="37" xfId="3" applyFont="1" applyFill="1" applyBorder="1"/>
    <xf numFmtId="164" fontId="7" fillId="6" borderId="50" xfId="1" applyNumberFormat="1" applyFont="1" applyFill="1" applyBorder="1"/>
    <xf numFmtId="164" fontId="2" fillId="2" borderId="39" xfId="1" applyNumberFormat="1" applyFont="1" applyFill="1" applyBorder="1"/>
    <xf numFmtId="9" fontId="2" fillId="2" borderId="35" xfId="3" applyFont="1" applyFill="1" applyBorder="1"/>
    <xf numFmtId="9" fontId="2" fillId="2" borderId="42" xfId="3" applyFont="1" applyFill="1" applyBorder="1"/>
    <xf numFmtId="9" fontId="2" fillId="2" borderId="27" xfId="3" applyFont="1" applyFill="1" applyBorder="1"/>
    <xf numFmtId="9" fontId="2" fillId="2" borderId="40" xfId="3" applyFont="1" applyFill="1" applyBorder="1"/>
    <xf numFmtId="9" fontId="2" fillId="2" borderId="43" xfId="3" applyFont="1" applyFill="1" applyBorder="1"/>
    <xf numFmtId="164" fontId="27"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27" fillId="0" borderId="0" xfId="1" applyNumberFormat="1" applyFont="1"/>
    <xf numFmtId="0" fontId="2" fillId="0" borderId="52" xfId="0" applyFont="1" applyBorder="1"/>
    <xf numFmtId="164" fontId="2" fillId="7" borderId="53" xfId="1" applyNumberFormat="1" applyFont="1" applyFill="1" applyBorder="1"/>
    <xf numFmtId="164" fontId="2" fillId="9" borderId="34" xfId="1" applyNumberFormat="1" applyFont="1" applyFill="1" applyBorder="1"/>
    <xf numFmtId="164" fontId="2" fillId="11" borderId="34" xfId="1" applyNumberFormat="1" applyFont="1" applyFill="1" applyBorder="1"/>
    <xf numFmtId="164" fontId="2" fillId="0" borderId="34" xfId="1" applyNumberFormat="1" applyFont="1" applyFill="1" applyBorder="1"/>
    <xf numFmtId="164" fontId="3" fillId="0" borderId="36" xfId="1" applyNumberFormat="1" applyFont="1" applyBorder="1"/>
    <xf numFmtId="164" fontId="3" fillId="0" borderId="30" xfId="1" applyNumberFormat="1" applyFont="1" applyBorder="1"/>
    <xf numFmtId="0" fontId="2" fillId="0" borderId="0" xfId="0" applyFont="1" applyAlignment="1">
      <alignment wrapText="1"/>
    </xf>
    <xf numFmtId="164" fontId="2" fillId="9"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37" fontId="24" fillId="6" borderId="16" xfId="1" applyNumberFormat="1" applyFont="1" applyFill="1" applyBorder="1" applyAlignment="1">
      <alignment horizontal="center" vertical="center"/>
    </xf>
    <xf numFmtId="164" fontId="14" fillId="9" borderId="20"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3" applyFont="1" applyFill="1" applyBorder="1" applyAlignment="1"/>
    <xf numFmtId="9" fontId="2" fillId="2" borderId="20" xfId="3" applyFont="1" applyFill="1" applyBorder="1" applyAlignment="1"/>
    <xf numFmtId="9" fontId="2" fillId="2" borderId="5" xfId="3" applyFont="1" applyFill="1" applyBorder="1" applyAlignment="1"/>
    <xf numFmtId="9" fontId="2" fillId="2" borderId="11" xfId="3" applyFont="1" applyFill="1" applyBorder="1" applyAlignment="1"/>
    <xf numFmtId="9" fontId="2" fillId="2" borderId="12" xfId="3" applyFont="1" applyFill="1" applyBorder="1" applyAlignment="1"/>
    <xf numFmtId="9" fontId="2" fillId="2" borderId="33" xfId="3" applyFont="1" applyFill="1" applyBorder="1" applyAlignment="1"/>
    <xf numFmtId="0" fontId="2" fillId="2" borderId="1" xfId="0" applyFont="1" applyFill="1" applyBorder="1" applyAlignment="1">
      <alignment horizontal="left"/>
    </xf>
    <xf numFmtId="0" fontId="2" fillId="2" borderId="10" xfId="0" applyFont="1" applyFill="1" applyBorder="1" applyAlignment="1">
      <alignment horizontal="left"/>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164" fontId="2" fillId="11" borderId="2" xfId="1" applyNumberFormat="1" applyFont="1" applyFill="1" applyBorder="1" applyAlignment="1"/>
    <xf numFmtId="164" fontId="3" fillId="10" borderId="13" xfId="1" applyNumberFormat="1" applyFont="1" applyFill="1" applyBorder="1"/>
    <xf numFmtId="164" fontId="2" fillId="11" borderId="3" xfId="1" applyNumberFormat="1" applyFont="1" applyFill="1" applyBorder="1" applyAlignment="1"/>
    <xf numFmtId="164" fontId="28" fillId="10" borderId="5" xfId="1" applyNumberFormat="1" applyFont="1" applyFill="1" applyBorder="1"/>
    <xf numFmtId="164" fontId="3" fillId="0" borderId="13" xfId="1" applyNumberFormat="1" applyFont="1" applyFill="1" applyBorder="1"/>
    <xf numFmtId="164" fontId="2" fillId="11" borderId="2" xfId="1" applyNumberFormat="1" applyFont="1" applyFill="1" applyBorder="1"/>
    <xf numFmtId="164" fontId="3" fillId="0" borderId="0" xfId="1" applyNumberFormat="1" applyFont="1" applyFill="1"/>
    <xf numFmtId="0" fontId="2" fillId="0" borderId="0" xfId="0" applyFont="1" applyFill="1"/>
    <xf numFmtId="164" fontId="2" fillId="9" borderId="21" xfId="1" applyNumberFormat="1" applyFont="1" applyFill="1" applyBorder="1"/>
    <xf numFmtId="9" fontId="2" fillId="11" borderId="20" xfId="3" applyFont="1" applyFill="1" applyBorder="1"/>
    <xf numFmtId="9" fontId="2" fillId="11" borderId="21" xfId="3" applyFont="1" applyFill="1" applyBorder="1"/>
    <xf numFmtId="41" fontId="3" fillId="0" borderId="13" xfId="1" applyNumberFormat="1" applyFont="1" applyFill="1" applyBorder="1"/>
    <xf numFmtId="164" fontId="3" fillId="0" borderId="0" xfId="1" applyNumberFormat="1" applyFont="1" applyFill="1" applyAlignment="1">
      <alignment horizontal="center"/>
    </xf>
    <xf numFmtId="164" fontId="3" fillId="0" borderId="13" xfId="1" applyNumberFormat="1" applyFont="1" applyBorder="1" applyAlignment="1">
      <alignment horizontal="center"/>
    </xf>
    <xf numFmtId="164" fontId="3" fillId="0" borderId="30" xfId="1" applyNumberFormat="1" applyFont="1" applyBorder="1" applyAlignment="1">
      <alignment horizontal="center"/>
    </xf>
    <xf numFmtId="164" fontId="2" fillId="0" borderId="18" xfId="1" applyNumberFormat="1" applyFont="1" applyFill="1" applyBorder="1"/>
    <xf numFmtId="164" fontId="2" fillId="11" borderId="39" xfId="1" applyNumberFormat="1" applyFont="1" applyFill="1" applyBorder="1"/>
    <xf numFmtId="164" fontId="14" fillId="2" borderId="17" xfId="1" applyNumberFormat="1" applyFont="1" applyFill="1" applyBorder="1"/>
    <xf numFmtId="9" fontId="2" fillId="11" borderId="12" xfId="3" applyFont="1" applyFill="1" applyBorder="1"/>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8" fontId="2" fillId="0" borderId="0" xfId="0" applyNumberFormat="1" applyFont="1" applyFill="1"/>
    <xf numFmtId="164" fontId="7" fillId="12" borderId="16" xfId="1" applyNumberFormat="1" applyFont="1" applyFill="1" applyBorder="1" applyAlignment="1">
      <alignment horizontal="center"/>
    </xf>
    <xf numFmtId="164" fontId="7" fillId="12" borderId="15" xfId="1" applyNumberFormat="1" applyFont="1" applyFill="1" applyBorder="1" applyAlignment="1">
      <alignment horizontal="center"/>
    </xf>
    <xf numFmtId="164" fontId="2" fillId="11" borderId="0" xfId="1" applyNumberFormat="1" applyFont="1" applyFill="1" applyBorder="1"/>
    <xf numFmtId="164" fontId="3" fillId="4" borderId="0" xfId="1" applyNumberFormat="1" applyFont="1" applyFill="1" applyBorder="1" applyAlignment="1"/>
    <xf numFmtId="164" fontId="3" fillId="0" borderId="0" xfId="1" applyNumberFormat="1" applyFont="1" applyFill="1" applyBorder="1" applyAlignment="1"/>
    <xf numFmtId="9" fontId="2" fillId="2" borderId="54" xfId="3" applyFont="1" applyFill="1" applyBorder="1" applyAlignment="1"/>
    <xf numFmtId="164" fontId="2" fillId="10" borderId="36" xfId="1" applyNumberFormat="1" applyFont="1" applyFill="1" applyBorder="1"/>
    <xf numFmtId="164" fontId="2" fillId="10" borderId="18" xfId="1" applyNumberFormat="1" applyFont="1" applyFill="1" applyBorder="1"/>
    <xf numFmtId="164" fontId="3" fillId="10" borderId="0" xfId="1" applyNumberFormat="1" applyFont="1" applyFill="1"/>
    <xf numFmtId="164" fontId="2" fillId="11" borderId="27" xfId="1" applyNumberFormat="1" applyFont="1" applyFill="1" applyBorder="1" applyAlignment="1">
      <alignment vertical="center"/>
    </xf>
    <xf numFmtId="164" fontId="2" fillId="10" borderId="5" xfId="1" applyNumberFormat="1" applyFont="1" applyFill="1" applyBorder="1" applyAlignment="1">
      <alignment vertical="center"/>
    </xf>
    <xf numFmtId="0" fontId="2" fillId="0" borderId="0" xfId="0" applyFont="1" applyFill="1" applyAlignment="1">
      <alignment wrapText="1"/>
    </xf>
    <xf numFmtId="0" fontId="2" fillId="0" borderId="0" xfId="0" applyFont="1" applyFill="1" applyAlignment="1"/>
    <xf numFmtId="0" fontId="30" fillId="0" borderId="0" xfId="0" applyFont="1" applyFill="1" applyAlignment="1">
      <alignment wrapText="1"/>
    </xf>
    <xf numFmtId="0" fontId="33" fillId="0" borderId="0" xfId="0" applyFont="1" applyFill="1" applyAlignment="1">
      <alignment wrapText="1"/>
    </xf>
    <xf numFmtId="43" fontId="2" fillId="0" borderId="0" xfId="1" applyNumberFormat="1" applyFont="1" applyFill="1" applyBorder="1"/>
    <xf numFmtId="164" fontId="14" fillId="7" borderId="2" xfId="1" applyNumberFormat="1" applyFont="1" applyFill="1" applyBorder="1"/>
    <xf numFmtId="164" fontId="14" fillId="7" borderId="5" xfId="1" applyNumberFormat="1" applyFont="1" applyFill="1" applyBorder="1"/>
    <xf numFmtId="164" fontId="14" fillId="9" borderId="5" xfId="1" applyNumberFormat="1" applyFont="1" applyFill="1" applyBorder="1"/>
    <xf numFmtId="43" fontId="6" fillId="10" borderId="29" xfId="0" applyNumberFormat="1" applyFont="1" applyFill="1" applyBorder="1" applyAlignment="1">
      <alignment vertical="center"/>
    </xf>
    <xf numFmtId="43" fontId="6" fillId="10" borderId="30" xfId="0" applyNumberFormat="1" applyFont="1" applyFill="1" applyBorder="1" applyAlignment="1">
      <alignment vertical="center"/>
    </xf>
    <xf numFmtId="43" fontId="6" fillId="10" borderId="14" xfId="0" applyNumberFormat="1" applyFont="1" applyFill="1" applyBorder="1" applyAlignment="1">
      <alignment vertical="center"/>
    </xf>
    <xf numFmtId="164" fontId="14" fillId="7" borderId="26" xfId="1" applyNumberFormat="1" applyFont="1" applyFill="1" applyBorder="1"/>
    <xf numFmtId="164" fontId="14" fillId="7" borderId="27" xfId="1" applyNumberFormat="1" applyFont="1" applyFill="1" applyBorder="1"/>
    <xf numFmtId="164" fontId="34" fillId="7" borderId="5" xfId="1" applyNumberFormat="1" applyFont="1" applyFill="1" applyBorder="1" applyAlignment="1">
      <alignment horizontal="right"/>
    </xf>
    <xf numFmtId="164" fontId="14" fillId="9" borderId="27" xfId="1" applyNumberFormat="1" applyFont="1" applyFill="1" applyBorder="1"/>
    <xf numFmtId="164" fontId="14" fillId="7" borderId="20" xfId="1" applyNumberFormat="1" applyFont="1" applyFill="1" applyBorder="1"/>
    <xf numFmtId="164" fontId="28" fillId="10" borderId="20" xfId="1" applyNumberFormat="1" applyFont="1" applyFill="1" applyBorder="1"/>
    <xf numFmtId="164" fontId="2" fillId="0" borderId="0" xfId="0" applyNumberFormat="1" applyFont="1"/>
    <xf numFmtId="164" fontId="2" fillId="9" borderId="43" xfId="1" applyNumberFormat="1" applyFont="1" applyFill="1" applyBorder="1"/>
    <xf numFmtId="164" fontId="2" fillId="11" borderId="20" xfId="1" applyNumberFormat="1" applyFont="1" applyFill="1" applyBorder="1"/>
    <xf numFmtId="164" fontId="2" fillId="10" borderId="20" xfId="1" applyNumberFormat="1" applyFont="1" applyFill="1" applyBorder="1"/>
    <xf numFmtId="164" fontId="2" fillId="11" borderId="31" xfId="1" applyNumberFormat="1" applyFont="1" applyFill="1" applyBorder="1" applyAlignment="1"/>
    <xf numFmtId="9" fontId="2" fillId="11" borderId="20" xfId="3" applyFont="1" applyFill="1" applyBorder="1" applyAlignment="1"/>
    <xf numFmtId="9" fontId="2" fillId="11" borderId="33" xfId="3" applyFont="1" applyFill="1" applyBorder="1" applyAlignment="1"/>
    <xf numFmtId="9" fontId="2" fillId="11" borderId="54" xfId="3" applyFont="1" applyFill="1" applyBorder="1" applyAlignment="1"/>
    <xf numFmtId="9" fontId="2" fillId="11" borderId="11" xfId="3" applyFont="1" applyFill="1" applyBorder="1" applyAlignment="1">
      <alignment horizontal="right"/>
    </xf>
    <xf numFmtId="9" fontId="2" fillId="11" borderId="18" xfId="3" applyFont="1" applyFill="1" applyBorder="1" applyAlignment="1"/>
    <xf numFmtId="9" fontId="2" fillId="11" borderId="12" xfId="3" applyFont="1" applyFill="1" applyBorder="1" applyAlignment="1"/>
    <xf numFmtId="9" fontId="2" fillId="11" borderId="54" xfId="3" applyFont="1" applyFill="1" applyBorder="1"/>
    <xf numFmtId="164" fontId="2" fillId="11" borderId="3" xfId="1" applyNumberFormat="1" applyFont="1" applyFill="1" applyBorder="1"/>
    <xf numFmtId="9" fontId="2" fillId="11" borderId="22" xfId="3" applyFont="1" applyFill="1" applyBorder="1"/>
    <xf numFmtId="0" fontId="9" fillId="13" borderId="0" xfId="0" applyFont="1" applyFill="1"/>
    <xf numFmtId="164" fontId="14" fillId="7" borderId="35" xfId="1" applyNumberFormat="1" applyFont="1" applyFill="1" applyBorder="1"/>
    <xf numFmtId="0" fontId="9" fillId="0" borderId="0" xfId="0" applyFont="1" applyFill="1"/>
    <xf numFmtId="0" fontId="10" fillId="0" borderId="0" xfId="0" applyFont="1" applyFill="1" applyAlignment="1">
      <alignment horizontal="center"/>
    </xf>
    <xf numFmtId="0" fontId="10" fillId="13" borderId="0" xfId="0" applyFont="1" applyFill="1" applyBorder="1" applyAlignment="1">
      <alignment horizontal="center"/>
    </xf>
    <xf numFmtId="164" fontId="10" fillId="13" borderId="0" xfId="1" applyNumberFormat="1" applyFont="1" applyFill="1" applyBorder="1"/>
    <xf numFmtId="0" fontId="2" fillId="0" borderId="58" xfId="0" applyFont="1" applyFill="1" applyBorder="1"/>
    <xf numFmtId="0" fontId="6" fillId="0" borderId="56" xfId="0" applyFont="1" applyBorder="1"/>
    <xf numFmtId="0" fontId="6" fillId="0" borderId="55" xfId="0" applyFont="1" applyFill="1" applyBorder="1" applyAlignment="1">
      <alignment horizontal="left"/>
    </xf>
    <xf numFmtId="0" fontId="2" fillId="2" borderId="53" xfId="0" applyFont="1" applyFill="1" applyBorder="1" applyAlignment="1">
      <alignment horizontal="left"/>
    </xf>
    <xf numFmtId="0" fontId="2" fillId="2" borderId="34" xfId="0" applyFont="1" applyFill="1" applyBorder="1" applyAlignment="1">
      <alignment horizontal="center"/>
    </xf>
    <xf numFmtId="0" fontId="2" fillId="3" borderId="34" xfId="0" applyFont="1" applyFill="1" applyBorder="1" applyAlignment="1">
      <alignment horizontal="center"/>
    </xf>
    <xf numFmtId="0" fontId="2" fillId="3" borderId="59" xfId="0" applyFont="1" applyFill="1" applyBorder="1" applyAlignment="1">
      <alignment horizontal="center"/>
    </xf>
    <xf numFmtId="167" fontId="2" fillId="2" borderId="60" xfId="0" applyNumberFormat="1" applyFont="1" applyFill="1" applyBorder="1" applyAlignment="1">
      <alignment horizontal="center"/>
    </xf>
    <xf numFmtId="0" fontId="2" fillId="2" borderId="61" xfId="0" applyFont="1" applyFill="1" applyBorder="1" applyAlignment="1">
      <alignment horizontal="left"/>
    </xf>
    <xf numFmtId="0" fontId="2" fillId="2" borderId="62" xfId="0" applyFont="1" applyFill="1" applyBorder="1" applyAlignment="1">
      <alignment horizontal="center"/>
    </xf>
    <xf numFmtId="0" fontId="2" fillId="3" borderId="62" xfId="0" applyFont="1" applyFill="1" applyBorder="1" applyAlignment="1">
      <alignment horizontal="center"/>
    </xf>
    <xf numFmtId="0" fontId="2" fillId="3" borderId="63" xfId="0" applyFont="1" applyFill="1" applyBorder="1" applyAlignment="1">
      <alignment horizontal="center"/>
    </xf>
    <xf numFmtId="167" fontId="2" fillId="2" borderId="64" xfId="0" applyNumberFormat="1" applyFont="1" applyFill="1" applyBorder="1" applyAlignment="1">
      <alignment horizontal="center"/>
    </xf>
    <xf numFmtId="0" fontId="6" fillId="0" borderId="0" xfId="0" applyFont="1" applyFill="1" applyBorder="1" applyAlignment="1">
      <alignment horizontal="centerContinuous"/>
    </xf>
    <xf numFmtId="0" fontId="6" fillId="0" borderId="58" xfId="0" applyFont="1" applyFill="1" applyBorder="1" applyAlignment="1">
      <alignment horizontal="centerContinuous"/>
    </xf>
    <xf numFmtId="0" fontId="6" fillId="0" borderId="56" xfId="0" applyFont="1" applyBorder="1" applyAlignment="1"/>
    <xf numFmtId="0" fontId="6" fillId="0" borderId="58" xfId="0" applyFont="1" applyFill="1" applyBorder="1" applyAlignment="1"/>
    <xf numFmtId="0" fontId="6" fillId="0" borderId="56" xfId="0" applyFont="1" applyFill="1" applyBorder="1" applyAlignment="1">
      <alignment horizontal="left"/>
    </xf>
    <xf numFmtId="0" fontId="6" fillId="0" borderId="57" xfId="0" applyFont="1" applyFill="1" applyBorder="1" applyAlignment="1">
      <alignment horizontal="centerContinuous"/>
    </xf>
    <xf numFmtId="0" fontId="2" fillId="0" borderId="0" xfId="0" applyFont="1" applyFill="1" applyBorder="1" applyAlignment="1">
      <alignment horizontal="left"/>
    </xf>
    <xf numFmtId="0" fontId="6" fillId="0" borderId="58" xfId="0" applyFont="1" applyFill="1" applyBorder="1" applyAlignment="1">
      <alignment horizontal="left"/>
    </xf>
    <xf numFmtId="0" fontId="35" fillId="0" borderId="58" xfId="0" applyFont="1" applyFill="1" applyBorder="1" applyAlignment="1">
      <alignment horizontal="centerContinuous"/>
    </xf>
    <xf numFmtId="164" fontId="2" fillId="7" borderId="43" xfId="1" applyNumberFormat="1" applyFont="1" applyFill="1" applyBorder="1"/>
    <xf numFmtId="0" fontId="3" fillId="0" borderId="23" xfId="0" applyFont="1" applyBorder="1" applyAlignment="1">
      <alignment horizontal="left" vertical="center" wrapText="1" indent="2" shrinkToFit="1"/>
    </xf>
    <xf numFmtId="164" fontId="2" fillId="0" borderId="16" xfId="1" applyNumberFormat="1" applyFont="1" applyFill="1" applyBorder="1" applyAlignment="1">
      <alignment horizontal="center"/>
    </xf>
    <xf numFmtId="164" fontId="14" fillId="7" borderId="12" xfId="1" applyNumberFormat="1" applyFont="1" applyFill="1" applyBorder="1"/>
    <xf numFmtId="164" fontId="2" fillId="0" borderId="35" xfId="1" applyNumberFormat="1" applyFont="1" applyFill="1" applyBorder="1"/>
    <xf numFmtId="164" fontId="2" fillId="0" borderId="65" xfId="1" applyNumberFormat="1" applyFont="1" applyFill="1" applyBorder="1"/>
    <xf numFmtId="164" fontId="2" fillId="7" borderId="34" xfId="1" applyNumberFormat="1" applyFont="1" applyFill="1" applyBorder="1"/>
    <xf numFmtId="164" fontId="2" fillId="9" borderId="25" xfId="1" applyNumberFormat="1" applyFont="1" applyFill="1" applyBorder="1"/>
    <xf numFmtId="0" fontId="2" fillId="0" borderId="0" xfId="0" applyFont="1" applyAlignment="1">
      <alignment horizontal="left"/>
    </xf>
    <xf numFmtId="9" fontId="2" fillId="2" borderId="21" xfId="3" applyFont="1" applyFill="1" applyBorder="1" applyAlignment="1"/>
    <xf numFmtId="9" fontId="2" fillId="2" borderId="18" xfId="3" applyFont="1" applyFill="1" applyBorder="1" applyAlignment="1"/>
    <xf numFmtId="164" fontId="2" fillId="0" borderId="12" xfId="1" applyNumberFormat="1" applyFont="1" applyBorder="1"/>
    <xf numFmtId="0" fontId="2" fillId="0" borderId="0" xfId="0" applyFont="1" applyAlignment="1">
      <alignment horizontal="left" vertical="center"/>
    </xf>
    <xf numFmtId="0" fontId="1" fillId="0" borderId="23" xfId="0" applyFont="1" applyBorder="1"/>
    <xf numFmtId="0" fontId="1" fillId="0" borderId="0" xfId="0" applyFont="1"/>
    <xf numFmtId="164" fontId="2" fillId="7" borderId="21" xfId="1" applyNumberFormat="1" applyFont="1" applyFill="1" applyBorder="1"/>
    <xf numFmtId="164" fontId="2" fillId="9" borderId="18" xfId="1" applyNumberFormat="1" applyFont="1" applyFill="1" applyBorder="1"/>
    <xf numFmtId="164" fontId="2" fillId="2" borderId="14" xfId="1" applyNumberFormat="1" applyFont="1" applyFill="1" applyBorder="1"/>
    <xf numFmtId="167" fontId="2" fillId="0" borderId="0" xfId="0" applyNumberFormat="1" applyFont="1" applyAlignment="1">
      <alignment horizontal="center"/>
    </xf>
    <xf numFmtId="9" fontId="2" fillId="2" borderId="46" xfId="3" applyFont="1" applyFill="1" applyBorder="1"/>
    <xf numFmtId="164" fontId="2" fillId="7" borderId="12" xfId="1" applyNumberFormat="1" applyFont="1" applyFill="1" applyBorder="1"/>
    <xf numFmtId="164" fontId="2" fillId="7" borderId="18" xfId="1" applyNumberFormat="1" applyFont="1" applyFill="1" applyBorder="1"/>
    <xf numFmtId="0" fontId="6" fillId="0" borderId="56" xfId="0" applyFont="1" applyBorder="1" applyAlignment="1">
      <alignment horizontal="left"/>
    </xf>
    <xf numFmtId="0" fontId="6" fillId="0" borderId="57" xfId="0" applyFont="1" applyBorder="1" applyAlignment="1">
      <alignment horizontal="centerContinuous"/>
    </xf>
    <xf numFmtId="0" fontId="2" fillId="0" borderId="58" xfId="0" applyFont="1" applyBorder="1"/>
    <xf numFmtId="0" fontId="6" fillId="0" borderId="66" xfId="0" applyFont="1" applyBorder="1" applyAlignment="1">
      <alignment horizontal="centerContinuous"/>
    </xf>
    <xf numFmtId="0" fontId="6" fillId="0" borderId="58" xfId="0" applyFont="1" applyBorder="1" applyAlignment="1">
      <alignment horizontal="centerContinuous"/>
    </xf>
    <xf numFmtId="164" fontId="2" fillId="0" borderId="39" xfId="1" applyNumberFormat="1" applyFont="1" applyBorder="1"/>
    <xf numFmtId="164" fontId="2" fillId="0" borderId="37" xfId="1" applyNumberFormat="1" applyFont="1" applyBorder="1"/>
    <xf numFmtId="0" fontId="36" fillId="0" borderId="58" xfId="0" applyFont="1" applyBorder="1" applyAlignment="1">
      <alignment horizontal="centerContinuous"/>
    </xf>
    <xf numFmtId="0" fontId="2" fillId="0" borderId="57" xfId="0" applyFont="1" applyBorder="1"/>
    <xf numFmtId="0" fontId="6" fillId="0" borderId="57" xfId="0" applyFont="1" applyBorder="1" applyAlignment="1">
      <alignment horizontal="left"/>
    </xf>
    <xf numFmtId="0" fontId="2" fillId="0" borderId="57" xfId="0" applyFont="1" applyBorder="1" applyAlignment="1">
      <alignment horizontal="left"/>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0" fontId="10" fillId="14" borderId="6" xfId="0" applyFont="1" applyFill="1" applyBorder="1"/>
    <xf numFmtId="164" fontId="2" fillId="0" borderId="12" xfId="1" applyNumberFormat="1" applyFont="1" applyFill="1" applyBorder="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165" fontId="4" fillId="10" borderId="29"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2" fillId="0" borderId="0" xfId="0" quotePrefix="1" applyFont="1" applyAlignment="1">
      <alignment horizontal="left" vertical="center" wrapText="1"/>
    </xf>
    <xf numFmtId="0" fontId="14" fillId="8" borderId="0" xfId="0" applyFont="1" applyFill="1" applyAlignment="1">
      <alignment horizontal="center" wrapText="1"/>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31" fillId="0" borderId="0" xfId="0" applyFont="1" applyAlignment="1">
      <alignment horizontal="left" wrapText="1"/>
    </xf>
    <xf numFmtId="0" fontId="25" fillId="0" borderId="13" xfId="0" applyFont="1" applyFill="1" applyBorder="1" applyAlignment="1">
      <alignment horizontal="left" wrapText="1"/>
    </xf>
    <xf numFmtId="0" fontId="2" fillId="0" borderId="51" xfId="0" applyFont="1" applyBorder="1" applyAlignment="1">
      <alignment horizontal="left" vertical="center" wrapText="1"/>
    </xf>
  </cellXfs>
  <cellStyles count="5">
    <cellStyle name="Comma" xfId="1" builtinId="3"/>
    <cellStyle name="Comma 2" xfId="4" xr:uid="{00000000-0005-0000-0000-000001000000}"/>
    <cellStyle name="Normal" xfId="0" builtinId="0"/>
    <cellStyle name="Normal_Inputs PSM 14-9_TEMPLATE" xfId="2" xr:uid="{00000000-0005-0000-0000-000003000000}"/>
    <cellStyle name="Percent" xfId="3" builtinId="5"/>
  </cellStyles>
  <dxfs count="4">
    <dxf>
      <font>
        <condense val="0"/>
        <extend val="0"/>
        <color indexed="10"/>
      </font>
    </dxf>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Filings\_WA\2021\1.%202021%20WUTC%20-%20RPS%20Report\_DRAFTS\A.%20RPS%20Reporting%20Spreadsheet\2020%20for%20REFERENCE%20Attach%20A%20PacifiCorp%20RPS%20Report%20Tool_re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Compliance Summary"/>
      <sheetName val="Facility Detail"/>
      <sheetName val="Generation Rollup"/>
    </sheetNames>
    <sheetDataSet>
      <sheetData sheetId="0"/>
      <sheetData sheetId="1"/>
      <sheetData sheetId="2"/>
      <sheetData sheetId="3">
        <row r="1914">
          <cell r="B1914">
            <v>0.2</v>
          </cell>
        </row>
        <row r="1917">
          <cell r="B1917">
            <v>2011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51"/>
  <sheetViews>
    <sheetView tabSelected="1" topLeftCell="A10" workbookViewId="0">
      <selection activeCell="B25" sqref="B25:I25"/>
    </sheetView>
  </sheetViews>
  <sheetFormatPr defaultRowHeight="12.5"/>
  <cols>
    <col min="1" max="1" width="9.1796875" style="125"/>
    <col min="2" max="2" width="16.7265625" style="125" bestFit="1" customWidth="1"/>
    <col min="3" max="6" width="9.1796875" style="125"/>
    <col min="7" max="7" width="9.81640625" style="125" customWidth="1"/>
    <col min="8" max="255" width="9.1796875" style="125"/>
    <col min="256" max="256" width="16.7265625" style="125" bestFit="1" customWidth="1"/>
    <col min="257" max="260" width="9.1796875" style="125"/>
    <col min="261" max="261" width="9.81640625" style="125" customWidth="1"/>
    <col min="262" max="511" width="9.1796875" style="125"/>
    <col min="512" max="512" width="16.7265625" style="125" bestFit="1" customWidth="1"/>
    <col min="513" max="516" width="9.1796875" style="125"/>
    <col min="517" max="517" width="9.81640625" style="125" customWidth="1"/>
    <col min="518" max="767" width="9.1796875" style="125"/>
    <col min="768" max="768" width="16.7265625" style="125" bestFit="1" customWidth="1"/>
    <col min="769" max="772" width="9.1796875" style="125"/>
    <col min="773" max="773" width="9.81640625" style="125" customWidth="1"/>
    <col min="774" max="1023" width="9.1796875" style="125"/>
    <col min="1024" max="1024" width="16.7265625" style="125" bestFit="1" customWidth="1"/>
    <col min="1025" max="1028" width="9.1796875" style="125"/>
    <col min="1029" max="1029" width="9.81640625" style="125" customWidth="1"/>
    <col min="1030" max="1279" width="9.1796875" style="125"/>
    <col min="1280" max="1280" width="16.7265625" style="125" bestFit="1" customWidth="1"/>
    <col min="1281" max="1284" width="9.1796875" style="125"/>
    <col min="1285" max="1285" width="9.81640625" style="125" customWidth="1"/>
    <col min="1286" max="1535" width="9.1796875" style="125"/>
    <col min="1536" max="1536" width="16.7265625" style="125" bestFit="1" customWidth="1"/>
    <col min="1537" max="1540" width="9.1796875" style="125"/>
    <col min="1541" max="1541" width="9.81640625" style="125" customWidth="1"/>
    <col min="1542" max="1791" width="9.1796875" style="125"/>
    <col min="1792" max="1792" width="16.7265625" style="125" bestFit="1" customWidth="1"/>
    <col min="1793" max="1796" width="9.1796875" style="125"/>
    <col min="1797" max="1797" width="9.81640625" style="125" customWidth="1"/>
    <col min="1798" max="2047" width="9.1796875" style="125"/>
    <col min="2048" max="2048" width="16.7265625" style="125" bestFit="1" customWidth="1"/>
    <col min="2049" max="2052" width="9.1796875" style="125"/>
    <col min="2053" max="2053" width="9.81640625" style="125" customWidth="1"/>
    <col min="2054" max="2303" width="9.1796875" style="125"/>
    <col min="2304" max="2304" width="16.7265625" style="125" bestFit="1" customWidth="1"/>
    <col min="2305" max="2308" width="9.1796875" style="125"/>
    <col min="2309" max="2309" width="9.81640625" style="125" customWidth="1"/>
    <col min="2310" max="2559" width="9.1796875" style="125"/>
    <col min="2560" max="2560" width="16.7265625" style="125" bestFit="1" customWidth="1"/>
    <col min="2561" max="2564" width="9.1796875" style="125"/>
    <col min="2565" max="2565" width="9.81640625" style="125" customWidth="1"/>
    <col min="2566" max="2815" width="9.1796875" style="125"/>
    <col min="2816" max="2816" width="16.7265625" style="125" bestFit="1" customWidth="1"/>
    <col min="2817" max="2820" width="9.1796875" style="125"/>
    <col min="2821" max="2821" width="9.81640625" style="125" customWidth="1"/>
    <col min="2822" max="3071" width="9.1796875" style="125"/>
    <col min="3072" max="3072" width="16.7265625" style="125" bestFit="1" customWidth="1"/>
    <col min="3073" max="3076" width="9.1796875" style="125"/>
    <col min="3077" max="3077" width="9.81640625" style="125" customWidth="1"/>
    <col min="3078" max="3327" width="9.1796875" style="125"/>
    <col min="3328" max="3328" width="16.7265625" style="125" bestFit="1" customWidth="1"/>
    <col min="3329" max="3332" width="9.1796875" style="125"/>
    <col min="3333" max="3333" width="9.81640625" style="125" customWidth="1"/>
    <col min="3334" max="3583" width="9.1796875" style="125"/>
    <col min="3584" max="3584" width="16.7265625" style="125" bestFit="1" customWidth="1"/>
    <col min="3585" max="3588" width="9.1796875" style="125"/>
    <col min="3589" max="3589" width="9.81640625" style="125" customWidth="1"/>
    <col min="3590" max="3839" width="9.1796875" style="125"/>
    <col min="3840" max="3840" width="16.7265625" style="125" bestFit="1" customWidth="1"/>
    <col min="3841" max="3844" width="9.1796875" style="125"/>
    <col min="3845" max="3845" width="9.81640625" style="125" customWidth="1"/>
    <col min="3846" max="4095" width="9.1796875" style="125"/>
    <col min="4096" max="4096" width="16.7265625" style="125" bestFit="1" customWidth="1"/>
    <col min="4097" max="4100" width="9.1796875" style="125"/>
    <col min="4101" max="4101" width="9.81640625" style="125" customWidth="1"/>
    <col min="4102" max="4351" width="9.1796875" style="125"/>
    <col min="4352" max="4352" width="16.7265625" style="125" bestFit="1" customWidth="1"/>
    <col min="4353" max="4356" width="9.1796875" style="125"/>
    <col min="4357" max="4357" width="9.81640625" style="125" customWidth="1"/>
    <col min="4358" max="4607" width="9.1796875" style="125"/>
    <col min="4608" max="4608" width="16.7265625" style="125" bestFit="1" customWidth="1"/>
    <col min="4609" max="4612" width="9.1796875" style="125"/>
    <col min="4613" max="4613" width="9.81640625" style="125" customWidth="1"/>
    <col min="4614" max="4863" width="9.1796875" style="125"/>
    <col min="4864" max="4864" width="16.7265625" style="125" bestFit="1" customWidth="1"/>
    <col min="4865" max="4868" width="9.1796875" style="125"/>
    <col min="4869" max="4869" width="9.81640625" style="125" customWidth="1"/>
    <col min="4870" max="5119" width="9.1796875" style="125"/>
    <col min="5120" max="5120" width="16.7265625" style="125" bestFit="1" customWidth="1"/>
    <col min="5121" max="5124" width="9.1796875" style="125"/>
    <col min="5125" max="5125" width="9.81640625" style="125" customWidth="1"/>
    <col min="5126" max="5375" width="9.1796875" style="125"/>
    <col min="5376" max="5376" width="16.7265625" style="125" bestFit="1" customWidth="1"/>
    <col min="5377" max="5380" width="9.1796875" style="125"/>
    <col min="5381" max="5381" width="9.81640625" style="125" customWidth="1"/>
    <col min="5382" max="5631" width="9.1796875" style="125"/>
    <col min="5632" max="5632" width="16.7265625" style="125" bestFit="1" customWidth="1"/>
    <col min="5633" max="5636" width="9.1796875" style="125"/>
    <col min="5637" max="5637" width="9.81640625" style="125" customWidth="1"/>
    <col min="5638" max="5887" width="9.1796875" style="125"/>
    <col min="5888" max="5888" width="16.7265625" style="125" bestFit="1" customWidth="1"/>
    <col min="5889" max="5892" width="9.1796875" style="125"/>
    <col min="5893" max="5893" width="9.81640625" style="125" customWidth="1"/>
    <col min="5894" max="6143" width="9.1796875" style="125"/>
    <col min="6144" max="6144" width="16.7265625" style="125" bestFit="1" customWidth="1"/>
    <col min="6145" max="6148" width="9.1796875" style="125"/>
    <col min="6149" max="6149" width="9.81640625" style="125" customWidth="1"/>
    <col min="6150" max="6399" width="9.1796875" style="125"/>
    <col min="6400" max="6400" width="16.7265625" style="125" bestFit="1" customWidth="1"/>
    <col min="6401" max="6404" width="9.1796875" style="125"/>
    <col min="6405" max="6405" width="9.81640625" style="125" customWidth="1"/>
    <col min="6406" max="6655" width="9.1796875" style="125"/>
    <col min="6656" max="6656" width="16.7265625" style="125" bestFit="1" customWidth="1"/>
    <col min="6657" max="6660" width="9.1796875" style="125"/>
    <col min="6661" max="6661" width="9.81640625" style="125" customWidth="1"/>
    <col min="6662" max="6911" width="9.1796875" style="125"/>
    <col min="6912" max="6912" width="16.7265625" style="125" bestFit="1" customWidth="1"/>
    <col min="6913" max="6916" width="9.1796875" style="125"/>
    <col min="6917" max="6917" width="9.81640625" style="125" customWidth="1"/>
    <col min="6918" max="7167" width="9.1796875" style="125"/>
    <col min="7168" max="7168" width="16.7265625" style="125" bestFit="1" customWidth="1"/>
    <col min="7169" max="7172" width="9.1796875" style="125"/>
    <col min="7173" max="7173" width="9.81640625" style="125" customWidth="1"/>
    <col min="7174" max="7423" width="9.1796875" style="125"/>
    <col min="7424" max="7424" width="16.7265625" style="125" bestFit="1" customWidth="1"/>
    <col min="7425" max="7428" width="9.1796875" style="125"/>
    <col min="7429" max="7429" width="9.81640625" style="125" customWidth="1"/>
    <col min="7430" max="7679" width="9.1796875" style="125"/>
    <col min="7680" max="7680" width="16.7265625" style="125" bestFit="1" customWidth="1"/>
    <col min="7681" max="7684" width="9.1796875" style="125"/>
    <col min="7685" max="7685" width="9.81640625" style="125" customWidth="1"/>
    <col min="7686" max="7935" width="9.1796875" style="125"/>
    <col min="7936" max="7936" width="16.7265625" style="125" bestFit="1" customWidth="1"/>
    <col min="7937" max="7940" width="9.1796875" style="125"/>
    <col min="7941" max="7941" width="9.81640625" style="125" customWidth="1"/>
    <col min="7942" max="8191" width="9.1796875" style="125"/>
    <col min="8192" max="8192" width="16.7265625" style="125" bestFit="1" customWidth="1"/>
    <col min="8193" max="8196" width="9.1796875" style="125"/>
    <col min="8197" max="8197" width="9.81640625" style="125" customWidth="1"/>
    <col min="8198" max="8447" width="9.1796875" style="125"/>
    <col min="8448" max="8448" width="16.7265625" style="125" bestFit="1" customWidth="1"/>
    <col min="8449" max="8452" width="9.1796875" style="125"/>
    <col min="8453" max="8453" width="9.81640625" style="125" customWidth="1"/>
    <col min="8454" max="8703" width="9.1796875" style="125"/>
    <col min="8704" max="8704" width="16.7265625" style="125" bestFit="1" customWidth="1"/>
    <col min="8705" max="8708" width="9.1796875" style="125"/>
    <col min="8709" max="8709" width="9.81640625" style="125" customWidth="1"/>
    <col min="8710" max="8959" width="9.1796875" style="125"/>
    <col min="8960" max="8960" width="16.7265625" style="125" bestFit="1" customWidth="1"/>
    <col min="8961" max="8964" width="9.1796875" style="125"/>
    <col min="8965" max="8965" width="9.81640625" style="125" customWidth="1"/>
    <col min="8966" max="9215" width="9.1796875" style="125"/>
    <col min="9216" max="9216" width="16.7265625" style="125" bestFit="1" customWidth="1"/>
    <col min="9217" max="9220" width="9.1796875" style="125"/>
    <col min="9221" max="9221" width="9.81640625" style="125" customWidth="1"/>
    <col min="9222" max="9471" width="9.1796875" style="125"/>
    <col min="9472" max="9472" width="16.7265625" style="125" bestFit="1" customWidth="1"/>
    <col min="9473" max="9476" width="9.1796875" style="125"/>
    <col min="9477" max="9477" width="9.81640625" style="125" customWidth="1"/>
    <col min="9478" max="9727" width="9.1796875" style="125"/>
    <col min="9728" max="9728" width="16.7265625" style="125" bestFit="1" customWidth="1"/>
    <col min="9729" max="9732" width="9.1796875" style="125"/>
    <col min="9733" max="9733" width="9.81640625" style="125" customWidth="1"/>
    <col min="9734" max="9983" width="9.1796875" style="125"/>
    <col min="9984" max="9984" width="16.7265625" style="125" bestFit="1" customWidth="1"/>
    <col min="9985" max="9988" width="9.1796875" style="125"/>
    <col min="9989" max="9989" width="9.81640625" style="125" customWidth="1"/>
    <col min="9990" max="10239" width="9.1796875" style="125"/>
    <col min="10240" max="10240" width="16.7265625" style="125" bestFit="1" customWidth="1"/>
    <col min="10241" max="10244" width="9.1796875" style="125"/>
    <col min="10245" max="10245" width="9.81640625" style="125" customWidth="1"/>
    <col min="10246" max="10495" width="9.1796875" style="125"/>
    <col min="10496" max="10496" width="16.7265625" style="125" bestFit="1" customWidth="1"/>
    <col min="10497" max="10500" width="9.1796875" style="125"/>
    <col min="10501" max="10501" width="9.81640625" style="125" customWidth="1"/>
    <col min="10502" max="10751" width="9.1796875" style="125"/>
    <col min="10752" max="10752" width="16.7265625" style="125" bestFit="1" customWidth="1"/>
    <col min="10753" max="10756" width="9.1796875" style="125"/>
    <col min="10757" max="10757" width="9.81640625" style="125" customWidth="1"/>
    <col min="10758" max="11007" width="9.1796875" style="125"/>
    <col min="11008" max="11008" width="16.7265625" style="125" bestFit="1" customWidth="1"/>
    <col min="11009" max="11012" width="9.1796875" style="125"/>
    <col min="11013" max="11013" width="9.81640625" style="125" customWidth="1"/>
    <col min="11014" max="11263" width="9.1796875" style="125"/>
    <col min="11264" max="11264" width="16.7265625" style="125" bestFit="1" customWidth="1"/>
    <col min="11265" max="11268" width="9.1796875" style="125"/>
    <col min="11269" max="11269" width="9.81640625" style="125" customWidth="1"/>
    <col min="11270" max="11519" width="9.1796875" style="125"/>
    <col min="11520" max="11520" width="16.7265625" style="125" bestFit="1" customWidth="1"/>
    <col min="11521" max="11524" width="9.1796875" style="125"/>
    <col min="11525" max="11525" width="9.81640625" style="125" customWidth="1"/>
    <col min="11526" max="11775" width="9.1796875" style="125"/>
    <col min="11776" max="11776" width="16.7265625" style="125" bestFit="1" customWidth="1"/>
    <col min="11777" max="11780" width="9.1796875" style="125"/>
    <col min="11781" max="11781" width="9.81640625" style="125" customWidth="1"/>
    <col min="11782" max="12031" width="9.1796875" style="125"/>
    <col min="12032" max="12032" width="16.7265625" style="125" bestFit="1" customWidth="1"/>
    <col min="12033" max="12036" width="9.1796875" style="125"/>
    <col min="12037" max="12037" width="9.81640625" style="125" customWidth="1"/>
    <col min="12038" max="12287" width="9.1796875" style="125"/>
    <col min="12288" max="12288" width="16.7265625" style="125" bestFit="1" customWidth="1"/>
    <col min="12289" max="12292" width="9.1796875" style="125"/>
    <col min="12293" max="12293" width="9.81640625" style="125" customWidth="1"/>
    <col min="12294" max="12543" width="9.1796875" style="125"/>
    <col min="12544" max="12544" width="16.7265625" style="125" bestFit="1" customWidth="1"/>
    <col min="12545" max="12548" width="9.1796875" style="125"/>
    <col min="12549" max="12549" width="9.81640625" style="125" customWidth="1"/>
    <col min="12550" max="12799" width="9.1796875" style="125"/>
    <col min="12800" max="12800" width="16.7265625" style="125" bestFit="1" customWidth="1"/>
    <col min="12801" max="12804" width="9.1796875" style="125"/>
    <col min="12805" max="12805" width="9.81640625" style="125" customWidth="1"/>
    <col min="12806" max="13055" width="9.1796875" style="125"/>
    <col min="13056" max="13056" width="16.7265625" style="125" bestFit="1" customWidth="1"/>
    <col min="13057" max="13060" width="9.1796875" style="125"/>
    <col min="13061" max="13061" width="9.81640625" style="125" customWidth="1"/>
    <col min="13062" max="13311" width="9.1796875" style="125"/>
    <col min="13312" max="13312" width="16.7265625" style="125" bestFit="1" customWidth="1"/>
    <col min="13313" max="13316" width="9.1796875" style="125"/>
    <col min="13317" max="13317" width="9.81640625" style="125" customWidth="1"/>
    <col min="13318" max="13567" width="9.1796875" style="125"/>
    <col min="13568" max="13568" width="16.7265625" style="125" bestFit="1" customWidth="1"/>
    <col min="13569" max="13572" width="9.1796875" style="125"/>
    <col min="13573" max="13573" width="9.81640625" style="125" customWidth="1"/>
    <col min="13574" max="13823" width="9.1796875" style="125"/>
    <col min="13824" max="13824" width="16.7265625" style="125" bestFit="1" customWidth="1"/>
    <col min="13825" max="13828" width="9.1796875" style="125"/>
    <col min="13829" max="13829" width="9.81640625" style="125" customWidth="1"/>
    <col min="13830" max="14079" width="9.1796875" style="125"/>
    <col min="14080" max="14080" width="16.7265625" style="125" bestFit="1" customWidth="1"/>
    <col min="14081" max="14084" width="9.1796875" style="125"/>
    <col min="14085" max="14085" width="9.81640625" style="125" customWidth="1"/>
    <col min="14086" max="14335" width="9.1796875" style="125"/>
    <col min="14336" max="14336" width="16.7265625" style="125" bestFit="1" customWidth="1"/>
    <col min="14337" max="14340" width="9.1796875" style="125"/>
    <col min="14341" max="14341" width="9.81640625" style="125" customWidth="1"/>
    <col min="14342" max="14591" width="9.1796875" style="125"/>
    <col min="14592" max="14592" width="16.7265625" style="125" bestFit="1" customWidth="1"/>
    <col min="14593" max="14596" width="9.1796875" style="125"/>
    <col min="14597" max="14597" width="9.81640625" style="125" customWidth="1"/>
    <col min="14598" max="14847" width="9.1796875" style="125"/>
    <col min="14848" max="14848" width="16.7265625" style="125" bestFit="1" customWidth="1"/>
    <col min="14849" max="14852" width="9.1796875" style="125"/>
    <col min="14853" max="14853" width="9.81640625" style="125" customWidth="1"/>
    <col min="14854" max="15103" width="9.1796875" style="125"/>
    <col min="15104" max="15104" width="16.7265625" style="125" bestFit="1" customWidth="1"/>
    <col min="15105" max="15108" width="9.1796875" style="125"/>
    <col min="15109" max="15109" width="9.81640625" style="125" customWidth="1"/>
    <col min="15110" max="15359" width="9.1796875" style="125"/>
    <col min="15360" max="15360" width="16.7265625" style="125" bestFit="1" customWidth="1"/>
    <col min="15361" max="15364" width="9.1796875" style="125"/>
    <col min="15365" max="15365" width="9.81640625" style="125" customWidth="1"/>
    <col min="15366" max="15615" width="9.1796875" style="125"/>
    <col min="15616" max="15616" width="16.7265625" style="125" bestFit="1" customWidth="1"/>
    <col min="15617" max="15620" width="9.1796875" style="125"/>
    <col min="15621" max="15621" width="9.81640625" style="125" customWidth="1"/>
    <col min="15622" max="15871" width="9.1796875" style="125"/>
    <col min="15872" max="15872" width="16.7265625" style="125" bestFit="1" customWidth="1"/>
    <col min="15873" max="15876" width="9.1796875" style="125"/>
    <col min="15877" max="15877" width="9.81640625" style="125" customWidth="1"/>
    <col min="15878" max="16127" width="9.1796875" style="125"/>
    <col min="16128" max="16128" width="16.7265625" style="125" bestFit="1" customWidth="1"/>
    <col min="16129" max="16132" width="9.1796875" style="125"/>
    <col min="16133" max="16133" width="9.81640625" style="125" customWidth="1"/>
    <col min="16134" max="16384" width="9.1796875" style="125"/>
  </cols>
  <sheetData>
    <row r="1" spans="1:10">
      <c r="A1" s="123"/>
      <c r="B1" s="123"/>
      <c r="C1" s="123"/>
      <c r="D1" s="123"/>
      <c r="E1" s="123"/>
      <c r="F1" s="123"/>
      <c r="G1" s="123"/>
      <c r="H1" s="124" t="s">
        <v>148</v>
      </c>
      <c r="I1" s="123"/>
      <c r="J1" s="123"/>
    </row>
    <row r="2" spans="1:10">
      <c r="A2" s="123"/>
      <c r="B2" s="123"/>
      <c r="C2" s="123"/>
      <c r="D2" s="123"/>
      <c r="E2" s="123"/>
      <c r="F2" s="123"/>
      <c r="G2" s="123"/>
      <c r="H2" s="123"/>
      <c r="I2" s="123"/>
      <c r="J2" s="123"/>
    </row>
    <row r="3" spans="1:10">
      <c r="A3" s="123"/>
      <c r="B3" s="123"/>
      <c r="C3" s="123"/>
      <c r="D3" s="123"/>
      <c r="E3" s="123"/>
      <c r="F3" s="123"/>
      <c r="G3" s="123"/>
      <c r="H3" s="123"/>
      <c r="I3" s="123"/>
      <c r="J3" s="123"/>
    </row>
    <row r="4" spans="1:10">
      <c r="A4" s="123"/>
      <c r="B4" s="123"/>
      <c r="C4" s="123"/>
      <c r="D4" s="123"/>
      <c r="E4" s="123"/>
      <c r="F4" s="123" t="s">
        <v>149</v>
      </c>
      <c r="G4" s="123"/>
      <c r="H4" s="123"/>
      <c r="I4" s="123"/>
      <c r="J4" s="123"/>
    </row>
    <row r="5" spans="1:10" ht="15.5">
      <c r="A5" s="123"/>
      <c r="B5" s="372" t="s">
        <v>151</v>
      </c>
      <c r="C5" s="372"/>
      <c r="D5" s="372"/>
      <c r="E5" s="372"/>
      <c r="F5" s="372"/>
      <c r="G5" s="372"/>
      <c r="H5" s="372"/>
      <c r="I5" s="372"/>
      <c r="J5" s="123"/>
    </row>
    <row r="6" spans="1:10">
      <c r="A6" s="123"/>
      <c r="B6" s="123"/>
      <c r="C6" s="123"/>
      <c r="D6" s="123"/>
      <c r="E6" s="123"/>
      <c r="F6" s="123"/>
      <c r="G6" s="123"/>
      <c r="H6" s="123"/>
      <c r="I6" s="123"/>
      <c r="J6" s="123"/>
    </row>
    <row r="7" spans="1:10">
      <c r="A7" s="123"/>
      <c r="B7" s="129"/>
      <c r="C7" s="129"/>
      <c r="D7" s="129"/>
      <c r="E7" s="129"/>
      <c r="F7" s="129"/>
      <c r="G7" s="129"/>
      <c r="H7" s="123"/>
      <c r="I7" s="123"/>
      <c r="J7" s="123"/>
    </row>
    <row r="8" spans="1:10" ht="12.75" customHeight="1">
      <c r="A8" s="123"/>
      <c r="B8" s="373"/>
      <c r="C8" s="373"/>
      <c r="D8" s="373"/>
      <c r="E8" s="373"/>
      <c r="F8" s="373"/>
      <c r="G8" s="130"/>
      <c r="H8" s="123"/>
      <c r="I8" s="123"/>
      <c r="J8" s="123"/>
    </row>
    <row r="9" spans="1:10" ht="12.75" customHeight="1">
      <c r="A9" s="123"/>
      <c r="B9" s="373"/>
      <c r="C9" s="373"/>
      <c r="D9" s="373"/>
      <c r="E9" s="373"/>
      <c r="F9" s="373"/>
      <c r="G9" s="130"/>
      <c r="H9" s="123"/>
      <c r="I9" s="123"/>
      <c r="J9" s="123"/>
    </row>
    <row r="10" spans="1:10" ht="16.5">
      <c r="A10" s="123"/>
      <c r="B10" s="373"/>
      <c r="C10" s="373"/>
      <c r="D10" s="373"/>
      <c r="E10" s="373"/>
      <c r="F10" s="373"/>
      <c r="G10" s="130"/>
      <c r="H10" s="374"/>
      <c r="I10" s="374"/>
      <c r="J10" s="123"/>
    </row>
    <row r="11" spans="1:10" ht="16.5">
      <c r="A11" s="123"/>
      <c r="B11" s="373"/>
      <c r="C11" s="373"/>
      <c r="D11" s="373"/>
      <c r="E11" s="373"/>
      <c r="F11" s="373"/>
      <c r="G11" s="130"/>
      <c r="H11" s="374"/>
      <c r="I11" s="374"/>
      <c r="J11" s="123"/>
    </row>
    <row r="12" spans="1:10" ht="16.5" customHeight="1">
      <c r="A12" s="123"/>
      <c r="B12" s="373"/>
      <c r="C12" s="373"/>
      <c r="D12" s="373"/>
      <c r="E12" s="373"/>
      <c r="F12" s="373"/>
      <c r="G12" s="129"/>
      <c r="H12" s="123"/>
      <c r="I12" s="123"/>
      <c r="J12" s="123"/>
    </row>
    <row r="13" spans="1:10">
      <c r="A13" s="123"/>
      <c r="B13" s="129"/>
      <c r="C13" s="129"/>
      <c r="D13" s="129"/>
      <c r="E13" s="129"/>
      <c r="F13" s="129"/>
      <c r="G13" s="129"/>
      <c r="H13" s="123"/>
      <c r="I13" s="123"/>
      <c r="J13" s="123"/>
    </row>
    <row r="14" spans="1:10">
      <c r="A14" s="123"/>
      <c r="B14" s="129"/>
      <c r="C14" s="129"/>
      <c r="D14" s="129"/>
      <c r="E14" s="129"/>
      <c r="F14" s="129"/>
      <c r="G14" s="129"/>
      <c r="H14" s="123"/>
      <c r="I14" s="123"/>
      <c r="J14" s="123"/>
    </row>
    <row r="15" spans="1:10">
      <c r="A15" s="123"/>
      <c r="B15" s="123"/>
      <c r="C15" s="123"/>
      <c r="D15" s="123"/>
      <c r="E15" s="123"/>
      <c r="F15" s="123"/>
      <c r="G15" s="123"/>
      <c r="H15" s="123"/>
      <c r="I15" s="123"/>
      <c r="J15" s="123"/>
    </row>
    <row r="16" spans="1:10" ht="20">
      <c r="A16" s="126"/>
      <c r="B16" s="375" t="s">
        <v>203</v>
      </c>
      <c r="C16" s="375"/>
      <c r="D16" s="375"/>
      <c r="E16" s="375"/>
      <c r="F16" s="375"/>
      <c r="G16" s="375"/>
      <c r="H16" s="375"/>
      <c r="I16" s="375"/>
      <c r="J16" s="126"/>
    </row>
    <row r="17" spans="1:10" ht="16.5" customHeight="1">
      <c r="A17" s="126"/>
      <c r="B17" s="126"/>
      <c r="C17" s="127"/>
      <c r="D17" s="127"/>
      <c r="E17" s="371"/>
      <c r="F17" s="371"/>
      <c r="G17" s="371"/>
      <c r="H17" s="127"/>
      <c r="I17" s="127"/>
      <c r="J17" s="126"/>
    </row>
    <row r="18" spans="1:10" ht="12.75" customHeight="1">
      <c r="A18" s="126"/>
      <c r="B18" s="126"/>
      <c r="C18" s="128"/>
      <c r="D18" s="128"/>
      <c r="E18" s="128"/>
      <c r="F18" s="128"/>
      <c r="G18" s="128"/>
      <c r="H18" s="128"/>
      <c r="I18" s="128"/>
      <c r="J18" s="126"/>
    </row>
    <row r="19" spans="1:10" ht="25.5" customHeight="1">
      <c r="A19" s="126"/>
      <c r="B19" s="368" t="s">
        <v>150</v>
      </c>
      <c r="C19" s="368"/>
      <c r="D19" s="368"/>
      <c r="E19" s="368"/>
      <c r="F19" s="368"/>
      <c r="G19" s="368"/>
      <c r="H19" s="368"/>
      <c r="I19" s="368"/>
      <c r="J19" s="126"/>
    </row>
    <row r="20" spans="1:10" ht="12.75" customHeight="1">
      <c r="A20" s="126"/>
      <c r="B20" s="128"/>
      <c r="C20" s="128"/>
      <c r="D20" s="128"/>
      <c r="E20" s="128"/>
      <c r="F20" s="128"/>
      <c r="G20" s="128"/>
      <c r="H20" s="128"/>
      <c r="I20" s="128"/>
      <c r="J20" s="126"/>
    </row>
    <row r="21" spans="1:10" ht="12.75" customHeight="1">
      <c r="A21" s="126"/>
      <c r="B21" s="128"/>
      <c r="C21" s="128"/>
      <c r="D21" s="128"/>
      <c r="E21" s="128"/>
      <c r="F21" s="128"/>
      <c r="G21" s="128"/>
      <c r="H21" s="128"/>
      <c r="I21" s="128"/>
      <c r="J21" s="126"/>
    </row>
    <row r="22" spans="1:10" ht="20.25" customHeight="1">
      <c r="A22" s="126"/>
      <c r="B22" s="370" t="s">
        <v>152</v>
      </c>
      <c r="C22" s="370"/>
      <c r="D22" s="370"/>
      <c r="E22" s="370"/>
      <c r="F22" s="370"/>
      <c r="G22" s="370"/>
      <c r="H22" s="370"/>
      <c r="I22" s="370"/>
      <c r="J22" s="126"/>
    </row>
    <row r="23" spans="1:10" ht="20">
      <c r="A23" s="126"/>
      <c r="B23" s="370"/>
      <c r="C23" s="370"/>
      <c r="D23" s="370"/>
      <c r="E23" s="370"/>
      <c r="F23" s="370"/>
      <c r="G23" s="370"/>
      <c r="H23" s="370"/>
      <c r="I23" s="370"/>
      <c r="J23" s="126"/>
    </row>
    <row r="24" spans="1:10">
      <c r="A24" s="126"/>
      <c r="B24" s="126"/>
      <c r="C24" s="126"/>
      <c r="D24" s="126"/>
      <c r="E24" s="126"/>
      <c r="F24" s="126"/>
      <c r="G24" s="126"/>
      <c r="H24" s="126"/>
      <c r="I24" s="126"/>
      <c r="J24" s="126"/>
    </row>
    <row r="25" spans="1:10" ht="20">
      <c r="A25" s="126"/>
      <c r="B25" s="370"/>
      <c r="C25" s="370"/>
      <c r="D25" s="370"/>
      <c r="E25" s="370"/>
      <c r="F25" s="370"/>
      <c r="G25" s="370"/>
      <c r="H25" s="370"/>
      <c r="I25" s="370"/>
      <c r="J25" s="126"/>
    </row>
    <row r="26" spans="1:10">
      <c r="A26" s="126"/>
      <c r="B26" s="126"/>
      <c r="C26" s="126"/>
      <c r="D26" s="126"/>
      <c r="E26" s="126"/>
      <c r="F26" s="126"/>
      <c r="G26" s="126"/>
      <c r="H26" s="126"/>
      <c r="I26" s="126"/>
      <c r="J26" s="126"/>
    </row>
    <row r="27" spans="1:10">
      <c r="A27" s="126"/>
      <c r="B27" s="126"/>
      <c r="C27" s="126"/>
      <c r="D27" s="126"/>
      <c r="E27" s="126"/>
      <c r="F27" s="126"/>
      <c r="G27" s="126"/>
      <c r="H27" s="126"/>
      <c r="I27" s="126"/>
      <c r="J27" s="126"/>
    </row>
    <row r="28" spans="1:10" ht="12.75" customHeight="1">
      <c r="A28" s="369"/>
      <c r="B28" s="369"/>
      <c r="C28" s="369"/>
      <c r="D28" s="369"/>
      <c r="E28" s="369"/>
      <c r="F28" s="369"/>
      <c r="G28" s="369"/>
      <c r="H28" s="369"/>
      <c r="I28" s="369"/>
      <c r="J28" s="369"/>
    </row>
    <row r="29" spans="1:10" ht="12.75" customHeight="1">
      <c r="A29" s="369"/>
      <c r="B29" s="369"/>
      <c r="C29" s="369"/>
      <c r="D29" s="369"/>
      <c r="E29" s="369"/>
      <c r="F29" s="369"/>
      <c r="G29" s="369"/>
      <c r="H29" s="369"/>
      <c r="I29" s="369"/>
      <c r="J29" s="369"/>
    </row>
    <row r="30" spans="1:10" ht="12.75" customHeight="1">
      <c r="A30" s="369"/>
      <c r="B30" s="369"/>
      <c r="C30" s="369"/>
      <c r="D30" s="369"/>
      <c r="E30" s="369"/>
      <c r="F30" s="369"/>
      <c r="G30" s="369"/>
      <c r="H30" s="369"/>
      <c r="I30" s="369"/>
      <c r="J30" s="369"/>
    </row>
    <row r="31" spans="1:10" ht="12.75" customHeight="1">
      <c r="A31" s="369"/>
      <c r="B31" s="369"/>
      <c r="C31" s="369"/>
      <c r="D31" s="369"/>
      <c r="E31" s="369"/>
      <c r="F31" s="369"/>
      <c r="G31" s="369"/>
      <c r="H31" s="369"/>
      <c r="I31" s="369"/>
      <c r="J31" s="369"/>
    </row>
    <row r="32" spans="1:10" ht="12.75" customHeight="1">
      <c r="A32" s="369"/>
      <c r="B32" s="369"/>
      <c r="C32" s="369"/>
      <c r="D32" s="369"/>
      <c r="E32" s="369"/>
      <c r="F32" s="369"/>
      <c r="G32" s="369"/>
      <c r="H32" s="369"/>
      <c r="I32" s="369"/>
      <c r="J32" s="369"/>
    </row>
    <row r="33" spans="1:10" ht="12.75" customHeight="1">
      <c r="A33" s="369"/>
      <c r="B33" s="369"/>
      <c r="C33" s="369"/>
      <c r="D33" s="369"/>
      <c r="E33" s="369"/>
      <c r="F33" s="369"/>
      <c r="G33" s="369"/>
      <c r="H33" s="369"/>
      <c r="I33" s="369"/>
      <c r="J33" s="369"/>
    </row>
    <row r="34" spans="1:10" ht="12.75" customHeight="1">
      <c r="A34" s="369"/>
      <c r="B34" s="369"/>
      <c r="C34" s="369"/>
      <c r="D34" s="369"/>
      <c r="E34" s="369"/>
      <c r="F34" s="369"/>
      <c r="G34" s="369"/>
      <c r="H34" s="369"/>
      <c r="I34" s="369"/>
      <c r="J34" s="369"/>
    </row>
    <row r="35" spans="1:10" ht="12.75" customHeight="1">
      <c r="A35" s="369"/>
      <c r="B35" s="369"/>
      <c r="C35" s="369"/>
      <c r="D35" s="369"/>
      <c r="E35" s="369"/>
      <c r="F35" s="369"/>
      <c r="G35" s="369"/>
      <c r="H35" s="369"/>
      <c r="I35" s="369"/>
      <c r="J35" s="369"/>
    </row>
    <row r="36" spans="1:10">
      <c r="A36" s="126"/>
      <c r="B36" s="126"/>
      <c r="C36" s="126"/>
      <c r="D36" s="126"/>
      <c r="E36" s="126"/>
      <c r="F36" s="126"/>
      <c r="G36" s="126"/>
      <c r="H36" s="126"/>
      <c r="I36" s="126"/>
      <c r="J36" s="126"/>
    </row>
    <row r="37" spans="1:10">
      <c r="A37" s="126"/>
      <c r="B37" s="126"/>
      <c r="C37" s="126"/>
      <c r="D37" s="126"/>
      <c r="E37" s="126"/>
      <c r="F37" s="126"/>
      <c r="G37" s="126"/>
      <c r="H37" s="126"/>
      <c r="I37" s="126"/>
      <c r="J37" s="126"/>
    </row>
    <row r="38" spans="1:10">
      <c r="A38" s="126"/>
      <c r="B38" s="126"/>
      <c r="C38" s="126"/>
      <c r="D38" s="126"/>
      <c r="E38" s="126"/>
      <c r="F38" s="126"/>
      <c r="G38" s="126"/>
      <c r="H38" s="126"/>
      <c r="I38" s="126"/>
      <c r="J38" s="126"/>
    </row>
    <row r="39" spans="1:10" ht="20">
      <c r="A39" s="126"/>
      <c r="B39" s="370">
        <v>44348</v>
      </c>
      <c r="C39" s="370"/>
      <c r="D39" s="370"/>
      <c r="E39" s="370"/>
      <c r="F39" s="370"/>
      <c r="G39" s="370"/>
      <c r="H39" s="370"/>
      <c r="I39" s="370"/>
      <c r="J39" s="126"/>
    </row>
    <row r="40" spans="1:10">
      <c r="A40" s="126"/>
      <c r="B40" s="126"/>
      <c r="C40" s="126"/>
      <c r="D40" s="126"/>
      <c r="E40" s="126"/>
      <c r="F40" s="126"/>
      <c r="G40" s="126"/>
      <c r="H40" s="126"/>
      <c r="I40" s="126"/>
      <c r="J40" s="126"/>
    </row>
    <row r="41" spans="1:10">
      <c r="A41" s="126"/>
      <c r="B41" s="126"/>
      <c r="C41" s="126"/>
      <c r="D41" s="126"/>
      <c r="E41" s="126"/>
      <c r="F41" s="126"/>
      <c r="G41" s="126"/>
      <c r="H41" s="126"/>
      <c r="I41" s="126"/>
      <c r="J41" s="126"/>
    </row>
    <row r="42" spans="1:10">
      <c r="A42" s="126"/>
      <c r="B42" s="126"/>
      <c r="C42" s="126"/>
      <c r="D42" s="126"/>
      <c r="E42" s="126"/>
      <c r="F42" s="126"/>
      <c r="G42" s="126"/>
      <c r="H42" s="126"/>
      <c r="I42" s="126"/>
      <c r="J42" s="126"/>
    </row>
    <row r="43" spans="1:10">
      <c r="A43" s="126"/>
      <c r="B43" s="126"/>
      <c r="C43" s="126"/>
      <c r="D43" s="126"/>
      <c r="E43" s="126"/>
      <c r="F43" s="126"/>
      <c r="G43" s="126"/>
      <c r="H43" s="126"/>
      <c r="I43" s="126"/>
      <c r="J43" s="126"/>
    </row>
    <row r="44" spans="1:10">
      <c r="A44" s="126"/>
      <c r="B44" s="126"/>
      <c r="C44" s="126"/>
      <c r="D44" s="126"/>
      <c r="E44" s="126"/>
      <c r="F44" s="126"/>
      <c r="G44" s="126"/>
      <c r="H44" s="126"/>
      <c r="I44" s="126"/>
      <c r="J44" s="126"/>
    </row>
    <row r="45" spans="1:10">
      <c r="A45" s="126"/>
      <c r="B45" s="126"/>
      <c r="C45" s="126"/>
      <c r="D45" s="126"/>
      <c r="E45" s="126"/>
      <c r="F45" s="126"/>
      <c r="G45" s="126"/>
      <c r="H45" s="126"/>
      <c r="I45" s="126"/>
      <c r="J45" s="126"/>
    </row>
    <row r="46" spans="1:10">
      <c r="A46" s="126"/>
      <c r="B46" s="126"/>
      <c r="C46" s="126"/>
      <c r="D46" s="126"/>
      <c r="E46" s="126"/>
      <c r="F46" s="126"/>
      <c r="G46" s="126"/>
      <c r="H46" s="126"/>
      <c r="I46" s="126"/>
      <c r="J46" s="126"/>
    </row>
    <row r="47" spans="1:10">
      <c r="A47" s="126"/>
      <c r="B47" s="126"/>
      <c r="C47" s="126"/>
      <c r="D47" s="126"/>
      <c r="E47" s="126"/>
      <c r="F47" s="126"/>
      <c r="G47" s="126"/>
      <c r="H47" s="126"/>
      <c r="I47" s="126"/>
      <c r="J47" s="126"/>
    </row>
    <row r="48" spans="1:10">
      <c r="A48" s="126"/>
      <c r="B48" s="126"/>
      <c r="C48" s="126"/>
      <c r="D48" s="126"/>
      <c r="E48" s="126"/>
      <c r="F48" s="126"/>
      <c r="G48" s="126"/>
      <c r="H48" s="126"/>
      <c r="I48" s="126"/>
      <c r="J48" s="126"/>
    </row>
    <row r="49" spans="1:10">
      <c r="A49" s="126"/>
      <c r="B49" s="126"/>
      <c r="C49" s="126"/>
      <c r="D49" s="126"/>
      <c r="E49" s="126"/>
      <c r="F49" s="126"/>
      <c r="G49" s="126"/>
      <c r="H49" s="126"/>
      <c r="I49" s="126"/>
      <c r="J49" s="126"/>
    </row>
    <row r="50" spans="1:10">
      <c r="A50" s="126"/>
      <c r="B50" s="126"/>
      <c r="C50" s="126"/>
      <c r="D50" s="126"/>
      <c r="E50" s="126"/>
      <c r="F50" s="126"/>
      <c r="G50" s="126"/>
      <c r="H50" s="126"/>
      <c r="I50" s="126"/>
      <c r="J50" s="126"/>
    </row>
    <row r="51" spans="1:10">
      <c r="A51" s="126"/>
      <c r="B51" s="126"/>
      <c r="C51" s="126"/>
      <c r="D51" s="126"/>
      <c r="E51" s="126"/>
      <c r="F51" s="126"/>
      <c r="G51" s="126"/>
      <c r="H51" s="126"/>
      <c r="I51" s="126"/>
      <c r="J51" s="126"/>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40"/>
  <sheetViews>
    <sheetView showGridLines="0" view="pageBreakPreview" topLeftCell="A16" zoomScale="60" zoomScaleNormal="100" workbookViewId="0">
      <selection activeCell="C22" sqref="C22:C26"/>
    </sheetView>
  </sheetViews>
  <sheetFormatPr defaultColWidth="9.1796875" defaultRowHeight="13"/>
  <cols>
    <col min="1" max="1" width="17.1796875" style="83" customWidth="1"/>
    <col min="2" max="2" width="10.81640625" style="83" customWidth="1"/>
    <col min="3" max="3" width="25.1796875" style="83" customWidth="1"/>
    <col min="4" max="4" width="13.453125" style="83" customWidth="1"/>
    <col min="5" max="5" width="12.26953125" style="83" customWidth="1"/>
    <col min="6" max="6" width="40" style="83" customWidth="1"/>
    <col min="7" max="16384" width="9.1796875" style="83"/>
  </cols>
  <sheetData>
    <row r="2" spans="1:6" ht="21">
      <c r="A2" s="13" t="s">
        <v>82</v>
      </c>
    </row>
    <row r="3" spans="1:6" ht="14.5">
      <c r="A3" s="1" t="s">
        <v>87</v>
      </c>
    </row>
    <row r="4" spans="1:6" ht="14.5">
      <c r="A4" s="1" t="s">
        <v>84</v>
      </c>
    </row>
    <row r="5" spans="1:6" ht="14.5">
      <c r="A5" s="1" t="s">
        <v>85</v>
      </c>
    </row>
    <row r="6" spans="1:6" ht="14.5">
      <c r="A6" s="1" t="s">
        <v>83</v>
      </c>
    </row>
    <row r="7" spans="1:6" ht="14.5">
      <c r="A7" s="1" t="s">
        <v>86</v>
      </c>
    </row>
    <row r="9" spans="1:6" ht="21">
      <c r="A9" s="13" t="s">
        <v>123</v>
      </c>
    </row>
    <row r="11" spans="1:6" ht="30.75" customHeight="1">
      <c r="A11" s="84" t="s">
        <v>45</v>
      </c>
      <c r="B11" s="84" t="s">
        <v>32</v>
      </c>
      <c r="C11" s="84" t="s">
        <v>33</v>
      </c>
      <c r="D11" s="84" t="s">
        <v>34</v>
      </c>
      <c r="E11" s="84" t="s">
        <v>35</v>
      </c>
      <c r="F11" s="84" t="s">
        <v>36</v>
      </c>
    </row>
    <row r="12" spans="1:6" ht="14.5">
      <c r="A12" s="87"/>
      <c r="B12" s="86">
        <v>1</v>
      </c>
      <c r="C12" s="85" t="s">
        <v>39</v>
      </c>
      <c r="D12" s="87" t="s">
        <v>37</v>
      </c>
      <c r="E12" s="87" t="s">
        <v>97</v>
      </c>
      <c r="F12" s="85" t="s">
        <v>43</v>
      </c>
    </row>
    <row r="13" spans="1:6" ht="14.5">
      <c r="A13" s="87"/>
      <c r="B13" s="86">
        <v>2</v>
      </c>
      <c r="C13" s="85" t="s">
        <v>40</v>
      </c>
      <c r="D13" s="87" t="s">
        <v>38</v>
      </c>
      <c r="E13" s="88" t="s">
        <v>98</v>
      </c>
      <c r="F13" s="85" t="s">
        <v>46</v>
      </c>
    </row>
    <row r="14" spans="1:6" ht="29">
      <c r="A14" s="87"/>
      <c r="B14" s="86">
        <v>3</v>
      </c>
      <c r="C14" s="85" t="s">
        <v>41</v>
      </c>
      <c r="D14" s="87" t="s">
        <v>42</v>
      </c>
      <c r="E14" s="88" t="s">
        <v>99</v>
      </c>
      <c r="F14" s="85" t="s">
        <v>44</v>
      </c>
    </row>
    <row r="18" spans="1:6" ht="21">
      <c r="A18" s="13" t="s">
        <v>81</v>
      </c>
    </row>
    <row r="20" spans="1:6" ht="31">
      <c r="A20" s="84" t="s">
        <v>45</v>
      </c>
      <c r="B20" s="84" t="s">
        <v>32</v>
      </c>
      <c r="C20" s="84" t="s">
        <v>33</v>
      </c>
      <c r="D20" s="84" t="s">
        <v>34</v>
      </c>
      <c r="E20" s="84" t="s">
        <v>35</v>
      </c>
      <c r="F20" s="84" t="s">
        <v>36</v>
      </c>
    </row>
    <row r="21" spans="1:6" ht="27" customHeight="1">
      <c r="A21" s="376" t="s">
        <v>124</v>
      </c>
      <c r="B21" s="377"/>
      <c r="C21" s="377"/>
      <c r="D21" s="377"/>
      <c r="E21" s="377"/>
      <c r="F21" s="378"/>
    </row>
    <row r="22" spans="1:6" ht="29">
      <c r="A22" s="87"/>
      <c r="B22" s="86">
        <v>1</v>
      </c>
      <c r="C22" s="85" t="s">
        <v>48</v>
      </c>
      <c r="D22" s="87" t="s">
        <v>37</v>
      </c>
      <c r="E22" s="87" t="s">
        <v>49</v>
      </c>
      <c r="F22" s="85" t="s">
        <v>50</v>
      </c>
    </row>
    <row r="23" spans="1:6" ht="14.5">
      <c r="A23" s="87"/>
      <c r="B23" s="86">
        <f>B22+1</f>
        <v>2</v>
      </c>
      <c r="C23" s="85" t="s">
        <v>51</v>
      </c>
      <c r="D23" s="87" t="s">
        <v>37</v>
      </c>
      <c r="E23" s="88" t="s">
        <v>52</v>
      </c>
      <c r="F23" s="85" t="s">
        <v>53</v>
      </c>
    </row>
    <row r="24" spans="1:6" ht="29">
      <c r="A24" s="87"/>
      <c r="B24" s="86">
        <f>B23+1</f>
        <v>3</v>
      </c>
      <c r="C24" s="85" t="s">
        <v>115</v>
      </c>
      <c r="D24" s="87" t="s">
        <v>55</v>
      </c>
      <c r="E24" s="88" t="s">
        <v>56</v>
      </c>
      <c r="F24" s="85" t="s">
        <v>117</v>
      </c>
    </row>
    <row r="25" spans="1:6" ht="43.5">
      <c r="A25" s="87"/>
      <c r="B25" s="86">
        <f>B24+1</f>
        <v>4</v>
      </c>
      <c r="C25" s="85" t="s">
        <v>54</v>
      </c>
      <c r="D25" s="87" t="s">
        <v>55</v>
      </c>
      <c r="E25" s="88" t="s">
        <v>57</v>
      </c>
      <c r="F25" s="85" t="s">
        <v>58</v>
      </c>
    </row>
    <row r="26" spans="1:6" ht="43.5">
      <c r="A26" s="87"/>
      <c r="B26" s="86">
        <f>B25+1</f>
        <v>5</v>
      </c>
      <c r="C26" s="85" t="s">
        <v>76</v>
      </c>
      <c r="D26" s="87" t="s">
        <v>55</v>
      </c>
      <c r="E26" s="87" t="s">
        <v>116</v>
      </c>
      <c r="F26" s="85" t="s">
        <v>59</v>
      </c>
    </row>
    <row r="27" spans="1:6" ht="14.5">
      <c r="A27" s="117"/>
      <c r="B27" s="118"/>
      <c r="C27" s="119"/>
      <c r="D27" s="117"/>
      <c r="E27" s="117"/>
      <c r="F27" s="119"/>
    </row>
    <row r="28" spans="1:6" ht="31">
      <c r="A28" s="84" t="s">
        <v>45</v>
      </c>
      <c r="B28" s="84" t="s">
        <v>32</v>
      </c>
      <c r="C28" s="84" t="s">
        <v>33</v>
      </c>
      <c r="D28" s="84" t="s">
        <v>34</v>
      </c>
      <c r="E28" s="84" t="s">
        <v>35</v>
      </c>
      <c r="F28" s="84" t="s">
        <v>36</v>
      </c>
    </row>
    <row r="29" spans="1:6" ht="48.75" customHeight="1">
      <c r="A29" s="376" t="s">
        <v>125</v>
      </c>
      <c r="B29" s="377"/>
      <c r="C29" s="377"/>
      <c r="D29" s="377"/>
      <c r="E29" s="377"/>
      <c r="F29" s="378"/>
    </row>
    <row r="30" spans="1:6" ht="29">
      <c r="A30" s="87"/>
      <c r="B30" s="86">
        <f>B26+1</f>
        <v>6</v>
      </c>
      <c r="C30" s="85" t="s">
        <v>60</v>
      </c>
      <c r="D30" s="87" t="s">
        <v>61</v>
      </c>
      <c r="E30" s="87" t="s">
        <v>63</v>
      </c>
      <c r="F30" s="85" t="s">
        <v>80</v>
      </c>
    </row>
    <row r="31" spans="1:6" ht="29">
      <c r="A31" s="87"/>
      <c r="B31" s="86">
        <f t="shared" ref="B31:B39" si="0">B30+1</f>
        <v>7</v>
      </c>
      <c r="C31" s="85" t="s">
        <v>62</v>
      </c>
      <c r="D31" s="87" t="s">
        <v>65</v>
      </c>
      <c r="E31" s="87" t="s">
        <v>91</v>
      </c>
      <c r="F31" s="85" t="s">
        <v>79</v>
      </c>
    </row>
    <row r="32" spans="1:6" ht="58">
      <c r="A32" s="87"/>
      <c r="B32" s="86">
        <f t="shared" si="0"/>
        <v>8</v>
      </c>
      <c r="C32" s="85" t="s">
        <v>66</v>
      </c>
      <c r="D32" s="87" t="s">
        <v>65</v>
      </c>
      <c r="E32" s="87" t="s">
        <v>92</v>
      </c>
      <c r="F32" s="85" t="s">
        <v>78</v>
      </c>
    </row>
    <row r="33" spans="1:6" ht="43.5">
      <c r="A33" s="87"/>
      <c r="B33" s="86">
        <f t="shared" si="0"/>
        <v>9</v>
      </c>
      <c r="C33" s="85" t="s">
        <v>64</v>
      </c>
      <c r="D33" s="87" t="s">
        <v>61</v>
      </c>
      <c r="E33" s="87" t="s">
        <v>101</v>
      </c>
      <c r="F33" s="85" t="s">
        <v>88</v>
      </c>
    </row>
    <row r="34" spans="1:6" ht="29">
      <c r="A34" s="87"/>
      <c r="B34" s="86">
        <f t="shared" si="0"/>
        <v>10</v>
      </c>
      <c r="C34" s="85" t="s">
        <v>23</v>
      </c>
      <c r="D34" s="87" t="s">
        <v>61</v>
      </c>
      <c r="E34" s="87" t="s">
        <v>67</v>
      </c>
      <c r="F34" s="85" t="s">
        <v>77</v>
      </c>
    </row>
    <row r="35" spans="1:6" ht="29">
      <c r="A35" s="87"/>
      <c r="B35" s="86">
        <f t="shared" si="0"/>
        <v>11</v>
      </c>
      <c r="C35" s="85" t="s">
        <v>89</v>
      </c>
      <c r="D35" s="87" t="s">
        <v>61</v>
      </c>
      <c r="E35" s="87" t="s">
        <v>93</v>
      </c>
      <c r="F35" s="97" t="s">
        <v>96</v>
      </c>
    </row>
    <row r="36" spans="1:6" ht="29">
      <c r="A36" s="87"/>
      <c r="B36" s="86">
        <f t="shared" si="0"/>
        <v>12</v>
      </c>
      <c r="C36" s="85" t="s">
        <v>68</v>
      </c>
      <c r="D36" s="87" t="s">
        <v>61</v>
      </c>
      <c r="E36" s="87" t="s">
        <v>102</v>
      </c>
      <c r="F36" s="85" t="s">
        <v>72</v>
      </c>
    </row>
    <row r="37" spans="1:6" ht="29">
      <c r="A37" s="87"/>
      <c r="B37" s="86">
        <f t="shared" si="0"/>
        <v>13</v>
      </c>
      <c r="C37" s="85" t="s">
        <v>69</v>
      </c>
      <c r="D37" s="87" t="s">
        <v>61</v>
      </c>
      <c r="E37" s="87" t="s">
        <v>103</v>
      </c>
      <c r="F37" s="85" t="s">
        <v>73</v>
      </c>
    </row>
    <row r="38" spans="1:6" ht="29">
      <c r="A38" s="87"/>
      <c r="B38" s="86">
        <f t="shared" si="0"/>
        <v>14</v>
      </c>
      <c r="C38" s="85" t="s">
        <v>70</v>
      </c>
      <c r="D38" s="87" t="s">
        <v>61</v>
      </c>
      <c r="E38" s="87" t="s">
        <v>94</v>
      </c>
      <c r="F38" s="85" t="s">
        <v>74</v>
      </c>
    </row>
    <row r="39" spans="1:6" ht="29">
      <c r="A39" s="87"/>
      <c r="B39" s="86">
        <f t="shared" si="0"/>
        <v>15</v>
      </c>
      <c r="C39" s="85" t="s">
        <v>71</v>
      </c>
      <c r="D39" s="87" t="s">
        <v>61</v>
      </c>
      <c r="E39" s="87" t="s">
        <v>104</v>
      </c>
      <c r="F39" s="85" t="s">
        <v>75</v>
      </c>
    </row>
    <row r="40" spans="1:6" ht="43.5">
      <c r="A40" s="87"/>
      <c r="B40" s="86">
        <f>B39+1</f>
        <v>16</v>
      </c>
      <c r="C40" s="85" t="s">
        <v>12</v>
      </c>
      <c r="D40" s="87" t="s">
        <v>61</v>
      </c>
      <c r="E40" s="87" t="s">
        <v>105</v>
      </c>
      <c r="F40" s="97" t="s">
        <v>95</v>
      </c>
    </row>
  </sheetData>
  <mergeCells count="2">
    <mergeCell ref="A29:F29"/>
    <mergeCell ref="A21:F21"/>
  </mergeCells>
  <phoneticPr fontId="5" type="noConversion"/>
  <conditionalFormatting sqref="A12:A14 A21:A27 A29:A40">
    <cfRule type="cellIs" dxfId="3" priority="1" stopIfTrue="1" operator="equal">
      <formula>"X"</formula>
    </cfRule>
    <cfRule type="cellIs" dxfId="2" priority="2" stopIfTrue="1" operator="equal">
      <formula>"x"</formula>
    </cfRule>
  </conditionalFormatting>
  <printOptions horizontalCentered="1"/>
  <pageMargins left="0.75" right="0.75" top="1" bottom="1" header="0.5" footer="0.5"/>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O70"/>
  <sheetViews>
    <sheetView showGridLines="0" view="pageBreakPreview" topLeftCell="A14" zoomScale="70" zoomScaleNormal="100" zoomScaleSheetLayoutView="70" workbookViewId="0">
      <selection activeCell="M44" sqref="M44"/>
    </sheetView>
  </sheetViews>
  <sheetFormatPr defaultColWidth="12.1796875" defaultRowHeight="14.5"/>
  <cols>
    <col min="1" max="1" width="44.1796875" style="1" customWidth="1"/>
    <col min="2" max="13" width="19.1796875" style="1" customWidth="1"/>
    <col min="14" max="16384" width="12.1796875" style="1"/>
  </cols>
  <sheetData>
    <row r="1" spans="1:15">
      <c r="B1" s="12"/>
      <c r="C1" s="12"/>
    </row>
    <row r="2" spans="1:15" ht="21">
      <c r="A2" s="13" t="s">
        <v>3</v>
      </c>
      <c r="B2" s="267" t="s">
        <v>203</v>
      </c>
      <c r="C2" s="268"/>
      <c r="D2" s="268"/>
      <c r="E2" s="268"/>
      <c r="F2" s="269"/>
    </row>
    <row r="3" spans="1:15">
      <c r="B3" s="12"/>
    </row>
    <row r="4" spans="1:15" ht="18.5">
      <c r="A4" s="9" t="s">
        <v>5</v>
      </c>
      <c r="B4" s="379">
        <f>'Title Page'!A39:H39</f>
        <v>44348</v>
      </c>
      <c r="C4" s="380"/>
    </row>
    <row r="5" spans="1:15">
      <c r="B5" s="12"/>
      <c r="C5" s="12"/>
    </row>
    <row r="6" spans="1:15" ht="18.5">
      <c r="A6" s="9" t="s">
        <v>18</v>
      </c>
      <c r="B6" s="2">
        <v>2010</v>
      </c>
      <c r="C6" s="2">
        <f>'Facility Detail'!$B$3082</f>
        <v>2011</v>
      </c>
      <c r="D6" s="2">
        <f>C6+1</f>
        <v>2012</v>
      </c>
      <c r="E6" s="2">
        <f>D6+1</f>
        <v>2013</v>
      </c>
      <c r="F6" s="2">
        <f>E6+1</f>
        <v>2014</v>
      </c>
      <c r="G6" s="2">
        <f>F6+1</f>
        <v>2015</v>
      </c>
      <c r="H6" s="2">
        <f>G6+1</f>
        <v>2016</v>
      </c>
      <c r="I6" s="2">
        <f t="shared" ref="I6:K6" si="0">H6+1</f>
        <v>2017</v>
      </c>
      <c r="J6" s="2">
        <f t="shared" si="0"/>
        <v>2018</v>
      </c>
      <c r="K6" s="2">
        <f t="shared" si="0"/>
        <v>2019</v>
      </c>
      <c r="L6" s="2">
        <f t="shared" ref="L6" si="1">K6+1</f>
        <v>2020</v>
      </c>
      <c r="M6" s="2">
        <f t="shared" ref="M6" si="2">L6+1</f>
        <v>2021</v>
      </c>
      <c r="N6" s="21"/>
      <c r="O6" s="21"/>
    </row>
    <row r="7" spans="1:15">
      <c r="A7" s="81" t="s">
        <v>11</v>
      </c>
      <c r="B7" s="223">
        <v>3984631</v>
      </c>
      <c r="C7" s="223">
        <v>4005862.6749999998</v>
      </c>
      <c r="D7" s="223">
        <v>4041897.855</v>
      </c>
      <c r="E7" s="223">
        <v>4092687.9720000001</v>
      </c>
      <c r="F7" s="224">
        <v>4117646.1230000001</v>
      </c>
      <c r="G7" s="224">
        <v>4108270</v>
      </c>
      <c r="H7" s="224">
        <v>3981653.9279999998</v>
      </c>
      <c r="I7" s="245">
        <v>4221297.9519999996</v>
      </c>
      <c r="J7" s="245">
        <v>3949115.5449999999</v>
      </c>
      <c r="K7" s="245">
        <v>4144589.8369999998</v>
      </c>
      <c r="L7" s="245">
        <v>4065151.3369999998</v>
      </c>
      <c r="M7" s="245">
        <v>4121391.2170616318</v>
      </c>
      <c r="N7" s="14"/>
      <c r="O7" s="14"/>
    </row>
    <row r="8" spans="1:15">
      <c r="A8" s="81" t="s">
        <v>9</v>
      </c>
      <c r="B8" s="64"/>
      <c r="C8" s="98">
        <v>0</v>
      </c>
      <c r="D8" s="98">
        <v>0.03</v>
      </c>
      <c r="E8" s="98">
        <v>0.03</v>
      </c>
      <c r="F8" s="98">
        <v>0.03</v>
      </c>
      <c r="G8" s="98">
        <v>0.03</v>
      </c>
      <c r="H8" s="98">
        <v>0.09</v>
      </c>
      <c r="I8" s="246">
        <v>0.09</v>
      </c>
      <c r="J8" s="246">
        <v>0.09</v>
      </c>
      <c r="K8" s="246">
        <v>0.09</v>
      </c>
      <c r="L8" s="246">
        <v>0.15</v>
      </c>
      <c r="M8" s="246">
        <v>0.15</v>
      </c>
      <c r="N8" s="22"/>
      <c r="O8" s="22"/>
    </row>
    <row r="9" spans="1:15">
      <c r="A9" s="75" t="s">
        <v>7</v>
      </c>
      <c r="B9" s="203"/>
      <c r="C9" s="203"/>
      <c r="D9" s="204">
        <f t="shared" ref="D9" si="3" xml:space="preserve"> IF( SUM(B7:C7) = 0, 0, AVERAGE(B7:C7) * D8 )</f>
        <v>119857.40512499999</v>
      </c>
      <c r="E9" s="204">
        <f t="shared" ref="E9:K9" si="4" xml:space="preserve"> IF( SUM(C7:D7) = 0, 0, AVERAGE(C7:D7) * E8 )</f>
        <v>120716.40794999998</v>
      </c>
      <c r="F9" s="204">
        <f t="shared" si="4"/>
        <v>122018.787405</v>
      </c>
      <c r="G9" s="204">
        <f t="shared" si="4"/>
        <v>123155.011425</v>
      </c>
      <c r="H9" s="204">
        <f t="shared" si="4"/>
        <v>370166.22553499998</v>
      </c>
      <c r="I9" s="204">
        <f t="shared" si="4"/>
        <v>364046.57675999997</v>
      </c>
      <c r="J9" s="203">
        <f t="shared" si="4"/>
        <v>369132.83459999994</v>
      </c>
      <c r="K9" s="203">
        <f t="shared" si="4"/>
        <v>367668.60736499995</v>
      </c>
      <c r="L9" s="203">
        <f xml:space="preserve"> IF( SUM(J7:K7) = 0, 0, AVERAGE(J7:K7) * L8 )</f>
        <v>607027.90364999988</v>
      </c>
      <c r="M9" s="203">
        <f xml:space="preserve"> IF( SUM(K7:L7) = 0, 0, AVERAGE(K7:L7) * M8 )</f>
        <v>615730.5880499999</v>
      </c>
      <c r="N9" s="22"/>
      <c r="O9" s="22"/>
    </row>
    <row r="10" spans="1:15">
      <c r="F10" s="135"/>
      <c r="G10" s="135"/>
      <c r="H10" s="135"/>
      <c r="I10" s="135"/>
      <c r="J10" s="247"/>
      <c r="K10" s="247"/>
      <c r="L10" s="247"/>
      <c r="M10" s="247"/>
      <c r="N10" s="23"/>
      <c r="O10" s="23"/>
    </row>
    <row r="11" spans="1:15" ht="18.5">
      <c r="A11" s="9" t="s">
        <v>19</v>
      </c>
      <c r="B11" s="2">
        <v>2010</v>
      </c>
      <c r="C11" s="2">
        <f>C6</f>
        <v>2011</v>
      </c>
      <c r="D11" s="2">
        <f t="shared" ref="D11:M11" si="5">D6</f>
        <v>2012</v>
      </c>
      <c r="E11" s="2">
        <f t="shared" si="5"/>
        <v>2013</v>
      </c>
      <c r="F11" s="2">
        <f t="shared" si="5"/>
        <v>2014</v>
      </c>
      <c r="G11" s="2">
        <f t="shared" si="5"/>
        <v>2015</v>
      </c>
      <c r="H11" s="2">
        <f t="shared" si="5"/>
        <v>2016</v>
      </c>
      <c r="I11" s="2">
        <f t="shared" si="5"/>
        <v>2017</v>
      </c>
      <c r="J11" s="2">
        <f t="shared" si="5"/>
        <v>2018</v>
      </c>
      <c r="K11" s="2">
        <f t="shared" si="5"/>
        <v>2019</v>
      </c>
      <c r="L11" s="2">
        <f t="shared" ref="L11" si="6">L6</f>
        <v>2020</v>
      </c>
      <c r="M11" s="2">
        <f t="shared" si="5"/>
        <v>2021</v>
      </c>
      <c r="N11" s="23"/>
      <c r="O11" s="23"/>
    </row>
    <row r="12" spans="1:15">
      <c r="A12" s="81" t="s">
        <v>31</v>
      </c>
      <c r="B12" s="64"/>
      <c r="C12" s="11">
        <f xml:space="preserve"> SUM('Facility Detail'!D76,'Facility Detail'!D125,'Facility Detail'!D175,'Facility Detail'!D218,'Facility Detail'!D267,'Facility Detail'!D316,'Facility Detail'!D365,'Facility Detail'!D414,'Facility Detail'!D463,'Facility Detail'!D511,'Facility Detail'!D559,'Facility Detail'!D608,'Facility Detail'!D650,'Facility Detail'!D692,'Facility Detail'!D742,'Facility Detail'!D791,'Facility Detail'!D840,'Facility Detail'!D881,'Facility Detail'!D930,'Facility Detail'!D971,'Facility Detail'!D1020,'Facility Detail'!D1069,'Facility Detail'!D1118,'Facility Detail'!D1167,'Facility Detail'!D1215,'Facility Detail'!D1264,'Facility Detail'!D1305,'Facility Detail'!D1354,'Facility Detail'!D1399,'Facility Detail'!D1449,'Facility Detail'!D1490,'Facility Detail'!D1539,'Facility Detail'!D1589,'Facility Detail'!D1639,'Facility Detail'!D1689,'Facility Detail'!D1731,'Facility Detail'!D1781,'Facility Detail'!D1830,'Facility Detail'!D1879,'Facility Detail'!D1921,'Facility Detail'!D1962,'Facility Detail'!D2010,'Facility Detail'!D2059,'Facility Detail'!D2100,'Facility Detail'!D2141,'Facility Detail'!D2189,'Facility Detail'!D2237,'Facility Detail'!D2286,'Facility Detail'!D2335,'Facility Detail'!D2384,'Facility Detail'!D2433,'Facility Detail'!D2481,'Facility Detail'!D2529,'Facility Detail'!D2578, 'Facility Detail'!D2628,'Facility Detail'!D2678,'Facility Detail'!D2717,'Facility Detail'!D2758,'Facility Detail'!D2807,'Facility Detail'!D2856,'Facility Detail'!D2904,'Facility Detail'!D2953,'Facility Detail'!D2991,'Facility Detail'!D3028)</f>
        <v>104826</v>
      </c>
      <c r="D12" s="11">
        <f xml:space="preserve"> SUM('Facility Detail'!E76,'Facility Detail'!E125,'Facility Detail'!E175,'Facility Detail'!E218,'Facility Detail'!E267,'Facility Detail'!E316,'Facility Detail'!E365,'Facility Detail'!E414,'Facility Detail'!E463,'Facility Detail'!E511,'Facility Detail'!E559,'Facility Detail'!E608,'Facility Detail'!E650,'Facility Detail'!E692,'Facility Detail'!E742,'Facility Detail'!E791,'Facility Detail'!E840,'Facility Detail'!E881,'Facility Detail'!E930,'Facility Detail'!E971,'Facility Detail'!E1020,'Facility Detail'!E1069,'Facility Detail'!E1118,'Facility Detail'!E1167,'Facility Detail'!E1215,'Facility Detail'!E1264,'Facility Detail'!E1305,'Facility Detail'!E1354,'Facility Detail'!E1399,'Facility Detail'!E1449,'Facility Detail'!E1490,'Facility Detail'!E1539,'Facility Detail'!E1589,'Facility Detail'!E1639,'Facility Detail'!E1689,'Facility Detail'!E1731,'Facility Detail'!E1781,'Facility Detail'!E1830,'Facility Detail'!E1879,'Facility Detail'!E1921,'Facility Detail'!E1962,'Facility Detail'!E2010,'Facility Detail'!E2059,'Facility Detail'!E2100,'Facility Detail'!E2141,'Facility Detail'!E2189,'Facility Detail'!E2237,'Facility Detail'!E2286,'Facility Detail'!E2335,'Facility Detail'!E2384,'Facility Detail'!E2433,'Facility Detail'!E2481,'Facility Detail'!E2529,'Facility Detail'!E2578, 'Facility Detail'!E2628,'Facility Detail'!E2678,'Facility Detail'!E2717,'Facility Detail'!E2758,'Facility Detail'!E2807,'Facility Detail'!E2856,'Facility Detail'!E2904,'Facility Detail'!E2953,'Facility Detail'!E2991,'Facility Detail'!E3028)</f>
        <v>107711</v>
      </c>
      <c r="E12" s="11">
        <f xml:space="preserve"> SUM('Facility Detail'!F76,'Facility Detail'!F125,'Facility Detail'!F175,'Facility Detail'!F218,'Facility Detail'!F267,'Facility Detail'!F316,'Facility Detail'!F365,'Facility Detail'!F414,'Facility Detail'!F463,'Facility Detail'!F511,'Facility Detail'!F559,'Facility Detail'!F608,'Facility Detail'!F650,'Facility Detail'!F692,'Facility Detail'!F742,'Facility Detail'!F791,'Facility Detail'!F840,'Facility Detail'!F881,'Facility Detail'!F930,'Facility Detail'!F971,'Facility Detail'!F1020,'Facility Detail'!F1069,'Facility Detail'!F1118,'Facility Detail'!F1167,'Facility Detail'!F1215,'Facility Detail'!F1264,'Facility Detail'!F1305,'Facility Detail'!F1354,'Facility Detail'!F1399,'Facility Detail'!F1449,'Facility Detail'!F1490,'Facility Detail'!F1539,'Facility Detail'!F1589,'Facility Detail'!F1639,'Facility Detail'!F1689,'Facility Detail'!F1731,'Facility Detail'!F1781,'Facility Detail'!F1830,'Facility Detail'!F1879,'Facility Detail'!F1921,'Facility Detail'!F1962,'Facility Detail'!F2010,'Facility Detail'!F2059,'Facility Detail'!F2100,'Facility Detail'!F2141,'Facility Detail'!F2189,'Facility Detail'!F2237,'Facility Detail'!F2286,'Facility Detail'!F2335,'Facility Detail'!F2384,'Facility Detail'!F2433,'Facility Detail'!F2481,'Facility Detail'!F2529,'Facility Detail'!F2578, 'Facility Detail'!F2628,'Facility Detail'!F2678,'Facility Detail'!F2717,'Facility Detail'!F2758,'Facility Detail'!F2807,'Facility Detail'!F2856,'Facility Detail'!F2904,'Facility Detail'!F2953,'Facility Detail'!F2991,'Facility Detail'!F3028)</f>
        <v>107158</v>
      </c>
      <c r="F12" s="11">
        <f xml:space="preserve"> SUM('Facility Detail'!G76,'Facility Detail'!G125,'Facility Detail'!G175,'Facility Detail'!G218,'Facility Detail'!G267,'Facility Detail'!G316,'Facility Detail'!G365,'Facility Detail'!G414,'Facility Detail'!G463,'Facility Detail'!G511,'Facility Detail'!G559,'Facility Detail'!G608,'Facility Detail'!G650,'Facility Detail'!G692,'Facility Detail'!G742,'Facility Detail'!G791,'Facility Detail'!G840,'Facility Detail'!G881,'Facility Detail'!G930,'Facility Detail'!G971,'Facility Detail'!G1020,'Facility Detail'!G1069,'Facility Detail'!G1118,'Facility Detail'!G1167,'Facility Detail'!G1215,'Facility Detail'!G1264,'Facility Detail'!G1305,'Facility Detail'!G1354,'Facility Detail'!G1399,'Facility Detail'!G1449,'Facility Detail'!G1490,'Facility Detail'!G1539,'Facility Detail'!G1589,'Facility Detail'!G1639,'Facility Detail'!G1689,'Facility Detail'!G1731,'Facility Detail'!G1781,'Facility Detail'!G1830,'Facility Detail'!G1879,'Facility Detail'!G1921,'Facility Detail'!G1962,'Facility Detail'!G2010,'Facility Detail'!G2059,'Facility Detail'!G2100,'Facility Detail'!G2141,'Facility Detail'!G2189,'Facility Detail'!G2237,'Facility Detail'!G2286,'Facility Detail'!G2335,'Facility Detail'!G2384,'Facility Detail'!G2433,'Facility Detail'!G2481,'Facility Detail'!G2529,'Facility Detail'!G2578, 'Facility Detail'!G2628,'Facility Detail'!G2678,'Facility Detail'!G2717,'Facility Detail'!G2758,'Facility Detail'!G2807,'Facility Detail'!G2856,'Facility Detail'!G2904,'Facility Detail'!G2953,'Facility Detail'!G2991,'Facility Detail'!G3028)</f>
        <v>114902</v>
      </c>
      <c r="G12" s="11">
        <f xml:space="preserve"> SUM('Facility Detail'!H76,'Facility Detail'!H125,'Facility Detail'!H175,'Facility Detail'!H218,'Facility Detail'!H267,'Facility Detail'!H316,'Facility Detail'!H365,'Facility Detail'!H414,'Facility Detail'!H463,'Facility Detail'!H511,'Facility Detail'!H559,'Facility Detail'!H608,'Facility Detail'!H650,'Facility Detail'!H692,'Facility Detail'!H742,'Facility Detail'!H791,'Facility Detail'!H840,'Facility Detail'!H881,'Facility Detail'!H930,'Facility Detail'!H971,'Facility Detail'!H1020,'Facility Detail'!H1069,'Facility Detail'!H1118,'Facility Detail'!H1167,'Facility Detail'!H1215,'Facility Detail'!H1264,'Facility Detail'!H1305,'Facility Detail'!H1354,'Facility Detail'!H1399,'Facility Detail'!H1449,'Facility Detail'!H1490,'Facility Detail'!H1539,'Facility Detail'!H1589,'Facility Detail'!H1639,'Facility Detail'!H1689,'Facility Detail'!H1731,'Facility Detail'!H1781,'Facility Detail'!H1830,'Facility Detail'!H1879,'Facility Detail'!H1921,'Facility Detail'!H1962,'Facility Detail'!H2010,'Facility Detail'!H2059,'Facility Detail'!H2100,'Facility Detail'!H2141,'Facility Detail'!H2189,'Facility Detail'!H2237,'Facility Detail'!H2286,'Facility Detail'!H2335,'Facility Detail'!H2384,'Facility Detail'!H2433,'Facility Detail'!H2481,'Facility Detail'!H2529,'Facility Detail'!H2578, 'Facility Detail'!H2628,'Facility Detail'!H2678,'Facility Detail'!H2717,'Facility Detail'!H2758,'Facility Detail'!H2807,'Facility Detail'!H2856,'Facility Detail'!H2904,'Facility Detail'!H2953,'Facility Detail'!H2991,'Facility Detail'!H3028)</f>
        <v>271108</v>
      </c>
      <c r="H12" s="11">
        <f xml:space="preserve"> SUM('Facility Detail'!I76,'Facility Detail'!I125,'Facility Detail'!I175,'Facility Detail'!I218,'Facility Detail'!I267,'Facility Detail'!I316,'Facility Detail'!I365,'Facility Detail'!I414,'Facility Detail'!I463,'Facility Detail'!I511,'Facility Detail'!I559,'Facility Detail'!I608,'Facility Detail'!I650,'Facility Detail'!I692,'Facility Detail'!I742,'Facility Detail'!I791,'Facility Detail'!I840,'Facility Detail'!I881,'Facility Detail'!I930,'Facility Detail'!I971,'Facility Detail'!I1020,'Facility Detail'!I1069,'Facility Detail'!I1118,'Facility Detail'!I1167,'Facility Detail'!I1215,'Facility Detail'!I1264,'Facility Detail'!I1305,'Facility Detail'!I1354,'Facility Detail'!I1399,'Facility Detail'!I1449,'Facility Detail'!I1490,'Facility Detail'!I1539,'Facility Detail'!I1589,'Facility Detail'!I1639,'Facility Detail'!I1689,'Facility Detail'!I1731,'Facility Detail'!I1781,'Facility Detail'!I1830,'Facility Detail'!I1879,'Facility Detail'!I1921,'Facility Detail'!I1962,'Facility Detail'!I2010,'Facility Detail'!I2059,'Facility Detail'!I2100,'Facility Detail'!I2141,'Facility Detail'!I2189,'Facility Detail'!I2237,'Facility Detail'!I2286,'Facility Detail'!I2335,'Facility Detail'!I2384,'Facility Detail'!I2433,'Facility Detail'!I2481,'Facility Detail'!I2529,'Facility Detail'!I2578, 'Facility Detail'!I2628,'Facility Detail'!I2678,'Facility Detail'!I2717,'Facility Detail'!I2758,'Facility Detail'!I2807,'Facility Detail'!I2856,'Facility Detail'!I2904,'Facility Detail'!I2953,'Facility Detail'!I2991,'Facility Detail'!I3028)</f>
        <v>373982.40669669915</v>
      </c>
      <c r="I12" s="11">
        <f xml:space="preserve"> SUM('Facility Detail'!J76,'Facility Detail'!J125,'Facility Detail'!J175,'Facility Detail'!J218,'Facility Detail'!J267,'Facility Detail'!J316,'Facility Detail'!J365,'Facility Detail'!J414,'Facility Detail'!J463,'Facility Detail'!J511,'Facility Detail'!J559,'Facility Detail'!J608,'Facility Detail'!J650,'Facility Detail'!J692,'Facility Detail'!J742,'Facility Detail'!J791,'Facility Detail'!J840,'Facility Detail'!J881,'Facility Detail'!J930,'Facility Detail'!J971,'Facility Detail'!J1020,'Facility Detail'!J1069,'Facility Detail'!J1118,'Facility Detail'!J1167,'Facility Detail'!J1215,'Facility Detail'!J1264,'Facility Detail'!J1305,'Facility Detail'!J1354,'Facility Detail'!J1399,'Facility Detail'!J1449,'Facility Detail'!J1490,'Facility Detail'!J1539,'Facility Detail'!J1589,'Facility Detail'!J1639,'Facility Detail'!J1689,'Facility Detail'!J1731,'Facility Detail'!J1781,'Facility Detail'!J1830,'Facility Detail'!J1879,'Facility Detail'!J1921,'Facility Detail'!J1962,'Facility Detail'!J2010,'Facility Detail'!J2059,'Facility Detail'!J2100,'Facility Detail'!J2141,'Facility Detail'!J2189,'Facility Detail'!J2237,'Facility Detail'!J2286,'Facility Detail'!J2335,'Facility Detail'!J2384,'Facility Detail'!J2433,'Facility Detail'!J2481,'Facility Detail'!J2529,'Facility Detail'!J2578, 'Facility Detail'!J2628,'Facility Detail'!J2678,'Facility Detail'!J2717,'Facility Detail'!J2758,'Facility Detail'!J2807,'Facility Detail'!J2856,'Facility Detail'!J2904,'Facility Detail'!J2953,'Facility Detail'!J2991,'Facility Detail'!J3028)</f>
        <v>285492</v>
      </c>
      <c r="J12" s="11">
        <f xml:space="preserve"> SUM('Facility Detail'!K76,'Facility Detail'!K125,'Facility Detail'!K175,'Facility Detail'!K218,'Facility Detail'!K267,'Facility Detail'!K316,'Facility Detail'!K365,'Facility Detail'!K414,'Facility Detail'!K463,'Facility Detail'!K511,'Facility Detail'!K559,'Facility Detail'!K608,'Facility Detail'!K650,'Facility Detail'!K692,'Facility Detail'!K742,'Facility Detail'!K791,'Facility Detail'!K840,'Facility Detail'!K881,'Facility Detail'!K930,'Facility Detail'!K971,'Facility Detail'!K1020,'Facility Detail'!K1069,'Facility Detail'!K1118,'Facility Detail'!K1167,'Facility Detail'!K1215,'Facility Detail'!K1264,'Facility Detail'!K1305,'Facility Detail'!K1354,'Facility Detail'!K1399,'Facility Detail'!K1449,'Facility Detail'!K1490,'Facility Detail'!K1539,'Facility Detail'!K1589,'Facility Detail'!K1639,'Facility Detail'!K1689,'Facility Detail'!K1731,'Facility Detail'!K1781,'Facility Detail'!K1830,'Facility Detail'!K1879,'Facility Detail'!K1921,'Facility Detail'!K1962,'Facility Detail'!K2010,'Facility Detail'!K2059,'Facility Detail'!K2100,'Facility Detail'!K2141,'Facility Detail'!K2189,'Facility Detail'!K2237,'Facility Detail'!K2286,'Facility Detail'!K2335,'Facility Detail'!K2384,'Facility Detail'!K2433,'Facility Detail'!K2481,'Facility Detail'!K2529,'Facility Detail'!K2578, 'Facility Detail'!K2628,'Facility Detail'!K2678,'Facility Detail'!K2717,'Facility Detail'!K2758,'Facility Detail'!K2807,'Facility Detail'!K2856,'Facility Detail'!K2904,'Facility Detail'!K2953,'Facility Detail'!K2991,'Facility Detail'!K3028)</f>
        <v>293213</v>
      </c>
      <c r="K12" s="11">
        <f xml:space="preserve"> SUM('Facility Detail'!L76,'Facility Detail'!L125,'Facility Detail'!L175,'Facility Detail'!L218,'Facility Detail'!L267,'Facility Detail'!L316,'Facility Detail'!L365,'Facility Detail'!L414,'Facility Detail'!L463,'Facility Detail'!L511,'Facility Detail'!L559,'Facility Detail'!L608,'Facility Detail'!L650,'Facility Detail'!L692,'Facility Detail'!L742,'Facility Detail'!L791,'Facility Detail'!L840,'Facility Detail'!L881,'Facility Detail'!L930,'Facility Detail'!L971,'Facility Detail'!L1020,'Facility Detail'!L1069,'Facility Detail'!L1118,'Facility Detail'!L1167,'Facility Detail'!L1215,'Facility Detail'!L1264,'Facility Detail'!L1305,'Facility Detail'!L1354,'Facility Detail'!L1399,'Facility Detail'!L1449,'Facility Detail'!L1490,'Facility Detail'!L1539,'Facility Detail'!L1589,'Facility Detail'!L1639,'Facility Detail'!L1689,'Facility Detail'!L1731,'Facility Detail'!L1781,'Facility Detail'!L1830,'Facility Detail'!L1879,'Facility Detail'!L1921,'Facility Detail'!L1962,'Facility Detail'!L2010,'Facility Detail'!L2059,'Facility Detail'!L2100,'Facility Detail'!L2141,'Facility Detail'!L2189,'Facility Detail'!L2237,'Facility Detail'!L2286,'Facility Detail'!L2335,'Facility Detail'!L2384,'Facility Detail'!L2433,'Facility Detail'!L2481,'Facility Detail'!L2529,'Facility Detail'!L2578, 'Facility Detail'!L2628,'Facility Detail'!L2678,'Facility Detail'!L2717,'Facility Detail'!L2758,'Facility Detail'!L2807,'Facility Detail'!L2856,'Facility Detail'!L2904,'Facility Detail'!L2953,'Facility Detail'!L2991,'Facility Detail'!L3028)</f>
        <v>198796.8148606311</v>
      </c>
      <c r="L12" s="11">
        <f xml:space="preserve"> SUM('Facility Detail'!M76,'Facility Detail'!M125,'Facility Detail'!M175,'Facility Detail'!M218,'Facility Detail'!M267,'Facility Detail'!M316,'Facility Detail'!M365,'Facility Detail'!M414,'Facility Detail'!M463,'Facility Detail'!M511,'Facility Detail'!M559,'Facility Detail'!M608,'Facility Detail'!M650,'Facility Detail'!M692,'Facility Detail'!M742,'Facility Detail'!M791,'Facility Detail'!M840,'Facility Detail'!M881,'Facility Detail'!M930,'Facility Detail'!M971,'Facility Detail'!M1020,'Facility Detail'!M1069,'Facility Detail'!M1118,'Facility Detail'!M1167,'Facility Detail'!M1215,'Facility Detail'!M1264,'Facility Detail'!M1305,'Facility Detail'!M1354,'Facility Detail'!M1399,'Facility Detail'!M1449,'Facility Detail'!M1490,'Facility Detail'!M1539,'Facility Detail'!M1589,'Facility Detail'!M1639,'Facility Detail'!M1689,'Facility Detail'!M1731,'Facility Detail'!M1781,'Facility Detail'!M1830,'Facility Detail'!M1879,'Facility Detail'!M1921,'Facility Detail'!M1962,'Facility Detail'!M2010,'Facility Detail'!M2059,'Facility Detail'!M2100,'Facility Detail'!M2141,'Facility Detail'!M2189,'Facility Detail'!M2237,'Facility Detail'!M2286,'Facility Detail'!M2335,'Facility Detail'!M2384,'Facility Detail'!M2433,'Facility Detail'!M2481,'Facility Detail'!M2529,'Facility Detail'!M2578, 'Facility Detail'!M2628,'Facility Detail'!M2678,'Facility Detail'!M2717,'Facility Detail'!M2758,'Facility Detail'!M2807,'Facility Detail'!M2856,'Facility Detail'!M2904,'Facility Detail'!M2953,'Facility Detail'!M2991,'Facility Detail'!M3028)</f>
        <v>560182.50381454045</v>
      </c>
      <c r="M12" s="11">
        <f xml:space="preserve"> SUM('Facility Detail'!N76,'Facility Detail'!N125,'Facility Detail'!N175,'Facility Detail'!N218,'Facility Detail'!N267,'Facility Detail'!N316,'Facility Detail'!N365,'Facility Detail'!N414,'Facility Detail'!N463,'Facility Detail'!N511,'Facility Detail'!N559,'Facility Detail'!N608,'Facility Detail'!N650,'Facility Detail'!N692,'Facility Detail'!N742,'Facility Detail'!N791,'Facility Detail'!N840,'Facility Detail'!N881,'Facility Detail'!N930,'Facility Detail'!N971,'Facility Detail'!N1020,'Facility Detail'!N1069,'Facility Detail'!N1118,'Facility Detail'!N1167,'Facility Detail'!N1215,'Facility Detail'!N1264,'Facility Detail'!N1305,'Facility Detail'!N1354,'Facility Detail'!N1399,'Facility Detail'!N1449,'Facility Detail'!N1490,'Facility Detail'!N1539,'Facility Detail'!N1589,'Facility Detail'!N1639,'Facility Detail'!N1689,'Facility Detail'!N1731,'Facility Detail'!N1781,'Facility Detail'!N1830,'Facility Detail'!N1879,'Facility Detail'!N1921,'Facility Detail'!N1962,'Facility Detail'!N2010,'Facility Detail'!N2059,'Facility Detail'!N2100,'Facility Detail'!N2141,'Facility Detail'!N2189,'Facility Detail'!N2237,'Facility Detail'!N2286,'Facility Detail'!N2335,'Facility Detail'!N2384,'Facility Detail'!N2433,'Facility Detail'!N2481,'Facility Detail'!N2529,'Facility Detail'!N2578, 'Facility Detail'!N2628,'Facility Detail'!N2678,'Facility Detail'!N2717,'Facility Detail'!N2758,'Facility Detail'!N2807,'Facility Detail'!N2856,'Facility Detail'!N2904,'Facility Detail'!N2953,'Facility Detail'!N2991,'Facility Detail'!N3028)</f>
        <v>963680.77966073086</v>
      </c>
      <c r="N12" s="24"/>
      <c r="O12" s="24"/>
    </row>
    <row r="13" spans="1:15">
      <c r="A13" s="81" t="s">
        <v>122</v>
      </c>
      <c r="B13" s="72"/>
      <c r="C13" s="73">
        <f>SUM('Facility Detail'!D81,'Facility Detail'!D130,'Facility Detail'!D223,'Facility Detail'!D272,'Facility Detail'!D321,'Facility Detail'!D370,'Facility Detail'!D419,'Facility Detail'!D468,'Facility Detail'!D516,'Facility Detail'!D564,'Facility Detail'!D613,'Facility Detail'!D655,'Facility Detail'!D697,'Facility Detail'!D747,'Facility Detail'!D796,'Facility Detail'!D845,'Facility Detail'!D886,'Facility Detail'!D935,'Facility Detail'!D976,'Facility Detail'!D1025,'Facility Detail'!D1074,'Facility Detail'!D1123,'Facility Detail'!D1172,'Facility Detail'!D1220,'Facility Detail'!D1269,'Facility Detail'!D1310,'Facility Detail'!D1359,'Facility Detail'!D1404,'Facility Detail'!D1454,'Facility Detail'!D1495,'Facility Detail'!D1544,'Facility Detail'!D1594,'Facility Detail'!D1644,'Facility Detail'!D1694,'Facility Detail'!D1736,'Facility Detail'!D1786,'Facility Detail'!D1835,'Facility Detail'!D1884,'Facility Detail'!D1926,'Facility Detail'!D1967,'Facility Detail'!D2015,'Facility Detail'!D2064,'Facility Detail'!D2105,'Facility Detail'!D2146,'Facility Detail'!D2194,'Facility Detail'!D2242,'Facility Detail'!D2291,'Facility Detail'!D2340,'Facility Detail'!D2389,'Facility Detail'!D2438,'Facility Detail'!D2486,'Facility Detail'!D2534,'Facility Detail'!D2583,'Facility Detail'!D2683,'Facility Detail'!D2722,'Facility Detail'!D2763,'Facility Detail'!D2812,'Facility Detail'!D2861,'Facility Detail'!D2909,'Facility Detail'!D2958,'Facility Detail'!D2996,'Facility Detail'!D3033)</f>
        <v>0</v>
      </c>
      <c r="D13" s="73">
        <f>SUM('Facility Detail'!E81,'Facility Detail'!E130,'Facility Detail'!E223,'Facility Detail'!E272,'Facility Detail'!E321,'Facility Detail'!E370,'Facility Detail'!E419,'Facility Detail'!E468,'Facility Detail'!E516,'Facility Detail'!E564,'Facility Detail'!E613,'Facility Detail'!E655,'Facility Detail'!E697,'Facility Detail'!E747,'Facility Detail'!E796,'Facility Detail'!E845,'Facility Detail'!E886,'Facility Detail'!E935,'Facility Detail'!E976,'Facility Detail'!E1025,'Facility Detail'!E1074,'Facility Detail'!E1123,'Facility Detail'!E1172,'Facility Detail'!E1220,'Facility Detail'!E1269,'Facility Detail'!E1310,'Facility Detail'!E1359,'Facility Detail'!E1404,'Facility Detail'!E1454,'Facility Detail'!E1495,'Facility Detail'!E1544,'Facility Detail'!E1594,'Facility Detail'!E1644,'Facility Detail'!E1694,'Facility Detail'!E1736,'Facility Detail'!E1786,'Facility Detail'!E1835,'Facility Detail'!E1884,'Facility Detail'!E1926,'Facility Detail'!E1967,'Facility Detail'!E2015,'Facility Detail'!E2064,'Facility Detail'!E2105,'Facility Detail'!E2146,'Facility Detail'!E2194,'Facility Detail'!E2242,'Facility Detail'!E2291,'Facility Detail'!E2340,'Facility Detail'!E2389,'Facility Detail'!E2438,'Facility Detail'!E2486,'Facility Detail'!E2534,'Facility Detail'!E2583,'Facility Detail'!E2683,'Facility Detail'!E2722,'Facility Detail'!E2763,'Facility Detail'!E2812,'Facility Detail'!E2861,'Facility Detail'!E2909,'Facility Detail'!E2958,'Facility Detail'!E2996,'Facility Detail'!E3033)</f>
        <v>0</v>
      </c>
      <c r="E13" s="73">
        <f>SUM('Facility Detail'!F81,'Facility Detail'!F130,'Facility Detail'!F223,'Facility Detail'!F272,'Facility Detail'!F321,'Facility Detail'!F370,'Facility Detail'!F419,'Facility Detail'!F468,'Facility Detail'!F516,'Facility Detail'!F564,'Facility Detail'!F613,'Facility Detail'!F655,'Facility Detail'!F697,'Facility Detail'!F747,'Facility Detail'!F796,'Facility Detail'!F845,'Facility Detail'!F886,'Facility Detail'!F935,'Facility Detail'!F976,'Facility Detail'!F1025,'Facility Detail'!F1074,'Facility Detail'!F1123,'Facility Detail'!F1172,'Facility Detail'!F1220,'Facility Detail'!F1269,'Facility Detail'!F1310,'Facility Detail'!F1359,'Facility Detail'!F1404,'Facility Detail'!F1454,'Facility Detail'!F1495,'Facility Detail'!F1544,'Facility Detail'!F1594,'Facility Detail'!F1644,'Facility Detail'!F1694,'Facility Detail'!F1736,'Facility Detail'!F1786,'Facility Detail'!F1835,'Facility Detail'!F1884,'Facility Detail'!F1926,'Facility Detail'!F1967,'Facility Detail'!F2015,'Facility Detail'!F2064,'Facility Detail'!F2105,'Facility Detail'!F2146,'Facility Detail'!F2194,'Facility Detail'!F2242,'Facility Detail'!F2291,'Facility Detail'!F2340,'Facility Detail'!F2389,'Facility Detail'!F2438,'Facility Detail'!F2486,'Facility Detail'!F2534,'Facility Detail'!F2583,'Facility Detail'!F2683,'Facility Detail'!F2722,'Facility Detail'!F2763,'Facility Detail'!F2812,'Facility Detail'!F2861,'Facility Detail'!F2909,'Facility Detail'!F2958,'Facility Detail'!F2996,'Facility Detail'!F3033)</f>
        <v>0</v>
      </c>
      <c r="F13" s="73">
        <f>SUM('Facility Detail'!G81,'Facility Detail'!G130,'Facility Detail'!G223,'Facility Detail'!G272,'Facility Detail'!G321,'Facility Detail'!G370,'Facility Detail'!G419,'Facility Detail'!G468,'Facility Detail'!G516,'Facility Detail'!G564,'Facility Detail'!G613,'Facility Detail'!G655,'Facility Detail'!G697,'Facility Detail'!G747,'Facility Detail'!G796,'Facility Detail'!G845,'Facility Detail'!G886,'Facility Detail'!G935,'Facility Detail'!G976,'Facility Detail'!G1025,'Facility Detail'!G1074,'Facility Detail'!G1123,'Facility Detail'!G1172,'Facility Detail'!G1220,'Facility Detail'!G1269,'Facility Detail'!G1310,'Facility Detail'!G1359,'Facility Detail'!G1404,'Facility Detail'!G1454,'Facility Detail'!G1495,'Facility Detail'!G1544,'Facility Detail'!G1594,'Facility Detail'!G1644,'Facility Detail'!G1694,'Facility Detail'!G1736,'Facility Detail'!G1786,'Facility Detail'!G1835,'Facility Detail'!G1884,'Facility Detail'!G1926,'Facility Detail'!G1967,'Facility Detail'!G2015,'Facility Detail'!G2064,'Facility Detail'!G2105,'Facility Detail'!G2146,'Facility Detail'!G2194,'Facility Detail'!G2242,'Facility Detail'!G2291,'Facility Detail'!G2340,'Facility Detail'!G2389,'Facility Detail'!G2438,'Facility Detail'!G2486,'Facility Detail'!G2534,'Facility Detail'!G2583,'Facility Detail'!G2683,'Facility Detail'!G2722,'Facility Detail'!G2763,'Facility Detail'!G2812,'Facility Detail'!G2861,'Facility Detail'!G2909,'Facility Detail'!G2958,'Facility Detail'!G2996,'Facility Detail'!G3033)</f>
        <v>0</v>
      </c>
      <c r="G13" s="73">
        <f>SUM('Facility Detail'!H81,'Facility Detail'!H130,'Facility Detail'!H223,'Facility Detail'!H272,'Facility Detail'!H321,'Facility Detail'!H370,'Facility Detail'!H419,'Facility Detail'!H468,'Facility Detail'!H516,'Facility Detail'!H564,'Facility Detail'!H613,'Facility Detail'!H655,'Facility Detail'!H697,'Facility Detail'!H747,'Facility Detail'!H796,'Facility Detail'!H845,'Facility Detail'!H886,'Facility Detail'!H935,'Facility Detail'!H976,'Facility Detail'!H1025,'Facility Detail'!H1074,'Facility Detail'!H1123,'Facility Detail'!H1172,'Facility Detail'!H1220,'Facility Detail'!H1269,'Facility Detail'!H1310,'Facility Detail'!H1359,'Facility Detail'!H1404,'Facility Detail'!H1454,'Facility Detail'!H1495,'Facility Detail'!H1544,'Facility Detail'!H1594,'Facility Detail'!H1644,'Facility Detail'!H1694,'Facility Detail'!H1736,'Facility Detail'!H1786,'Facility Detail'!H1835,'Facility Detail'!H1884,'Facility Detail'!H1926,'Facility Detail'!H1967,'Facility Detail'!H2015,'Facility Detail'!H2064,'Facility Detail'!H2105,'Facility Detail'!H2146,'Facility Detail'!H2194,'Facility Detail'!H2242,'Facility Detail'!H2291,'Facility Detail'!H2340,'Facility Detail'!H2389,'Facility Detail'!H2438,'Facility Detail'!H2486,'Facility Detail'!H2534,'Facility Detail'!H2583,'Facility Detail'!H2683,'Facility Detail'!H2722,'Facility Detail'!H2763,'Facility Detail'!H2812,'Facility Detail'!H2861,'Facility Detail'!H2909,'Facility Detail'!H2958,'Facility Detail'!H2996,'Facility Detail'!H3033)</f>
        <v>0</v>
      </c>
      <c r="H13" s="73">
        <f>SUM('Facility Detail'!I81,'Facility Detail'!I130,'Facility Detail'!I223,'Facility Detail'!I272,'Facility Detail'!I321,'Facility Detail'!I370,'Facility Detail'!I419,'Facility Detail'!I468,'Facility Detail'!I516,'Facility Detail'!I564,'Facility Detail'!I613,'Facility Detail'!I655,'Facility Detail'!I697,'Facility Detail'!I747,'Facility Detail'!I796,'Facility Detail'!I845,'Facility Detail'!I886,'Facility Detail'!I935,'Facility Detail'!I976,'Facility Detail'!I1025,'Facility Detail'!I1074,'Facility Detail'!I1123,'Facility Detail'!I1172,'Facility Detail'!I1220,'Facility Detail'!I1269,'Facility Detail'!I1310,'Facility Detail'!I1359,'Facility Detail'!I1404,'Facility Detail'!I1454,'Facility Detail'!I1495,'Facility Detail'!I1544,'Facility Detail'!I1594,'Facility Detail'!I1644,'Facility Detail'!I1694,'Facility Detail'!I1736,'Facility Detail'!I1786,'Facility Detail'!I1835,'Facility Detail'!I1884,'Facility Detail'!I1926,'Facility Detail'!I1967,'Facility Detail'!I2015,'Facility Detail'!I2064,'Facility Detail'!I2105,'Facility Detail'!I2146,'Facility Detail'!I2194,'Facility Detail'!I2242,'Facility Detail'!I2291,'Facility Detail'!I2340,'Facility Detail'!I2389,'Facility Detail'!I2438,'Facility Detail'!I2486,'Facility Detail'!I2534,'Facility Detail'!I2583,'Facility Detail'!I2683,'Facility Detail'!I2722,'Facility Detail'!I2763,'Facility Detail'!I2812,'Facility Detail'!I2861,'Facility Detail'!I2909,'Facility Detail'!I2958,'Facility Detail'!I2996,'Facility Detail'!I3033)</f>
        <v>0</v>
      </c>
      <c r="I13" s="73">
        <f>SUM('Facility Detail'!J81,'Facility Detail'!J130,'Facility Detail'!J223,'Facility Detail'!J272,'Facility Detail'!J321,'Facility Detail'!J370,'Facility Detail'!J419,'Facility Detail'!J468,'Facility Detail'!J516,'Facility Detail'!J564,'Facility Detail'!J613,'Facility Detail'!J655,'Facility Detail'!J697,'Facility Detail'!J747,'Facility Detail'!J796,'Facility Detail'!J845,'Facility Detail'!J886,'Facility Detail'!J935,'Facility Detail'!J976,'Facility Detail'!J1025,'Facility Detail'!J1074,'Facility Detail'!J1123,'Facility Detail'!J1172,'Facility Detail'!J1220,'Facility Detail'!J1269,'Facility Detail'!J1310,'Facility Detail'!J1359,'Facility Detail'!J1404,'Facility Detail'!J1454,'Facility Detail'!J1495,'Facility Detail'!J1544,'Facility Detail'!J1594,'Facility Detail'!J1644,'Facility Detail'!J1694,'Facility Detail'!J1736,'Facility Detail'!J1786,'Facility Detail'!J1835,'Facility Detail'!J1884,'Facility Detail'!J1926,'Facility Detail'!J1967,'Facility Detail'!J2015,'Facility Detail'!J2064,'Facility Detail'!J2105,'Facility Detail'!J2146,'Facility Detail'!J2194,'Facility Detail'!J2242,'Facility Detail'!J2291,'Facility Detail'!J2340,'Facility Detail'!J2389,'Facility Detail'!J2438,'Facility Detail'!J2486,'Facility Detail'!J2534,'Facility Detail'!J2583,'Facility Detail'!J2683,'Facility Detail'!J2722,'Facility Detail'!J2763,'Facility Detail'!J2812,'Facility Detail'!J2861,'Facility Detail'!J2909,'Facility Detail'!J2958,'Facility Detail'!J2996,'Facility Detail'!J3033)</f>
        <v>0</v>
      </c>
      <c r="J13" s="73">
        <f>SUM('Facility Detail'!K81,'Facility Detail'!K130,'Facility Detail'!K223,'Facility Detail'!K272,'Facility Detail'!K321,'Facility Detail'!K370,'Facility Detail'!K419,'Facility Detail'!K468,'Facility Detail'!K516,'Facility Detail'!K564,'Facility Detail'!K613,'Facility Detail'!K655,'Facility Detail'!K697,'Facility Detail'!K747,'Facility Detail'!K796,'Facility Detail'!K845,'Facility Detail'!K886,'Facility Detail'!K935,'Facility Detail'!K976,'Facility Detail'!K1025,'Facility Detail'!K1074,'Facility Detail'!K1123,'Facility Detail'!K1172,'Facility Detail'!K1220,'Facility Detail'!K1269,'Facility Detail'!K1310,'Facility Detail'!K1359,'Facility Detail'!K1404,'Facility Detail'!K1454,'Facility Detail'!K1495,'Facility Detail'!K1544,'Facility Detail'!K1594,'Facility Detail'!K1644,'Facility Detail'!K1694,'Facility Detail'!K1736,'Facility Detail'!K1786,'Facility Detail'!K1835,'Facility Detail'!K1884,'Facility Detail'!K1926,'Facility Detail'!K1967,'Facility Detail'!K2015,'Facility Detail'!K2064,'Facility Detail'!K2105,'Facility Detail'!K2146,'Facility Detail'!K2194,'Facility Detail'!K2242,'Facility Detail'!K2291,'Facility Detail'!K2340,'Facility Detail'!K2389,'Facility Detail'!K2438,'Facility Detail'!K2486,'Facility Detail'!K2534,'Facility Detail'!K2583,'Facility Detail'!K2683,'Facility Detail'!K2722,'Facility Detail'!K2763,'Facility Detail'!K2812,'Facility Detail'!K2861,'Facility Detail'!K2909,'Facility Detail'!K2958,'Facility Detail'!K2996,'Facility Detail'!K3033)</f>
        <v>0</v>
      </c>
      <c r="K13" s="73">
        <f>SUM('Facility Detail'!L81,'Facility Detail'!L130,'Facility Detail'!L223,'Facility Detail'!L272,'Facility Detail'!L321,'Facility Detail'!L370,'Facility Detail'!L419,'Facility Detail'!L468,'Facility Detail'!L516,'Facility Detail'!L564,'Facility Detail'!L613,'Facility Detail'!L655,'Facility Detail'!L697,'Facility Detail'!L747,'Facility Detail'!L796,'Facility Detail'!L845,'Facility Detail'!L886,'Facility Detail'!L935,'Facility Detail'!L976,'Facility Detail'!L1025,'Facility Detail'!L1074,'Facility Detail'!L1123,'Facility Detail'!L1172,'Facility Detail'!L1220,'Facility Detail'!L1269,'Facility Detail'!L1310,'Facility Detail'!L1359,'Facility Detail'!L1404,'Facility Detail'!L1454,'Facility Detail'!L1495,'Facility Detail'!L1544,'Facility Detail'!L1594,'Facility Detail'!L1644,'Facility Detail'!L1694,'Facility Detail'!L1736,'Facility Detail'!L1786,'Facility Detail'!L1835,'Facility Detail'!L1884,'Facility Detail'!L1926,'Facility Detail'!L1967,'Facility Detail'!L2015,'Facility Detail'!L2064,'Facility Detail'!L2105,'Facility Detail'!L2146,'Facility Detail'!L2194,'Facility Detail'!L2242,'Facility Detail'!L2291,'Facility Detail'!L2340,'Facility Detail'!L2389,'Facility Detail'!L2438,'Facility Detail'!L2486,'Facility Detail'!L2534,'Facility Detail'!L2583,'Facility Detail'!L2683,'Facility Detail'!L2722,'Facility Detail'!L2763,'Facility Detail'!L2812,'Facility Detail'!L2861,'Facility Detail'!L2909,'Facility Detail'!L2958,'Facility Detail'!L2996,'Facility Detail'!L3028)</f>
        <v>0</v>
      </c>
      <c r="L13" s="73">
        <f>SUM('Facility Detail'!M81,'Facility Detail'!M130,'Facility Detail'!M223,'Facility Detail'!M272,'Facility Detail'!M321,'Facility Detail'!M370,'Facility Detail'!M419,'Facility Detail'!M468,'Facility Detail'!M516,'Facility Detail'!M564,'Facility Detail'!M613,'Facility Detail'!M655,'Facility Detail'!M697,'Facility Detail'!M747,'Facility Detail'!M796,'Facility Detail'!M845,'Facility Detail'!M886,'Facility Detail'!M935,'Facility Detail'!M976,'Facility Detail'!M1025,'Facility Detail'!M1074,'Facility Detail'!M1123,'Facility Detail'!M1172,'Facility Detail'!M1220,'Facility Detail'!M1269,'Facility Detail'!M1310,'Facility Detail'!M1359,'Facility Detail'!M1404,'Facility Detail'!M1454,'Facility Detail'!M1495,'Facility Detail'!M1544,'Facility Detail'!M1594,'Facility Detail'!M1644,'Facility Detail'!M1694,'Facility Detail'!M1736,'Facility Detail'!M1786,'Facility Detail'!M1835,'Facility Detail'!M1884,'Facility Detail'!M1926,'Facility Detail'!M1967,'Facility Detail'!M2015,'Facility Detail'!M2064,'Facility Detail'!M2105,'Facility Detail'!M2146,'Facility Detail'!M2194,'Facility Detail'!M2242,'Facility Detail'!M2291,'Facility Detail'!M2340,'Facility Detail'!M2389,'Facility Detail'!M2438,'Facility Detail'!M2486,'Facility Detail'!M2534,'Facility Detail'!M2583,'Facility Detail'!M2683,'Facility Detail'!M2722,'Facility Detail'!M2763,'Facility Detail'!M2812,'Facility Detail'!M2861,'Facility Detail'!M2909,'Facility Detail'!M2958,'Facility Detail'!M2996,'Facility Detail'!M3033)</f>
        <v>0</v>
      </c>
      <c r="M13" s="73">
        <f>SUM('Facility Detail'!N81,'Facility Detail'!N130,'Facility Detail'!N223,'Facility Detail'!N272,'Facility Detail'!N321,'Facility Detail'!N370,'Facility Detail'!N419,'Facility Detail'!N468,'Facility Detail'!N516,'Facility Detail'!N564,'Facility Detail'!N613,'Facility Detail'!N655,'Facility Detail'!N697,'Facility Detail'!N747,'Facility Detail'!N796,'Facility Detail'!N845,'Facility Detail'!N886,'Facility Detail'!N935,'Facility Detail'!N976,'Facility Detail'!N1025,'Facility Detail'!N1074,'Facility Detail'!N1123,'Facility Detail'!N1172,'Facility Detail'!N1220,'Facility Detail'!N1269,'Facility Detail'!N1310,'Facility Detail'!N1359,'Facility Detail'!N1404,'Facility Detail'!N1454,'Facility Detail'!N1495,'Facility Detail'!N1544,'Facility Detail'!N1594,'Facility Detail'!N1644,'Facility Detail'!N1694,'Facility Detail'!N1736,'Facility Detail'!N1786,'Facility Detail'!N1835,'Facility Detail'!N1884,'Facility Detail'!N1926,'Facility Detail'!N1967,'Facility Detail'!N2015,'Facility Detail'!N2064,'Facility Detail'!N2105,'Facility Detail'!N2146,'Facility Detail'!N2194,'Facility Detail'!N2242,'Facility Detail'!N2291,'Facility Detail'!N2340,'Facility Detail'!N2389,'Facility Detail'!N2438,'Facility Detail'!N2486,'Facility Detail'!N2534,'Facility Detail'!N2583,'Facility Detail'!N2683,'Facility Detail'!N2722,'Facility Detail'!N2763,'Facility Detail'!N2812,'Facility Detail'!N2861,'Facility Detail'!N2909,'Facility Detail'!N2958,'Facility Detail'!N2996,'Facility Detail'!N3033)</f>
        <v>0</v>
      </c>
      <c r="N13" s="24"/>
      <c r="O13" s="24"/>
    </row>
    <row r="14" spans="1:15">
      <c r="A14" s="75" t="s">
        <v>24</v>
      </c>
      <c r="B14" s="46"/>
      <c r="C14" s="46">
        <f t="shared" ref="C14:H14" si="7">SUM(C12:C13)</f>
        <v>104826</v>
      </c>
      <c r="D14" s="46">
        <f t="shared" si="7"/>
        <v>107711</v>
      </c>
      <c r="E14" s="46">
        <f t="shared" si="7"/>
        <v>107158</v>
      </c>
      <c r="F14" s="46">
        <f t="shared" si="7"/>
        <v>114902</v>
      </c>
      <c r="G14" s="46">
        <f t="shared" si="7"/>
        <v>271108</v>
      </c>
      <c r="H14" s="46">
        <f t="shared" si="7"/>
        <v>373982.40669669915</v>
      </c>
      <c r="I14" s="28">
        <f t="shared" ref="I14:J14" si="8">SUM(I12:I13)</f>
        <v>285492</v>
      </c>
      <c r="J14" s="28">
        <f t="shared" si="8"/>
        <v>293213</v>
      </c>
      <c r="K14" s="28">
        <f t="shared" ref="K14:M14" si="9">SUM(K12:K13)</f>
        <v>198796.8148606311</v>
      </c>
      <c r="L14" s="28">
        <f t="shared" ref="L14" si="10">SUM(L12:L13)</f>
        <v>560182.50381454045</v>
      </c>
      <c r="M14" s="28">
        <f t="shared" si="9"/>
        <v>963680.77966073086</v>
      </c>
      <c r="N14" s="24"/>
      <c r="O14" s="24"/>
    </row>
    <row r="15" spans="1:15">
      <c r="A15" s="6"/>
      <c r="B15" s="46"/>
      <c r="C15" s="46"/>
      <c r="D15" s="46"/>
      <c r="E15" s="46"/>
      <c r="F15" s="134"/>
      <c r="G15" s="134"/>
      <c r="H15" s="134"/>
      <c r="I15" s="134"/>
      <c r="J15" s="134"/>
      <c r="K15" s="134"/>
      <c r="L15" s="244"/>
      <c r="M15" s="244"/>
      <c r="N15" s="24"/>
      <c r="O15" s="24"/>
    </row>
    <row r="16" spans="1:15" ht="18.5">
      <c r="A16" s="41" t="s">
        <v>16</v>
      </c>
      <c r="B16" s="2">
        <v>2010</v>
      </c>
      <c r="C16" s="2">
        <f>C6</f>
        <v>2011</v>
      </c>
      <c r="D16" s="2">
        <f t="shared" ref="D16:M16" si="11">D6</f>
        <v>2012</v>
      </c>
      <c r="E16" s="2">
        <f t="shared" si="11"/>
        <v>2013</v>
      </c>
      <c r="F16" s="2">
        <f t="shared" si="11"/>
        <v>2014</v>
      </c>
      <c r="G16" s="2">
        <f t="shared" si="11"/>
        <v>2015</v>
      </c>
      <c r="H16" s="2">
        <f t="shared" si="11"/>
        <v>2016</v>
      </c>
      <c r="I16" s="2">
        <f t="shared" si="11"/>
        <v>2017</v>
      </c>
      <c r="J16" s="2">
        <f t="shared" si="11"/>
        <v>2018</v>
      </c>
      <c r="K16" s="2">
        <f t="shared" si="11"/>
        <v>2019</v>
      </c>
      <c r="L16" s="2">
        <f t="shared" ref="L16" si="12">L6</f>
        <v>2020</v>
      </c>
      <c r="M16" s="2">
        <f t="shared" si="11"/>
        <v>2021</v>
      </c>
      <c r="N16" s="24"/>
      <c r="O16" s="24"/>
    </row>
    <row r="17" spans="1:15">
      <c r="A17" s="81" t="str">
        <f>'Facility Detail'!B84</f>
        <v>Quantity of RECs Sold</v>
      </c>
      <c r="B17" s="65"/>
      <c r="C17" s="11">
        <f>-1*SUM('Facility Detail'!D84,'Facility Detail'!D133,'Facility Detail'!D226,'Facility Detail'!D275,'Facility Detail'!D324,'Facility Detail'!D373,'Facility Detail'!D422,'Facility Detail'!D471,'Facility Detail'!D519,'Facility Detail'!D567,'Facility Detail'!D700,'Facility Detail'!D750,'Facility Detail'!D799,'Facility Detail'!D889,'Facility Detail'!D979,'Facility Detail'!D1028,'Facility Detail'!D1077,'Facility Detail'!D1126,'Facility Detail'!D1175,'Facility Detail'!D1223,'Facility Detail'!D1313,'Facility Detail'!D1407,'Facility Detail'!D1498,'Facility Detail'!D1547,'Facility Detail'!D1597,'Facility Detail'!D1647,'Facility Detail'!D1739,'Facility Detail'!D1789,'Facility Detail'!D1838,'Facility Detail'!D1970,'Facility Detail'!D2018,'Facility Detail'!D2149,'Facility Detail'!D2197,'Facility Detail'!D2245,'Facility Detail'!D2294,'Facility Detail'!D2343,'Facility Detail'!D2392,'Facility Detail'!D2441,'Facility Detail'!D2489,'Facility Detail'!D2537,'Facility Detail'!D2586,'Facility Detail'!D2766,'Facility Detail'!D2815,'Facility Detail'!D2864,'Facility Detail'!D2912,'Facility Detail'!D3036,'Facility Detail'!D183,'Facility Detail'!D1362)</f>
        <v>0</v>
      </c>
      <c r="D17" s="11">
        <f>-1*SUM('Facility Detail'!E84,'Facility Detail'!E133,'Facility Detail'!E226,'Facility Detail'!E275,'Facility Detail'!E324,'Facility Detail'!E373,'Facility Detail'!E422,'Facility Detail'!E471,'Facility Detail'!E519,'Facility Detail'!E567,'Facility Detail'!E700,'Facility Detail'!E750,'Facility Detail'!E799,'Facility Detail'!E889,'Facility Detail'!E979,'Facility Detail'!E1028,'Facility Detail'!E1077,'Facility Detail'!E1126,'Facility Detail'!E1175,'Facility Detail'!E1223,'Facility Detail'!E1313,'Facility Detail'!E1407,'Facility Detail'!E1498,'Facility Detail'!E1547,'Facility Detail'!E1597,'Facility Detail'!E1647,'Facility Detail'!E1739,'Facility Detail'!E1789,'Facility Detail'!E1838,'Facility Detail'!E1970,'Facility Detail'!E2018,'Facility Detail'!E2149,'Facility Detail'!E2197,'Facility Detail'!E2245,'Facility Detail'!E2294,'Facility Detail'!E2343,'Facility Detail'!E2392,'Facility Detail'!E2441,'Facility Detail'!E2489,'Facility Detail'!E2537,'Facility Detail'!E2586,'Facility Detail'!E2766,'Facility Detail'!E2815,'Facility Detail'!E2864,'Facility Detail'!E2912,'Facility Detail'!E3036,'Facility Detail'!E183,'Facility Detail'!E1362)</f>
        <v>0</v>
      </c>
      <c r="E17" s="11">
        <f>-1*SUM('Facility Detail'!F84,'Facility Detail'!F133,'Facility Detail'!F226,'Facility Detail'!F275,'Facility Detail'!F324,'Facility Detail'!F373,'Facility Detail'!F422,'Facility Detail'!F471,'Facility Detail'!F519,'Facility Detail'!F567,'Facility Detail'!F700,'Facility Detail'!F750,'Facility Detail'!F799,'Facility Detail'!F889,'Facility Detail'!F979,'Facility Detail'!F1028,'Facility Detail'!F1077,'Facility Detail'!F1126,'Facility Detail'!F1175,'Facility Detail'!F1223,'Facility Detail'!F1313,'Facility Detail'!F1407,'Facility Detail'!F1498,'Facility Detail'!F1547,'Facility Detail'!F1597,'Facility Detail'!F1647,'Facility Detail'!F1739,'Facility Detail'!F1789,'Facility Detail'!F1838,'Facility Detail'!F1970,'Facility Detail'!F2018,'Facility Detail'!F2149,'Facility Detail'!F2197,'Facility Detail'!F2245,'Facility Detail'!F2294,'Facility Detail'!F2343,'Facility Detail'!F2392,'Facility Detail'!F2441,'Facility Detail'!F2489,'Facility Detail'!F2537,'Facility Detail'!F2586,'Facility Detail'!F2766,'Facility Detail'!F2815,'Facility Detail'!F2864,'Facility Detail'!F2912,'Facility Detail'!F3036,'Facility Detail'!F183,'Facility Detail'!F1362)</f>
        <v>0</v>
      </c>
      <c r="F17" s="11">
        <f>-1*SUM('Facility Detail'!G84,'Facility Detail'!G133,'Facility Detail'!G226,'Facility Detail'!G275,'Facility Detail'!G324,'Facility Detail'!G373,'Facility Detail'!G422,'Facility Detail'!G471,'Facility Detail'!G519,'Facility Detail'!G567,'Facility Detail'!G700,'Facility Detail'!G750,'Facility Detail'!G799,'Facility Detail'!G889,'Facility Detail'!G979,'Facility Detail'!G1028,'Facility Detail'!G1077,'Facility Detail'!G1126,'Facility Detail'!G1175,'Facility Detail'!G1223,'Facility Detail'!G1313,'Facility Detail'!G1407,'Facility Detail'!G1498,'Facility Detail'!G1547,'Facility Detail'!G1597,'Facility Detail'!G1647,'Facility Detail'!G1739,'Facility Detail'!G1789,'Facility Detail'!G1838,'Facility Detail'!G1970,'Facility Detail'!G2018,'Facility Detail'!G2149,'Facility Detail'!G2197,'Facility Detail'!G2245,'Facility Detail'!G2294,'Facility Detail'!G2343,'Facility Detail'!G2392,'Facility Detail'!G2441,'Facility Detail'!G2489,'Facility Detail'!G2537,'Facility Detail'!G2586,'Facility Detail'!G2766,'Facility Detail'!G2815,'Facility Detail'!G2864,'Facility Detail'!G2912,'Facility Detail'!G3036,'Facility Detail'!G183,'Facility Detail'!G1362)</f>
        <v>0</v>
      </c>
      <c r="G17" s="11">
        <f>-1*SUM('Facility Detail'!H84,'Facility Detail'!H133,'Facility Detail'!H226,'Facility Detail'!H275,'Facility Detail'!H324,'Facility Detail'!H373,'Facility Detail'!H422,'Facility Detail'!H471,'Facility Detail'!H519,'Facility Detail'!H567,'Facility Detail'!H700,'Facility Detail'!H750,'Facility Detail'!H799,'Facility Detail'!H889,'Facility Detail'!H979,'Facility Detail'!H1028,'Facility Detail'!H1077,'Facility Detail'!H1126,'Facility Detail'!H1175,'Facility Detail'!H1223,'Facility Detail'!H1313,'Facility Detail'!H1407,'Facility Detail'!H1498,'Facility Detail'!H1547,'Facility Detail'!H1597,'Facility Detail'!H1647,'Facility Detail'!H1739,'Facility Detail'!H1789,'Facility Detail'!H1838,'Facility Detail'!H1970,'Facility Detail'!H2018,'Facility Detail'!H2149,'Facility Detail'!H2197,'Facility Detail'!H2245,'Facility Detail'!H2294,'Facility Detail'!H2343,'Facility Detail'!H2392,'Facility Detail'!H2441,'Facility Detail'!H2489,'Facility Detail'!H2537,'Facility Detail'!H2586,'Facility Detail'!H2766,'Facility Detail'!H2815,'Facility Detail'!H2864,'Facility Detail'!H2912,'Facility Detail'!H3036,'Facility Detail'!H183,'Facility Detail'!H1362)</f>
        <v>0</v>
      </c>
      <c r="H17" s="11">
        <f>-1*SUM('Facility Detail'!I84,'Facility Detail'!I133,'Facility Detail'!I226,'Facility Detail'!I275,'Facility Detail'!I324,'Facility Detail'!I373,'Facility Detail'!I422,'Facility Detail'!I471,'Facility Detail'!I519,'Facility Detail'!I567,'Facility Detail'!I700,'Facility Detail'!I750,'Facility Detail'!I799,'Facility Detail'!I889,'Facility Detail'!I979,'Facility Detail'!I1028,'Facility Detail'!I1077,'Facility Detail'!I1126,'Facility Detail'!I1175,'Facility Detail'!I1223,'Facility Detail'!I1313,'Facility Detail'!I1407,'Facility Detail'!I1498,'Facility Detail'!I1547,'Facility Detail'!I1597,'Facility Detail'!I1647,'Facility Detail'!I1739,'Facility Detail'!I1789,'Facility Detail'!I1838,'Facility Detail'!I1970,'Facility Detail'!I2018,'Facility Detail'!I2149,'Facility Detail'!I2197,'Facility Detail'!I2245,'Facility Detail'!I2294,'Facility Detail'!I2343,'Facility Detail'!I2392,'Facility Detail'!I2441,'Facility Detail'!I2489,'Facility Detail'!I2537,'Facility Detail'!I2586,'Facility Detail'!I2766,'Facility Detail'!I2815,'Facility Detail'!I2864,'Facility Detail'!I2912,'Facility Detail'!I3036,'Facility Detail'!I183,'Facility Detail'!I1362)</f>
        <v>0</v>
      </c>
      <c r="I17" s="11">
        <f>-1*SUM('Facility Detail'!J84,'Facility Detail'!J133,'Facility Detail'!J226,'Facility Detail'!J275,'Facility Detail'!J324,'Facility Detail'!J373,'Facility Detail'!J422,'Facility Detail'!J471,'Facility Detail'!J519,'Facility Detail'!J567,'Facility Detail'!J700,'Facility Detail'!J750,'Facility Detail'!J799,'Facility Detail'!J889,'Facility Detail'!J979,'Facility Detail'!J1028,'Facility Detail'!J1077,'Facility Detail'!J1126,'Facility Detail'!J1175,'Facility Detail'!J1223,'Facility Detail'!J1313,'Facility Detail'!J1407,'Facility Detail'!J1498,'Facility Detail'!J1547,'Facility Detail'!J1597,'Facility Detail'!J1647,'Facility Detail'!J1739,'Facility Detail'!J1789,'Facility Detail'!J1838,'Facility Detail'!J1970,'Facility Detail'!J2018,'Facility Detail'!J2149,'Facility Detail'!J2197,'Facility Detail'!J2245,'Facility Detail'!J2294,'Facility Detail'!J2343,'Facility Detail'!J2392,'Facility Detail'!J2441,'Facility Detail'!J2489,'Facility Detail'!J2537,'Facility Detail'!J2586,'Facility Detail'!J2766,'Facility Detail'!J2815,'Facility Detail'!J2864,'Facility Detail'!J2912,'Facility Detail'!J3036,'Facility Detail'!J183,'Facility Detail'!J1362)</f>
        <v>0</v>
      </c>
      <c r="J17" s="11">
        <f>-1*SUM('Facility Detail'!K84,'Facility Detail'!K133,'Facility Detail'!K226,'Facility Detail'!K275,'Facility Detail'!K324,'Facility Detail'!K373,'Facility Detail'!K422,'Facility Detail'!K471,'Facility Detail'!K519,'Facility Detail'!K567,'Facility Detail'!K700,'Facility Detail'!K750,'Facility Detail'!K799,'Facility Detail'!K889,'Facility Detail'!K979,'Facility Detail'!K1028,'Facility Detail'!K1077,'Facility Detail'!K1126,'Facility Detail'!K1175,'Facility Detail'!K1223,'Facility Detail'!K1313,'Facility Detail'!K1407,'Facility Detail'!K1498,'Facility Detail'!K1547,'Facility Detail'!K1597,'Facility Detail'!K1647,'Facility Detail'!K1739,'Facility Detail'!K1789,'Facility Detail'!K1838,'Facility Detail'!K1970,'Facility Detail'!K2018,'Facility Detail'!K2149,'Facility Detail'!K2197,'Facility Detail'!K2245,'Facility Detail'!K2294,'Facility Detail'!K2343,'Facility Detail'!K2392,'Facility Detail'!K2441,'Facility Detail'!K2489,'Facility Detail'!K2537,'Facility Detail'!K2586,'Facility Detail'!K2766,'Facility Detail'!K2815,'Facility Detail'!K2864,'Facility Detail'!K2912,'Facility Detail'!K3036,'Facility Detail'!K183,'Facility Detail'!K1362)</f>
        <v>0</v>
      </c>
      <c r="K17" s="11">
        <f>-1*SUM('Facility Detail'!L84,'Facility Detail'!L133,'Facility Detail'!L226,'Facility Detail'!L275,'Facility Detail'!L324,'Facility Detail'!L373,'Facility Detail'!L422,'Facility Detail'!L471,'Facility Detail'!L519,'Facility Detail'!L567,'Facility Detail'!L700,'Facility Detail'!L750,'Facility Detail'!L799,'Facility Detail'!L889,'Facility Detail'!L979,'Facility Detail'!L1028,'Facility Detail'!L1077,'Facility Detail'!L1126,'Facility Detail'!L1175,'Facility Detail'!L1223,'Facility Detail'!L1313,'Facility Detail'!L1407,'Facility Detail'!L1498,'Facility Detail'!L1547,'Facility Detail'!L1597,'Facility Detail'!L1647,'Facility Detail'!L1739,'Facility Detail'!L1789,'Facility Detail'!L1838,'Facility Detail'!L1970,'Facility Detail'!L2018,'Facility Detail'!L2149,'Facility Detail'!L2197,'Facility Detail'!L2245,'Facility Detail'!L2294,'Facility Detail'!L2343,'Facility Detail'!L2392,'Facility Detail'!L2441,'Facility Detail'!L2489,'Facility Detail'!L2537,'Facility Detail'!L2586,'Facility Detail'!L2766,'Facility Detail'!L2815,'Facility Detail'!L2864,'Facility Detail'!L2912,'Facility Detail'!L3036,'Facility Detail'!L183,'Facility Detail'!L1362)</f>
        <v>0</v>
      </c>
      <c r="L17" s="11">
        <f>-1*SUM('Facility Detail'!M84,'Facility Detail'!M133,'Facility Detail'!M226,'Facility Detail'!M275,'Facility Detail'!M324,'Facility Detail'!M373,'Facility Detail'!M422,'Facility Detail'!M471,'Facility Detail'!M519,'Facility Detail'!M567,'Facility Detail'!M700,'Facility Detail'!M750,'Facility Detail'!M799,'Facility Detail'!M889,'Facility Detail'!M979,'Facility Detail'!M1028,'Facility Detail'!M1077,'Facility Detail'!M1126,'Facility Detail'!M1175,'Facility Detail'!M1223,'Facility Detail'!M1313,'Facility Detail'!M1407,'Facility Detail'!M1498,'Facility Detail'!M1547,'Facility Detail'!M1597,'Facility Detail'!M1647,'Facility Detail'!M1739,'Facility Detail'!M1789,'Facility Detail'!M1838,'Facility Detail'!M1970,'Facility Detail'!M2018,'Facility Detail'!M2149,'Facility Detail'!M2197,'Facility Detail'!M2245,'Facility Detail'!M2294,'Facility Detail'!M2343,'Facility Detail'!M2392,'Facility Detail'!M2441,'Facility Detail'!M2489,'Facility Detail'!M2537,'Facility Detail'!M2586,'Facility Detail'!M2766,'Facility Detail'!M2815,'Facility Detail'!M2864,'Facility Detail'!M2912,'Facility Detail'!M3036,'Facility Detail'!M183,'Facility Detail'!M1362)</f>
        <v>0</v>
      </c>
      <c r="M17" s="11">
        <f>-1*SUM('Facility Detail'!N84,'Facility Detail'!N133,'Facility Detail'!N226,'Facility Detail'!N275,'Facility Detail'!N324,'Facility Detail'!N373,'Facility Detail'!N422,'Facility Detail'!N471,'Facility Detail'!N519,'Facility Detail'!N567,'Facility Detail'!N700,'Facility Detail'!N750,'Facility Detail'!N799,'Facility Detail'!N889,'Facility Detail'!N979,'Facility Detail'!N1028,'Facility Detail'!N1077,'Facility Detail'!N1126,'Facility Detail'!N1175,'Facility Detail'!N1223,'Facility Detail'!N1313,'Facility Detail'!N1407,'Facility Detail'!N1498,'Facility Detail'!N1547,'Facility Detail'!N1597,'Facility Detail'!N1647,'Facility Detail'!N1739,'Facility Detail'!N1789,'Facility Detail'!N1838,'Facility Detail'!N1970,'Facility Detail'!N2018,'Facility Detail'!N2149,'Facility Detail'!N2197,'Facility Detail'!N2245,'Facility Detail'!N2294,'Facility Detail'!N2343,'Facility Detail'!N2392,'Facility Detail'!N2441,'Facility Detail'!N2489,'Facility Detail'!N2537,'Facility Detail'!N2586,'Facility Detail'!N2766,'Facility Detail'!N2815,'Facility Detail'!N2864,'Facility Detail'!N2912,'Facility Detail'!N3036,'Facility Detail'!N183,'Facility Detail'!N1362)</f>
        <v>0</v>
      </c>
      <c r="N17" s="14"/>
      <c r="O17" s="14"/>
    </row>
    <row r="18" spans="1:15">
      <c r="A18" s="82" t="str">
        <f>'Facility Detail'!B85</f>
        <v>Bonus Incentives Transferred</v>
      </c>
      <c r="B18" s="96"/>
      <c r="C18" s="69">
        <f>-1*SUM('Facility Detail'!D85,'Facility Detail'!D134,'Facility Detail'!D227,'Facility Detail'!D276,'Facility Detail'!D325,'Facility Detail'!D374,'Facility Detail'!D423,'Facility Detail'!D472,'Facility Detail'!D520,'Facility Detail'!D568,'Facility Detail'!D701,'Facility Detail'!D751,'Facility Detail'!D800,'Facility Detail'!D890,'Facility Detail'!D980,'Facility Detail'!D1029,'Facility Detail'!D1078,'Facility Detail'!D1127,'Facility Detail'!D1176,'Facility Detail'!D1224,'Facility Detail'!D1314,'Facility Detail'!D1408,'Facility Detail'!D1499,'Facility Detail'!D1548,'Facility Detail'!D1598,'Facility Detail'!D1648,'Facility Detail'!D1740,'Facility Detail'!D1790,'Facility Detail'!D1839,'Facility Detail'!D1971,'Facility Detail'!D2019,'Facility Detail'!D2150,'Facility Detail'!D2198,'Facility Detail'!D2246,'Facility Detail'!D2295,'Facility Detail'!D2344,'Facility Detail'!D2393,'Facility Detail'!D2442,'Facility Detail'!D2490,'Facility Detail'!D2538,'Facility Detail'!D2587,'Facility Detail'!D2767,'Facility Detail'!D2816,'Facility Detail'!D2865,'Facility Detail'!D2913,'Facility Detail'!D3037,'Facility Detail'!D184,'Facility Detail'!D1363)</f>
        <v>0</v>
      </c>
      <c r="D18" s="69">
        <f>-1*SUM('Facility Detail'!E85,'Facility Detail'!E134,'Facility Detail'!E227,'Facility Detail'!E276,'Facility Detail'!E325,'Facility Detail'!E374,'Facility Detail'!E423,'Facility Detail'!E472,'Facility Detail'!E520,'Facility Detail'!E568,'Facility Detail'!E701,'Facility Detail'!E751,'Facility Detail'!E800,'Facility Detail'!E890,'Facility Detail'!E980,'Facility Detail'!E1029,'Facility Detail'!E1078,'Facility Detail'!E1127,'Facility Detail'!E1176,'Facility Detail'!E1224,'Facility Detail'!E1314,'Facility Detail'!E1408,'Facility Detail'!E1499,'Facility Detail'!E1548,'Facility Detail'!E1598,'Facility Detail'!E1648,'Facility Detail'!E1740,'Facility Detail'!E1790,'Facility Detail'!E1839,'Facility Detail'!E1971,'Facility Detail'!E2019,'Facility Detail'!E2150,'Facility Detail'!E2198,'Facility Detail'!E2246,'Facility Detail'!E2295,'Facility Detail'!E2344,'Facility Detail'!E2393,'Facility Detail'!E2442,'Facility Detail'!E2490,'Facility Detail'!E2538,'Facility Detail'!E2587,'Facility Detail'!E2767,'Facility Detail'!E2816,'Facility Detail'!E2865,'Facility Detail'!E2913,'Facility Detail'!E3037,'Facility Detail'!E184,'Facility Detail'!E1363)</f>
        <v>0</v>
      </c>
      <c r="E18" s="69">
        <f>-1*SUM('Facility Detail'!F85,'Facility Detail'!F134,'Facility Detail'!F227,'Facility Detail'!F276,'Facility Detail'!F325,'Facility Detail'!F374,'Facility Detail'!F423,'Facility Detail'!F472,'Facility Detail'!F520,'Facility Detail'!F568,'Facility Detail'!F701,'Facility Detail'!F751,'Facility Detail'!F800,'Facility Detail'!F890,'Facility Detail'!F980,'Facility Detail'!F1029,'Facility Detail'!F1078,'Facility Detail'!F1127,'Facility Detail'!F1176,'Facility Detail'!F1224,'Facility Detail'!F1314,'Facility Detail'!F1408,'Facility Detail'!F1499,'Facility Detail'!F1548,'Facility Detail'!F1598,'Facility Detail'!F1648,'Facility Detail'!F1740,'Facility Detail'!F1790,'Facility Detail'!F1839,'Facility Detail'!F1971,'Facility Detail'!F2019,'Facility Detail'!F2150,'Facility Detail'!F2198,'Facility Detail'!F2246,'Facility Detail'!F2295,'Facility Detail'!F2344,'Facility Detail'!F2393,'Facility Detail'!F2442,'Facility Detail'!F2490,'Facility Detail'!F2538,'Facility Detail'!F2587,'Facility Detail'!F2767,'Facility Detail'!F2816,'Facility Detail'!F2865,'Facility Detail'!F2913,'Facility Detail'!F3037,'Facility Detail'!F184,'Facility Detail'!F1363)</f>
        <v>0</v>
      </c>
      <c r="F18" s="69">
        <f>-1*SUM('Facility Detail'!G85,'Facility Detail'!G134,'Facility Detail'!G227,'Facility Detail'!G276,'Facility Detail'!G325,'Facility Detail'!G374,'Facility Detail'!G423,'Facility Detail'!G472,'Facility Detail'!G520,'Facility Detail'!G568,'Facility Detail'!G701,'Facility Detail'!G751,'Facility Detail'!G800,'Facility Detail'!G890,'Facility Detail'!G980,'Facility Detail'!G1029,'Facility Detail'!G1078,'Facility Detail'!G1127,'Facility Detail'!G1176,'Facility Detail'!G1224,'Facility Detail'!G1314,'Facility Detail'!G1408,'Facility Detail'!G1499,'Facility Detail'!G1548,'Facility Detail'!G1598,'Facility Detail'!G1648,'Facility Detail'!G1740,'Facility Detail'!G1790,'Facility Detail'!G1839,'Facility Detail'!G1971,'Facility Detail'!G2019,'Facility Detail'!G2150,'Facility Detail'!G2198,'Facility Detail'!G2246,'Facility Detail'!G2295,'Facility Detail'!G2344,'Facility Detail'!G2393,'Facility Detail'!G2442,'Facility Detail'!G2490,'Facility Detail'!G2538,'Facility Detail'!G2587,'Facility Detail'!G2767,'Facility Detail'!G2816,'Facility Detail'!G2865,'Facility Detail'!G2913,'Facility Detail'!G3037,'Facility Detail'!G184,'Facility Detail'!G1363)</f>
        <v>0</v>
      </c>
      <c r="G18" s="69">
        <f>-1*SUM('Facility Detail'!H85,'Facility Detail'!H134,'Facility Detail'!H227,'Facility Detail'!H276,'Facility Detail'!H325,'Facility Detail'!H374,'Facility Detail'!H423,'Facility Detail'!H472,'Facility Detail'!H520,'Facility Detail'!H568,'Facility Detail'!H701,'Facility Detail'!H751,'Facility Detail'!H800,'Facility Detail'!H890,'Facility Detail'!H980,'Facility Detail'!H1029,'Facility Detail'!H1078,'Facility Detail'!H1127,'Facility Detail'!H1176,'Facility Detail'!H1224,'Facility Detail'!H1314,'Facility Detail'!H1408,'Facility Detail'!H1499,'Facility Detail'!H1548,'Facility Detail'!H1598,'Facility Detail'!H1648,'Facility Detail'!H1740,'Facility Detail'!H1790,'Facility Detail'!H1839,'Facility Detail'!H1971,'Facility Detail'!H2019,'Facility Detail'!H2150,'Facility Detail'!H2198,'Facility Detail'!H2246,'Facility Detail'!H2295,'Facility Detail'!H2344,'Facility Detail'!H2393,'Facility Detail'!H2442,'Facility Detail'!H2490,'Facility Detail'!H2538,'Facility Detail'!H2587,'Facility Detail'!H2767,'Facility Detail'!H2816,'Facility Detail'!H2865,'Facility Detail'!H2913,'Facility Detail'!H3037,'Facility Detail'!H184,'Facility Detail'!H1363)</f>
        <v>0</v>
      </c>
      <c r="H18" s="69">
        <f>-1*SUM('Facility Detail'!I85,'Facility Detail'!I134,'Facility Detail'!I227,'Facility Detail'!I276,'Facility Detail'!I325,'Facility Detail'!I374,'Facility Detail'!I423,'Facility Detail'!I472,'Facility Detail'!I520,'Facility Detail'!I568,'Facility Detail'!I701,'Facility Detail'!I751,'Facility Detail'!I800,'Facility Detail'!I890,'Facility Detail'!I980,'Facility Detail'!I1029,'Facility Detail'!I1078,'Facility Detail'!I1127,'Facility Detail'!I1176,'Facility Detail'!I1224,'Facility Detail'!I1314,'Facility Detail'!I1408,'Facility Detail'!I1499,'Facility Detail'!I1548,'Facility Detail'!I1598,'Facility Detail'!I1648,'Facility Detail'!I1740,'Facility Detail'!I1790,'Facility Detail'!I1839,'Facility Detail'!I1971,'Facility Detail'!I2019,'Facility Detail'!I2150,'Facility Detail'!I2198,'Facility Detail'!I2246,'Facility Detail'!I2295,'Facility Detail'!I2344,'Facility Detail'!I2393,'Facility Detail'!I2442,'Facility Detail'!I2490,'Facility Detail'!I2538,'Facility Detail'!I2587,'Facility Detail'!I2767,'Facility Detail'!I2816,'Facility Detail'!I2865,'Facility Detail'!I2913,'Facility Detail'!I3037,'Facility Detail'!I184,'Facility Detail'!I1363)</f>
        <v>0</v>
      </c>
      <c r="I18" s="69">
        <f>-1*SUM('Facility Detail'!J85,'Facility Detail'!J134,'Facility Detail'!J227,'Facility Detail'!J276,'Facility Detail'!J325,'Facility Detail'!J374,'Facility Detail'!J423,'Facility Detail'!J472,'Facility Detail'!J520,'Facility Detail'!J568,'Facility Detail'!J701,'Facility Detail'!J751,'Facility Detail'!J800,'Facility Detail'!J890,'Facility Detail'!J980,'Facility Detail'!J1029,'Facility Detail'!J1078,'Facility Detail'!J1127,'Facility Detail'!J1176,'Facility Detail'!J1224,'Facility Detail'!J1314,'Facility Detail'!J1408,'Facility Detail'!J1499,'Facility Detail'!J1548,'Facility Detail'!J1598,'Facility Detail'!J1648,'Facility Detail'!J1740,'Facility Detail'!J1790,'Facility Detail'!J1839,'Facility Detail'!J1971,'Facility Detail'!J2019,'Facility Detail'!J2150,'Facility Detail'!J2198,'Facility Detail'!J2246,'Facility Detail'!J2295,'Facility Detail'!J2344,'Facility Detail'!J2393,'Facility Detail'!J2442,'Facility Detail'!J2490,'Facility Detail'!J2538,'Facility Detail'!J2587,'Facility Detail'!J2767,'Facility Detail'!J2816,'Facility Detail'!J2865,'Facility Detail'!J2913,'Facility Detail'!J3037,'Facility Detail'!J184,'Facility Detail'!J1363)</f>
        <v>0</v>
      </c>
      <c r="J18" s="69">
        <f>-1*SUM('Facility Detail'!K85,'Facility Detail'!K134,'Facility Detail'!K227,'Facility Detail'!K276,'Facility Detail'!K325,'Facility Detail'!K374,'Facility Detail'!K423,'Facility Detail'!K472,'Facility Detail'!K520,'Facility Detail'!K568,'Facility Detail'!K701,'Facility Detail'!K751,'Facility Detail'!K800,'Facility Detail'!K890,'Facility Detail'!K980,'Facility Detail'!K1029,'Facility Detail'!K1078,'Facility Detail'!K1127,'Facility Detail'!K1176,'Facility Detail'!K1224,'Facility Detail'!K1314,'Facility Detail'!K1408,'Facility Detail'!K1499,'Facility Detail'!K1548,'Facility Detail'!K1598,'Facility Detail'!K1648,'Facility Detail'!K1740,'Facility Detail'!K1790,'Facility Detail'!K1839,'Facility Detail'!K1971,'Facility Detail'!K2019,'Facility Detail'!K2150,'Facility Detail'!K2198,'Facility Detail'!K2246,'Facility Detail'!K2295,'Facility Detail'!K2344,'Facility Detail'!K2393,'Facility Detail'!K2442,'Facility Detail'!K2490,'Facility Detail'!K2538,'Facility Detail'!K2587,'Facility Detail'!K2767,'Facility Detail'!K2816,'Facility Detail'!K2865,'Facility Detail'!K2913,'Facility Detail'!K3037,'Facility Detail'!K184,'Facility Detail'!K1363)</f>
        <v>0</v>
      </c>
      <c r="K18" s="69">
        <f>-1*SUM('Facility Detail'!L85,'Facility Detail'!L134,'Facility Detail'!L227,'Facility Detail'!L276,'Facility Detail'!L325,'Facility Detail'!L374,'Facility Detail'!L423,'Facility Detail'!L472,'Facility Detail'!L520,'Facility Detail'!L568,'Facility Detail'!L701,'Facility Detail'!L751,'Facility Detail'!L800,'Facility Detail'!L890,'Facility Detail'!L980,'Facility Detail'!L1029,'Facility Detail'!L1078,'Facility Detail'!L1127,'Facility Detail'!L1176,'Facility Detail'!L1224,'Facility Detail'!L1314,'Facility Detail'!L1408,'Facility Detail'!L1499,'Facility Detail'!L1548,'Facility Detail'!L1598,'Facility Detail'!L1648,'Facility Detail'!L1740,'Facility Detail'!L1790,'Facility Detail'!L1839,'Facility Detail'!L1971,'Facility Detail'!L2019,'Facility Detail'!L2150,'Facility Detail'!L2198,'Facility Detail'!L2246,'Facility Detail'!L2295,'Facility Detail'!L2344,'Facility Detail'!L2393,'Facility Detail'!L2442,'Facility Detail'!L2490,'Facility Detail'!L2538,'Facility Detail'!L2587,'Facility Detail'!L2767,'Facility Detail'!L2816,'Facility Detail'!L2865,'Facility Detail'!L2913,'Facility Detail'!L3037,'Facility Detail'!L184,'Facility Detail'!L1363)</f>
        <v>0</v>
      </c>
      <c r="L18" s="69">
        <f>-1*SUM('Facility Detail'!M85,'Facility Detail'!M134,'Facility Detail'!M227,'Facility Detail'!M276,'Facility Detail'!M325,'Facility Detail'!M374,'Facility Detail'!M423,'Facility Detail'!M472,'Facility Detail'!M520,'Facility Detail'!M568,'Facility Detail'!M701,'Facility Detail'!M751,'Facility Detail'!M800,'Facility Detail'!M890,'Facility Detail'!M980,'Facility Detail'!M1029,'Facility Detail'!M1078,'Facility Detail'!M1127,'Facility Detail'!M1176,'Facility Detail'!M1224,'Facility Detail'!M1314,'Facility Detail'!M1408,'Facility Detail'!M1499,'Facility Detail'!M1548,'Facility Detail'!M1598,'Facility Detail'!M1648,'Facility Detail'!M1740,'Facility Detail'!M1790,'Facility Detail'!M1839,'Facility Detail'!M1971,'Facility Detail'!M2019,'Facility Detail'!M2150,'Facility Detail'!M2198,'Facility Detail'!M2246,'Facility Detail'!M2295,'Facility Detail'!M2344,'Facility Detail'!M2393,'Facility Detail'!M2442,'Facility Detail'!M2490,'Facility Detail'!M2538,'Facility Detail'!M2587,'Facility Detail'!M2767,'Facility Detail'!M2816,'Facility Detail'!M2865,'Facility Detail'!M2913,'Facility Detail'!M3037,'Facility Detail'!M184,'Facility Detail'!M1363)</f>
        <v>0</v>
      </c>
      <c r="M18" s="69">
        <f>-1*SUM('Facility Detail'!N85,'Facility Detail'!N134,'Facility Detail'!N227,'Facility Detail'!N276,'Facility Detail'!N325,'Facility Detail'!N374,'Facility Detail'!N423,'Facility Detail'!N472,'Facility Detail'!N520,'Facility Detail'!N568,'Facility Detail'!N701,'Facility Detail'!N751,'Facility Detail'!N800,'Facility Detail'!N890,'Facility Detail'!N980,'Facility Detail'!N1029,'Facility Detail'!N1078,'Facility Detail'!N1127,'Facility Detail'!N1176,'Facility Detail'!N1224,'Facility Detail'!N1314,'Facility Detail'!N1408,'Facility Detail'!N1499,'Facility Detail'!N1548,'Facility Detail'!N1598,'Facility Detail'!N1648,'Facility Detail'!N1740,'Facility Detail'!N1790,'Facility Detail'!N1839,'Facility Detail'!N1971,'Facility Detail'!N2019,'Facility Detail'!N2150,'Facility Detail'!N2198,'Facility Detail'!N2246,'Facility Detail'!N2295,'Facility Detail'!N2344,'Facility Detail'!N2393,'Facility Detail'!N2442,'Facility Detail'!N2490,'Facility Detail'!N2538,'Facility Detail'!N2587,'Facility Detail'!N2767,'Facility Detail'!N2816,'Facility Detail'!N2865,'Facility Detail'!N2913,'Facility Detail'!N3037,'Facility Detail'!N184,'Facility Detail'!N1363)</f>
        <v>0</v>
      </c>
      <c r="N18" s="14"/>
      <c r="O18" s="14"/>
    </row>
    <row r="19" spans="1:15">
      <c r="A19" s="82" t="str">
        <f>'Facility Detail'!B86</f>
        <v>Bonus Incentives Not Realized</v>
      </c>
      <c r="B19" s="66"/>
      <c r="C19" s="320">
        <f>-1*SUM('Facility Detail'!D86,'Facility Detail'!D135,'Facility Detail'!D228,'Facility Detail'!D277,'Facility Detail'!D326,'Facility Detail'!D375,'Facility Detail'!D424,'Facility Detail'!D473,'Facility Detail'!D521,'Facility Detail'!D569,'Facility Detail'!D702,'Facility Detail'!D752,'Facility Detail'!D801,'Facility Detail'!D891,'Facility Detail'!D981,'Facility Detail'!D1030,'Facility Detail'!D1079,'Facility Detail'!D1128,'Facility Detail'!D1177,'Facility Detail'!D1225,'Facility Detail'!D1315,'Facility Detail'!D1409,'Facility Detail'!D1500,'Facility Detail'!D1549,'Facility Detail'!D1599,'Facility Detail'!D1649,'Facility Detail'!D1741,'Facility Detail'!D1791,'Facility Detail'!D1840,'Facility Detail'!D1972,'Facility Detail'!D2020,'Facility Detail'!D2151,'Facility Detail'!D2199,'Facility Detail'!D2247,'Facility Detail'!D2296,'Facility Detail'!D2345,'Facility Detail'!D2394,'Facility Detail'!D2443,'Facility Detail'!D2491,'Facility Detail'!D2539,'Facility Detail'!D2588,'Facility Detail'!D2768,'Facility Detail'!D2817,'Facility Detail'!D2866,'Facility Detail'!D2914,'Facility Detail'!D3038,'Facility Detail'!D185,'Facility Detail'!D1364)</f>
        <v>0</v>
      </c>
      <c r="D19" s="320">
        <f>-1*SUM('Facility Detail'!E86,'Facility Detail'!E135,'Facility Detail'!E228,'Facility Detail'!E277,'Facility Detail'!E326,'Facility Detail'!E375,'Facility Detail'!E424,'Facility Detail'!E473,'Facility Detail'!E521,'Facility Detail'!E569,'Facility Detail'!E702,'Facility Detail'!E752,'Facility Detail'!E801,'Facility Detail'!E891,'Facility Detail'!E981,'Facility Detail'!E1030,'Facility Detail'!E1079,'Facility Detail'!E1128,'Facility Detail'!E1177,'Facility Detail'!E1225,'Facility Detail'!E1315,'Facility Detail'!E1409,'Facility Detail'!E1500,'Facility Detail'!E1549,'Facility Detail'!E1599,'Facility Detail'!E1649,'Facility Detail'!E1741,'Facility Detail'!E1791,'Facility Detail'!E1840,'Facility Detail'!E1972,'Facility Detail'!E2020,'Facility Detail'!E2151,'Facility Detail'!E2199,'Facility Detail'!E2247,'Facility Detail'!E2296,'Facility Detail'!E2345,'Facility Detail'!E2394,'Facility Detail'!E2443,'Facility Detail'!E2491,'Facility Detail'!E2539,'Facility Detail'!E2588,'Facility Detail'!E2768,'Facility Detail'!E2817,'Facility Detail'!E2866,'Facility Detail'!E2914,'Facility Detail'!E3038,'Facility Detail'!E185,'Facility Detail'!E1364)</f>
        <v>0</v>
      </c>
      <c r="E19" s="320">
        <f>-1*SUM('Facility Detail'!F86,'Facility Detail'!F135,'Facility Detail'!F228,'Facility Detail'!F277,'Facility Detail'!F326,'Facility Detail'!F375,'Facility Detail'!F424,'Facility Detail'!F473,'Facility Detail'!F521,'Facility Detail'!F569,'Facility Detail'!F702,'Facility Detail'!F752,'Facility Detail'!F801,'Facility Detail'!F891,'Facility Detail'!F981,'Facility Detail'!F1030,'Facility Detail'!F1079,'Facility Detail'!F1128,'Facility Detail'!F1177,'Facility Detail'!F1225,'Facility Detail'!F1315,'Facility Detail'!F1409,'Facility Detail'!F1500,'Facility Detail'!F1549,'Facility Detail'!F1599,'Facility Detail'!F1649,'Facility Detail'!F1741,'Facility Detail'!F1791,'Facility Detail'!F1840,'Facility Detail'!F1972,'Facility Detail'!F2020,'Facility Detail'!F2151,'Facility Detail'!F2199,'Facility Detail'!F2247,'Facility Detail'!F2296,'Facility Detail'!F2345,'Facility Detail'!F2394,'Facility Detail'!F2443,'Facility Detail'!F2491,'Facility Detail'!F2539,'Facility Detail'!F2588,'Facility Detail'!F2768,'Facility Detail'!F2817,'Facility Detail'!F2866,'Facility Detail'!F2914,'Facility Detail'!F3038,'Facility Detail'!F185,'Facility Detail'!F1364)</f>
        <v>0</v>
      </c>
      <c r="F19" s="320">
        <f>-1*SUM('Facility Detail'!G86,'Facility Detail'!G135,'Facility Detail'!G228,'Facility Detail'!G277,'Facility Detail'!G326,'Facility Detail'!G375,'Facility Detail'!G424,'Facility Detail'!G473,'Facility Detail'!G521,'Facility Detail'!G569,'Facility Detail'!G702,'Facility Detail'!G752,'Facility Detail'!G801,'Facility Detail'!G891,'Facility Detail'!G981,'Facility Detail'!G1030,'Facility Detail'!G1079,'Facility Detail'!G1128,'Facility Detail'!G1177,'Facility Detail'!G1225,'Facility Detail'!G1315,'Facility Detail'!G1409,'Facility Detail'!G1500,'Facility Detail'!G1549,'Facility Detail'!G1599,'Facility Detail'!G1649,'Facility Detail'!G1741,'Facility Detail'!G1791,'Facility Detail'!G1840,'Facility Detail'!G1972,'Facility Detail'!G2020,'Facility Detail'!G2151,'Facility Detail'!G2199,'Facility Detail'!G2247,'Facility Detail'!G2296,'Facility Detail'!G2345,'Facility Detail'!G2394,'Facility Detail'!G2443,'Facility Detail'!G2491,'Facility Detail'!G2539,'Facility Detail'!G2588,'Facility Detail'!G2768,'Facility Detail'!G2817,'Facility Detail'!G2866,'Facility Detail'!G2914,'Facility Detail'!G3038,'Facility Detail'!G185,'Facility Detail'!G1364)</f>
        <v>0</v>
      </c>
      <c r="G19" s="320">
        <f>-1*SUM('Facility Detail'!H86,'Facility Detail'!H135,'Facility Detail'!H228,'Facility Detail'!H277,'Facility Detail'!H326,'Facility Detail'!H375,'Facility Detail'!H424,'Facility Detail'!H473,'Facility Detail'!H521,'Facility Detail'!H569,'Facility Detail'!H702,'Facility Detail'!H752,'Facility Detail'!H801,'Facility Detail'!H891,'Facility Detail'!H981,'Facility Detail'!H1030,'Facility Detail'!H1079,'Facility Detail'!H1128,'Facility Detail'!H1177,'Facility Detail'!H1225,'Facility Detail'!H1315,'Facility Detail'!H1409,'Facility Detail'!H1500,'Facility Detail'!H1549,'Facility Detail'!H1599,'Facility Detail'!H1649,'Facility Detail'!H1741,'Facility Detail'!H1791,'Facility Detail'!H1840,'Facility Detail'!H1972,'Facility Detail'!H2020,'Facility Detail'!H2151,'Facility Detail'!H2199,'Facility Detail'!H2247,'Facility Detail'!H2296,'Facility Detail'!H2345,'Facility Detail'!H2394,'Facility Detail'!H2443,'Facility Detail'!H2491,'Facility Detail'!H2539,'Facility Detail'!H2588,'Facility Detail'!H2768,'Facility Detail'!H2817,'Facility Detail'!H2866,'Facility Detail'!H2914,'Facility Detail'!H3038,'Facility Detail'!H185,'Facility Detail'!H1364)</f>
        <v>0</v>
      </c>
      <c r="H19" s="320">
        <f>-1*SUM('Facility Detail'!I86,'Facility Detail'!I135,'Facility Detail'!I228,'Facility Detail'!I277,'Facility Detail'!I326,'Facility Detail'!I375,'Facility Detail'!I424,'Facility Detail'!I473,'Facility Detail'!I521,'Facility Detail'!I569,'Facility Detail'!I702,'Facility Detail'!I752,'Facility Detail'!I801,'Facility Detail'!I891,'Facility Detail'!I981,'Facility Detail'!I1030,'Facility Detail'!I1079,'Facility Detail'!I1128,'Facility Detail'!I1177,'Facility Detail'!I1225,'Facility Detail'!I1315,'Facility Detail'!I1409,'Facility Detail'!I1500,'Facility Detail'!I1549,'Facility Detail'!I1599,'Facility Detail'!I1649,'Facility Detail'!I1741,'Facility Detail'!I1791,'Facility Detail'!I1840,'Facility Detail'!I1972,'Facility Detail'!I2020,'Facility Detail'!I2151,'Facility Detail'!I2199,'Facility Detail'!I2247,'Facility Detail'!I2296,'Facility Detail'!I2345,'Facility Detail'!I2394,'Facility Detail'!I2443,'Facility Detail'!I2491,'Facility Detail'!I2539,'Facility Detail'!I2588,'Facility Detail'!I2768,'Facility Detail'!I2817,'Facility Detail'!I2866,'Facility Detail'!I2914,'Facility Detail'!I3038,'Facility Detail'!I185,'Facility Detail'!I1364)</f>
        <v>0</v>
      </c>
      <c r="I19" s="320">
        <f>-1*SUM('Facility Detail'!J86,'Facility Detail'!J135,'Facility Detail'!J228,'Facility Detail'!J277,'Facility Detail'!J326,'Facility Detail'!J375,'Facility Detail'!J424,'Facility Detail'!J473,'Facility Detail'!J521,'Facility Detail'!J569,'Facility Detail'!J702,'Facility Detail'!J752,'Facility Detail'!J801,'Facility Detail'!J891,'Facility Detail'!J981,'Facility Detail'!J1030,'Facility Detail'!J1079,'Facility Detail'!J1128,'Facility Detail'!J1177,'Facility Detail'!J1225,'Facility Detail'!J1315,'Facility Detail'!J1409,'Facility Detail'!J1500,'Facility Detail'!J1549,'Facility Detail'!J1599,'Facility Detail'!J1649,'Facility Detail'!J1741,'Facility Detail'!J1791,'Facility Detail'!J1840,'Facility Detail'!J1972,'Facility Detail'!J2020,'Facility Detail'!J2151,'Facility Detail'!J2199,'Facility Detail'!J2247,'Facility Detail'!J2296,'Facility Detail'!J2345,'Facility Detail'!J2394,'Facility Detail'!J2443,'Facility Detail'!J2491,'Facility Detail'!J2539,'Facility Detail'!J2588,'Facility Detail'!J2768,'Facility Detail'!J2817,'Facility Detail'!J2866,'Facility Detail'!J2914,'Facility Detail'!J3038,'Facility Detail'!J185,'Facility Detail'!J1364)</f>
        <v>0</v>
      </c>
      <c r="J19" s="320">
        <f>-1*SUM('Facility Detail'!K86,'Facility Detail'!K135,'Facility Detail'!K228,'Facility Detail'!K277,'Facility Detail'!K326,'Facility Detail'!K375,'Facility Detail'!K424,'Facility Detail'!K473,'Facility Detail'!K521,'Facility Detail'!K569,'Facility Detail'!K702,'Facility Detail'!K752,'Facility Detail'!K801,'Facility Detail'!K891,'Facility Detail'!K981,'Facility Detail'!K1030,'Facility Detail'!K1079,'Facility Detail'!K1128,'Facility Detail'!K1177,'Facility Detail'!K1225,'Facility Detail'!K1315,'Facility Detail'!K1409,'Facility Detail'!K1500,'Facility Detail'!K1549,'Facility Detail'!K1599,'Facility Detail'!K1649,'Facility Detail'!K1741,'Facility Detail'!K1791,'Facility Detail'!K1840,'Facility Detail'!K1972,'Facility Detail'!K2020,'Facility Detail'!K2151,'Facility Detail'!K2199,'Facility Detail'!K2247,'Facility Detail'!K2296,'Facility Detail'!K2345,'Facility Detail'!K2394,'Facility Detail'!K2443,'Facility Detail'!K2491,'Facility Detail'!K2539,'Facility Detail'!K2588,'Facility Detail'!K2768,'Facility Detail'!K2817,'Facility Detail'!K2866,'Facility Detail'!K2914,'Facility Detail'!K3038,'Facility Detail'!K185,'Facility Detail'!K1364)</f>
        <v>0</v>
      </c>
      <c r="K19" s="320">
        <f>-1*SUM('Facility Detail'!L86,'Facility Detail'!L135,'Facility Detail'!L228,'Facility Detail'!L277,'Facility Detail'!L326,'Facility Detail'!L375,'Facility Detail'!L424,'Facility Detail'!L473,'Facility Detail'!L521,'Facility Detail'!L569,'Facility Detail'!L702,'Facility Detail'!L752,'Facility Detail'!L801,'Facility Detail'!L891,'Facility Detail'!L981,'Facility Detail'!L1030,'Facility Detail'!L1079,'Facility Detail'!L1128,'Facility Detail'!L1177,'Facility Detail'!L1225,'Facility Detail'!L1315,'Facility Detail'!L1409,'Facility Detail'!L1500,'Facility Detail'!L1549,'Facility Detail'!L1599,'Facility Detail'!L1649,'Facility Detail'!L1741,'Facility Detail'!L1791,'Facility Detail'!L1840,'Facility Detail'!L1972,'Facility Detail'!L2020,'Facility Detail'!L2151,'Facility Detail'!L2199,'Facility Detail'!L2247,'Facility Detail'!L2296,'Facility Detail'!L2345,'Facility Detail'!L2394,'Facility Detail'!L2443,'Facility Detail'!L2491,'Facility Detail'!L2539,'Facility Detail'!L2588,'Facility Detail'!L2768,'Facility Detail'!L2817,'Facility Detail'!L2866,'Facility Detail'!L2914,'Facility Detail'!L3038,'Facility Detail'!L185,'Facility Detail'!L1364)</f>
        <v>0</v>
      </c>
      <c r="L19" s="320">
        <f>-1*SUM('Facility Detail'!M86,'Facility Detail'!M135,'Facility Detail'!M228,'Facility Detail'!M277,'Facility Detail'!M326,'Facility Detail'!M375,'Facility Detail'!M424,'Facility Detail'!M473,'Facility Detail'!M521,'Facility Detail'!M569,'Facility Detail'!M702,'Facility Detail'!M752,'Facility Detail'!M801,'Facility Detail'!M891,'Facility Detail'!M981,'Facility Detail'!M1030,'Facility Detail'!M1079,'Facility Detail'!M1128,'Facility Detail'!M1177,'Facility Detail'!M1225,'Facility Detail'!M1315,'Facility Detail'!M1409,'Facility Detail'!M1500,'Facility Detail'!M1549,'Facility Detail'!M1599,'Facility Detail'!M1649,'Facility Detail'!M1741,'Facility Detail'!M1791,'Facility Detail'!M1840,'Facility Detail'!M1972,'Facility Detail'!M2020,'Facility Detail'!M2151,'Facility Detail'!M2199,'Facility Detail'!M2247,'Facility Detail'!M2296,'Facility Detail'!M2345,'Facility Detail'!M2394,'Facility Detail'!M2443,'Facility Detail'!M2491,'Facility Detail'!M2539,'Facility Detail'!M2588,'Facility Detail'!M2768,'Facility Detail'!M2817,'Facility Detail'!M2866,'Facility Detail'!M2914,'Facility Detail'!M3038,'Facility Detail'!M185,'Facility Detail'!M1364)</f>
        <v>0</v>
      </c>
      <c r="M19" s="320">
        <f>-1*SUM('Facility Detail'!N86,'Facility Detail'!N135,'Facility Detail'!N228,'Facility Detail'!N277,'Facility Detail'!N326,'Facility Detail'!N375,'Facility Detail'!N424,'Facility Detail'!N473,'Facility Detail'!N521,'Facility Detail'!N569,'Facility Detail'!N702,'Facility Detail'!N752,'Facility Detail'!N801,'Facility Detail'!N891,'Facility Detail'!N981,'Facility Detail'!N1030,'Facility Detail'!N1079,'Facility Detail'!N1128,'Facility Detail'!N1177,'Facility Detail'!N1225,'Facility Detail'!N1315,'Facility Detail'!N1409,'Facility Detail'!N1500,'Facility Detail'!N1549,'Facility Detail'!N1599,'Facility Detail'!N1649,'Facility Detail'!N1741,'Facility Detail'!N1791,'Facility Detail'!N1840,'Facility Detail'!N1972,'Facility Detail'!N2020,'Facility Detail'!N2151,'Facility Detail'!N2199,'Facility Detail'!N2247,'Facility Detail'!N2296,'Facility Detail'!N2345,'Facility Detail'!N2394,'Facility Detail'!N2443,'Facility Detail'!N2491,'Facility Detail'!N2539,'Facility Detail'!N2588,'Facility Detail'!N2768,'Facility Detail'!N2817,'Facility Detail'!N2866,'Facility Detail'!N2914,'Facility Detail'!N3038,'Facility Detail'!N185,'Facility Detail'!N1364)</f>
        <v>0</v>
      </c>
      <c r="N19" s="14"/>
      <c r="O19" s="14"/>
    </row>
    <row r="20" spans="1:15">
      <c r="A20" s="319" t="str">
        <f>'Facility Detail'!B87</f>
        <v>Total Sold / Transferred / Unrealized</v>
      </c>
      <c r="B20" s="19"/>
      <c r="C20" s="19">
        <f t="shared" ref="C20" si="13">SUM(C17:C19)</f>
        <v>0</v>
      </c>
      <c r="D20" s="19">
        <f t="shared" ref="D20:I20" si="14">SUM(D17:D19)</f>
        <v>0</v>
      </c>
      <c r="E20" s="19">
        <f t="shared" si="14"/>
        <v>0</v>
      </c>
      <c r="F20" s="19">
        <f t="shared" si="14"/>
        <v>0</v>
      </c>
      <c r="G20" s="136">
        <f t="shared" si="14"/>
        <v>0</v>
      </c>
      <c r="H20" s="136">
        <f t="shared" si="14"/>
        <v>0</v>
      </c>
      <c r="I20" s="136">
        <f t="shared" si="14"/>
        <v>0</v>
      </c>
      <c r="J20" s="136">
        <f t="shared" ref="J20:K20" si="15">SUM(J17:J19)</f>
        <v>0</v>
      </c>
      <c r="K20" s="136">
        <f t="shared" si="15"/>
        <v>0</v>
      </c>
      <c r="L20" s="136">
        <f t="shared" ref="L20:M20" si="16">SUM(L17:L19)</f>
        <v>0</v>
      </c>
      <c r="M20" s="136">
        <f t="shared" si="16"/>
        <v>0</v>
      </c>
      <c r="N20" s="19"/>
      <c r="O20" s="19"/>
    </row>
    <row r="21" spans="1:15">
      <c r="B21" s="14"/>
      <c r="C21" s="14"/>
      <c r="D21" s="14"/>
      <c r="E21" s="14"/>
      <c r="F21" s="137"/>
      <c r="G21" s="137"/>
      <c r="H21" s="137"/>
      <c r="I21" s="137"/>
      <c r="J21" s="137"/>
      <c r="K21" s="137"/>
      <c r="L21" s="137"/>
      <c r="M21" s="137"/>
      <c r="N21" s="14"/>
      <c r="O21" s="14"/>
    </row>
    <row r="22" spans="1:15" ht="18.5">
      <c r="A22" s="9" t="s">
        <v>100</v>
      </c>
      <c r="B22" s="2">
        <v>2010</v>
      </c>
      <c r="C22" s="2">
        <f>C6</f>
        <v>2011</v>
      </c>
      <c r="D22" s="2">
        <f t="shared" ref="D22:M22" si="17">D6</f>
        <v>2012</v>
      </c>
      <c r="E22" s="2">
        <f t="shared" si="17"/>
        <v>2013</v>
      </c>
      <c r="F22" s="2">
        <f t="shared" si="17"/>
        <v>2014</v>
      </c>
      <c r="G22" s="2">
        <f t="shared" si="17"/>
        <v>2015</v>
      </c>
      <c r="H22" s="2">
        <f t="shared" si="17"/>
        <v>2016</v>
      </c>
      <c r="I22" s="2">
        <f t="shared" si="17"/>
        <v>2017</v>
      </c>
      <c r="J22" s="2">
        <f t="shared" si="17"/>
        <v>2018</v>
      </c>
      <c r="K22" s="2">
        <f t="shared" si="17"/>
        <v>2019</v>
      </c>
      <c r="L22" s="2">
        <f t="shared" si="17"/>
        <v>2020</v>
      </c>
      <c r="M22" s="2">
        <f t="shared" si="17"/>
        <v>2021</v>
      </c>
      <c r="N22" s="14"/>
      <c r="O22" s="14"/>
    </row>
    <row r="23" spans="1:15">
      <c r="A23" s="104" t="str">
        <f xml:space="preserve"> 'Facility Detail'!$B$3082 &amp; " Surplus Applied to " &amp; ( 'Facility Detail'!$B$3082 + 1 )</f>
        <v>2011 Surplus Applied to 2012</v>
      </c>
      <c r="B23" s="166"/>
      <c r="C23" s="323">
        <f xml:space="preserve"> -1 * ( SUM('Facility Detail'!D90,'Facility Detail'!D139,'Facility Detail'!D232,'Facility Detail'!D281,'Facility Detail'!D330,'Facility Detail'!D379,'Facility Detail'!D428,'Facility Detail'!D477,'Facility Detail'!D525,'Facility Detail'!D573,'Facility Detail'!D706,'Facility Detail'!D756,'Facility Detail'!D805,'Facility Detail'!D895,'Facility Detail'!D985,'Facility Detail'!D1034,'Facility Detail'!D1083,'Facility Detail'!D1132,'Facility Detail'!D1181,'Facility Detail'!D1229,'Facility Detail'!D1319,'Facility Detail'!D1413,'Facility Detail'!D1504,'Facility Detail'!D1553,'Facility Detail'!D1603,'Facility Detail'!D1653,'Facility Detail'!D1745,'Facility Detail'!D1795,'Facility Detail'!D1844,'Facility Detail'!D1976,'Facility Detail'!D2024,'Facility Detail'!D2155,'Facility Detail'!D2203,'Facility Detail'!D2251,'Facility Detail'!D2300,'Facility Detail'!D2349,'Facility Detail'!D2398,'Facility Detail'!D2447,'Facility Detail'!D2495,'Facility Detail'!D2543,'Facility Detail'!D2592, 'Facility Detail'!D2642,'Facility Detail'!D2772,'Facility Detail'!D2821,'Facility Detail'!D2870,'Facility Detail'!D2918,'Facility Detail'!D3042,'Facility Detail'!D189,'Facility Detail'!D1368))</f>
        <v>-104826</v>
      </c>
      <c r="D23" s="323">
        <f xml:space="preserve"> SUM('Facility Detail'!E90,'Facility Detail'!E139,'Facility Detail'!E232,'Facility Detail'!E281,'Facility Detail'!E330,'Facility Detail'!E379,'Facility Detail'!E428,'Facility Detail'!E477,'Facility Detail'!E525,'Facility Detail'!E573,'Facility Detail'!E706,'Facility Detail'!E756,'Facility Detail'!E805,'Facility Detail'!E895,'Facility Detail'!E985,'Facility Detail'!E1034,'Facility Detail'!E1083,'Facility Detail'!E1132,'Facility Detail'!E1181,'Facility Detail'!E1229,'Facility Detail'!E1319,'Facility Detail'!E1413,'Facility Detail'!E1504,'Facility Detail'!E1553,'Facility Detail'!E1603,'Facility Detail'!E1653,'Facility Detail'!E1745,'Facility Detail'!E1795,'Facility Detail'!E1844,'Facility Detail'!E1976,'Facility Detail'!E2024,'Facility Detail'!E2155,'Facility Detail'!E2203,'Facility Detail'!E2251,'Facility Detail'!E2300,'Facility Detail'!E2349,'Facility Detail'!E2398,'Facility Detail'!E2447,'Facility Detail'!E2495,'Facility Detail'!E2543,'Facility Detail'!E2592,'Facility Detail'!E2642,'Facility Detail'!E2772,'Facility Detail'!E2821,'Facility Detail'!E2870,'Facility Detail'!E2918,'Facility Detail'!E3042,'Facility Detail'!E189,'Facility Detail'!E1368)</f>
        <v>104826</v>
      </c>
      <c r="E23" s="264"/>
      <c r="F23" s="264"/>
      <c r="G23" s="264"/>
      <c r="H23" s="264"/>
      <c r="I23" s="270"/>
      <c r="J23" s="270"/>
      <c r="K23" s="270"/>
      <c r="L23" s="270"/>
      <c r="M23" s="270"/>
      <c r="N23" s="14"/>
      <c r="O23" s="14"/>
    </row>
    <row r="24" spans="1:15">
      <c r="A24" s="104" t="str">
        <f xml:space="preserve"> ( 'Facility Detail'!$B$3082 + 1 ) &amp; " Surplus Applied to " &amp; ( 'Facility Detail'!$B$3082 )</f>
        <v>2012 Surplus Applied to 2011</v>
      </c>
      <c r="B24" s="167"/>
      <c r="C24" s="322">
        <f xml:space="preserve"> SUM('Facility Detail'!D91,'Facility Detail'!D140,'Facility Detail'!D233,'Facility Detail'!D282,'Facility Detail'!D331,'Facility Detail'!D380,'Facility Detail'!D429,'Facility Detail'!D478,'Facility Detail'!D526,'Facility Detail'!D574,'Facility Detail'!D707,'Facility Detail'!D757,'Facility Detail'!D806,'Facility Detail'!D896,'Facility Detail'!D986,'Facility Detail'!D1035,'Facility Detail'!D1084,'Facility Detail'!D1133,'Facility Detail'!D1182,'Facility Detail'!D1230,'Facility Detail'!D1320,'Facility Detail'!D1414,'Facility Detail'!D1505,'Facility Detail'!D1554,'Facility Detail'!D1604,'Facility Detail'!D1654,'Facility Detail'!D1746,'Facility Detail'!D1796,'Facility Detail'!D1845,'Facility Detail'!D1977,'Facility Detail'!D2025,'Facility Detail'!D2156,'Facility Detail'!D2204,'Facility Detail'!D2252,'Facility Detail'!D2301,'Facility Detail'!D2350,'Facility Detail'!D2399,'Facility Detail'!D2448,'Facility Detail'!D2496,'Facility Detail'!D2544,'Facility Detail'!D2593,'Facility Detail'!D2773,'Facility Detail'!D2822,'Facility Detail'!D2871,'Facility Detail'!D2919,'Facility Detail'!D3043,'Facility Detail'!D190,'Facility Detail'!D1369)</f>
        <v>0</v>
      </c>
      <c r="D24" s="322">
        <f xml:space="preserve"> SUM('Facility Detail'!E91,'Facility Detail'!E140,'Facility Detail'!E233,'Facility Detail'!E282,'Facility Detail'!E331,'Facility Detail'!E380,'Facility Detail'!E429,'Facility Detail'!E478,'Facility Detail'!E526,'Facility Detail'!E574,'Facility Detail'!E707,'Facility Detail'!E757,'Facility Detail'!E806,'Facility Detail'!E896,'Facility Detail'!E986,'Facility Detail'!E1035,'Facility Detail'!E1084,'Facility Detail'!E1133,'Facility Detail'!E1182,'Facility Detail'!E1230,'Facility Detail'!E1320,'Facility Detail'!E1414,'Facility Detail'!E1505,'Facility Detail'!E1554,'Facility Detail'!E1604,'Facility Detail'!E1654,'Facility Detail'!E1746,'Facility Detail'!E1796,'Facility Detail'!E1845,'Facility Detail'!E1977,'Facility Detail'!E2025,'Facility Detail'!E2156,'Facility Detail'!E2204,'Facility Detail'!E2252,'Facility Detail'!E2301,'Facility Detail'!E2350,'Facility Detail'!E2399,'Facility Detail'!E2448,'Facility Detail'!E2496,'Facility Detail'!E2544,'Facility Detail'!E2593,'Facility Detail'!E2643,'Facility Detail'!E2773,'Facility Detail'!E2822,'Facility Detail'!E2871,'Facility Detail'!E2919,'Facility Detail'!E3043,'Facility Detail'!E190,'Facility Detail'!E1369)</f>
        <v>0</v>
      </c>
      <c r="E24" s="265"/>
      <c r="F24" s="291"/>
      <c r="G24" s="265"/>
      <c r="H24" s="265"/>
      <c r="I24" s="271"/>
      <c r="J24" s="271"/>
      <c r="K24" s="271"/>
      <c r="L24" s="271"/>
      <c r="M24" s="271"/>
      <c r="N24" s="14"/>
      <c r="O24" s="14"/>
    </row>
    <row r="25" spans="1:15">
      <c r="A25" s="104" t="str">
        <f xml:space="preserve"> ( 'Facility Detail'!$B$3082 + 1 ) &amp; " Surplus Applied to " &amp; ( 'Facility Detail'!$B$3082 + 2 )</f>
        <v>2012 Surplus Applied to 2013</v>
      </c>
      <c r="B25" s="62"/>
      <c r="C25" s="324"/>
      <c r="D25" s="322">
        <f>-1* (SUM('Facility Detail'!E92,'Facility Detail'!E141,'Facility Detail'!E191,'Facility Detail'!E234,'Facility Detail'!E283,'Facility Detail'!E332,'Facility Detail'!E381,'Facility Detail'!E430,'Facility Detail'!E479,'Facility Detail'!E527,'Facility Detail'!E575,'Facility Detail'!E624,'Facility Detail'!E666,'Facility Detail'!E708,'Facility Detail'!E758,'Facility Detail'!E807,'Facility Detail'!E856,'Facility Detail'!E897,'Facility Detail'!E946,'Facility Detail'!E987,'Facility Detail'!E1036,'Facility Detail'!E1085,'Facility Detail'!E1134,'Facility Detail'!E1183,'Facility Detail'!E1231,'Facility Detail'!E1280,'Facility Detail'!E1321,'Facility Detail'!E1370,'Facility Detail'!E1415,'Facility Detail'!E1465,'Facility Detail'!E1506,'Facility Detail'!E1555,'Facility Detail'!E1605,'Facility Detail'!E1655,'Facility Detail'!E1705,'Facility Detail'!E1747,'Facility Detail'!E1797,'Facility Detail'!E1846,'Facility Detail'!E1895,'Facility Detail'!E1937,'Facility Detail'!E1978,'Facility Detail'!E2026,'Facility Detail'!E2075,'Facility Detail'!E2116,'Facility Detail'!E2157,'Facility Detail'!E2205,'Facility Detail'!E2253,'Facility Detail'!E2302,'Facility Detail'!E2351,'Facility Detail'!E2400,'Facility Detail'!E2449,'Facility Detail'!E2497,'Facility Detail'!E2545,'Facility Detail'!E2594,'Facility Detail'!E2644,'Facility Detail'!E2694,'Facility Detail'!E2733,'Facility Detail'!E2774,'Facility Detail'!E2823,'Facility Detail'!E2872,'Facility Detail'!E2920,'Facility Detail'!E2969,'Facility Detail'!E3007,'Facility Detail'!E3044))</f>
        <v>-92679</v>
      </c>
      <c r="E25" s="322">
        <f xml:space="preserve"> (SUM('Facility Detail'!F92,'Facility Detail'!F141,'Facility Detail'!F191,'Facility Detail'!F234,'Facility Detail'!F283,'Facility Detail'!F332,'Facility Detail'!F381,'Facility Detail'!F430,'Facility Detail'!F479,'Facility Detail'!F527,'Facility Detail'!F575,'Facility Detail'!F624,'Facility Detail'!F666,'Facility Detail'!F708,'Facility Detail'!F758,'Facility Detail'!F807,'Facility Detail'!F856,'Facility Detail'!F897,'Facility Detail'!F946,'Facility Detail'!F987,'Facility Detail'!F1036,'Facility Detail'!F1085,'Facility Detail'!F1134,'Facility Detail'!F1183,'Facility Detail'!F1231,'Facility Detail'!F1280,'Facility Detail'!F1321,'Facility Detail'!F1370,'Facility Detail'!F1415,'Facility Detail'!F1465,'Facility Detail'!F1506,'Facility Detail'!F1555,'Facility Detail'!F1605,'Facility Detail'!F1655,'Facility Detail'!F1705,'Facility Detail'!F1747,'Facility Detail'!F1797,'Facility Detail'!F1846,'Facility Detail'!F1895,'Facility Detail'!F1937,'Facility Detail'!F1978,'Facility Detail'!F2026,'Facility Detail'!F2075,'Facility Detail'!F2116,'Facility Detail'!F2157,'Facility Detail'!F2205,'Facility Detail'!F2253,'Facility Detail'!F2302,'Facility Detail'!F2351,'Facility Detail'!F2400,'Facility Detail'!F2449,'Facility Detail'!F2497,'Facility Detail'!F2545,'Facility Detail'!F2594,'Facility Detail'!F2644,'Facility Detail'!F2694,'Facility Detail'!F2733,'Facility Detail'!F2774,'Facility Detail'!F2823,'Facility Detail'!F2872,'Facility Detail'!F2920,'Facility Detail'!F2969,'Facility Detail'!F3007,'Facility Detail'!F3044))</f>
        <v>92679</v>
      </c>
      <c r="F25" s="272"/>
      <c r="G25" s="291"/>
      <c r="H25" s="265"/>
      <c r="I25" s="271"/>
      <c r="J25" s="271"/>
      <c r="K25" s="271"/>
      <c r="L25" s="271"/>
      <c r="M25" s="271"/>
      <c r="N25" s="14"/>
      <c r="O25" s="14"/>
    </row>
    <row r="26" spans="1:15">
      <c r="A26" s="104" t="str">
        <f xml:space="preserve"> ( 'Facility Detail'!$B$3082 + 2 ) &amp; " Surplus Applied to " &amp; ( 'Facility Detail'!$B$3082 + 1 )</f>
        <v>2013 Surplus Applied to 2012</v>
      </c>
      <c r="B26" s="62"/>
      <c r="C26" s="132"/>
      <c r="D26" s="74"/>
      <c r="E26" s="322">
        <f xml:space="preserve"> (SUM('Facility Detail'!F93,'Facility Detail'!F142,'Facility Detail'!F192,'Facility Detail'!F235,'Facility Detail'!F284,'Facility Detail'!F333,'Facility Detail'!F382,'Facility Detail'!F431,'Facility Detail'!F480,'Facility Detail'!F528,'Facility Detail'!F576,'Facility Detail'!F625,'Facility Detail'!F667,'Facility Detail'!F709,'Facility Detail'!F759,'Facility Detail'!F808,'Facility Detail'!F857,'Facility Detail'!F898,'Facility Detail'!F947,'Facility Detail'!F988,'Facility Detail'!F1037,'Facility Detail'!F1086,'Facility Detail'!F1135,'Facility Detail'!F1184,'Facility Detail'!F1232,'Facility Detail'!F1281,'Facility Detail'!F1322,'Facility Detail'!F1371,'Facility Detail'!F1416,'Facility Detail'!F1466,'Facility Detail'!F1507,'Facility Detail'!F1556,'Facility Detail'!F1606,'Facility Detail'!F1656,'Facility Detail'!F1706,'Facility Detail'!F1748,'Facility Detail'!F1798,'Facility Detail'!F1847,'Facility Detail'!F1896,'Facility Detail'!F1938,'Facility Detail'!F1979,'Facility Detail'!F2027,'Facility Detail'!F2076,'Facility Detail'!F2117,'Facility Detail'!F2158,'Facility Detail'!F2206,'Facility Detail'!F2254,'Facility Detail'!F2303,'Facility Detail'!F2352,'Facility Detail'!F2401,'Facility Detail'!F2450,'Facility Detail'!F2498,'Facility Detail'!F2546,'Facility Detail'!F2595,'Facility Detail'!F2645,'Facility Detail'!F2695,'Facility Detail'!F2734,'Facility Detail'!F2775,'Facility Detail'!F2824,'Facility Detail'!F2873,'Facility Detail'!F2921,'Facility Detail'!F2970,'Facility Detail'!F3008,'Facility Detail'!F3045))</f>
        <v>0</v>
      </c>
      <c r="F26" s="265"/>
      <c r="G26" s="272"/>
      <c r="H26" s="272"/>
      <c r="I26" s="271"/>
      <c r="J26" s="271"/>
      <c r="K26" s="271"/>
      <c r="L26" s="271"/>
      <c r="M26" s="271"/>
      <c r="N26" s="14"/>
      <c r="O26" s="14"/>
    </row>
    <row r="27" spans="1:15">
      <c r="A27" s="104" t="str">
        <f xml:space="preserve"> ( 'Facility Detail'!$B$3082 + 2 ) &amp; " Surplus Applied to " &amp; ( 'Facility Detail'!$B$3082 + 3 )</f>
        <v>2013 Surplus Applied to 2014</v>
      </c>
      <c r="B27" s="62"/>
      <c r="C27" s="132"/>
      <c r="D27" s="74"/>
      <c r="E27" s="322">
        <f>-1* (SUM('Facility Detail'!F94,'Facility Detail'!F143,'Facility Detail'!F193,'Facility Detail'!F236,'Facility Detail'!F285,'Facility Detail'!F334,'Facility Detail'!F383,'Facility Detail'!F432,'Facility Detail'!F481,'Facility Detail'!F529,'Facility Detail'!F577,'Facility Detail'!F626,'Facility Detail'!F668,'Facility Detail'!F710,'Facility Detail'!F760,'Facility Detail'!F809,'Facility Detail'!F858,'Facility Detail'!F899,'Facility Detail'!F948,'Facility Detail'!F989,'Facility Detail'!F1038,'Facility Detail'!F1087,'Facility Detail'!F1136,'Facility Detail'!F1185,'Facility Detail'!F1233,'Facility Detail'!F1282,'Facility Detail'!F1323,'Facility Detail'!F1372,'Facility Detail'!F1417,'Facility Detail'!F1467,'Facility Detail'!F1508,'Facility Detail'!F1557,'Facility Detail'!F1607,'Facility Detail'!F1657,'Facility Detail'!F1707,'Facility Detail'!F1749,'Facility Detail'!F1799,'Facility Detail'!F1848,'Facility Detail'!F1897,'Facility Detail'!F1939,'Facility Detail'!F1980,'Facility Detail'!F2028,'Facility Detail'!F2077,'Facility Detail'!F2118,'Facility Detail'!F2159,'Facility Detail'!F2207,'Facility Detail'!F2255,'Facility Detail'!F2304,'Facility Detail'!F2353,'Facility Detail'!F2402,'Facility Detail'!F2451,'Facility Detail'!F2499,'Facility Detail'!F2547,'Facility Detail'!F2596,'Facility Detail'!F2646,'Facility Detail'!F2696,'Facility Detail'!F2735,'Facility Detail'!F2776,'Facility Detail'!F2825,'Facility Detail'!F2874,'Facility Detail'!F2922,'Facility Detail'!F2971,'Facility Detail'!F3009,'Facility Detail'!F3046))</f>
        <v>-79121</v>
      </c>
      <c r="F27" s="322">
        <f>(SUM('Facility Detail'!G94,'Facility Detail'!G143,'Facility Detail'!G193,'Facility Detail'!G236,'Facility Detail'!G285,'Facility Detail'!G334,'Facility Detail'!G383,'Facility Detail'!G432,'Facility Detail'!G481,'Facility Detail'!G529,'Facility Detail'!G577,'Facility Detail'!G626,'Facility Detail'!G668,'Facility Detail'!G710,'Facility Detail'!G760,'Facility Detail'!G809,'Facility Detail'!G858,'Facility Detail'!G899,'Facility Detail'!G948,'Facility Detail'!G989,'Facility Detail'!G1038,'Facility Detail'!G1087,'Facility Detail'!G1136,'Facility Detail'!G1185,'Facility Detail'!G1233,'Facility Detail'!G1282,'Facility Detail'!G1323,'Facility Detail'!G1372,'Facility Detail'!G1417,'Facility Detail'!G1467,'Facility Detail'!G1508,'Facility Detail'!G1557,'Facility Detail'!G1607,'Facility Detail'!G1657,'Facility Detail'!G1707,'Facility Detail'!G1749,'Facility Detail'!G1799,'Facility Detail'!G1848,'Facility Detail'!G1897,'Facility Detail'!G1939,'Facility Detail'!G1980,'Facility Detail'!G2028,'Facility Detail'!G2077,'Facility Detail'!G2118,'Facility Detail'!G2159,'Facility Detail'!G2207,'Facility Detail'!G2255,'Facility Detail'!G2304,'Facility Detail'!G2353,'Facility Detail'!G2402,'Facility Detail'!G2451,'Facility Detail'!G2499,'Facility Detail'!G2547,'Facility Detail'!G2596,'Facility Detail'!G2646,'Facility Detail'!G2696,'Facility Detail'!G2735,'Facility Detail'!G2776,'Facility Detail'!G2825,'Facility Detail'!G2874,'Facility Detail'!G2922,'Facility Detail'!G2971,'Facility Detail'!G3009,'Facility Detail'!G3046))</f>
        <v>79121</v>
      </c>
      <c r="G27" s="265"/>
      <c r="H27" s="266"/>
      <c r="I27" s="273"/>
      <c r="J27" s="273"/>
      <c r="K27" s="273"/>
      <c r="L27" s="273"/>
      <c r="M27" s="273"/>
      <c r="N27" s="14"/>
      <c r="O27" s="14"/>
    </row>
    <row r="28" spans="1:15">
      <c r="A28" s="104" t="str">
        <f xml:space="preserve"> ( 'Facility Detail'!$B$3082 + 3 ) &amp; " Surplus Applied to " &amp; ( 'Facility Detail'!$B$3082 + 2 )</f>
        <v>2014 Surplus Applied to 2013</v>
      </c>
      <c r="B28" s="62"/>
      <c r="C28" s="132"/>
      <c r="D28" s="74"/>
      <c r="E28" s="74"/>
      <c r="F28" s="322">
        <f xml:space="preserve"> -1*((SUM('Facility Detail'!G95,'Facility Detail'!G144,'Facility Detail'!G237,'Facility Detail'!G286,'Facility Detail'!G335,'Facility Detail'!G384,'Facility Detail'!G433,'Facility Detail'!G482,'Facility Detail'!G530,'Facility Detail'!G578,'Facility Detail'!G711,'Facility Detail'!G761,'Facility Detail'!G810,'Facility Detail'!G900,'Facility Detail'!G990,'Facility Detail'!G1039,'Facility Detail'!G1088,'Facility Detail'!G1137,'Facility Detail'!G1186,'Facility Detail'!G1234,'Facility Detail'!G1324,'Facility Detail'!G1418,'Facility Detail'!G1509,'Facility Detail'!G1558,'Facility Detail'!G1608,'Facility Detail'!G1658,'Facility Detail'!G1750,'Facility Detail'!G1800,'Facility Detail'!G1849,'Facility Detail'!G1981,'Facility Detail'!G2029,'Facility Detail'!G2160,'Facility Detail'!G2208,'Facility Detail'!G2256,'Facility Detail'!G2305,'Facility Detail'!G2354,'Facility Detail'!G2403,'Facility Detail'!G2452,'Facility Detail'!G2500,'Facility Detail'!G2548,'Facility Detail'!G2597,'Facility Detail'!G2647,'Facility Detail'!G2777,'Facility Detail'!G2826,'Facility Detail'!G2875,'Facility Detail'!G2923,'Facility Detail'!G3047,'Facility Detail'!G194,'Facility Detail'!G1373)))</f>
        <v>0</v>
      </c>
      <c r="G28" s="265"/>
      <c r="H28" s="266"/>
      <c r="I28" s="273"/>
      <c r="J28" s="273"/>
      <c r="K28" s="273"/>
      <c r="L28" s="273"/>
      <c r="M28" s="273"/>
      <c r="N28" s="14"/>
      <c r="O28" s="14"/>
    </row>
    <row r="29" spans="1:15">
      <c r="A29" s="104" t="str">
        <f xml:space="preserve"> ( 'Facility Detail'!$B$3082 + 3 ) &amp; " Surplus Applied to " &amp; ( 'Facility Detail'!$B$3082 + 4 )</f>
        <v>2014 Surplus Applied to 2015</v>
      </c>
      <c r="B29" s="62"/>
      <c r="C29" s="132"/>
      <c r="D29" s="74"/>
      <c r="E29" s="74"/>
      <c r="F29" s="322">
        <f xml:space="preserve"> -1*((SUM('Facility Detail'!G96,'Facility Detail'!G145,'Facility Detail'!G238,'Facility Detail'!G287,'Facility Detail'!G336,'Facility Detail'!G385,'Facility Detail'!G434,'Facility Detail'!G483,'Facility Detail'!G531,'Facility Detail'!G579,'Facility Detail'!G712,'Facility Detail'!G762,'Facility Detail'!G811,'Facility Detail'!G901,'Facility Detail'!G991,'Facility Detail'!G1040,'Facility Detail'!G1089,'Facility Detail'!G1138,'Facility Detail'!G1187,'Facility Detail'!G1235,'Facility Detail'!G1325,'Facility Detail'!G1419,'Facility Detail'!G1510,'Facility Detail'!G1559,'Facility Detail'!G1609,'Facility Detail'!G1659,'Facility Detail'!G1751,'Facility Detail'!G1801,'Facility Detail'!G1850,'Facility Detail'!G1982,'Facility Detail'!G2030,'Facility Detail'!G2161,'Facility Detail'!G2209,'Facility Detail'!G2257,'Facility Detail'!G2306,'Facility Detail'!G2355,'Facility Detail'!G2404,'Facility Detail'!G2453,'Facility Detail'!G2501,'Facility Detail'!G2549,'Facility Detail'!G2598,'Facility Detail'!G2648,'Facility Detail'!G2778,'Facility Detail'!G2827,'Facility Detail'!G2876,'Facility Detail'!G2924,'Facility Detail'!G3048,'Facility Detail'!G195,'Facility Detail'!G1374)))</f>
        <v>-72004</v>
      </c>
      <c r="G29" s="322">
        <f xml:space="preserve"> (SUM('Facility Detail'!H96,'Facility Detail'!H145,'Facility Detail'!H238,'Facility Detail'!H287,'Facility Detail'!H336,'Facility Detail'!H385,'Facility Detail'!H434,'Facility Detail'!H483,'Facility Detail'!H531,'Facility Detail'!H579,'Facility Detail'!H712,'Facility Detail'!H762,'Facility Detail'!H811,'Facility Detail'!H901,'Facility Detail'!H991,'Facility Detail'!H1040,'Facility Detail'!H1089,'Facility Detail'!H1138,'Facility Detail'!H1187,'Facility Detail'!H1235,'Facility Detail'!H1325,'Facility Detail'!H1419,'Facility Detail'!H1510,'Facility Detail'!H1559,'Facility Detail'!H1609,'Facility Detail'!H1659,'Facility Detail'!H1751,'Facility Detail'!H1801,'Facility Detail'!H1850,'Facility Detail'!H1982,'Facility Detail'!H2030,'Facility Detail'!H2161,'Facility Detail'!H2209,'Facility Detail'!H2257,'Facility Detail'!H2306,'Facility Detail'!H2355,'Facility Detail'!H2404,'Facility Detail'!H2453,'Facility Detail'!H2501,'Facility Detail'!H2549,'Facility Detail'!H2598,'Facility Detail'!H2648,'Facility Detail'!H2778,'Facility Detail'!H2827,'Facility Detail'!H2876,'Facility Detail'!H2924,'Facility Detail'!H3048,'Facility Detail'!H195,'Facility Detail'!H1374))</f>
        <v>72004</v>
      </c>
      <c r="H29" s="272"/>
      <c r="I29" s="273"/>
      <c r="J29" s="273"/>
      <c r="K29" s="273"/>
      <c r="L29" s="273"/>
      <c r="M29" s="273"/>
      <c r="N29" s="14"/>
      <c r="O29" s="14"/>
    </row>
    <row r="30" spans="1:15">
      <c r="A30" s="104" t="str">
        <f xml:space="preserve"> ( 'Facility Detail'!$B$3082 + 4 ) &amp; " Surplus Applied to " &amp; ( 'Facility Detail'!$B$3082 + 3 )</f>
        <v>2015 Surplus Applied to 2014</v>
      </c>
      <c r="B30" s="62"/>
      <c r="C30" s="132"/>
      <c r="D30" s="74"/>
      <c r="E30" s="265"/>
      <c r="F30" s="265"/>
      <c r="G30" s="322">
        <f xml:space="preserve"> (SUM('Facility Detail'!H97,'Facility Detail'!H146,'Facility Detail'!H239,'Facility Detail'!H288,'Facility Detail'!H337,'Facility Detail'!H386,'Facility Detail'!H435,'Facility Detail'!H484,'Facility Detail'!H532,'Facility Detail'!H580,'Facility Detail'!H713,'Facility Detail'!H763,'Facility Detail'!H812,'Facility Detail'!H902,'Facility Detail'!H992,'Facility Detail'!H1041,'Facility Detail'!H1090,'Facility Detail'!H1139,'Facility Detail'!H1188,'Facility Detail'!H1236,'Facility Detail'!H1326,'Facility Detail'!H1420,'Facility Detail'!H1511,'Facility Detail'!H1560,'Facility Detail'!H1610,'Facility Detail'!H1660,'Facility Detail'!H1752,'Facility Detail'!H1802,'Facility Detail'!H1851,'Facility Detail'!H1983,'Facility Detail'!H2031,'Facility Detail'!H2162,'Facility Detail'!H2210,'Facility Detail'!H2258,'Facility Detail'!H2307,'Facility Detail'!H2356,'Facility Detail'!H2405,'Facility Detail'!H2454,'Facility Detail'!H2502,'Facility Detail'!H2550,'Facility Detail'!H2599,'Facility Detail'!H2649,'Facility Detail'!H2779,'Facility Detail'!H2828,'Facility Detail'!H2877,'Facility Detail'!H2925,'Facility Detail'!H3049,'Facility Detail'!H196,'Facility Detail'!H1375))</f>
        <v>0</v>
      </c>
      <c r="H30" s="272"/>
      <c r="I30" s="273"/>
      <c r="J30" s="273"/>
      <c r="K30" s="273"/>
      <c r="L30" s="273"/>
      <c r="M30" s="273"/>
      <c r="N30" s="14"/>
      <c r="O30" s="14"/>
    </row>
    <row r="31" spans="1:15">
      <c r="A31" s="104" t="str">
        <f xml:space="preserve"> ( 'Facility Detail'!$B$3082 + 4 ) &amp; " Surplus Applied to " &amp; ( 'Facility Detail'!$B$3082 + 5 )</f>
        <v>2015 Surplus Applied to 2016</v>
      </c>
      <c r="B31" s="62"/>
      <c r="C31" s="132"/>
      <c r="D31" s="74"/>
      <c r="E31" s="265"/>
      <c r="F31" s="265"/>
      <c r="G31" s="322">
        <f xml:space="preserve"> -1*(SUM('Facility Detail'!H98,'Facility Detail'!H147,'Facility Detail'!H197,'Facility Detail'!H240,'Facility Detail'!H289,'Facility Detail'!H338,'Facility Detail'!H387,'Facility Detail'!H436,'Facility Detail'!H485,'Facility Detail'!H533,'Facility Detail'!H581,'Facility Detail'!H630,'Facility Detail'!H672,'Facility Detail'!H714,'Facility Detail'!H764,'Facility Detail'!H813,'Facility Detail'!H862,'Facility Detail'!H903,'Facility Detail'!H952,'Facility Detail'!H993,'Facility Detail'!H1042,'Facility Detail'!H1091,'Facility Detail'!H1140,'Facility Detail'!H1189,'Facility Detail'!H1237,'Facility Detail'!H1286,'Facility Detail'!H1327,'Facility Detail'!H1376,'Facility Detail'!H1421,'Facility Detail'!H1471,'Facility Detail'!H1512,'Facility Detail'!H1561,'Facility Detail'!H1611,'Facility Detail'!H1661,'Facility Detail'!H1711,'Facility Detail'!H1753,'Facility Detail'!H1803,'Facility Detail'!H1852,'Facility Detail'!H1901,'Facility Detail'!H1943,'Facility Detail'!H1984,'Facility Detail'!H2032,'Facility Detail'!H2081,'Facility Detail'!H2122,'Facility Detail'!H2163,'Facility Detail'!H2211,'Facility Detail'!H2259,'Facility Detail'!H2308,'Facility Detail'!H2357,'Facility Detail'!H2406,'Facility Detail'!H2455,'Facility Detail'!H2503,'Facility Detail'!H2551,'Facility Detail'!H2600,'Facility Detail'!H2650,'Facility Detail'!H2700,'Facility Detail'!H2739,'Facility Detail'!H2780,'Facility Detail'!H2829,'Facility Detail'!H2878,'Facility Detail'!H2926,'Facility Detail'!H2975,'Facility Detail'!H3013,'Facility Detail'!H3050))</f>
        <v>-219957</v>
      </c>
      <c r="H31" s="322">
        <f xml:space="preserve"> (SUM('Facility Detail'!I98,'Facility Detail'!I147,'Facility Detail'!I197,'Facility Detail'!I240,'Facility Detail'!I289,'Facility Detail'!I338,'Facility Detail'!I387,'Facility Detail'!I436,'Facility Detail'!I485,'Facility Detail'!I533,'Facility Detail'!I581,'Facility Detail'!I630,'Facility Detail'!I672,'Facility Detail'!I714,'Facility Detail'!I764,'Facility Detail'!I813,'Facility Detail'!I862,'Facility Detail'!I903,'Facility Detail'!I952,'Facility Detail'!I993,'Facility Detail'!I1042,'Facility Detail'!I1091,'Facility Detail'!I1140,'Facility Detail'!I1189,'Facility Detail'!I1237,'Facility Detail'!I1286,'Facility Detail'!I1327,'Facility Detail'!I1376,'Facility Detail'!I1421,'Facility Detail'!I1471,'Facility Detail'!I1512,'Facility Detail'!I1561,'Facility Detail'!I1611,'Facility Detail'!I1661,'Facility Detail'!I1711,'Facility Detail'!I1753,'Facility Detail'!I1803,'Facility Detail'!I1852,'Facility Detail'!I1901,'Facility Detail'!I1943,'Facility Detail'!I1984,'Facility Detail'!I2032,'Facility Detail'!I2081,'Facility Detail'!I2122,'Facility Detail'!I2163,'Facility Detail'!I2211,'Facility Detail'!I2259,'Facility Detail'!I2308,'Facility Detail'!I2357,'Facility Detail'!I2406,'Facility Detail'!I2455,'Facility Detail'!I2503,'Facility Detail'!I2551,'Facility Detail'!I2600,'Facility Detail'!I2650,'Facility Detail'!I2700,'Facility Detail'!I2739,'Facility Detail'!I2780,'Facility Detail'!I2829,'Facility Detail'!I2878,'Facility Detail'!I2926,'Facility Detail'!I2975,'Facility Detail'!I3013,'Facility Detail'!I3050))</f>
        <v>219957</v>
      </c>
      <c r="I31" s="273"/>
      <c r="J31" s="273"/>
      <c r="K31" s="273"/>
      <c r="L31" s="273"/>
      <c r="M31" s="273"/>
      <c r="N31" s="14"/>
      <c r="O31" s="14"/>
    </row>
    <row r="32" spans="1:15">
      <c r="A32" s="104" t="str">
        <f xml:space="preserve"> ( 'Facility Detail'!$B$3082 + 5 ) &amp; " Surplus Applied to " &amp; ( 'Facility Detail'!$B$3082 + 4 )</f>
        <v>2016 Surplus Applied to 2015</v>
      </c>
      <c r="B32" s="62"/>
      <c r="C32" s="132"/>
      <c r="D32" s="132"/>
      <c r="E32" s="274"/>
      <c r="F32" s="274"/>
      <c r="G32" s="206"/>
      <c r="H32" s="322">
        <f xml:space="preserve"> (SUM('Facility Detail'!I99,'Facility Detail'!I148,'Facility Detail'!I198,'Facility Detail'!I241,'Facility Detail'!I290,'Facility Detail'!I339,'Facility Detail'!I388,'Facility Detail'!I437,'Facility Detail'!I486,'Facility Detail'!I534,'Facility Detail'!I582,'Facility Detail'!I631,'Facility Detail'!I673,'Facility Detail'!I715,'Facility Detail'!I765,'Facility Detail'!I814,'Facility Detail'!I863,'Facility Detail'!I904,'Facility Detail'!I953,'Facility Detail'!I994,'Facility Detail'!I1043,'Facility Detail'!I1092,'Facility Detail'!I1141,'Facility Detail'!I1190,'Facility Detail'!I1238,'Facility Detail'!I1287,'Facility Detail'!I1328,'Facility Detail'!I1377,'Facility Detail'!I1422,'Facility Detail'!I1472,'Facility Detail'!I1513,'Facility Detail'!I1562,'Facility Detail'!I1612,'Facility Detail'!I1662,'Facility Detail'!I1712,'Facility Detail'!I1754,'Facility Detail'!I1804,'Facility Detail'!I1853,'Facility Detail'!I1902,'Facility Detail'!I1944,'Facility Detail'!I1985,'Facility Detail'!I2033,'Facility Detail'!I2082,'Facility Detail'!I2123,'Facility Detail'!I2164,'Facility Detail'!I2212,'Facility Detail'!I2260,'Facility Detail'!I2309,'Facility Detail'!I2358,'Facility Detail'!I2407,'Facility Detail'!I2456,'Facility Detail'!I2504,'Facility Detail'!I2552,'Facility Detail'!I2601,'Facility Detail'!I2651,'Facility Detail'!I2701,'Facility Detail'!I2751,'Facility Detail'!I2740,'Facility Detail'!I2781,'Facility Detail'!I2830,'Facility Detail'!I2879,'Facility Detail'!I2927,'Facility Detail'!I2976,'Facility Detail'!I3014,'Facility Detail'!I3051))</f>
        <v>0</v>
      </c>
      <c r="I32" s="273"/>
      <c r="J32" s="273"/>
      <c r="K32" s="273"/>
      <c r="L32" s="273"/>
      <c r="M32" s="273"/>
      <c r="N32" s="14"/>
      <c r="O32" s="14"/>
    </row>
    <row r="33" spans="1:15">
      <c r="A33" s="104" t="str">
        <f xml:space="preserve"> ( 'Facility Detail'!$B$3082 + 5 ) &amp; " Surplus Applied to " &amp; ( 'Facility Detail'!$B$3082 + 6 )</f>
        <v>2016 Surplus Applied to 2017</v>
      </c>
      <c r="B33" s="62"/>
      <c r="C33" s="132"/>
      <c r="D33" s="132"/>
      <c r="E33" s="274"/>
      <c r="F33" s="274"/>
      <c r="G33" s="206"/>
      <c r="H33" s="322">
        <f xml:space="preserve"> -1*(SUM('Facility Detail'!I100,'Facility Detail'!I149,'Facility Detail'!I199,'Facility Detail'!I242,'Facility Detail'!I291,'Facility Detail'!I340,'Facility Detail'!I389,'Facility Detail'!I438,'Facility Detail'!I487,'Facility Detail'!I535,'Facility Detail'!I583,'Facility Detail'!I632,'Facility Detail'!I674,'Facility Detail'!I716,'Facility Detail'!I766,'Facility Detail'!I815,'Facility Detail'!I864,'Facility Detail'!I905,'Facility Detail'!I954,'Facility Detail'!I995,'Facility Detail'!I1044,'Facility Detail'!I1093,'Facility Detail'!I1142,'Facility Detail'!I1191,'Facility Detail'!I1239,'Facility Detail'!I1288,'Facility Detail'!I1329,'Facility Detail'!I1378,'Facility Detail'!I1423,'Facility Detail'!I1473,'Facility Detail'!I1514,'Facility Detail'!I1563,'Facility Detail'!I1613,'Facility Detail'!I1663,'Facility Detail'!I1713,'Facility Detail'!I1755,'Facility Detail'!I1805,'Facility Detail'!I1854,'Facility Detail'!I1903,'Facility Detail'!I1945,'Facility Detail'!I1986,'Facility Detail'!I2034,'Facility Detail'!I2083,'Facility Detail'!I2124,'Facility Detail'!I2165,'Facility Detail'!I2213,'Facility Detail'!I2261,'Facility Detail'!I2310,'Facility Detail'!I2359,'Facility Detail'!I2408,'Facility Detail'!I2457,'Facility Detail'!I2505,'Facility Detail'!I2553,'Facility Detail'!I2602,'Facility Detail'!I2652,'Facility Detail'!I2702,'Facility Detail'!I2741,'Facility Detail'!I2782,'Facility Detail'!I2831,'Facility Detail'!I2880,'Facility Detail'!I2928,'Facility Detail'!I2977,'Facility Detail'!I3015,'Facility Detail'!I3052))</f>
        <v>-223773.40669669915</v>
      </c>
      <c r="I33" s="322">
        <f xml:space="preserve"> (SUM('Facility Detail'!J100,'Facility Detail'!J149,'Facility Detail'!J199,'Facility Detail'!J242,'Facility Detail'!J291,'Facility Detail'!J340,'Facility Detail'!J389,'Facility Detail'!J438,'Facility Detail'!J487,'Facility Detail'!J535,'Facility Detail'!J583,'Facility Detail'!J632,'Facility Detail'!J674,'Facility Detail'!J716,'Facility Detail'!J766,'Facility Detail'!J815,'Facility Detail'!J864,'Facility Detail'!J905,'Facility Detail'!J954,'Facility Detail'!J995,'Facility Detail'!J1044,'Facility Detail'!J1093,'Facility Detail'!J1142,'Facility Detail'!J1191,'Facility Detail'!J1239,'Facility Detail'!J1288,'Facility Detail'!J1329,'Facility Detail'!J1378,'Facility Detail'!J1423,'Facility Detail'!J1473,'Facility Detail'!J1514,'Facility Detail'!J1563,'Facility Detail'!J1613,'Facility Detail'!J1663,'Facility Detail'!J1713,'Facility Detail'!J1755,'Facility Detail'!J1805,'Facility Detail'!J1854,'Facility Detail'!J1903,'Facility Detail'!J1945,'Facility Detail'!J1986,'Facility Detail'!J2034,'Facility Detail'!J2083,'Facility Detail'!J2124,'Facility Detail'!J2165,'Facility Detail'!J2213,'Facility Detail'!J2261,'Facility Detail'!J2310,'Facility Detail'!J2359,'Facility Detail'!J2408,'Facility Detail'!J2457,'Facility Detail'!J2505,'Facility Detail'!J2553,'Facility Detail'!J2602,'Facility Detail'!J2652,'Facility Detail'!J2702,'Facility Detail'!J2741,'Facility Detail'!J2782,'Facility Detail'!J2831,'Facility Detail'!J2880,'Facility Detail'!J2928,'Facility Detail'!J2977,'Facility Detail'!J3015,'Facility Detail'!J3052))</f>
        <v>223773.40669669915</v>
      </c>
      <c r="J33" s="202"/>
      <c r="K33" s="202"/>
      <c r="L33" s="202"/>
      <c r="M33" s="273"/>
      <c r="N33" s="14"/>
      <c r="O33" s="14"/>
    </row>
    <row r="34" spans="1:15">
      <c r="A34" s="104" t="s">
        <v>168</v>
      </c>
      <c r="B34" s="62"/>
      <c r="C34" s="132"/>
      <c r="D34" s="132"/>
      <c r="E34" s="274"/>
      <c r="F34" s="274"/>
      <c r="G34" s="206"/>
      <c r="H34" s="206"/>
      <c r="I34" s="322">
        <f>-1*(SUM('Facility Detail'!J101,'Facility Detail'!J150,'Facility Detail'!J243,'Facility Detail'!J292,'Facility Detail'!J341,'Facility Detail'!J390,'Facility Detail'!J439,'Facility Detail'!J488,'Facility Detail'!J536,'Facility Detail'!J584,'Facility Detail'!J717,'Facility Detail'!J767,'Facility Detail'!J816,'Facility Detail'!J906,'Facility Detail'!J996,'Facility Detail'!J1045,'Facility Detail'!J1094,'Facility Detail'!J1143,'Facility Detail'!J1192,'Facility Detail'!J1240,'Facility Detail'!J1330,'Facility Detail'!J1424,'Facility Detail'!J1515,'Facility Detail'!J1564,'Facility Detail'!J1614,'Facility Detail'!J1664,'Facility Detail'!J1756,'Facility Detail'!J1806,'Facility Detail'!J1855,'Facility Detail'!J1987,'Facility Detail'!J2035,'Facility Detail'!J2166,'Facility Detail'!J2214,'Facility Detail'!J2262,'Facility Detail'!J2311,'Facility Detail'!J2360,'Facility Detail'!J2409,'Facility Detail'!J2458,'Facility Detail'!J2506,'Facility Detail'!J2554,'Facility Detail'!J2603,'Facility Detail'!J2653,'Facility Detail'!J2783,'Facility Detail'!J2832,'Facility Detail'!J2881,'Facility Detail'!J2929,'Facility Detail'!J3053,'Facility Detail'!J200,'Facility Detail'!J1379))</f>
        <v>0</v>
      </c>
      <c r="J34" s="202"/>
      <c r="K34" s="202"/>
      <c r="L34" s="202"/>
      <c r="M34" s="273"/>
      <c r="N34" s="14"/>
      <c r="O34" s="14"/>
    </row>
    <row r="35" spans="1:15">
      <c r="A35" s="104" t="s">
        <v>169</v>
      </c>
      <c r="B35" s="62"/>
      <c r="C35" s="132"/>
      <c r="D35" s="132"/>
      <c r="E35" s="274"/>
      <c r="F35" s="274"/>
      <c r="G35" s="206"/>
      <c r="H35" s="206"/>
      <c r="I35" s="322">
        <f>-1*(SUM('Facility Detail'!J102,'Facility Detail'!J151,'Facility Detail'!J244,'Facility Detail'!J293,'Facility Detail'!J342,'Facility Detail'!J391,'Facility Detail'!J440,'Facility Detail'!J489,'Facility Detail'!J537,'Facility Detail'!J585,'Facility Detail'!J718,'Facility Detail'!J768,'Facility Detail'!J817,'Facility Detail'!J907,'Facility Detail'!J997,'Facility Detail'!J1046,'Facility Detail'!J1095,'Facility Detail'!J1144,'Facility Detail'!J1193,'Facility Detail'!J1241,'Facility Detail'!J1331,'Facility Detail'!J1425,'Facility Detail'!J1516,'Facility Detail'!J1565,'Facility Detail'!J1615,'Facility Detail'!J1665,'Facility Detail'!J1757,'Facility Detail'!J1807,'Facility Detail'!J1856,'Facility Detail'!J1988,'Facility Detail'!J2036,'Facility Detail'!J2167,'Facility Detail'!J2215,'Facility Detail'!J2263,'Facility Detail'!J2312,'Facility Detail'!J2361,'Facility Detail'!J2410,'Facility Detail'!J2459,'Facility Detail'!J2507,'Facility Detail'!J2555,'Facility Detail'!J2604,'Facility Detail'!J2654,'Facility Detail'!J2784,'Facility Detail'!J2833,'Facility Detail'!J2882,'Facility Detail'!J2930,'Facility Detail'!J3054,'Facility Detail'!J201,'Facility Detail'!J1380))</f>
        <v>-145218</v>
      </c>
      <c r="J35" s="322">
        <f>(SUM('Facility Detail'!K102,'Facility Detail'!K151,'Facility Detail'!K244,'Facility Detail'!K293,'Facility Detail'!K342,'Facility Detail'!K391,'Facility Detail'!K440,'Facility Detail'!K489,'Facility Detail'!K537,'Facility Detail'!K585,'Facility Detail'!K718,'Facility Detail'!K768,'Facility Detail'!K817,'Facility Detail'!K907,'Facility Detail'!K997,'Facility Detail'!K1046,'Facility Detail'!K1095,'Facility Detail'!K1144,'Facility Detail'!K1193,'Facility Detail'!K1241,'Facility Detail'!K1331,'Facility Detail'!K1425,'Facility Detail'!K1516,'Facility Detail'!K1565,'Facility Detail'!K1615,'Facility Detail'!K1665,'Facility Detail'!K1757,'Facility Detail'!K1807,'Facility Detail'!K1856,'Facility Detail'!K1988,'Facility Detail'!K2036,'Facility Detail'!K2167,'Facility Detail'!K2215,'Facility Detail'!K2263,'Facility Detail'!K2312,'Facility Detail'!K2361,'Facility Detail'!K2410,'Facility Detail'!K2459,'Facility Detail'!K2507,'Facility Detail'!K2555,'Facility Detail'!K2604,'Facility Detail'!K2654,'Facility Detail'!K2784,'Facility Detail'!K2833,'Facility Detail'!K2882,'Facility Detail'!K2930,'Facility Detail'!K3054,'Facility Detail'!K201,'Facility Detail'!K1380))</f>
        <v>145218</v>
      </c>
      <c r="K35" s="202"/>
      <c r="L35" s="202"/>
      <c r="M35" s="273"/>
      <c r="N35" s="14"/>
      <c r="O35" s="14"/>
    </row>
    <row r="36" spans="1:15">
      <c r="A36" s="104" t="s">
        <v>186</v>
      </c>
      <c r="B36" s="62"/>
      <c r="C36" s="132"/>
      <c r="D36" s="132"/>
      <c r="E36" s="274"/>
      <c r="F36" s="274"/>
      <c r="G36" s="206"/>
      <c r="H36" s="206"/>
      <c r="I36" s="146"/>
      <c r="J36" s="322">
        <f>-1*(SUM('Facility Detail'!K103,'Facility Detail'!K152,'Facility Detail'!K245,'Facility Detail'!K294,'Facility Detail'!K343,'Facility Detail'!K392,'Facility Detail'!K441,'Facility Detail'!K490,'Facility Detail'!K538,'Facility Detail'!K586,'Facility Detail'!K719,'Facility Detail'!K769,'Facility Detail'!K818,'Facility Detail'!K908,'Facility Detail'!K998,'Facility Detail'!K1047,'Facility Detail'!K1096,'Facility Detail'!K1145,'Facility Detail'!K1194,'Facility Detail'!K1242,'Facility Detail'!K1332,'Facility Detail'!K1426,'Facility Detail'!K1517,'Facility Detail'!K1566,'Facility Detail'!K1616,'Facility Detail'!K1666,'Facility Detail'!K1758,'Facility Detail'!K1808,'Facility Detail'!K1857,'Facility Detail'!K1989,'Facility Detail'!K2037,'Facility Detail'!K2168,'Facility Detail'!K2216,'Facility Detail'!K2264,'Facility Detail'!K2313,'Facility Detail'!K2362,'Facility Detail'!K2419,'Facility Detail'!K2460,'Facility Detail'!K2508,'Facility Detail'!K2556,'Facility Detail'!K2605,'Facility Detail'!K2785,'Facility Detail'!K2834,'Facility Detail'!K2883,'Facility Detail'!K2931,'Facility Detail'!K3055,'Facility Detail'!K202,'Facility Detail'!K1381))</f>
        <v>0</v>
      </c>
      <c r="K36" s="202"/>
      <c r="L36" s="202"/>
      <c r="M36" s="273"/>
      <c r="N36" s="14"/>
      <c r="O36" s="14"/>
    </row>
    <row r="37" spans="1:15">
      <c r="A37" s="104" t="s">
        <v>187</v>
      </c>
      <c r="B37" s="62"/>
      <c r="C37" s="132"/>
      <c r="D37" s="132"/>
      <c r="E37" s="274"/>
      <c r="F37" s="274"/>
      <c r="G37" s="206"/>
      <c r="H37" s="206"/>
      <c r="I37" s="146"/>
      <c r="J37" s="322">
        <f>-1*(SUM('Facility Detail'!K104,'Facility Detail'!K153,'Facility Detail'!K246,'Facility Detail'!K295,'Facility Detail'!K344,'Facility Detail'!K393,'Facility Detail'!K442,'Facility Detail'!K491,'Facility Detail'!K539,'Facility Detail'!K587,'Facility Detail'!K720,'Facility Detail'!K770,'Facility Detail'!K819,'Facility Detail'!K909,'Facility Detail'!K999,'Facility Detail'!K1048,'Facility Detail'!K1097,'Facility Detail'!K1146,'Facility Detail'!K1195,'Facility Detail'!K1243,'Facility Detail'!K1333,'Facility Detail'!K1427,'Facility Detail'!K1518,'Facility Detail'!K1567,'Facility Detail'!K1617,'Facility Detail'!K1667,'Facility Detail'!K1759,'Facility Detail'!K1809,'Facility Detail'!K1858,'Facility Detail'!K1990,'Facility Detail'!K2038,'Facility Detail'!K2169,'Facility Detail'!K2217,'Facility Detail'!K2265,'Facility Detail'!K2314,'Facility Detail'!K2363,'Facility Detail'!K2420,'Facility Detail'!K2461,'Facility Detail'!K2509,'Facility Detail'!K2557,'Facility Detail'!K2606,'Facility Detail'!K2656,'Facility Detail'!K2786,'Facility Detail'!K2835,'Facility Detail'!K2884,'Facility Detail'!K2932,'Facility Detail'!K3056,'Facility Detail'!K203,'Facility Detail'!K1382))</f>
        <v>-69298</v>
      </c>
      <c r="K37" s="322">
        <f>(SUM('Facility Detail'!L104,'Facility Detail'!L153,'Facility Detail'!L246,'Facility Detail'!L295,'Facility Detail'!L344,'Facility Detail'!L393,'Facility Detail'!L442,'Facility Detail'!L491,'Facility Detail'!L539,'Facility Detail'!L587,'Facility Detail'!L720,'Facility Detail'!L770,'Facility Detail'!L819,'Facility Detail'!L909,'Facility Detail'!L999,'Facility Detail'!L1048,'Facility Detail'!L1097,'Facility Detail'!L1146,'Facility Detail'!L1195,'Facility Detail'!L1243,'Facility Detail'!L1333,'Facility Detail'!L1427,'Facility Detail'!L1518,'Facility Detail'!L1567,'Facility Detail'!L1617,'Facility Detail'!L1667,'Facility Detail'!L1759,'Facility Detail'!L1809,'Facility Detail'!L1858,'Facility Detail'!L1990,'Facility Detail'!L2038,'Facility Detail'!L2169,'Facility Detail'!L2217,'Facility Detail'!L2265,'Facility Detail'!L2314,'Facility Detail'!L2363,'Facility Detail'!L2420,'Facility Detail'!L2461,'Facility Detail'!L2509,'Facility Detail'!L2557,'Facility Detail'!L2606,'Facility Detail'!L2656,'Facility Detail'!L2786,'Facility Detail'!L2835,'Facility Detail'!L2884,'Facility Detail'!L2932,'Facility Detail'!L3056,'Facility Detail'!L203,'Facility Detail'!L1382))</f>
        <v>69298</v>
      </c>
      <c r="L37" s="202"/>
      <c r="M37" s="273"/>
      <c r="N37" s="14"/>
      <c r="O37" s="14"/>
    </row>
    <row r="38" spans="1:15">
      <c r="A38" s="104" t="s">
        <v>188</v>
      </c>
      <c r="B38" s="62"/>
      <c r="C38" s="132"/>
      <c r="D38" s="132"/>
      <c r="E38" s="274"/>
      <c r="F38" s="274"/>
      <c r="G38" s="206"/>
      <c r="H38" s="206"/>
      <c r="I38" s="146"/>
      <c r="J38" s="146"/>
      <c r="K38" s="322">
        <f>-1*(SUM('Facility Detail'!L105,'Facility Detail'!L154,'Facility Detail'!L247,'Facility Detail'!L296,'Facility Detail'!L345,'Facility Detail'!L394,'Facility Detail'!L443,'Facility Detail'!L492,'Facility Detail'!L540,'Facility Detail'!L588,'Facility Detail'!L721,'Facility Detail'!L771,'Facility Detail'!L820,'Facility Detail'!L910,'Facility Detail'!L1000,'Facility Detail'!L1049,'Facility Detail'!L1098,'Facility Detail'!L1147,'Facility Detail'!L1196,'Facility Detail'!L1244,'Facility Detail'!L1334,'Facility Detail'!L1428,'Facility Detail'!L1519,'Facility Detail'!L1568,'Facility Detail'!L1618,'Facility Detail'!L1668,'Facility Detail'!L1760,'Facility Detail'!L1810,'Facility Detail'!L1859,'Facility Detail'!L1991,'Facility Detail'!L2039,'Facility Detail'!L2170,'Facility Detail'!L2218,'Facility Detail'!L2266,'Facility Detail'!L2315,'Facility Detail'!L2364,'Facility Detail'!L2421,'Facility Detail'!L2462,'Facility Detail'!L2510,'Facility Detail'!L2558,'Facility Detail'!L2607,'Facility Detail'!L2657,'Facility Detail'!L2787,'Facility Detail'!L2836,'Facility Detail'!L2885,'Facility Detail'!L2933,'Facility Detail'!L3057))</f>
        <v>0</v>
      </c>
      <c r="L38" s="202"/>
      <c r="M38" s="273"/>
      <c r="N38" s="14"/>
      <c r="O38" s="14"/>
    </row>
    <row r="39" spans="1:15">
      <c r="A39" s="104" t="s">
        <v>189</v>
      </c>
      <c r="B39" s="62"/>
      <c r="C39" s="132"/>
      <c r="D39" s="132"/>
      <c r="E39" s="274"/>
      <c r="F39" s="274"/>
      <c r="G39" s="206"/>
      <c r="H39" s="206"/>
      <c r="I39" s="146"/>
      <c r="J39" s="146"/>
      <c r="K39" s="322">
        <f>-1*(SUM('Facility Detail'!L106,'Facility Detail'!L155,'Facility Detail'!L248,'Facility Detail'!L297,'Facility Detail'!L346,'Facility Detail'!L395,'Facility Detail'!L444,'Facility Detail'!L493,'Facility Detail'!L541,'Facility Detail'!L589,'Facility Detail'!L722,'Facility Detail'!L772,'Facility Detail'!L821,'Facility Detail'!L911,'Facility Detail'!L1001,'Facility Detail'!L1050,'Facility Detail'!L1099,'Facility Detail'!L1148,'Facility Detail'!L1197,'Facility Detail'!L1245,'Facility Detail'!L1335,'Facility Detail'!L1429,'Facility Detail'!L1520,'Facility Detail'!L1569,'Facility Detail'!L1619,'Facility Detail'!L1669,'Facility Detail'!L1761,'Facility Detail'!L1811,'Facility Detail'!L1860,'Facility Detail'!L1992,'Facility Detail'!L2040,'Facility Detail'!L2171,'Facility Detail'!L2219,'Facility Detail'!L2267,'Facility Detail'!L2316,'Facility Detail'!L2365,'Facility Detail'!L2422,'Facility Detail'!L2463,'Facility Detail'!L2511,'Facility Detail'!L2559,'Facility Detail'!L2608,'Facility Detail'!L2658,'Facility Detail'!L2788,'Facility Detail'!L2837,'Facility Detail'!L2886,'Facility Detail'!L2934,'Facility Detail'!L3058,'Facility Detail'!L205,'Facility Detail'!L1384))</f>
        <v>0</v>
      </c>
      <c r="L39" s="322">
        <f>(SUM('Facility Detail'!M106,'Facility Detail'!M155,'Facility Detail'!M248,'Facility Detail'!M297,'Facility Detail'!M346,'Facility Detail'!M395,'Facility Detail'!M444,'Facility Detail'!M493,'Facility Detail'!M541,'Facility Detail'!M589,'Facility Detail'!M722,'Facility Detail'!M772,'Facility Detail'!M821,'Facility Detail'!M911,'Facility Detail'!M1001,'Facility Detail'!M1050,'Facility Detail'!M1099,'Facility Detail'!M1148,'Facility Detail'!M1197,'Facility Detail'!M1245,'Facility Detail'!M1335,'Facility Detail'!M1429,'Facility Detail'!M1520,'Facility Detail'!M1569,'Facility Detail'!M1619,'Facility Detail'!M1669,'Facility Detail'!M1761,'Facility Detail'!M1811,'Facility Detail'!M1860,'Facility Detail'!M1992,'Facility Detail'!M2040,'Facility Detail'!M2171,'Facility Detail'!M2219,'Facility Detail'!M2267,'Facility Detail'!M2316,'Facility Detail'!M2365,'Facility Detail'!M2422,'Facility Detail'!M2463,'Facility Detail'!M2511,'Facility Detail'!M2559,'Facility Detail'!M2608,'Facility Detail'!M2658,'Facility Detail'!M2788,'Facility Detail'!M2837,'Facility Detail'!M2886,'Facility Detail'!M2934,'Facility Detail'!M3058,'Facility Detail'!M205,'Facility Detail'!M1384))</f>
        <v>0</v>
      </c>
      <c r="M39" s="273"/>
      <c r="N39" s="14"/>
      <c r="O39" s="14"/>
    </row>
    <row r="40" spans="1:15">
      <c r="A40" s="104" t="s">
        <v>190</v>
      </c>
      <c r="B40" s="62"/>
      <c r="C40" s="132"/>
      <c r="D40" s="132"/>
      <c r="E40" s="274"/>
      <c r="F40" s="274"/>
      <c r="G40" s="206"/>
      <c r="H40" s="206"/>
      <c r="I40" s="146"/>
      <c r="J40" s="146"/>
      <c r="K40" s="322">
        <f>(SUM('Facility Detail'!L107,'Facility Detail'!L156,'Facility Detail'!L249,'Facility Detail'!L298,'Facility Detail'!L347,'Facility Detail'!L396,'Facility Detail'!L445,'Facility Detail'!L494,'Facility Detail'!L542,'Facility Detail'!L590,'Facility Detail'!L723,'Facility Detail'!L773,'Facility Detail'!L822,'Facility Detail'!L912,'Facility Detail'!L1002,'Facility Detail'!L1051,'Facility Detail'!L1100,'Facility Detail'!L1149,'Facility Detail'!L1198,'Facility Detail'!L1246,'Facility Detail'!L1336,'Facility Detail'!L1434,'Facility Detail'!L1521,'Facility Detail'!L1570,'Facility Detail'!L1624,'Facility Detail'!L1674,'Facility Detail'!L1762,'Facility Detail'!L1812,'Facility Detail'!L1861,'Facility Detail'!L1993,'Facility Detail'!L2041,'Facility Detail'!L2172,'Facility Detail'!L2220,'Facility Detail'!L2268,'Facility Detail'!L2321,'Facility Detail'!L2366,'Facility Detail'!L2423,'Facility Detail'!L2464,'Facility Detail'!L2512,'Facility Detail'!L2560,'Facility Detail'!L2613,'Facility Detail'!L2789,'Facility Detail'!L2838,'Facility Detail'!L2887,'Facility Detail'!L2935,'Facility Detail'!L3059,'Facility Detail'!L206,'Facility Detail'!L1385))</f>
        <v>99573</v>
      </c>
      <c r="L40" s="322">
        <f>K40*-1</f>
        <v>-99573</v>
      </c>
      <c r="M40" s="273"/>
      <c r="N40" s="14"/>
      <c r="O40" s="14"/>
    </row>
    <row r="41" spans="1:15">
      <c r="A41" s="104" t="s">
        <v>191</v>
      </c>
      <c r="B41" s="62"/>
      <c r="C41" s="132"/>
      <c r="D41" s="274"/>
      <c r="E41" s="274"/>
      <c r="F41" s="274"/>
      <c r="G41" s="274"/>
      <c r="H41" s="274"/>
      <c r="I41" s="274"/>
      <c r="J41" s="274"/>
      <c r="K41" s="274"/>
      <c r="L41" s="322">
        <f>-1*(SUM('Facility Detail'!M108,'Facility Detail'!M157,'Facility Detail'!M250,'Facility Detail'!M299,'Facility Detail'!M348,'Facility Detail'!M397,'Facility Detail'!M446,'Facility Detail'!M495,'Facility Detail'!M543,'Facility Detail'!M591,'Facility Detail'!M724,'Facility Detail'!M774,'Facility Detail'!M823,'Facility Detail'!M913,'Facility Detail'!M1003,'Facility Detail'!M1052,'Facility Detail'!M1101,'Facility Detail'!M1150,'Facility Detail'!M1199,'Facility Detail'!M1247,'Facility Detail'!M1337,'Facility Detail'!M1435,'Facility Detail'!M1522,'Facility Detail'!M1571,'Facility Detail'!M1625,'Facility Detail'!M1675,'Facility Detail'!M1763,'Facility Detail'!M1813,'Facility Detail'!M1862,'Facility Detail'!M1994,'Facility Detail'!M2042,'Facility Detail'!M2173,'Facility Detail'!M2221,'Facility Detail'!M2269,'Facility Detail'!M2322,'Facility Detail'!M2367,'Facility Detail'!M2424,'Facility Detail'!M2465,'Facility Detail'!M2513,'Facility Detail'!M2561,'Facility Detail'!M2610,'Facility Detail'!M2660,'Facility Detail'!M2790,'Facility Detail'!M2839,'Facility Detail'!M2888,'Facility Detail'!M2936,'Facility Detail'!M3060))</f>
        <v>0</v>
      </c>
      <c r="M41" s="322">
        <f>(SUM('Facility Detail'!N108,'Facility Detail'!N157,'Facility Detail'!N250,'Facility Detail'!N299,'Facility Detail'!N348,'Facility Detail'!N397,'Facility Detail'!N446,'Facility Detail'!N495,'Facility Detail'!N543,'Facility Detail'!N591,'Facility Detail'!N724,'Facility Detail'!N774,'Facility Detail'!N823,'Facility Detail'!N913,'Facility Detail'!N1003,'Facility Detail'!N1052,'Facility Detail'!N1101,'Facility Detail'!N1150,'Facility Detail'!N1199,'Facility Detail'!N1247,'Facility Detail'!N1337,'Facility Detail'!N1435,'Facility Detail'!N1522,'Facility Detail'!N1571,'Facility Detail'!N1625,'Facility Detail'!N1675,'Facility Detail'!N1763,'Facility Detail'!N1813,'Facility Detail'!N1862,'Facility Detail'!N1994,'Facility Detail'!N2042,'Facility Detail'!N2173,'Facility Detail'!N2221,'Facility Detail'!N2269,'Facility Detail'!N2322,'Facility Detail'!N2367,'Facility Detail'!N2424,'Facility Detail'!N2465,'Facility Detail'!N2513,'Facility Detail'!N2561,'Facility Detail'!N2610,'Facility Detail'!N2660,'Facility Detail'!N2790,'Facility Detail'!N2839,'Facility Detail'!N2888,'Facility Detail'!N2936,'Facility Detail'!N3060,'Facility Detail'!N207,'Facility Detail'!N1386))</f>
        <v>0</v>
      </c>
      <c r="N41" s="14"/>
      <c r="O41" s="14"/>
    </row>
    <row r="42" spans="1:15">
      <c r="A42" s="104" t="s">
        <v>201</v>
      </c>
      <c r="B42" s="62"/>
      <c r="C42" s="274"/>
      <c r="D42" s="274"/>
      <c r="E42" s="274"/>
      <c r="F42" s="274"/>
      <c r="G42" s="274"/>
      <c r="H42" s="274"/>
      <c r="I42" s="274"/>
      <c r="J42" s="274"/>
      <c r="K42" s="274"/>
      <c r="L42" s="322">
        <f>(SUM('Facility Detail'!M109,'Facility Detail'!M158,'Facility Detail'!M251,'Facility Detail'!M300,'Facility Detail'!M349,'Facility Detail'!M398,'Facility Detail'!M447,'Facility Detail'!M496,'Facility Detail'!M544,'Facility Detail'!M592,'Facility Detail'!M725,'Facility Detail'!M775,'Facility Detail'!M824,'Facility Detail'!M914,'Facility Detail'!M1004,'Facility Detail'!M1053,'Facility Detail'!M1102,'Facility Detail'!M1151,'Facility Detail'!M1200,'Facility Detail'!M1248,'Facility Detail'!M1338,'Facility Detail'!M1436,'Facility Detail'!M1523,'Facility Detail'!M1572,'Facility Detail'!M1626,'Facility Detail'!M1676,'Facility Detail'!M1764,'Facility Detail'!M1814,'Facility Detail'!M1863,'Facility Detail'!M1995,'Facility Detail'!M2043,'Facility Detail'!M2174,'Facility Detail'!M2222,'Facility Detail'!M2270,'Facility Detail'!M2323,'Facility Detail'!M2368,'Facility Detail'!M2425,'Facility Detail'!M2466,'Facility Detail'!M2514,'Facility Detail'!M2562,'Facility Detail'!M2611,'Facility Detail'!M2661,'Facility Detail'!M2791,'Facility Detail'!M2840,'Facility Detail'!M2889,'Facility Detail'!M2937,'Facility Detail'!M3061))</f>
        <v>146418</v>
      </c>
      <c r="M42" s="322">
        <f>-1*(SUM('Facility Detail'!N109,'Facility Detail'!N158,'Facility Detail'!N251,'Facility Detail'!N300,'Facility Detail'!N349,'Facility Detail'!N398,'Facility Detail'!N447,'Facility Detail'!N496,'Facility Detail'!N544,'Facility Detail'!N592,'Facility Detail'!N725,'Facility Detail'!N775,'Facility Detail'!N824,'Facility Detail'!N914,'Facility Detail'!N1004,'Facility Detail'!N1053,'Facility Detail'!N1102,'Facility Detail'!N1151,'Facility Detail'!N1200,'Facility Detail'!N1248,'Facility Detail'!N1338,'Facility Detail'!N1436,'Facility Detail'!N1523,'Facility Detail'!N1572,'Facility Detail'!N1626,'Facility Detail'!N1676,'Facility Detail'!N1764,'Facility Detail'!N1814,'Facility Detail'!N1863,'Facility Detail'!N1995,'Facility Detail'!N2043,'Facility Detail'!N2174,'Facility Detail'!N2222,'Facility Detail'!N2270,'Facility Detail'!N2323,'Facility Detail'!N2368,'Facility Detail'!N2425,'Facility Detail'!N2466,'Facility Detail'!N2514,'Facility Detail'!N2562,'Facility Detail'!N2611,'Facility Detail'!N2661,'Facility Detail'!N2791,'Facility Detail'!N2840,'Facility Detail'!N2889,'Facility Detail'!N2937,'Facility Detail'!N3061,'Facility Detail'!N208,'Facility Detail'!N1387))</f>
        <v>-146418</v>
      </c>
      <c r="N42" s="14"/>
      <c r="O42" s="14"/>
    </row>
    <row r="43" spans="1:15">
      <c r="A43" s="104" t="s">
        <v>202</v>
      </c>
      <c r="B43" s="321"/>
      <c r="C43" s="321"/>
      <c r="D43" s="321"/>
      <c r="E43" s="321"/>
      <c r="F43" s="321"/>
      <c r="G43" s="321"/>
      <c r="H43" s="321"/>
      <c r="I43" s="321"/>
      <c r="J43" s="321"/>
      <c r="K43" s="321"/>
      <c r="L43" s="321"/>
      <c r="M43" s="367">
        <f>-1*(SUM('Facility Detail'!N1815,'Facility Detail'!N1996,'Facility Detail'!N2044,'Facility Detail'!N2841,'Facility Detail'!N2890,'Facility Detail'!N2938,'Facility Detail'!N3062))</f>
        <v>-201532</v>
      </c>
      <c r="N43" s="14"/>
      <c r="O43" s="14"/>
    </row>
    <row r="44" spans="1:15">
      <c r="A44" s="75" t="s">
        <v>17</v>
      </c>
      <c r="B44" s="46"/>
      <c r="C44" s="46">
        <f>SUM(C23:C24)</f>
        <v>-104826</v>
      </c>
      <c r="D44" s="46">
        <f>SUM(D23:D25)</f>
        <v>12147</v>
      </c>
      <c r="E44" s="46">
        <f>SUM(E25:E27)</f>
        <v>13558</v>
      </c>
      <c r="F44" s="46">
        <f>SUM(F27:F29)</f>
        <v>7117</v>
      </c>
      <c r="G44" s="46">
        <f>SUM(G29:G31)</f>
        <v>-147953</v>
      </c>
      <c r="H44" s="46">
        <f>SUM(H31:H33)</f>
        <v>-3816.4066966991522</v>
      </c>
      <c r="I44" s="46">
        <f>SUM(I33:I35)</f>
        <v>78555.406696699152</v>
      </c>
      <c r="J44" s="46">
        <f>SUM(J35:J37)</f>
        <v>75920</v>
      </c>
      <c r="K44" s="28">
        <f>SUM(K37:K40)</f>
        <v>168871</v>
      </c>
      <c r="L44" s="28">
        <f>SUM(L39:L42)</f>
        <v>46845</v>
      </c>
      <c r="M44" s="28">
        <f>SUM(M40:M43)</f>
        <v>-347950</v>
      </c>
      <c r="N44" s="14"/>
      <c r="O44" s="14"/>
    </row>
    <row r="45" spans="1:15">
      <c r="B45" s="46"/>
      <c r="C45" s="46"/>
      <c r="D45" s="46"/>
      <c r="E45" s="46"/>
      <c r="F45" s="134"/>
      <c r="G45" s="134"/>
      <c r="H45" s="134"/>
      <c r="I45" s="134"/>
      <c r="J45" s="244"/>
      <c r="K45" s="244"/>
      <c r="L45" s="244"/>
      <c r="M45" s="244"/>
      <c r="N45" s="14"/>
      <c r="O45" s="14"/>
    </row>
    <row r="46" spans="1:15">
      <c r="A46" s="105" t="s">
        <v>12</v>
      </c>
      <c r="B46" s="102"/>
      <c r="C46" s="103">
        <f>SUM('Facility Detail'!D113,'Facility Detail'!D162,'Facility Detail'!D255,'Facility Detail'!D304,'Facility Detail'!D353,'Facility Detail'!D402,'Facility Detail'!D451,'Facility Detail'!D500,'Facility Detail'!D548,'Facility Detail'!D596,'Facility Detail'!D729,'Facility Detail'!D779,'Facility Detail'!D828,'Facility Detail'!D918,'Facility Detail'!D1008,'Facility Detail'!D1057,'Facility Detail'!D1106,'Facility Detail'!D1155,'Facility Detail'!D1204,'Facility Detail'!D1252,'Facility Detail'!D1342,'Facility Detail'!D1436,'Facility Detail'!D1527,'Facility Detail'!D1576,'Facility Detail'!D1626,'Facility Detail'!D1676,'Facility Detail'!D1768,'Facility Detail'!D1818,'Facility Detail'!D1867,'Facility Detail'!D1999,'Facility Detail'!D2047,'Facility Detail'!D2178,'Facility Detail'!D2226,'Facility Detail'!D2274,'Facility Detail'!D2323,'Facility Detail'!D2372,'Facility Detail'!D2421,'Facility Detail'!D2470,'Facility Detail'!D2518,'Facility Detail'!D2566,'Facility Detail'!D2615,'Facility Detail'!D2795,'Facility Detail'!D2844,'Facility Detail'!D2893,'Facility Detail'!D2941,'Facility Detail'!D3065,'Facility Detail'!D206,'Facility Detail'!D1385)</f>
        <v>0</v>
      </c>
      <c r="D46" s="103">
        <f>SUM('Facility Detail'!E113,'Facility Detail'!E162,'Facility Detail'!E255,'Facility Detail'!E304,'Facility Detail'!E353,'Facility Detail'!E402,'Facility Detail'!E451,'Facility Detail'!E500,'Facility Detail'!E548,'Facility Detail'!E596,'Facility Detail'!E729,'Facility Detail'!E779,'Facility Detail'!E828,'Facility Detail'!E918,'Facility Detail'!E1008,'Facility Detail'!E1057,'Facility Detail'!E1106,'Facility Detail'!E1155,'Facility Detail'!E1204,'Facility Detail'!E1252,'Facility Detail'!E1342,'Facility Detail'!E1436,'Facility Detail'!E1527,'Facility Detail'!E1576,'Facility Detail'!E1626,'Facility Detail'!E1676,'Facility Detail'!E1768,'Facility Detail'!E1818,'Facility Detail'!E1867,'Facility Detail'!E1999,'Facility Detail'!E2047,'Facility Detail'!E2178,'Facility Detail'!E2226,'Facility Detail'!E2274,'Facility Detail'!E2323,'Facility Detail'!E2372,'Facility Detail'!E2421,'Facility Detail'!E2470,'Facility Detail'!E2518,'Facility Detail'!E2566,'Facility Detail'!E2615,'Facility Detail'!E2795,'Facility Detail'!E2844,'Facility Detail'!E2893,'Facility Detail'!E2941,'Facility Detail'!E3065,'Facility Detail'!E206,'Facility Detail'!E1385)</f>
        <v>0</v>
      </c>
      <c r="E46" s="103">
        <f>SUM('Facility Detail'!F113,'Facility Detail'!F162,'Facility Detail'!F255,'Facility Detail'!F304,'Facility Detail'!F353,'Facility Detail'!F402,'Facility Detail'!F451,'Facility Detail'!F500,'Facility Detail'!F548,'Facility Detail'!F596,'Facility Detail'!F729,'Facility Detail'!F779,'Facility Detail'!F828,'Facility Detail'!F918,'Facility Detail'!F1008,'Facility Detail'!F1057,'Facility Detail'!F1106,'Facility Detail'!F1155,'Facility Detail'!F1204,'Facility Detail'!F1252,'Facility Detail'!F1342,'Facility Detail'!F1436,'Facility Detail'!F1527,'Facility Detail'!F1576,'Facility Detail'!F1626,'Facility Detail'!F1676,'Facility Detail'!F1768,'Facility Detail'!F1818,'Facility Detail'!F1867,'Facility Detail'!F1999,'Facility Detail'!F2047,'Facility Detail'!F2178,'Facility Detail'!F2226,'Facility Detail'!F2274,'Facility Detail'!F2323,'Facility Detail'!F2372,'Facility Detail'!F2421,'Facility Detail'!F2470,'Facility Detail'!F2518,'Facility Detail'!F2566,'Facility Detail'!F2615,'Facility Detail'!F2795,'Facility Detail'!F2844,'Facility Detail'!F2893,'Facility Detail'!F2941,'Facility Detail'!F3065,'Facility Detail'!F206,'Facility Detail'!F1385)</f>
        <v>0</v>
      </c>
      <c r="F46" s="103">
        <f>SUM('Facility Detail'!G113,'Facility Detail'!G162,'Facility Detail'!G255,'Facility Detail'!G304,'Facility Detail'!G353,'Facility Detail'!G402,'Facility Detail'!G451,'Facility Detail'!G500,'Facility Detail'!G548,'Facility Detail'!G596,'Facility Detail'!G729,'Facility Detail'!G779,'Facility Detail'!G828,'Facility Detail'!G918,'Facility Detail'!G1008,'Facility Detail'!G1057,'Facility Detail'!G1106,'Facility Detail'!G1155,'Facility Detail'!G1204,'Facility Detail'!G1252,'Facility Detail'!G1342,'Facility Detail'!G1436,'Facility Detail'!G1527,'Facility Detail'!G1576,'Facility Detail'!G1626,'Facility Detail'!G1676,'Facility Detail'!G1768,'Facility Detail'!G1818,'Facility Detail'!G1867,'Facility Detail'!G1999,'Facility Detail'!G2047,'Facility Detail'!G2178,'Facility Detail'!G2226,'Facility Detail'!G2274,'Facility Detail'!G2323,'Facility Detail'!G2372,'Facility Detail'!G2421,'Facility Detail'!G2470,'Facility Detail'!G2518,'Facility Detail'!G2566,'Facility Detail'!G2615,'Facility Detail'!G2795,'Facility Detail'!G2844,'Facility Detail'!G2893,'Facility Detail'!G2941,'Facility Detail'!G3065,'Facility Detail'!G206,'Facility Detail'!G1385)</f>
        <v>0</v>
      </c>
      <c r="G46" s="103">
        <f>SUM('Facility Detail'!H113,'Facility Detail'!H162,'Facility Detail'!H255,'Facility Detail'!H304,'Facility Detail'!H353,'Facility Detail'!H402,'Facility Detail'!H451,'Facility Detail'!H500,'Facility Detail'!H548,'Facility Detail'!H596,'Facility Detail'!H729,'Facility Detail'!H779,'Facility Detail'!H828,'Facility Detail'!H918,'Facility Detail'!H1008,'Facility Detail'!H1057,'Facility Detail'!H1106,'Facility Detail'!H1155,'Facility Detail'!H1204,'Facility Detail'!H1252,'Facility Detail'!H1342,'Facility Detail'!H1436,'Facility Detail'!H1527,'Facility Detail'!H1576,'Facility Detail'!H1626,'Facility Detail'!H1676,'Facility Detail'!H1768,'Facility Detail'!H1818,'Facility Detail'!H1867,'Facility Detail'!H1999,'Facility Detail'!H2047,'Facility Detail'!H2178,'Facility Detail'!H2226,'Facility Detail'!H2274,'Facility Detail'!H2323,'Facility Detail'!H2372,'Facility Detail'!H2421,'Facility Detail'!H2470,'Facility Detail'!H2518,'Facility Detail'!H2566,'Facility Detail'!H2615,'Facility Detail'!H2795,'Facility Detail'!H2844,'Facility Detail'!H2893,'Facility Detail'!H2941,'Facility Detail'!H3065,'Facility Detail'!H206,'Facility Detail'!H1385)</f>
        <v>0</v>
      </c>
      <c r="H46" s="103">
        <f>SUM('Facility Detail'!I113,'Facility Detail'!I162,'Facility Detail'!I255,'Facility Detail'!I304,'Facility Detail'!I353,'Facility Detail'!I402,'Facility Detail'!I451,'Facility Detail'!I500,'Facility Detail'!I548,'Facility Detail'!I596,'Facility Detail'!I729,'Facility Detail'!I779,'Facility Detail'!I828,'Facility Detail'!I918,'Facility Detail'!I1008,'Facility Detail'!I1057,'Facility Detail'!I1106,'Facility Detail'!I1155,'Facility Detail'!I1204,'Facility Detail'!I1252,'Facility Detail'!I1342,'Facility Detail'!I1436,'Facility Detail'!I1527,'Facility Detail'!I1576,'Facility Detail'!I1626,'Facility Detail'!I1676,'Facility Detail'!I1768,'Facility Detail'!I1818,'Facility Detail'!I1867,'Facility Detail'!I1999,'Facility Detail'!I2047,'Facility Detail'!I2178,'Facility Detail'!I2226,'Facility Detail'!I2274,'Facility Detail'!I2323,'Facility Detail'!I2372,'Facility Detail'!I2421,'Facility Detail'!I2470,'Facility Detail'!I2518,'Facility Detail'!I2566,'Facility Detail'!I2615,'Facility Detail'!I2795,'Facility Detail'!I2844,'Facility Detail'!I2893,'Facility Detail'!I2941,'Facility Detail'!I3065,'Facility Detail'!I206,'Facility Detail'!I1385)</f>
        <v>0</v>
      </c>
      <c r="I46" s="103">
        <f>SUM('Facility Detail'!J113,'Facility Detail'!J162,'Facility Detail'!J255,'Facility Detail'!J304,'Facility Detail'!J353,'Facility Detail'!J402,'Facility Detail'!J451,'Facility Detail'!J500,'Facility Detail'!J548,'Facility Detail'!J596,'Facility Detail'!J729,'Facility Detail'!J779,'Facility Detail'!J828,'Facility Detail'!J918,'Facility Detail'!J1008,'Facility Detail'!J1057,'Facility Detail'!J1106,'Facility Detail'!J1155,'Facility Detail'!J1204,'Facility Detail'!J1252,'Facility Detail'!J1342,'Facility Detail'!J1436,'Facility Detail'!J1527,'Facility Detail'!J1576,'Facility Detail'!J1626,'Facility Detail'!J1676,'Facility Detail'!J1768,'Facility Detail'!J1818,'Facility Detail'!J1867,'Facility Detail'!J1999,'Facility Detail'!J2047,'Facility Detail'!J2178,'Facility Detail'!J2226,'Facility Detail'!J2274,'Facility Detail'!J2323,'Facility Detail'!J2372,'Facility Detail'!J2421,'Facility Detail'!J2470,'Facility Detail'!J2518,'Facility Detail'!J2566,'Facility Detail'!J2615,'Facility Detail'!J2795,'Facility Detail'!J2844,'Facility Detail'!J2893,'Facility Detail'!J2941,'Facility Detail'!J3065,'Facility Detail'!J206,'Facility Detail'!J1385)</f>
        <v>0</v>
      </c>
      <c r="J46" s="103">
        <f>SUM('Facility Detail'!K113,'Facility Detail'!K162,'Facility Detail'!K255,'Facility Detail'!K304,'Facility Detail'!K353,'Facility Detail'!K402,'Facility Detail'!K451,'Facility Detail'!K500,'Facility Detail'!K548,'Facility Detail'!K596,'Facility Detail'!K729,'Facility Detail'!K779,'Facility Detail'!K828,'Facility Detail'!K918,'Facility Detail'!K1008,'Facility Detail'!K1057,'Facility Detail'!K1106,'Facility Detail'!K1155,'Facility Detail'!K1204,'Facility Detail'!K1252,'Facility Detail'!K1342,'Facility Detail'!K1436,'Facility Detail'!K1527,'Facility Detail'!K1576,'Facility Detail'!K1626,'Facility Detail'!K1676,'Facility Detail'!K1768,'Facility Detail'!K1818,'Facility Detail'!K1867,'Facility Detail'!K1999,'Facility Detail'!K2047,'Facility Detail'!K2178,'Facility Detail'!K2226,'Facility Detail'!K2274,'Facility Detail'!K2323,'Facility Detail'!K2372,'Facility Detail'!K2421,'Facility Detail'!K2470,'Facility Detail'!K2518,'Facility Detail'!K2566,'Facility Detail'!K2615,'Facility Detail'!K2795,'Facility Detail'!K2844,'Facility Detail'!K2893,'Facility Detail'!K2941,'Facility Detail'!K3065,'Facility Detail'!K206,'Facility Detail'!K1385)</f>
        <v>0</v>
      </c>
      <c r="K46" s="103">
        <f>SUM('Facility Detail'!L113,'Facility Detail'!L162,'Facility Detail'!L255,'Facility Detail'!L304,'Facility Detail'!L353,'Facility Detail'!L402,'Facility Detail'!L451,'Facility Detail'!L500,'Facility Detail'!L548,'Facility Detail'!L596,'Facility Detail'!L729,'Facility Detail'!L779,'Facility Detail'!L828,'Facility Detail'!L918,'Facility Detail'!L1008,'Facility Detail'!L1057,'Facility Detail'!L1106,'Facility Detail'!L1155,'Facility Detail'!L1204,'Facility Detail'!L1252,'Facility Detail'!L1342,'Facility Detail'!L1436,'Facility Detail'!L1527,'Facility Detail'!L1576,'Facility Detail'!L1626,'Facility Detail'!L1676,'Facility Detail'!L1768,'Facility Detail'!L1818,'Facility Detail'!L1867,'Facility Detail'!L1999,'Facility Detail'!L2047,'Facility Detail'!L2178,'Facility Detail'!L2226,'Facility Detail'!L2274,'Facility Detail'!L2323,'Facility Detail'!L2372,'Facility Detail'!L2421,'Facility Detail'!L2470,'Facility Detail'!L2518,'Facility Detail'!L2566,'Facility Detail'!L2615,'Facility Detail'!L2795,'Facility Detail'!L2844,'Facility Detail'!L2893,'Facility Detail'!L2941,'Facility Detail'!L3065,'Facility Detail'!L206,'Facility Detail'!L1385)</f>
        <v>0</v>
      </c>
      <c r="L46" s="103">
        <f>SUM('Facility Detail'!M113,'Facility Detail'!M162,'Facility Detail'!M255,'Facility Detail'!M304,'Facility Detail'!M353,'Facility Detail'!M402,'Facility Detail'!M451,'Facility Detail'!M500,'Facility Detail'!M548,'Facility Detail'!M596,'Facility Detail'!M729,'Facility Detail'!M779,'Facility Detail'!M828,'Facility Detail'!M918,'Facility Detail'!M1008,'Facility Detail'!M1057,'Facility Detail'!M1106,'Facility Detail'!M1155,'Facility Detail'!M1204,'Facility Detail'!M1252,'Facility Detail'!M1342,'Facility Detail'!M1436,'Facility Detail'!M1527,'Facility Detail'!M1576,'Facility Detail'!M1626,'Facility Detail'!M1676,'Facility Detail'!M1768,'Facility Detail'!M1818,'Facility Detail'!M1867,'Facility Detail'!M1999,'Facility Detail'!M2047,'Facility Detail'!M2178,'Facility Detail'!M2226,'Facility Detail'!M2274,'Facility Detail'!M2323,'Facility Detail'!M2372,'Facility Detail'!M2421,'Facility Detail'!M2470,'Facility Detail'!M2518,'Facility Detail'!M2566,'Facility Detail'!M2615,'Facility Detail'!M2795,'Facility Detail'!M2844,'Facility Detail'!M2893,'Facility Detail'!M2941,'Facility Detail'!M3065,'Facility Detail'!M206,'Facility Detail'!M1385)</f>
        <v>0</v>
      </c>
      <c r="M46" s="103">
        <f>SUM('Facility Detail'!N113,'Facility Detail'!N162,'Facility Detail'!N255,'Facility Detail'!N304,'Facility Detail'!N353,'Facility Detail'!N402,'Facility Detail'!N451,'Facility Detail'!N500,'Facility Detail'!N548,'Facility Detail'!N596,'Facility Detail'!N729,'Facility Detail'!N779,'Facility Detail'!N828,'Facility Detail'!N918,'Facility Detail'!N1008,'Facility Detail'!N1057,'Facility Detail'!N1106,'Facility Detail'!N1155,'Facility Detail'!N1204,'Facility Detail'!N1252,'Facility Detail'!N1342,'Facility Detail'!N1436,'Facility Detail'!N1527,'Facility Detail'!N1576,'Facility Detail'!N1626,'Facility Detail'!N1676,'Facility Detail'!N1768,'Facility Detail'!N1818,'Facility Detail'!N1867,'Facility Detail'!N1999,'Facility Detail'!N2047,'Facility Detail'!N2178,'Facility Detail'!N2226,'Facility Detail'!N2274,'Facility Detail'!N2323,'Facility Detail'!N2372,'Facility Detail'!N2421,'Facility Detail'!N2470,'Facility Detail'!N2518,'Facility Detail'!N2566,'Facility Detail'!N2615,'Facility Detail'!N2795,'Facility Detail'!N2844,'Facility Detail'!N2893,'Facility Detail'!N2941,'Facility Detail'!N3065,'Facility Detail'!N206,'Facility Detail'!N1385)</f>
        <v>0</v>
      </c>
      <c r="N46" s="14"/>
      <c r="O46" s="14"/>
    </row>
    <row r="47" spans="1:15">
      <c r="B47" s="46"/>
      <c r="C47" s="46"/>
      <c r="D47" s="46"/>
      <c r="E47" s="46"/>
      <c r="F47" s="134"/>
      <c r="G47" s="134"/>
      <c r="H47" s="134"/>
      <c r="I47" s="134"/>
      <c r="J47" s="134"/>
      <c r="K47" s="134"/>
      <c r="L47" s="134"/>
      <c r="M47" s="134"/>
      <c r="N47" s="14"/>
      <c r="O47" s="14"/>
    </row>
    <row r="48" spans="1:15">
      <c r="B48" s="2">
        <f>B6</f>
        <v>2010</v>
      </c>
      <c r="C48" s="2">
        <f t="shared" ref="C48:M48" si="18">C6</f>
        <v>2011</v>
      </c>
      <c r="D48" s="2">
        <f t="shared" si="18"/>
        <v>2012</v>
      </c>
      <c r="E48" s="2">
        <f t="shared" si="18"/>
        <v>2013</v>
      </c>
      <c r="F48" s="2">
        <f t="shared" si="18"/>
        <v>2014</v>
      </c>
      <c r="G48" s="2">
        <f t="shared" si="18"/>
        <v>2015</v>
      </c>
      <c r="H48" s="2">
        <f t="shared" si="18"/>
        <v>2016</v>
      </c>
      <c r="I48" s="2">
        <f t="shared" si="18"/>
        <v>2017</v>
      </c>
      <c r="J48" s="2">
        <f t="shared" si="18"/>
        <v>2018</v>
      </c>
      <c r="K48" s="2">
        <f t="shared" si="18"/>
        <v>2019</v>
      </c>
      <c r="L48" s="2">
        <f t="shared" si="18"/>
        <v>2020</v>
      </c>
      <c r="M48" s="2">
        <f t="shared" si="18"/>
        <v>2021</v>
      </c>
      <c r="N48" s="14"/>
      <c r="O48" s="14"/>
    </row>
    <row r="49" spans="1:15" ht="32.25" customHeight="1">
      <c r="A49" s="68" t="s">
        <v>27</v>
      </c>
      <c r="B49" s="67"/>
      <c r="C49" s="205">
        <f t="shared" ref="C49:M49" si="19">C14 + C20 - C9 + C44 + C46</f>
        <v>0</v>
      </c>
      <c r="D49" s="205">
        <f t="shared" si="19"/>
        <v>0.59487500000977889</v>
      </c>
      <c r="E49" s="205">
        <f t="shared" si="19"/>
        <v>-0.40794999997888226</v>
      </c>
      <c r="F49" s="205">
        <f t="shared" si="19"/>
        <v>0.21259500000451226</v>
      </c>
      <c r="G49" s="205">
        <f t="shared" si="19"/>
        <v>-1.1425000004237518E-2</v>
      </c>
      <c r="H49" s="205">
        <f t="shared" si="19"/>
        <v>-0.22553499997593462</v>
      </c>
      <c r="I49" s="205">
        <f t="shared" si="19"/>
        <v>0.82993669918505475</v>
      </c>
      <c r="J49" s="205">
        <f t="shared" si="19"/>
        <v>0.16540000005625188</v>
      </c>
      <c r="K49" s="205">
        <f t="shared" si="19"/>
        <v>-0.7925043688446749</v>
      </c>
      <c r="L49" s="205">
        <f t="shared" si="19"/>
        <v>-0.39983545942232013</v>
      </c>
      <c r="M49" s="205">
        <f t="shared" si="19"/>
        <v>0.19161073095165193</v>
      </c>
      <c r="N49" s="20"/>
      <c r="O49" s="20"/>
    </row>
    <row r="51" spans="1:15" ht="21.75" hidden="1" customHeight="1">
      <c r="A51" s="381"/>
      <c r="B51" s="381"/>
      <c r="C51" s="381"/>
      <c r="D51" s="381"/>
      <c r="E51" s="381"/>
      <c r="F51" s="381"/>
      <c r="G51" s="381"/>
      <c r="H51" s="381"/>
      <c r="I51" s="381"/>
    </row>
    <row r="52" spans="1:15" hidden="1">
      <c r="A52" s="176"/>
      <c r="B52" s="176"/>
      <c r="C52" s="176"/>
    </row>
    <row r="53" spans="1:15" ht="18.75" customHeight="1">
      <c r="A53" s="386" t="s">
        <v>127</v>
      </c>
      <c r="B53" s="386"/>
      <c r="C53" s="386"/>
      <c r="D53" s="386"/>
      <c r="E53" s="386"/>
      <c r="F53" s="386"/>
      <c r="G53" s="386"/>
      <c r="H53" s="386"/>
      <c r="I53" s="386"/>
    </row>
    <row r="54" spans="1:15" s="201" customFormat="1" ht="18" customHeight="1"/>
    <row r="55" spans="1:15" ht="14.25" customHeight="1">
      <c r="A55" s="387" t="s">
        <v>193</v>
      </c>
      <c r="B55" s="387"/>
      <c r="C55" s="387"/>
      <c r="D55" s="387"/>
      <c r="E55" s="387"/>
      <c r="F55" s="387"/>
      <c r="G55" s="387"/>
      <c r="H55" s="387"/>
      <c r="I55" s="387"/>
      <c r="J55" s="387"/>
    </row>
    <row r="57" spans="1:15">
      <c r="A57" s="383" t="s">
        <v>145</v>
      </c>
      <c r="B57" s="383"/>
      <c r="C57" s="383"/>
      <c r="D57" s="383"/>
      <c r="E57" s="383"/>
      <c r="F57" s="383"/>
      <c r="G57" s="201"/>
      <c r="H57" s="201"/>
      <c r="I57" s="201"/>
      <c r="J57" s="201"/>
    </row>
    <row r="58" spans="1:15">
      <c r="A58" s="384" t="s">
        <v>153</v>
      </c>
      <c r="B58" s="384"/>
      <c r="C58" s="384"/>
      <c r="D58" s="384"/>
      <c r="E58" s="384"/>
      <c r="F58" s="384"/>
      <c r="G58" s="201"/>
      <c r="H58" s="201"/>
      <c r="I58" s="201"/>
      <c r="J58" s="201"/>
    </row>
    <row r="59" spans="1:15" s="232" customFormat="1" ht="15" customHeight="1">
      <c r="A59" s="384" t="s">
        <v>273</v>
      </c>
      <c r="B59" s="384"/>
      <c r="C59" s="384"/>
      <c r="D59" s="384"/>
      <c r="E59" s="384"/>
      <c r="F59" s="384"/>
      <c r="G59" s="261"/>
      <c r="H59" s="259"/>
      <c r="I59" s="259"/>
      <c r="J59" s="259"/>
    </row>
    <row r="60" spans="1:15">
      <c r="A60" s="385" t="s">
        <v>154</v>
      </c>
      <c r="B60" s="385"/>
      <c r="C60" s="384"/>
      <c r="D60" s="384"/>
      <c r="E60" s="384"/>
      <c r="F60" s="384"/>
      <c r="G60" s="201"/>
      <c r="H60" s="201"/>
      <c r="I60" s="201"/>
      <c r="J60" s="201"/>
    </row>
    <row r="61" spans="1:15" s="232" customFormat="1" ht="81" customHeight="1">
      <c r="A61" s="384" t="s">
        <v>274</v>
      </c>
      <c r="B61" s="384"/>
      <c r="C61" s="384"/>
      <c r="D61" s="384"/>
      <c r="E61" s="384"/>
      <c r="F61" s="384"/>
      <c r="G61" s="384"/>
      <c r="H61" s="384"/>
      <c r="I61" s="384"/>
      <c r="J61" s="262"/>
    </row>
    <row r="62" spans="1:15" ht="15" customHeight="1">
      <c r="A62" s="6" t="s">
        <v>192</v>
      </c>
      <c r="B62" s="259"/>
      <c r="C62" s="259"/>
      <c r="D62" s="259"/>
      <c r="E62" s="259"/>
      <c r="F62" s="259"/>
      <c r="G62" s="201"/>
      <c r="H62" s="201"/>
      <c r="I62" s="201"/>
      <c r="J62" s="201"/>
    </row>
    <row r="63" spans="1:15" ht="17.25" customHeight="1">
      <c r="A63" s="260" t="s">
        <v>275</v>
      </c>
      <c r="B63" s="259"/>
      <c r="C63" s="259"/>
      <c r="D63" s="259"/>
      <c r="E63" s="259"/>
      <c r="F63" s="259"/>
      <c r="G63" s="201"/>
      <c r="H63" s="201"/>
      <c r="I63" s="201"/>
      <c r="J63" s="201"/>
    </row>
    <row r="64" spans="1:15">
      <c r="A64" s="385" t="s">
        <v>146</v>
      </c>
      <c r="B64" s="385"/>
      <c r="C64" s="384"/>
      <c r="D64" s="384"/>
      <c r="E64" s="384"/>
      <c r="F64" s="384"/>
      <c r="G64" s="201"/>
      <c r="H64" s="201"/>
      <c r="I64" s="201"/>
      <c r="J64" s="201"/>
    </row>
    <row r="65" spans="1:10">
      <c r="A65" s="384" t="s">
        <v>147</v>
      </c>
      <c r="B65" s="384"/>
      <c r="C65" s="384"/>
      <c r="D65" s="384"/>
      <c r="E65" s="384"/>
      <c r="F65" s="384"/>
      <c r="G65" s="201"/>
      <c r="H65" s="201"/>
      <c r="I65" s="201"/>
      <c r="J65" s="201"/>
    </row>
    <row r="66" spans="1:10">
      <c r="A66" s="259"/>
      <c r="B66" s="259"/>
      <c r="C66" s="259"/>
      <c r="D66" s="259"/>
      <c r="E66" s="259"/>
      <c r="F66" s="259"/>
      <c r="G66" s="201"/>
      <c r="H66" s="201"/>
      <c r="I66" s="201"/>
      <c r="J66" s="201"/>
    </row>
    <row r="67" spans="1:10" ht="32.25" customHeight="1">
      <c r="A67" s="259"/>
      <c r="B67" s="259"/>
      <c r="C67" s="259"/>
      <c r="D67" s="259"/>
      <c r="E67" s="259"/>
      <c r="F67" s="259"/>
      <c r="G67" s="201"/>
      <c r="H67" s="201"/>
      <c r="I67" s="201"/>
      <c r="J67" s="201"/>
    </row>
    <row r="68" spans="1:10">
      <c r="G68" s="201"/>
      <c r="H68" s="201"/>
      <c r="I68" s="201"/>
      <c r="J68" s="201"/>
    </row>
    <row r="69" spans="1:10" ht="15" customHeight="1">
      <c r="G69" s="201"/>
      <c r="H69" s="201"/>
      <c r="I69" s="201"/>
      <c r="J69" s="201"/>
    </row>
    <row r="70" spans="1:10">
      <c r="A70" s="382"/>
      <c r="B70" s="382"/>
      <c r="C70" s="382"/>
      <c r="D70" s="382"/>
      <c r="E70" s="382"/>
      <c r="F70" s="382"/>
      <c r="G70" s="201"/>
      <c r="H70" s="201"/>
      <c r="I70" s="201"/>
      <c r="J70" s="201"/>
    </row>
  </sheetData>
  <mergeCells count="12">
    <mergeCell ref="B4:C4"/>
    <mergeCell ref="A51:I51"/>
    <mergeCell ref="A70:F70"/>
    <mergeCell ref="A57:F57"/>
    <mergeCell ref="A58:F58"/>
    <mergeCell ref="A59:F59"/>
    <mergeCell ref="A60:F60"/>
    <mergeCell ref="A64:F64"/>
    <mergeCell ref="A65:F65"/>
    <mergeCell ref="A53:I53"/>
    <mergeCell ref="A55:J55"/>
    <mergeCell ref="A61:I61"/>
  </mergeCells>
  <phoneticPr fontId="5" type="noConversion"/>
  <conditionalFormatting sqref="C49:O49">
    <cfRule type="cellIs" dxfId="1" priority="4" stopIfTrue="1" operator="lessThan">
      <formula>0</formula>
    </cfRule>
  </conditionalFormatting>
  <conditionalFormatting sqref="B49">
    <cfRule type="cellIs" dxfId="0" priority="1" stopIfTrue="1" operator="lessThan">
      <formula>0</formula>
    </cfRule>
  </conditionalFormatting>
  <printOptions horizontalCentered="1"/>
  <pageMargins left="0" right="0" top="0" bottom="0.25" header="0.3" footer="0.3"/>
  <pageSetup scale="52" fitToHeight="0" orientation="landscape" r:id="rId1"/>
  <headerFooter alignWithMargins="0"/>
  <ignoredErrors>
    <ignoredError sqref="E9:K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pageSetUpPr fitToPage="1"/>
  </sheetPr>
  <dimension ref="A1:P3095"/>
  <sheetViews>
    <sheetView showGridLines="0" view="pageBreakPreview" topLeftCell="C1802" zoomScale="70" zoomScaleNormal="70" zoomScaleSheetLayoutView="70" workbookViewId="0">
      <selection activeCell="N1815" sqref="N1815"/>
    </sheetView>
  </sheetViews>
  <sheetFormatPr defaultColWidth="9.1796875" defaultRowHeight="14.5" outlineLevelRow="1"/>
  <cols>
    <col min="1" max="1" width="9" style="1" customWidth="1"/>
    <col min="2" max="2" width="45.453125" style="1" customWidth="1"/>
    <col min="3" max="3" width="18.453125" style="1" customWidth="1"/>
    <col min="4" max="12" width="19.453125" style="1" customWidth="1"/>
    <col min="13" max="14" width="17.81640625" style="1" customWidth="1"/>
    <col min="15" max="15" width="13.7265625" style="1" customWidth="1"/>
    <col min="16" max="26" width="12.1796875" style="1" customWidth="1"/>
    <col min="27" max="16384" width="9.1796875" style="1"/>
  </cols>
  <sheetData>
    <row r="1" spans="1:16" ht="46.5">
      <c r="B1" s="32" t="s">
        <v>4</v>
      </c>
      <c r="C1" s="32" t="s">
        <v>13</v>
      </c>
      <c r="D1" s="32" t="s">
        <v>115</v>
      </c>
      <c r="E1" s="32" t="s">
        <v>14</v>
      </c>
      <c r="F1" s="32" t="s">
        <v>15</v>
      </c>
      <c r="G1" s="32" t="s">
        <v>126</v>
      </c>
      <c r="H1" s="32"/>
      <c r="I1" s="32"/>
      <c r="P1" s="29"/>
    </row>
    <row r="2" spans="1:16">
      <c r="B2" s="216" t="s">
        <v>178</v>
      </c>
      <c r="C2" s="34" t="s">
        <v>194</v>
      </c>
      <c r="D2" s="26" t="s">
        <v>108</v>
      </c>
      <c r="E2" s="26" t="s">
        <v>1</v>
      </c>
      <c r="F2" s="120" t="s">
        <v>1</v>
      </c>
      <c r="G2" s="122">
        <v>43308</v>
      </c>
      <c r="H2" s="139"/>
      <c r="I2" s="139"/>
      <c r="P2" s="25"/>
    </row>
    <row r="3" spans="1:16">
      <c r="B3" s="217" t="s">
        <v>179</v>
      </c>
      <c r="C3" s="35" t="s">
        <v>257</v>
      </c>
      <c r="D3" s="27" t="s">
        <v>108</v>
      </c>
      <c r="E3" s="27" t="s">
        <v>1</v>
      </c>
      <c r="F3" s="121" t="s">
        <v>1</v>
      </c>
      <c r="G3" s="122">
        <v>43371</v>
      </c>
      <c r="H3" s="139"/>
      <c r="I3" s="139"/>
      <c r="P3" s="25"/>
    </row>
    <row r="4" spans="1:16">
      <c r="B4" s="299" t="s">
        <v>135</v>
      </c>
      <c r="C4" s="300" t="s">
        <v>136</v>
      </c>
      <c r="D4" s="301" t="s">
        <v>107</v>
      </c>
      <c r="E4" s="301" t="s">
        <v>1</v>
      </c>
      <c r="F4" s="302" t="s">
        <v>1</v>
      </c>
      <c r="G4" s="303">
        <v>39721</v>
      </c>
      <c r="H4" s="139"/>
      <c r="I4" s="139"/>
      <c r="P4" s="25"/>
    </row>
    <row r="5" spans="1:16">
      <c r="B5" s="217" t="s">
        <v>208</v>
      </c>
      <c r="C5" s="35" t="s">
        <v>238</v>
      </c>
      <c r="D5" s="27" t="s">
        <v>114</v>
      </c>
      <c r="E5" s="27" t="s">
        <v>1</v>
      </c>
      <c r="F5" s="121" t="s">
        <v>1</v>
      </c>
      <c r="G5" s="122">
        <v>10594</v>
      </c>
      <c r="H5" s="139"/>
      <c r="I5" s="139"/>
      <c r="P5" s="25"/>
    </row>
    <row r="6" spans="1:16">
      <c r="B6" s="217" t="s">
        <v>209</v>
      </c>
      <c r="C6" s="35" t="s">
        <v>239</v>
      </c>
      <c r="D6" s="27" t="s">
        <v>109</v>
      </c>
      <c r="E6" s="27" t="s">
        <v>1</v>
      </c>
      <c r="F6" s="121" t="s">
        <v>1</v>
      </c>
      <c r="G6" s="122">
        <v>30864</v>
      </c>
      <c r="H6" s="139"/>
      <c r="I6" s="139"/>
      <c r="P6" s="25"/>
    </row>
    <row r="7" spans="1:16">
      <c r="B7" s="217" t="s">
        <v>210</v>
      </c>
      <c r="C7" s="35" t="s">
        <v>240</v>
      </c>
      <c r="D7" s="27" t="s">
        <v>109</v>
      </c>
      <c r="E7" s="27" t="s">
        <v>1</v>
      </c>
      <c r="F7" s="121" t="s">
        <v>1</v>
      </c>
      <c r="G7" s="122">
        <v>39387</v>
      </c>
      <c r="H7" s="139"/>
      <c r="I7" s="139"/>
      <c r="P7" s="25"/>
    </row>
    <row r="8" spans="1:16">
      <c r="B8" s="217" t="s">
        <v>180</v>
      </c>
      <c r="C8" s="35" t="s">
        <v>195</v>
      </c>
      <c r="D8" s="27" t="s">
        <v>108</v>
      </c>
      <c r="E8" s="27" t="s">
        <v>1</v>
      </c>
      <c r="F8" s="121" t="s">
        <v>1</v>
      </c>
      <c r="G8" s="122">
        <v>43455</v>
      </c>
      <c r="H8" s="139"/>
      <c r="I8" s="139"/>
      <c r="P8" s="25"/>
    </row>
    <row r="9" spans="1:16">
      <c r="A9" s="177"/>
      <c r="B9" s="217" t="s">
        <v>211</v>
      </c>
      <c r="C9" s="35" t="s">
        <v>160</v>
      </c>
      <c r="D9" s="27" t="s">
        <v>107</v>
      </c>
      <c r="E9" s="27" t="s">
        <v>1</v>
      </c>
      <c r="F9" s="121" t="s">
        <v>1</v>
      </c>
      <c r="G9" s="122">
        <v>40148</v>
      </c>
      <c r="I9" s="139"/>
      <c r="P9" s="25"/>
    </row>
    <row r="10" spans="1:16">
      <c r="B10" s="217" t="s">
        <v>212</v>
      </c>
      <c r="C10" s="35" t="s">
        <v>241</v>
      </c>
      <c r="D10" s="27" t="s">
        <v>107</v>
      </c>
      <c r="E10" s="27" t="s">
        <v>1</v>
      </c>
      <c r="F10" s="121" t="s">
        <v>1</v>
      </c>
      <c r="G10" s="122">
        <v>44180</v>
      </c>
      <c r="H10" s="139"/>
      <c r="I10" s="139"/>
      <c r="P10" s="25"/>
    </row>
    <row r="11" spans="1:16">
      <c r="B11" s="217" t="s">
        <v>213</v>
      </c>
      <c r="C11" s="35" t="s">
        <v>309</v>
      </c>
      <c r="D11" s="27" t="s">
        <v>107</v>
      </c>
      <c r="E11" s="27" t="s">
        <v>1</v>
      </c>
      <c r="F11" s="121" t="s">
        <v>1</v>
      </c>
      <c r="G11" s="122" t="s">
        <v>165</v>
      </c>
      <c r="H11" s="139"/>
      <c r="I11" s="139"/>
      <c r="P11" s="25"/>
    </row>
    <row r="12" spans="1:16">
      <c r="B12" s="217" t="s">
        <v>214</v>
      </c>
      <c r="C12" s="35" t="s">
        <v>242</v>
      </c>
      <c r="D12" s="27" t="s">
        <v>107</v>
      </c>
      <c r="E12" s="27" t="s">
        <v>1</v>
      </c>
      <c r="F12" s="121" t="s">
        <v>1</v>
      </c>
      <c r="G12" s="122">
        <v>44176</v>
      </c>
      <c r="H12" s="139"/>
      <c r="I12" s="139"/>
      <c r="P12" s="25"/>
    </row>
    <row r="13" spans="1:16">
      <c r="B13" s="217" t="s">
        <v>293</v>
      </c>
      <c r="C13" s="35" t="s">
        <v>294</v>
      </c>
      <c r="D13" s="27" t="s">
        <v>107</v>
      </c>
      <c r="E13" s="27" t="s">
        <v>1</v>
      </c>
      <c r="F13" s="121" t="s">
        <v>1</v>
      </c>
      <c r="G13" s="122">
        <v>37256</v>
      </c>
      <c r="H13" s="139"/>
      <c r="I13" s="139"/>
      <c r="P13" s="25"/>
    </row>
    <row r="14" spans="1:16">
      <c r="B14" s="217" t="s">
        <v>295</v>
      </c>
      <c r="C14" s="35" t="s">
        <v>296</v>
      </c>
      <c r="D14" s="27" t="s">
        <v>107</v>
      </c>
      <c r="E14" s="27" t="s">
        <v>1</v>
      </c>
      <c r="F14" s="121" t="s">
        <v>1</v>
      </c>
      <c r="G14" s="122">
        <v>37408</v>
      </c>
      <c r="H14" s="139"/>
      <c r="I14" s="139"/>
      <c r="P14" s="25"/>
    </row>
    <row r="15" spans="1:16">
      <c r="B15" s="217" t="s">
        <v>157</v>
      </c>
      <c r="C15" s="35" t="s">
        <v>158</v>
      </c>
      <c r="D15" s="27" t="s">
        <v>107</v>
      </c>
      <c r="E15" s="27" t="s">
        <v>1</v>
      </c>
      <c r="F15" s="121" t="s">
        <v>1</v>
      </c>
      <c r="G15" s="122">
        <v>40452</v>
      </c>
      <c r="H15" s="139"/>
      <c r="I15" s="139"/>
      <c r="P15" s="25"/>
    </row>
    <row r="16" spans="1:16">
      <c r="B16" s="217" t="s">
        <v>215</v>
      </c>
      <c r="C16" s="35" t="s">
        <v>310</v>
      </c>
      <c r="D16" s="27" t="s">
        <v>107</v>
      </c>
      <c r="E16" s="27" t="s">
        <v>1</v>
      </c>
      <c r="F16" s="121" t="s">
        <v>1</v>
      </c>
      <c r="G16" s="122" t="s">
        <v>165</v>
      </c>
      <c r="H16" s="139"/>
      <c r="I16" s="139"/>
      <c r="P16" s="25"/>
    </row>
    <row r="17" spans="2:16">
      <c r="B17" s="217" t="s">
        <v>181</v>
      </c>
      <c r="C17" s="35" t="s">
        <v>196</v>
      </c>
      <c r="D17" s="27" t="s">
        <v>108</v>
      </c>
      <c r="E17" s="27" t="s">
        <v>1</v>
      </c>
      <c r="F17" s="121" t="s">
        <v>1</v>
      </c>
      <c r="G17" s="122">
        <v>43455</v>
      </c>
      <c r="H17" s="139"/>
      <c r="I17" s="139"/>
      <c r="P17" s="25"/>
    </row>
    <row r="18" spans="2:16">
      <c r="B18" s="217" t="s">
        <v>289</v>
      </c>
      <c r="C18" s="35" t="s">
        <v>290</v>
      </c>
      <c r="D18" s="27" t="s">
        <v>107</v>
      </c>
      <c r="E18" s="27" t="s">
        <v>1</v>
      </c>
      <c r="F18" s="121" t="s">
        <v>1</v>
      </c>
      <c r="G18" s="122">
        <v>39406</v>
      </c>
      <c r="H18" s="139"/>
      <c r="I18" s="139"/>
      <c r="P18" s="25"/>
    </row>
    <row r="19" spans="2:16">
      <c r="B19" s="217" t="s">
        <v>216</v>
      </c>
      <c r="C19" s="35" t="s">
        <v>185</v>
      </c>
      <c r="D19" s="27" t="s">
        <v>108</v>
      </c>
      <c r="E19" s="27" t="s">
        <v>1</v>
      </c>
      <c r="F19" s="121" t="s">
        <v>1</v>
      </c>
      <c r="G19" s="122">
        <v>43322</v>
      </c>
      <c r="H19" s="139"/>
      <c r="I19" s="139"/>
      <c r="P19" s="25"/>
    </row>
    <row r="20" spans="2:16">
      <c r="B20" s="217" t="s">
        <v>285</v>
      </c>
      <c r="C20" s="35" t="s">
        <v>286</v>
      </c>
      <c r="D20" s="27" t="s">
        <v>110</v>
      </c>
      <c r="E20" s="27" t="s">
        <v>1</v>
      </c>
      <c r="F20" s="121" t="s">
        <v>1</v>
      </c>
      <c r="G20" s="122">
        <v>40973</v>
      </c>
      <c r="H20" s="139"/>
      <c r="I20" s="139"/>
      <c r="P20" s="25"/>
    </row>
    <row r="21" spans="2:16">
      <c r="B21" s="217" t="s">
        <v>217</v>
      </c>
      <c r="C21" s="35" t="s">
        <v>243</v>
      </c>
      <c r="D21" s="27" t="s">
        <v>107</v>
      </c>
      <c r="E21" s="27" t="s">
        <v>1</v>
      </c>
      <c r="F21" s="121" t="s">
        <v>1</v>
      </c>
      <c r="G21" s="122">
        <v>36272</v>
      </c>
      <c r="H21" s="139"/>
      <c r="I21" s="139"/>
      <c r="P21" s="25"/>
    </row>
    <row r="22" spans="2:16">
      <c r="B22" s="217" t="s">
        <v>218</v>
      </c>
      <c r="C22" s="35" t="s">
        <v>162</v>
      </c>
      <c r="D22" s="27" t="s">
        <v>107</v>
      </c>
      <c r="E22" s="27" t="s">
        <v>1</v>
      </c>
      <c r="F22" s="121" t="s">
        <v>1</v>
      </c>
      <c r="G22" s="122">
        <v>39813</v>
      </c>
      <c r="H22" s="139"/>
      <c r="I22" s="139"/>
      <c r="P22" s="25"/>
    </row>
    <row r="23" spans="2:16">
      <c r="B23" s="217" t="s">
        <v>219</v>
      </c>
      <c r="C23" s="35" t="s">
        <v>244</v>
      </c>
      <c r="D23" s="27" t="s">
        <v>107</v>
      </c>
      <c r="E23" s="27" t="s">
        <v>1</v>
      </c>
      <c r="F23" s="121" t="s">
        <v>1</v>
      </c>
      <c r="G23" s="122">
        <v>39830</v>
      </c>
      <c r="H23" s="139"/>
      <c r="I23" s="139"/>
      <c r="P23" s="25"/>
    </row>
    <row r="24" spans="2:16">
      <c r="B24" s="217" t="s">
        <v>128</v>
      </c>
      <c r="C24" s="35" t="s">
        <v>129</v>
      </c>
      <c r="D24" s="27" t="s">
        <v>107</v>
      </c>
      <c r="E24" s="27" t="s">
        <v>1</v>
      </c>
      <c r="F24" s="121" t="s">
        <v>1</v>
      </c>
      <c r="G24" s="122">
        <v>39599</v>
      </c>
      <c r="H24" s="139"/>
      <c r="I24" s="139"/>
      <c r="P24" s="25"/>
    </row>
    <row r="25" spans="2:16">
      <c r="B25" s="217" t="s">
        <v>199</v>
      </c>
      <c r="C25" s="35" t="s">
        <v>197</v>
      </c>
      <c r="D25" s="27" t="s">
        <v>108</v>
      </c>
      <c r="E25" s="27" t="s">
        <v>1</v>
      </c>
      <c r="F25" s="121" t="s">
        <v>1</v>
      </c>
      <c r="G25" s="122">
        <v>42668</v>
      </c>
      <c r="H25" s="139"/>
      <c r="I25" s="139"/>
      <c r="P25" s="25"/>
    </row>
    <row r="26" spans="2:16">
      <c r="B26" s="217" t="s">
        <v>200</v>
      </c>
      <c r="C26" s="35" t="s">
        <v>198</v>
      </c>
      <c r="D26" s="27" t="s">
        <v>108</v>
      </c>
      <c r="E26" s="27" t="s">
        <v>1</v>
      </c>
      <c r="F26" s="121" t="s">
        <v>1</v>
      </c>
      <c r="G26" s="122">
        <v>42668</v>
      </c>
      <c r="H26" s="139"/>
      <c r="I26" s="139"/>
      <c r="P26" s="25"/>
    </row>
    <row r="27" spans="2:16">
      <c r="B27" s="217" t="s">
        <v>287</v>
      </c>
      <c r="C27" s="35" t="s">
        <v>288</v>
      </c>
      <c r="D27" s="27" t="s">
        <v>110</v>
      </c>
      <c r="E27" s="27" t="s">
        <v>1</v>
      </c>
      <c r="F27" s="121" t="s">
        <v>1</v>
      </c>
      <c r="G27" s="122">
        <v>38636</v>
      </c>
      <c r="H27" s="139"/>
      <c r="I27" s="139"/>
      <c r="P27" s="25"/>
    </row>
    <row r="28" spans="2:16">
      <c r="B28" s="217" t="s">
        <v>220</v>
      </c>
      <c r="C28" s="35" t="s">
        <v>245</v>
      </c>
      <c r="D28" s="27" t="s">
        <v>107</v>
      </c>
      <c r="E28" s="27" t="s">
        <v>1</v>
      </c>
      <c r="F28" s="121" t="s">
        <v>1</v>
      </c>
      <c r="G28" s="122">
        <v>40025</v>
      </c>
      <c r="H28" s="139"/>
      <c r="I28" s="139"/>
      <c r="P28" s="25"/>
    </row>
    <row r="29" spans="2:16">
      <c r="B29" s="217" t="s">
        <v>137</v>
      </c>
      <c r="C29" s="35" t="s">
        <v>138</v>
      </c>
      <c r="D29" s="27" t="s">
        <v>107</v>
      </c>
      <c r="E29" s="27" t="s">
        <v>1</v>
      </c>
      <c r="F29" s="121" t="s">
        <v>1</v>
      </c>
      <c r="G29" s="122">
        <v>39721</v>
      </c>
      <c r="H29" s="139"/>
      <c r="I29" s="139"/>
      <c r="P29" s="25"/>
    </row>
    <row r="30" spans="2:16">
      <c r="B30" s="217" t="s">
        <v>221</v>
      </c>
      <c r="C30" s="35" t="s">
        <v>143</v>
      </c>
      <c r="D30" s="27" t="s">
        <v>114</v>
      </c>
      <c r="E30" s="27" t="s">
        <v>1</v>
      </c>
      <c r="F30" s="121" t="s">
        <v>1</v>
      </c>
      <c r="G30" s="122">
        <v>10228</v>
      </c>
      <c r="H30" s="139"/>
      <c r="I30" s="139"/>
      <c r="P30" s="25"/>
    </row>
    <row r="31" spans="2:16">
      <c r="B31" s="217" t="s">
        <v>297</v>
      </c>
      <c r="C31" s="35" t="s">
        <v>298</v>
      </c>
      <c r="D31" s="27" t="s">
        <v>107</v>
      </c>
      <c r="E31" s="27" t="s">
        <v>1</v>
      </c>
      <c r="F31" s="121" t="s">
        <v>1</v>
      </c>
      <c r="G31" s="122">
        <v>37257</v>
      </c>
      <c r="H31" s="139"/>
      <c r="I31" s="139"/>
      <c r="P31" s="25"/>
    </row>
    <row r="32" spans="2:16">
      <c r="B32" s="217" t="s">
        <v>222</v>
      </c>
      <c r="C32" s="35" t="s">
        <v>311</v>
      </c>
      <c r="D32" s="27" t="s">
        <v>107</v>
      </c>
      <c r="E32" s="27" t="s">
        <v>1</v>
      </c>
      <c r="F32" s="121" t="s">
        <v>1</v>
      </c>
      <c r="G32" s="122">
        <v>42433</v>
      </c>
      <c r="H32" s="139"/>
      <c r="I32" s="139"/>
      <c r="P32" s="25"/>
    </row>
    <row r="33" spans="2:16">
      <c r="B33" s="217" t="s">
        <v>130</v>
      </c>
      <c r="C33" s="35" t="s">
        <v>258</v>
      </c>
      <c r="D33" s="27" t="s">
        <v>107</v>
      </c>
      <c r="E33" s="27" t="s">
        <v>1</v>
      </c>
      <c r="F33" s="121" t="s">
        <v>1</v>
      </c>
      <c r="G33" s="122">
        <v>38974</v>
      </c>
      <c r="H33" s="139"/>
      <c r="I33" s="139"/>
      <c r="P33" s="25"/>
    </row>
    <row r="34" spans="2:16">
      <c r="B34" s="217" t="s">
        <v>223</v>
      </c>
      <c r="C34" s="35" t="s">
        <v>142</v>
      </c>
      <c r="D34" s="27" t="s">
        <v>114</v>
      </c>
      <c r="E34" s="27" t="s">
        <v>1</v>
      </c>
      <c r="F34" s="121" t="s">
        <v>1</v>
      </c>
      <c r="G34" s="122">
        <v>20271</v>
      </c>
      <c r="H34" s="139"/>
      <c r="I34" s="139"/>
      <c r="P34" s="25"/>
    </row>
    <row r="35" spans="2:16">
      <c r="B35" s="217" t="s">
        <v>224</v>
      </c>
      <c r="C35" s="35" t="s">
        <v>144</v>
      </c>
      <c r="D35" s="27" t="s">
        <v>114</v>
      </c>
      <c r="E35" s="27" t="s">
        <v>1</v>
      </c>
      <c r="F35" s="121" t="s">
        <v>1</v>
      </c>
      <c r="G35" s="122">
        <v>20760</v>
      </c>
      <c r="H35" s="139"/>
      <c r="I35" s="139"/>
      <c r="P35" s="25"/>
    </row>
    <row r="36" spans="2:16">
      <c r="B36" s="217" t="s">
        <v>291</v>
      </c>
      <c r="C36" s="35" t="s">
        <v>292</v>
      </c>
      <c r="D36" s="27" t="s">
        <v>107</v>
      </c>
      <c r="E36" s="27" t="s">
        <v>1</v>
      </c>
      <c r="F36" s="121" t="s">
        <v>1</v>
      </c>
      <c r="G36" s="122">
        <v>40968</v>
      </c>
      <c r="H36" s="139"/>
      <c r="I36" s="139"/>
      <c r="P36" s="25"/>
    </row>
    <row r="37" spans="2:16">
      <c r="B37" s="217" t="s">
        <v>131</v>
      </c>
      <c r="C37" s="35" t="s">
        <v>132</v>
      </c>
      <c r="D37" s="27" t="s">
        <v>107</v>
      </c>
      <c r="E37" s="27" t="s">
        <v>1</v>
      </c>
      <c r="F37" s="121" t="s">
        <v>1</v>
      </c>
      <c r="G37" s="122">
        <v>39295</v>
      </c>
      <c r="H37" s="139"/>
      <c r="I37" s="139"/>
      <c r="P37" s="25"/>
    </row>
    <row r="38" spans="2:16">
      <c r="B38" s="217" t="s">
        <v>133</v>
      </c>
      <c r="C38" s="35" t="s">
        <v>134</v>
      </c>
      <c r="D38" s="27" t="s">
        <v>107</v>
      </c>
      <c r="E38" s="27" t="s">
        <v>1</v>
      </c>
      <c r="F38" s="121" t="s">
        <v>1</v>
      </c>
      <c r="G38" s="122">
        <v>39627</v>
      </c>
      <c r="H38" s="139"/>
      <c r="I38" s="139"/>
      <c r="P38" s="25"/>
    </row>
    <row r="39" spans="2:16">
      <c r="B39" s="217" t="s">
        <v>225</v>
      </c>
      <c r="C39" s="35" t="s">
        <v>246</v>
      </c>
      <c r="D39" s="27" t="s">
        <v>107</v>
      </c>
      <c r="E39" s="27" t="s">
        <v>1</v>
      </c>
      <c r="F39" s="121" t="s">
        <v>1</v>
      </c>
      <c r="G39" s="122">
        <v>40085</v>
      </c>
      <c r="H39" s="139"/>
      <c r="I39" s="139"/>
      <c r="P39" s="25"/>
    </row>
    <row r="40" spans="2:16">
      <c r="B40" s="217" t="s">
        <v>299</v>
      </c>
      <c r="C40" s="35" t="s">
        <v>300</v>
      </c>
      <c r="D40" s="27" t="s">
        <v>107</v>
      </c>
      <c r="E40" s="27" t="s">
        <v>1</v>
      </c>
      <c r="F40" s="121" t="s">
        <v>1</v>
      </c>
      <c r="G40" s="122">
        <v>41265</v>
      </c>
      <c r="H40" s="139"/>
      <c r="I40" s="139"/>
      <c r="P40" s="25"/>
    </row>
    <row r="41" spans="2:16">
      <c r="B41" s="217" t="s">
        <v>301</v>
      </c>
      <c r="C41" s="35" t="s">
        <v>302</v>
      </c>
      <c r="D41" s="27" t="s">
        <v>107</v>
      </c>
      <c r="E41" s="27" t="s">
        <v>1</v>
      </c>
      <c r="F41" s="121" t="s">
        <v>1</v>
      </c>
      <c r="G41" s="122">
        <v>41254</v>
      </c>
      <c r="H41" s="139"/>
      <c r="I41" s="139"/>
      <c r="P41" s="25"/>
    </row>
    <row r="42" spans="2:16">
      <c r="B42" s="217" t="s">
        <v>226</v>
      </c>
      <c r="C42" s="35" t="s">
        <v>247</v>
      </c>
      <c r="D42" s="27" t="s">
        <v>107</v>
      </c>
      <c r="E42" s="27" t="s">
        <v>1</v>
      </c>
      <c r="F42" s="121" t="s">
        <v>1</v>
      </c>
      <c r="G42" s="122">
        <v>39630</v>
      </c>
      <c r="H42" s="139"/>
      <c r="I42" s="139"/>
      <c r="P42" s="25"/>
    </row>
    <row r="43" spans="2:16">
      <c r="B43" s="217" t="s">
        <v>227</v>
      </c>
      <c r="C43" s="35" t="s">
        <v>248</v>
      </c>
      <c r="D43" s="27" t="s">
        <v>107</v>
      </c>
      <c r="E43" s="27" t="s">
        <v>1</v>
      </c>
      <c r="F43" s="121" t="s">
        <v>1</v>
      </c>
      <c r="G43" s="122">
        <v>39720</v>
      </c>
      <c r="H43" s="139"/>
      <c r="I43" s="139"/>
      <c r="P43" s="25"/>
    </row>
    <row r="44" spans="2:16">
      <c r="B44" s="217" t="s">
        <v>281</v>
      </c>
      <c r="C44" s="35" t="s">
        <v>282</v>
      </c>
      <c r="D44" s="27" t="s">
        <v>107</v>
      </c>
      <c r="E44" s="27" t="s">
        <v>1</v>
      </c>
      <c r="F44" s="121" t="s">
        <v>1</v>
      </c>
      <c r="G44" s="122">
        <v>37500</v>
      </c>
      <c r="H44" s="139"/>
      <c r="I44" s="139"/>
      <c r="P44" s="25"/>
    </row>
    <row r="45" spans="2:16">
      <c r="B45" s="217" t="s">
        <v>303</v>
      </c>
      <c r="C45" s="35" t="s">
        <v>304</v>
      </c>
      <c r="D45" s="27" t="s">
        <v>107</v>
      </c>
      <c r="E45" s="27" t="s">
        <v>1</v>
      </c>
      <c r="F45" s="121" t="s">
        <v>1</v>
      </c>
      <c r="G45" s="122">
        <v>39569</v>
      </c>
      <c r="H45" s="139"/>
      <c r="I45" s="139"/>
      <c r="P45" s="25"/>
    </row>
    <row r="46" spans="2:16">
      <c r="B46" s="217" t="s">
        <v>228</v>
      </c>
      <c r="C46" s="35" t="s">
        <v>184</v>
      </c>
      <c r="D46" s="27" t="s">
        <v>108</v>
      </c>
      <c r="E46" s="27" t="s">
        <v>1</v>
      </c>
      <c r="F46" s="121" t="s">
        <v>1</v>
      </c>
      <c r="G46" s="122">
        <v>42368</v>
      </c>
      <c r="H46" s="139"/>
      <c r="I46" s="139"/>
      <c r="P46" s="25"/>
    </row>
    <row r="47" spans="2:16">
      <c r="B47" s="217" t="s">
        <v>229</v>
      </c>
      <c r="C47" s="35" t="s">
        <v>249</v>
      </c>
      <c r="D47" s="27" t="s">
        <v>108</v>
      </c>
      <c r="E47" s="27" t="s">
        <v>1</v>
      </c>
      <c r="F47" s="121" t="s">
        <v>1</v>
      </c>
      <c r="G47" s="122">
        <v>42696</v>
      </c>
      <c r="H47" s="139"/>
      <c r="I47" s="139"/>
      <c r="P47" s="25"/>
    </row>
    <row r="48" spans="2:16">
      <c r="B48" s="217" t="s">
        <v>230</v>
      </c>
      <c r="C48" s="35" t="s">
        <v>250</v>
      </c>
      <c r="D48" s="27" t="s">
        <v>107</v>
      </c>
      <c r="E48" s="27" t="s">
        <v>1</v>
      </c>
      <c r="F48" s="121" t="s">
        <v>1</v>
      </c>
      <c r="G48" s="122">
        <v>42670</v>
      </c>
      <c r="H48" s="139"/>
      <c r="I48" s="139"/>
      <c r="P48" s="25"/>
    </row>
    <row r="49" spans="2:16">
      <c r="B49" s="217" t="s">
        <v>231</v>
      </c>
      <c r="C49" s="35" t="s">
        <v>140</v>
      </c>
      <c r="D49" s="27" t="s">
        <v>114</v>
      </c>
      <c r="E49" s="27" t="s">
        <v>1</v>
      </c>
      <c r="F49" s="121" t="s">
        <v>1</v>
      </c>
      <c r="G49" s="122">
        <v>10228</v>
      </c>
      <c r="H49" s="139"/>
      <c r="I49" s="139"/>
      <c r="P49" s="25"/>
    </row>
    <row r="50" spans="2:16">
      <c r="B50" s="217" t="s">
        <v>232</v>
      </c>
      <c r="C50" s="35" t="s">
        <v>251</v>
      </c>
      <c r="D50" s="27" t="s">
        <v>107</v>
      </c>
      <c r="E50" s="27" t="s">
        <v>1</v>
      </c>
      <c r="F50" s="121" t="s">
        <v>1</v>
      </c>
      <c r="G50" s="122">
        <v>37203</v>
      </c>
      <c r="H50" s="139"/>
      <c r="I50" s="139"/>
      <c r="P50" s="25"/>
    </row>
    <row r="51" spans="2:16">
      <c r="B51" s="217" t="s">
        <v>163</v>
      </c>
      <c r="C51" s="35" t="s">
        <v>164</v>
      </c>
      <c r="D51" s="27" t="s">
        <v>107</v>
      </c>
      <c r="E51" s="27" t="s">
        <v>1</v>
      </c>
      <c r="F51" s="121" t="s">
        <v>1</v>
      </c>
      <c r="G51" s="122">
        <v>39830</v>
      </c>
      <c r="H51" s="139"/>
      <c r="I51" s="139"/>
      <c r="P51" s="25"/>
    </row>
    <row r="52" spans="2:16">
      <c r="B52" s="217" t="s">
        <v>233</v>
      </c>
      <c r="C52" s="35" t="s">
        <v>252</v>
      </c>
      <c r="D52" s="27" t="s">
        <v>108</v>
      </c>
      <c r="E52" s="27" t="s">
        <v>1</v>
      </c>
      <c r="F52" s="121" t="s">
        <v>1</v>
      </c>
      <c r="G52" s="122">
        <v>43738</v>
      </c>
      <c r="H52" s="139"/>
      <c r="I52" s="139"/>
      <c r="P52" s="25"/>
    </row>
    <row r="53" spans="2:16">
      <c r="B53" s="217" t="s">
        <v>234</v>
      </c>
      <c r="C53" s="35" t="s">
        <v>253</v>
      </c>
      <c r="D53" s="27" t="s">
        <v>108</v>
      </c>
      <c r="E53" s="27" t="s">
        <v>1</v>
      </c>
      <c r="F53" s="121" t="s">
        <v>1</v>
      </c>
      <c r="G53" s="122">
        <v>43721</v>
      </c>
      <c r="H53" s="139"/>
      <c r="I53" s="139"/>
      <c r="P53" s="25"/>
    </row>
    <row r="54" spans="2:16">
      <c r="B54" s="217" t="s">
        <v>235</v>
      </c>
      <c r="C54" s="35" t="s">
        <v>254</v>
      </c>
      <c r="D54" s="27" t="s">
        <v>108</v>
      </c>
      <c r="E54" s="27" t="s">
        <v>1</v>
      </c>
      <c r="F54" s="121" t="s">
        <v>1</v>
      </c>
      <c r="G54" s="122">
        <v>43721</v>
      </c>
      <c r="H54" s="139"/>
      <c r="I54" s="139"/>
      <c r="P54" s="25"/>
    </row>
    <row r="55" spans="2:16">
      <c r="B55" s="217" t="s">
        <v>166</v>
      </c>
      <c r="C55" s="35" t="s">
        <v>167</v>
      </c>
      <c r="D55" s="27" t="s">
        <v>107</v>
      </c>
      <c r="E55" s="27" t="s">
        <v>1</v>
      </c>
      <c r="F55" s="121" t="s">
        <v>1</v>
      </c>
      <c r="G55" s="122">
        <v>39813</v>
      </c>
      <c r="H55" s="139"/>
      <c r="I55" s="139"/>
      <c r="P55" s="25"/>
    </row>
    <row r="56" spans="2:16">
      <c r="B56" s="217" t="s">
        <v>307</v>
      </c>
      <c r="C56" s="35" t="s">
        <v>308</v>
      </c>
      <c r="D56" s="27" t="s">
        <v>107</v>
      </c>
      <c r="E56" s="27" t="s">
        <v>1</v>
      </c>
      <c r="F56" s="121" t="s">
        <v>1</v>
      </c>
      <c r="G56" s="122">
        <v>39813</v>
      </c>
      <c r="H56" s="139"/>
      <c r="I56" s="139"/>
      <c r="P56" s="25"/>
    </row>
    <row r="57" spans="2:16">
      <c r="B57" s="217" t="s">
        <v>283</v>
      </c>
      <c r="C57" s="35" t="s">
        <v>284</v>
      </c>
      <c r="D57" s="27" t="s">
        <v>112</v>
      </c>
      <c r="E57" s="27" t="s">
        <v>1</v>
      </c>
      <c r="F57" s="121" t="s">
        <v>1</v>
      </c>
      <c r="G57" s="122">
        <v>37695</v>
      </c>
      <c r="H57" s="139"/>
      <c r="I57" s="139"/>
      <c r="P57" s="25"/>
    </row>
    <row r="58" spans="2:16">
      <c r="B58" s="217" t="s">
        <v>305</v>
      </c>
      <c r="C58" s="35" t="s">
        <v>306</v>
      </c>
      <c r="D58" s="27" t="s">
        <v>107</v>
      </c>
      <c r="E58" s="27" t="s">
        <v>1</v>
      </c>
      <c r="F58" s="121" t="s">
        <v>1</v>
      </c>
      <c r="G58" s="122">
        <v>37239</v>
      </c>
      <c r="H58" s="139"/>
      <c r="I58" s="139"/>
      <c r="P58" s="25"/>
    </row>
    <row r="59" spans="2:16">
      <c r="B59" s="217" t="s">
        <v>236</v>
      </c>
      <c r="C59" s="35" t="s">
        <v>255</v>
      </c>
      <c r="D59" s="27" t="s">
        <v>108</v>
      </c>
      <c r="E59" s="27" t="s">
        <v>1</v>
      </c>
      <c r="F59" s="121" t="s">
        <v>1</v>
      </c>
      <c r="G59" s="122">
        <v>43462</v>
      </c>
      <c r="H59" s="139"/>
      <c r="I59" s="139"/>
      <c r="P59" s="25"/>
    </row>
    <row r="60" spans="2:16">
      <c r="B60" s="217" t="s">
        <v>155</v>
      </c>
      <c r="C60" s="35" t="s">
        <v>156</v>
      </c>
      <c r="D60" s="27" t="s">
        <v>107</v>
      </c>
      <c r="E60" s="27" t="s">
        <v>1</v>
      </c>
      <c r="F60" s="121" t="s">
        <v>1</v>
      </c>
      <c r="G60" s="122">
        <v>40452</v>
      </c>
      <c r="H60" s="139"/>
      <c r="I60" s="139"/>
      <c r="P60" s="25"/>
    </row>
    <row r="61" spans="2:16">
      <c r="B61" s="217" t="s">
        <v>270</v>
      </c>
      <c r="C61" s="35" t="s">
        <v>165</v>
      </c>
      <c r="D61" s="27" t="s">
        <v>107</v>
      </c>
      <c r="E61" s="27" t="s">
        <v>1</v>
      </c>
      <c r="F61" s="121" t="s">
        <v>1</v>
      </c>
      <c r="G61" s="122" t="s">
        <v>165</v>
      </c>
      <c r="H61" s="139"/>
      <c r="I61" s="139"/>
      <c r="P61" s="25"/>
    </row>
    <row r="62" spans="2:16">
      <c r="B62" s="217" t="s">
        <v>271</v>
      </c>
      <c r="C62" s="35" t="s">
        <v>165</v>
      </c>
      <c r="D62" s="27" t="s">
        <v>107</v>
      </c>
      <c r="E62" s="27" t="s">
        <v>1</v>
      </c>
      <c r="F62" s="121" t="s">
        <v>1</v>
      </c>
      <c r="G62" s="122" t="s">
        <v>165</v>
      </c>
      <c r="H62" s="139"/>
      <c r="I62" s="139"/>
      <c r="P62" s="25"/>
    </row>
    <row r="63" spans="2:16">
      <c r="B63" s="217" t="s">
        <v>276</v>
      </c>
      <c r="C63" s="35" t="s">
        <v>277</v>
      </c>
      <c r="D63" s="27" t="s">
        <v>107</v>
      </c>
      <c r="E63" s="27" t="s">
        <v>1</v>
      </c>
      <c r="F63" s="121" t="s">
        <v>1</v>
      </c>
      <c r="G63" s="122">
        <v>40312</v>
      </c>
      <c r="H63" s="139"/>
      <c r="I63" s="139"/>
      <c r="P63" s="25"/>
    </row>
    <row r="64" spans="2:16">
      <c r="B64" s="217" t="s">
        <v>279</v>
      </c>
      <c r="C64" s="35" t="s">
        <v>280</v>
      </c>
      <c r="D64" s="27" t="s">
        <v>114</v>
      </c>
      <c r="E64" s="27" t="s">
        <v>1</v>
      </c>
      <c r="F64" s="121" t="s">
        <v>1</v>
      </c>
      <c r="G64" s="122">
        <v>23193</v>
      </c>
      <c r="H64" s="336"/>
      <c r="I64" s="336"/>
      <c r="P64" s="2"/>
    </row>
    <row r="65" spans="1:16">
      <c r="B65" s="217" t="s">
        <v>237</v>
      </c>
      <c r="C65" s="35" t="s">
        <v>256</v>
      </c>
      <c r="D65" s="27" t="s">
        <v>107</v>
      </c>
      <c r="E65" s="27" t="s">
        <v>1</v>
      </c>
      <c r="F65" s="121" t="s">
        <v>1</v>
      </c>
      <c r="G65" s="122">
        <v>38760</v>
      </c>
      <c r="H65" s="139"/>
      <c r="I65" s="139"/>
      <c r="P65" s="25"/>
    </row>
    <row r="66" spans="1:16" ht="15" thickBot="1">
      <c r="B66" s="304"/>
      <c r="C66" s="305"/>
      <c r="D66" s="306"/>
      <c r="E66" s="306"/>
      <c r="F66" s="307"/>
      <c r="G66" s="308"/>
      <c r="H66" s="139"/>
      <c r="I66" s="139"/>
      <c r="P66" s="25"/>
    </row>
    <row r="67" spans="1:16" ht="16.5" customHeight="1">
      <c r="B67" s="388"/>
      <c r="C67" s="388"/>
      <c r="D67" s="388"/>
      <c r="E67" s="388"/>
      <c r="F67" s="388"/>
      <c r="G67" s="388"/>
    </row>
    <row r="68" spans="1:16" ht="31.5" customHeight="1" thickBot="1">
      <c r="B68" s="389" t="s">
        <v>127</v>
      </c>
      <c r="C68" s="389"/>
      <c r="D68" s="389"/>
      <c r="E68" s="389"/>
      <c r="F68" s="389"/>
      <c r="G68" s="389"/>
      <c r="J68" s="194"/>
      <c r="K68" s="194"/>
      <c r="L68" s="194"/>
      <c r="M68" s="194"/>
      <c r="N68" s="194"/>
      <c r="O68" s="30"/>
    </row>
    <row r="69" spans="1:16" ht="15" thickBot="1">
      <c r="A69" s="8"/>
      <c r="B69" s="8"/>
      <c r="C69" s="8"/>
      <c r="D69" s="8"/>
      <c r="E69" s="8"/>
      <c r="F69" s="8"/>
      <c r="G69" s="8"/>
      <c r="H69" s="8"/>
      <c r="I69" s="8"/>
      <c r="J69" s="8"/>
      <c r="K69" s="8"/>
      <c r="L69" s="8"/>
      <c r="M69" s="8"/>
      <c r="N69" s="8"/>
    </row>
    <row r="70" spans="1:16" ht="21.5" thickBot="1">
      <c r="A70" s="13" t="s">
        <v>4</v>
      </c>
      <c r="B70" s="13"/>
      <c r="C70" s="313" t="s">
        <v>178</v>
      </c>
      <c r="D70" s="310"/>
      <c r="E70" s="23"/>
      <c r="F70" s="23"/>
    </row>
    <row r="72" spans="1:16" ht="18.5">
      <c r="A72" s="9" t="s">
        <v>21</v>
      </c>
      <c r="B72" s="9"/>
      <c r="D72" s="2">
        <v>2011</v>
      </c>
      <c r="E72" s="2">
        <f>D72+1</f>
        <v>2012</v>
      </c>
      <c r="F72" s="2">
        <f t="shared" ref="F72:N72" si="0">E72+1</f>
        <v>2013</v>
      </c>
      <c r="G72" s="2">
        <f t="shared" si="0"/>
        <v>2014</v>
      </c>
      <c r="H72" s="2">
        <f t="shared" si="0"/>
        <v>2015</v>
      </c>
      <c r="I72" s="2">
        <f t="shared" si="0"/>
        <v>2016</v>
      </c>
      <c r="J72" s="2">
        <f t="shared" si="0"/>
        <v>2017</v>
      </c>
      <c r="K72" s="2">
        <f t="shared" si="0"/>
        <v>2018</v>
      </c>
      <c r="L72" s="2">
        <f t="shared" si="0"/>
        <v>2019</v>
      </c>
      <c r="M72" s="2">
        <f t="shared" si="0"/>
        <v>2020</v>
      </c>
      <c r="N72" s="2">
        <f t="shared" si="0"/>
        <v>2021</v>
      </c>
    </row>
    <row r="73" spans="1:16">
      <c r="B73" s="79" t="str">
        <f>"Total MWh Produced / Purchased from " &amp; C70</f>
        <v>Total MWh Produced / Purchased from Adams Solar</v>
      </c>
      <c r="C73" s="71"/>
      <c r="D73" s="3"/>
      <c r="E73" s="4"/>
      <c r="F73" s="4"/>
      <c r="G73" s="4"/>
      <c r="H73" s="4"/>
      <c r="I73" s="4"/>
      <c r="J73" s="4"/>
      <c r="K73" s="4">
        <v>12016.505000000001</v>
      </c>
      <c r="L73" s="4">
        <v>20764</v>
      </c>
      <c r="M73" s="4">
        <v>22810</v>
      </c>
      <c r="N73" s="4">
        <v>20726</v>
      </c>
    </row>
    <row r="74" spans="1:16">
      <c r="B74" s="79" t="s">
        <v>25</v>
      </c>
      <c r="C74" s="71"/>
      <c r="D74" s="54"/>
      <c r="E74" s="55"/>
      <c r="F74" s="55"/>
      <c r="G74" s="55"/>
      <c r="H74" s="55"/>
      <c r="I74" s="55"/>
      <c r="J74" s="55"/>
      <c r="K74" s="55">
        <v>1</v>
      </c>
      <c r="L74" s="55">
        <v>1</v>
      </c>
      <c r="M74" s="55">
        <v>1</v>
      </c>
      <c r="N74" s="55">
        <v>1</v>
      </c>
    </row>
    <row r="75" spans="1:16">
      <c r="B75" s="79" t="s">
        <v>20</v>
      </c>
      <c r="C75" s="71"/>
      <c r="D75" s="48"/>
      <c r="E75" s="49"/>
      <c r="F75" s="49"/>
      <c r="G75" s="49"/>
      <c r="H75" s="49"/>
      <c r="I75" s="49"/>
      <c r="J75" s="49"/>
      <c r="K75" s="49">
        <v>0.22007817037432531</v>
      </c>
      <c r="L75" s="49">
        <v>0.2223660721260575</v>
      </c>
      <c r="M75" s="49">
        <v>0.22351563443464154</v>
      </c>
      <c r="N75" s="49">
        <v>0.22326821036945171</v>
      </c>
    </row>
    <row r="76" spans="1:16">
      <c r="B76" s="76" t="s">
        <v>22</v>
      </c>
      <c r="C76" s="77"/>
      <c r="D76" s="37">
        <v>0</v>
      </c>
      <c r="E76" s="37">
        <v>0</v>
      </c>
      <c r="F76" s="37">
        <v>0</v>
      </c>
      <c r="G76" s="37">
        <v>0</v>
      </c>
      <c r="H76" s="37">
        <v>0</v>
      </c>
      <c r="I76" s="229">
        <v>0</v>
      </c>
      <c r="J76" s="229">
        <f>J73*J75</f>
        <v>0</v>
      </c>
      <c r="K76" s="229">
        <v>588</v>
      </c>
      <c r="L76" s="229">
        <f>L73*L75</f>
        <v>4617.2091216254576</v>
      </c>
      <c r="M76" s="229">
        <f>M73*M75</f>
        <v>5098.3916214541732</v>
      </c>
      <c r="N76" s="229">
        <f>N73*N75</f>
        <v>4627.4569281172562</v>
      </c>
    </row>
    <row r="77" spans="1:16">
      <c r="B77" s="23"/>
      <c r="C77" s="30"/>
      <c r="D77" s="36"/>
      <c r="E77" s="36"/>
      <c r="F77" s="36"/>
      <c r="G77" s="36"/>
      <c r="H77" s="36"/>
      <c r="I77" s="24"/>
      <c r="J77" s="24"/>
      <c r="K77" s="24"/>
      <c r="L77" s="24"/>
      <c r="M77" s="24"/>
      <c r="N77" s="24"/>
    </row>
    <row r="78" spans="1:16" ht="18.5">
      <c r="A78" s="42" t="s">
        <v>119</v>
      </c>
      <c r="C78" s="30"/>
      <c r="D78" s="2">
        <v>2011</v>
      </c>
      <c r="E78" s="2">
        <f>D78+1</f>
        <v>2012</v>
      </c>
      <c r="F78" s="2">
        <f t="shared" ref="F78:N78" si="1">E78+1</f>
        <v>2013</v>
      </c>
      <c r="G78" s="2">
        <f t="shared" si="1"/>
        <v>2014</v>
      </c>
      <c r="H78" s="2">
        <f t="shared" si="1"/>
        <v>2015</v>
      </c>
      <c r="I78" s="2">
        <f t="shared" si="1"/>
        <v>2016</v>
      </c>
      <c r="J78" s="2">
        <f t="shared" si="1"/>
        <v>2017</v>
      </c>
      <c r="K78" s="2">
        <f t="shared" si="1"/>
        <v>2018</v>
      </c>
      <c r="L78" s="2">
        <f t="shared" si="1"/>
        <v>2019</v>
      </c>
      <c r="M78" s="2">
        <f t="shared" si="1"/>
        <v>2020</v>
      </c>
      <c r="N78" s="2">
        <f t="shared" si="1"/>
        <v>2021</v>
      </c>
    </row>
    <row r="79" spans="1:16">
      <c r="B79" s="79" t="s">
        <v>10</v>
      </c>
      <c r="C79" s="71"/>
      <c r="D79" s="51">
        <f>IF($E2 = "Eligible", D76 * 'Facility Detail'!$B$3079, 0 )</f>
        <v>0</v>
      </c>
      <c r="E79" s="51">
        <f>IF($E2 = "Eligible", E76 * 'Facility Detail'!$B$3079, 0 )</f>
        <v>0</v>
      </c>
      <c r="F79" s="51">
        <f>IF($E2 = "Eligible", F76 * 'Facility Detail'!$B$3079, 0 )</f>
        <v>0</v>
      </c>
      <c r="G79" s="51">
        <f>IF($E2 = "Eligible", G76 * 'Facility Detail'!$B$3079, 0 )</f>
        <v>0</v>
      </c>
      <c r="H79" s="51">
        <f>IF($E2 = "Eligible", H76 * 'Facility Detail'!$B$3079, 0 )</f>
        <v>0</v>
      </c>
      <c r="I79" s="51">
        <f>IF($E2 = "Eligible", I76 * 'Facility Detail'!$B$3079, 0 )</f>
        <v>0</v>
      </c>
      <c r="J79" s="51">
        <f>IF($E2 = "Eligible", J76 * 'Facility Detail'!$B$3079, 0 )</f>
        <v>0</v>
      </c>
      <c r="K79" s="51">
        <f>IF($E2 = "Eligible", K76 * 'Facility Detail'!$B$3079, 0 )</f>
        <v>0</v>
      </c>
      <c r="L79" s="51">
        <f>IF($E2 = "Eligible", L76 * 'Facility Detail'!$B$3079, 0 )</f>
        <v>0</v>
      </c>
      <c r="M79" s="51">
        <f>IF($E2 = "Eligible", M76 * 'Facility Detail'!$B$3079, 0 )</f>
        <v>0</v>
      </c>
      <c r="N79" s="51">
        <f>IF($E2 = "Eligible", N76 * 'Facility Detail'!$B$3079, 0 )</f>
        <v>0</v>
      </c>
    </row>
    <row r="80" spans="1:16">
      <c r="B80" s="79" t="s">
        <v>6</v>
      </c>
      <c r="C80" s="71"/>
      <c r="D80" s="52">
        <f t="shared" ref="D80:N80" si="2">IF($F2 = "Eligible", D76, 0 )</f>
        <v>0</v>
      </c>
      <c r="E80" s="52">
        <f t="shared" si="2"/>
        <v>0</v>
      </c>
      <c r="F80" s="52">
        <f t="shared" si="2"/>
        <v>0</v>
      </c>
      <c r="G80" s="52">
        <f t="shared" si="2"/>
        <v>0</v>
      </c>
      <c r="H80" s="52">
        <f t="shared" si="2"/>
        <v>0</v>
      </c>
      <c r="I80" s="52">
        <f t="shared" si="2"/>
        <v>0</v>
      </c>
      <c r="J80" s="52">
        <f t="shared" si="2"/>
        <v>0</v>
      </c>
      <c r="K80" s="52">
        <f t="shared" si="2"/>
        <v>0</v>
      </c>
      <c r="L80" s="52">
        <f t="shared" si="2"/>
        <v>0</v>
      </c>
      <c r="M80" s="52">
        <f t="shared" si="2"/>
        <v>0</v>
      </c>
      <c r="N80" s="52">
        <f t="shared" si="2"/>
        <v>0</v>
      </c>
    </row>
    <row r="81" spans="1:14">
      <c r="B81" s="78" t="s">
        <v>121</v>
      </c>
      <c r="C81" s="77"/>
      <c r="D81" s="39">
        <f>SUM(D79:D80)</f>
        <v>0</v>
      </c>
      <c r="E81" s="39">
        <f t="shared" ref="E81:N81" si="3">SUM(E79:E80)</f>
        <v>0</v>
      </c>
      <c r="F81" s="39">
        <f t="shared" si="3"/>
        <v>0</v>
      </c>
      <c r="G81" s="39">
        <f t="shared" si="3"/>
        <v>0</v>
      </c>
      <c r="H81" s="39">
        <f t="shared" si="3"/>
        <v>0</v>
      </c>
      <c r="I81" s="39">
        <f t="shared" si="3"/>
        <v>0</v>
      </c>
      <c r="J81" s="39">
        <f t="shared" si="3"/>
        <v>0</v>
      </c>
      <c r="K81" s="39">
        <f t="shared" si="3"/>
        <v>0</v>
      </c>
      <c r="L81" s="39">
        <f t="shared" si="3"/>
        <v>0</v>
      </c>
      <c r="M81" s="39">
        <f t="shared" si="3"/>
        <v>0</v>
      </c>
      <c r="N81" s="39">
        <f t="shared" si="3"/>
        <v>0</v>
      </c>
    </row>
    <row r="82" spans="1:14">
      <c r="B82" s="30"/>
      <c r="C82" s="30"/>
      <c r="D82" s="38"/>
      <c r="E82" s="31"/>
      <c r="F82" s="31"/>
      <c r="G82" s="31"/>
      <c r="H82" s="31"/>
      <c r="I82" s="31"/>
      <c r="J82" s="31"/>
      <c r="K82" s="31"/>
      <c r="L82" s="31"/>
      <c r="M82" s="31"/>
      <c r="N82" s="31"/>
    </row>
    <row r="83" spans="1:14" ht="18.5">
      <c r="A83" s="41" t="s">
        <v>30</v>
      </c>
      <c r="C83" s="30"/>
      <c r="D83" s="2">
        <v>2011</v>
      </c>
      <c r="E83" s="2">
        <f>D83+1</f>
        <v>2012</v>
      </c>
      <c r="F83" s="2">
        <f t="shared" ref="F83:N83" si="4">E83+1</f>
        <v>2013</v>
      </c>
      <c r="G83" s="2">
        <f t="shared" si="4"/>
        <v>2014</v>
      </c>
      <c r="H83" s="2">
        <f t="shared" si="4"/>
        <v>2015</v>
      </c>
      <c r="I83" s="2">
        <f t="shared" si="4"/>
        <v>2016</v>
      </c>
      <c r="J83" s="2">
        <f t="shared" si="4"/>
        <v>2017</v>
      </c>
      <c r="K83" s="2">
        <f t="shared" si="4"/>
        <v>2018</v>
      </c>
      <c r="L83" s="2">
        <f t="shared" si="4"/>
        <v>2019</v>
      </c>
      <c r="M83" s="2">
        <f t="shared" si="4"/>
        <v>2020</v>
      </c>
      <c r="N83" s="2">
        <f t="shared" si="4"/>
        <v>2021</v>
      </c>
    </row>
    <row r="84" spans="1:14">
      <c r="B84" s="79" t="s">
        <v>47</v>
      </c>
      <c r="C84" s="71"/>
      <c r="D84" s="89"/>
      <c r="E84" s="90"/>
      <c r="F84" s="90"/>
      <c r="G84" s="90"/>
      <c r="H84" s="90"/>
      <c r="I84" s="90"/>
      <c r="J84" s="90"/>
      <c r="K84" s="90"/>
      <c r="L84" s="90"/>
      <c r="M84" s="90"/>
      <c r="N84" s="90"/>
    </row>
    <row r="85" spans="1:14">
      <c r="B85" s="80" t="s">
        <v>23</v>
      </c>
      <c r="C85" s="175"/>
      <c r="D85" s="92"/>
      <c r="E85" s="93"/>
      <c r="F85" s="93"/>
      <c r="G85" s="93"/>
      <c r="H85" s="93"/>
      <c r="I85" s="93"/>
      <c r="J85" s="93"/>
      <c r="K85" s="93"/>
      <c r="L85" s="93"/>
      <c r="M85" s="93"/>
      <c r="N85" s="93"/>
    </row>
    <row r="86" spans="1:14">
      <c r="B86" s="95" t="s">
        <v>89</v>
      </c>
      <c r="C86" s="173"/>
      <c r="D86" s="57"/>
      <c r="E86" s="58"/>
      <c r="F86" s="58"/>
      <c r="G86" s="58"/>
      <c r="H86" s="58"/>
      <c r="I86" s="58"/>
      <c r="J86" s="58"/>
      <c r="K86" s="58"/>
      <c r="L86" s="58"/>
      <c r="M86" s="58"/>
      <c r="N86" s="58"/>
    </row>
    <row r="87" spans="1:14">
      <c r="B87" s="33" t="s">
        <v>90</v>
      </c>
      <c r="D87" s="7">
        <v>0</v>
      </c>
      <c r="E87" s="7">
        <v>0</v>
      </c>
      <c r="F87" s="7">
        <v>0</v>
      </c>
      <c r="G87" s="7">
        <v>0</v>
      </c>
      <c r="H87" s="7">
        <v>0</v>
      </c>
      <c r="I87" s="7">
        <v>0</v>
      </c>
      <c r="J87" s="7">
        <v>0</v>
      </c>
      <c r="K87" s="7">
        <v>0</v>
      </c>
      <c r="L87" s="7">
        <v>0</v>
      </c>
      <c r="M87" s="7">
        <v>0</v>
      </c>
      <c r="N87" s="7">
        <v>0</v>
      </c>
    </row>
    <row r="88" spans="1:14">
      <c r="B88" s="6"/>
      <c r="D88" s="7"/>
      <c r="E88" s="7"/>
      <c r="F88" s="7"/>
      <c r="G88" s="28"/>
      <c r="H88" s="28"/>
      <c r="I88" s="28"/>
      <c r="J88" s="28"/>
      <c r="K88" s="28"/>
      <c r="L88" s="28"/>
      <c r="M88" s="28"/>
      <c r="N88" s="28"/>
    </row>
    <row r="89" spans="1:14" ht="18.5">
      <c r="A89" s="9" t="s">
        <v>100</v>
      </c>
      <c r="D89" s="2">
        <f>'Facility Detail'!$B$3082</f>
        <v>2011</v>
      </c>
      <c r="E89" s="2">
        <f>D89+1</f>
        <v>2012</v>
      </c>
      <c r="F89" s="2">
        <f t="shared" ref="F89:N89" si="5">E89+1</f>
        <v>2013</v>
      </c>
      <c r="G89" s="2">
        <f t="shared" si="5"/>
        <v>2014</v>
      </c>
      <c r="H89" s="2">
        <f t="shared" si="5"/>
        <v>2015</v>
      </c>
      <c r="I89" s="2">
        <f t="shared" si="5"/>
        <v>2016</v>
      </c>
      <c r="J89" s="2">
        <f t="shared" si="5"/>
        <v>2017</v>
      </c>
      <c r="K89" s="2">
        <f t="shared" si="5"/>
        <v>2018</v>
      </c>
      <c r="L89" s="2">
        <f t="shared" si="5"/>
        <v>2019</v>
      </c>
      <c r="M89" s="2">
        <f t="shared" si="5"/>
        <v>2020</v>
      </c>
      <c r="N89" s="2">
        <f t="shared" si="5"/>
        <v>2021</v>
      </c>
    </row>
    <row r="90" spans="1:14">
      <c r="B90" s="79" t="s">
        <v>68</v>
      </c>
      <c r="C90" s="71"/>
      <c r="D90" s="3"/>
      <c r="E90" s="60">
        <f>D90</f>
        <v>0</v>
      </c>
      <c r="F90" s="131"/>
      <c r="G90" s="131"/>
      <c r="H90" s="131"/>
      <c r="I90" s="131"/>
      <c r="J90" s="131"/>
      <c r="K90" s="131"/>
      <c r="L90" s="131"/>
      <c r="M90" s="131"/>
      <c r="N90" s="61"/>
    </row>
    <row r="91" spans="1:14">
      <c r="B91" s="79" t="s">
        <v>69</v>
      </c>
      <c r="C91" s="71"/>
      <c r="D91" s="164">
        <f>E91</f>
        <v>0</v>
      </c>
      <c r="E91" s="10"/>
      <c r="F91" s="74"/>
      <c r="G91" s="74"/>
      <c r="H91" s="74"/>
      <c r="I91" s="74"/>
      <c r="J91" s="74"/>
      <c r="K91" s="74"/>
      <c r="L91" s="74"/>
      <c r="M91" s="74"/>
      <c r="N91" s="165"/>
    </row>
    <row r="92" spans="1:14">
      <c r="B92" s="79" t="s">
        <v>70</v>
      </c>
      <c r="C92" s="71"/>
      <c r="D92" s="62"/>
      <c r="E92" s="10">
        <f>E76</f>
        <v>0</v>
      </c>
      <c r="F92" s="70">
        <f>E92</f>
        <v>0</v>
      </c>
      <c r="G92" s="74"/>
      <c r="H92" s="74"/>
      <c r="I92" s="74"/>
      <c r="J92" s="74"/>
      <c r="K92" s="74"/>
      <c r="L92" s="74"/>
      <c r="M92" s="74"/>
      <c r="N92" s="165"/>
    </row>
    <row r="93" spans="1:14">
      <c r="B93" s="79" t="s">
        <v>71</v>
      </c>
      <c r="C93" s="71"/>
      <c r="D93" s="62"/>
      <c r="E93" s="70">
        <f>F93</f>
        <v>0</v>
      </c>
      <c r="F93" s="163"/>
      <c r="G93" s="74"/>
      <c r="H93" s="74"/>
      <c r="I93" s="74"/>
      <c r="J93" s="74"/>
      <c r="K93" s="74"/>
      <c r="L93" s="74"/>
      <c r="M93" s="74"/>
      <c r="N93" s="165"/>
    </row>
    <row r="94" spans="1:14">
      <c r="B94" s="79" t="s">
        <v>171</v>
      </c>
      <c r="C94" s="30"/>
      <c r="D94" s="62"/>
      <c r="E94" s="148"/>
      <c r="F94" s="10">
        <f>F76</f>
        <v>0</v>
      </c>
      <c r="G94" s="149">
        <f>F94</f>
        <v>0</v>
      </c>
      <c r="H94" s="74"/>
      <c r="I94" s="74"/>
      <c r="J94" s="74"/>
      <c r="K94" s="74"/>
      <c r="L94" s="74"/>
      <c r="M94" s="74"/>
      <c r="N94" s="165"/>
    </row>
    <row r="95" spans="1:14">
      <c r="B95" s="79" t="s">
        <v>172</v>
      </c>
      <c r="C95" s="30"/>
      <c r="D95" s="62"/>
      <c r="E95" s="148"/>
      <c r="F95" s="70">
        <f>G95</f>
        <v>0</v>
      </c>
      <c r="G95" s="10"/>
      <c r="H95" s="74"/>
      <c r="I95" s="74"/>
      <c r="J95" s="74"/>
      <c r="K95" s="74"/>
      <c r="L95" s="74"/>
      <c r="M95" s="74"/>
      <c r="N95" s="165"/>
    </row>
    <row r="96" spans="1:14">
      <c r="B96" s="79" t="s">
        <v>173</v>
      </c>
      <c r="C96" s="30"/>
      <c r="D96" s="62"/>
      <c r="E96" s="148"/>
      <c r="F96" s="148"/>
      <c r="G96" s="10">
        <f>G76</f>
        <v>0</v>
      </c>
      <c r="H96" s="149">
        <f>G96</f>
        <v>0</v>
      </c>
      <c r="I96" s="148">
        <f>H96</f>
        <v>0</v>
      </c>
      <c r="J96" s="74"/>
      <c r="K96" s="74"/>
      <c r="L96" s="74"/>
      <c r="M96" s="74"/>
      <c r="N96" s="152"/>
    </row>
    <row r="97" spans="2:15">
      <c r="B97" s="79" t="s">
        <v>174</v>
      </c>
      <c r="C97" s="30"/>
      <c r="D97" s="62"/>
      <c r="E97" s="148"/>
      <c r="F97" s="148"/>
      <c r="G97" s="70"/>
      <c r="H97" s="10"/>
      <c r="I97" s="148"/>
      <c r="J97" s="74"/>
      <c r="K97" s="74"/>
      <c r="L97" s="74"/>
      <c r="M97" s="74"/>
      <c r="N97" s="152"/>
    </row>
    <row r="98" spans="2:15">
      <c r="B98" s="79" t="s">
        <v>175</v>
      </c>
      <c r="C98" s="30"/>
      <c r="D98" s="62"/>
      <c r="E98" s="148"/>
      <c r="F98" s="148"/>
      <c r="G98" s="148"/>
      <c r="H98" s="10">
        <v>0</v>
      </c>
      <c r="I98" s="149">
        <f>H98</f>
        <v>0</v>
      </c>
      <c r="J98" s="74"/>
      <c r="K98" s="74"/>
      <c r="L98" s="74"/>
      <c r="M98" s="74"/>
      <c r="N98" s="152"/>
    </row>
    <row r="99" spans="2:15">
      <c r="B99" s="79" t="s">
        <v>176</v>
      </c>
      <c r="C99" s="30"/>
      <c r="D99" s="62"/>
      <c r="E99" s="148"/>
      <c r="F99" s="148"/>
      <c r="G99" s="148"/>
      <c r="H99" s="70"/>
      <c r="I99" s="10"/>
      <c r="J99" s="74"/>
      <c r="K99" s="74"/>
      <c r="L99" s="74"/>
      <c r="M99" s="74"/>
      <c r="N99" s="152"/>
    </row>
    <row r="100" spans="2:15">
      <c r="B100" s="79" t="s">
        <v>177</v>
      </c>
      <c r="C100" s="30"/>
      <c r="D100" s="62"/>
      <c r="E100" s="148"/>
      <c r="F100" s="148"/>
      <c r="G100" s="148"/>
      <c r="H100" s="148"/>
      <c r="I100" s="207">
        <f>I76</f>
        <v>0</v>
      </c>
      <c r="J100" s="150">
        <f>I100</f>
        <v>0</v>
      </c>
      <c r="K100" s="74"/>
      <c r="L100" s="74"/>
      <c r="M100" s="74"/>
      <c r="N100" s="152"/>
    </row>
    <row r="101" spans="2:15">
      <c r="B101" s="79" t="s">
        <v>168</v>
      </c>
      <c r="C101" s="30"/>
      <c r="D101" s="62"/>
      <c r="E101" s="148"/>
      <c r="F101" s="148"/>
      <c r="G101" s="148"/>
      <c r="H101" s="148"/>
      <c r="I101" s="208"/>
      <c r="J101" s="151"/>
      <c r="K101" s="74"/>
      <c r="L101" s="74"/>
      <c r="M101" s="74"/>
      <c r="N101" s="152"/>
    </row>
    <row r="102" spans="2:15">
      <c r="B102" s="79" t="s">
        <v>169</v>
      </c>
      <c r="C102" s="30"/>
      <c r="D102" s="62"/>
      <c r="E102" s="148"/>
      <c r="F102" s="148"/>
      <c r="G102" s="148"/>
      <c r="H102" s="148"/>
      <c r="I102" s="148"/>
      <c r="J102" s="151">
        <f>J76</f>
        <v>0</v>
      </c>
      <c r="K102" s="150">
        <f>J102</f>
        <v>0</v>
      </c>
      <c r="L102" s="74"/>
      <c r="M102" s="74"/>
      <c r="N102" s="152"/>
    </row>
    <row r="103" spans="2:15">
      <c r="B103" s="79" t="s">
        <v>186</v>
      </c>
      <c r="C103" s="30"/>
      <c r="D103" s="62"/>
      <c r="E103" s="148"/>
      <c r="F103" s="148"/>
      <c r="G103" s="148"/>
      <c r="H103" s="148"/>
      <c r="I103" s="148"/>
      <c r="J103" s="228"/>
      <c r="K103" s="151"/>
      <c r="L103" s="74"/>
      <c r="M103" s="74"/>
      <c r="N103" s="152"/>
    </row>
    <row r="104" spans="2:15">
      <c r="B104" s="79" t="s">
        <v>187</v>
      </c>
      <c r="C104" s="30"/>
      <c r="D104" s="62"/>
      <c r="E104" s="148"/>
      <c r="F104" s="148"/>
      <c r="G104" s="148"/>
      <c r="H104" s="148"/>
      <c r="I104" s="148"/>
      <c r="J104" s="148"/>
      <c r="K104" s="151">
        <f>K76</f>
        <v>588</v>
      </c>
      <c r="L104" s="70">
        <f>K104</f>
        <v>588</v>
      </c>
      <c r="M104" s="74"/>
      <c r="N104" s="152"/>
    </row>
    <row r="105" spans="2:15">
      <c r="B105" s="79" t="s">
        <v>188</v>
      </c>
      <c r="C105" s="30"/>
      <c r="D105" s="62"/>
      <c r="E105" s="148"/>
      <c r="F105" s="148"/>
      <c r="G105" s="148"/>
      <c r="H105" s="148"/>
      <c r="I105" s="148"/>
      <c r="J105" s="148"/>
      <c r="K105" s="228"/>
      <c r="L105" s="250"/>
      <c r="M105" s="74"/>
      <c r="N105" s="152"/>
    </row>
    <row r="106" spans="2:15">
      <c r="B106" s="79" t="s">
        <v>189</v>
      </c>
      <c r="C106" s="30"/>
      <c r="D106" s="62"/>
      <c r="E106" s="148"/>
      <c r="F106" s="148"/>
      <c r="G106" s="148"/>
      <c r="H106" s="148"/>
      <c r="I106" s="148"/>
      <c r="J106" s="148"/>
      <c r="K106" s="148"/>
      <c r="L106" s="151"/>
      <c r="M106" s="209"/>
      <c r="N106" s="152"/>
    </row>
    <row r="107" spans="2:15">
      <c r="B107" s="79" t="s">
        <v>190</v>
      </c>
      <c r="C107" s="30"/>
      <c r="D107" s="62"/>
      <c r="E107" s="148"/>
      <c r="F107" s="148"/>
      <c r="G107" s="148"/>
      <c r="H107" s="148"/>
      <c r="I107" s="148"/>
      <c r="J107" s="148"/>
      <c r="K107" s="148"/>
      <c r="L107" s="209">
        <v>3387</v>
      </c>
      <c r="M107" s="278">
        <v>3387</v>
      </c>
      <c r="N107" s="178"/>
      <c r="O107" s="30"/>
    </row>
    <row r="108" spans="2:15">
      <c r="B108" s="79" t="s">
        <v>191</v>
      </c>
      <c r="C108" s="30"/>
      <c r="D108" s="62"/>
      <c r="E108" s="148"/>
      <c r="F108" s="148"/>
      <c r="G108" s="148"/>
      <c r="H108" s="148"/>
      <c r="I108" s="148"/>
      <c r="J108" s="148"/>
      <c r="K108" s="148"/>
      <c r="L108" s="148"/>
      <c r="M108" s="278">
        <v>0</v>
      </c>
      <c r="N108" s="150">
        <f>M108</f>
        <v>0</v>
      </c>
      <c r="O108" s="30"/>
    </row>
    <row r="109" spans="2:15">
      <c r="B109" s="79" t="s">
        <v>201</v>
      </c>
      <c r="C109" s="30"/>
      <c r="D109" s="62"/>
      <c r="E109" s="148"/>
      <c r="F109" s="148"/>
      <c r="G109" s="148"/>
      <c r="H109" s="148"/>
      <c r="I109" s="148"/>
      <c r="J109" s="148"/>
      <c r="K109" s="148"/>
      <c r="L109" s="148"/>
      <c r="M109" s="150">
        <v>0</v>
      </c>
      <c r="N109" s="151"/>
      <c r="O109" s="30"/>
    </row>
    <row r="110" spans="2:15">
      <c r="B110" s="79" t="s">
        <v>202</v>
      </c>
      <c r="C110" s="30"/>
      <c r="D110" s="63"/>
      <c r="E110" s="133"/>
      <c r="F110" s="133"/>
      <c r="G110" s="133"/>
      <c r="H110" s="133"/>
      <c r="I110" s="133"/>
      <c r="J110" s="133"/>
      <c r="K110" s="133"/>
      <c r="L110" s="133"/>
      <c r="M110" s="133"/>
      <c r="N110" s="153">
        <v>0</v>
      </c>
      <c r="O110" s="30"/>
    </row>
    <row r="111" spans="2:15">
      <c r="B111" s="33" t="s">
        <v>17</v>
      </c>
      <c r="D111" s="218"/>
      <c r="E111" s="218"/>
      <c r="F111" s="218"/>
      <c r="G111" s="218"/>
      <c r="H111" s="218"/>
      <c r="I111" s="218"/>
      <c r="J111" s="218"/>
      <c r="K111" s="218">
        <f>K102-K103-K104</f>
        <v>-588</v>
      </c>
      <c r="L111" s="218">
        <f>L104-L106+L107</f>
        <v>3975</v>
      </c>
      <c r="M111" s="218">
        <f>(M107*-1)+M106</f>
        <v>-3387</v>
      </c>
      <c r="N111" s="218">
        <f>N106</f>
        <v>0</v>
      </c>
    </row>
    <row r="112" spans="2:15">
      <c r="B112" s="6"/>
      <c r="D112" s="218"/>
      <c r="E112" s="218"/>
      <c r="F112" s="218"/>
      <c r="G112" s="218"/>
      <c r="H112" s="218"/>
      <c r="I112" s="218"/>
      <c r="J112" s="218"/>
      <c r="K112" s="218"/>
      <c r="L112" s="218"/>
      <c r="M112" s="218"/>
      <c r="N112" s="218"/>
    </row>
    <row r="113" spans="1:14">
      <c r="B113" s="76" t="s">
        <v>12</v>
      </c>
      <c r="C113" s="71"/>
      <c r="D113" s="219"/>
      <c r="E113" s="220"/>
      <c r="F113" s="220"/>
      <c r="G113" s="220"/>
      <c r="H113" s="220"/>
      <c r="I113" s="220"/>
      <c r="J113" s="220"/>
      <c r="K113" s="220"/>
      <c r="L113" s="220"/>
      <c r="M113" s="220"/>
      <c r="N113" s="220"/>
    </row>
    <row r="114" spans="1:14">
      <c r="B114" s="6"/>
      <c r="D114" s="218"/>
      <c r="E114" s="218"/>
      <c r="F114" s="218"/>
      <c r="G114" s="218"/>
      <c r="H114" s="218"/>
      <c r="I114" s="218"/>
      <c r="J114" s="218"/>
      <c r="K114" s="218"/>
      <c r="L114" s="218"/>
      <c r="M114" s="218"/>
      <c r="N114" s="218"/>
    </row>
    <row r="115" spans="1:14" ht="18.5">
      <c r="A115" s="41" t="s">
        <v>26</v>
      </c>
      <c r="C115" s="71"/>
      <c r="D115" s="221">
        <f t="shared" ref="D115:L115" si="6" xml:space="preserve"> D76 + D81 - D87 + D111 + D113</f>
        <v>0</v>
      </c>
      <c r="E115" s="222">
        <f t="shared" si="6"/>
        <v>0</v>
      </c>
      <c r="F115" s="222">
        <f t="shared" si="6"/>
        <v>0</v>
      </c>
      <c r="G115" s="222">
        <f t="shared" si="6"/>
        <v>0</v>
      </c>
      <c r="H115" s="222">
        <f t="shared" si="6"/>
        <v>0</v>
      </c>
      <c r="I115" s="222">
        <f t="shared" si="6"/>
        <v>0</v>
      </c>
      <c r="J115" s="222">
        <f t="shared" si="6"/>
        <v>0</v>
      </c>
      <c r="K115" s="222">
        <f t="shared" si="6"/>
        <v>0</v>
      </c>
      <c r="L115" s="222">
        <f t="shared" si="6"/>
        <v>8592.2091216254576</v>
      </c>
      <c r="M115" s="222">
        <f xml:space="preserve"> M76 + M81 - M87 +M106-M107+ M113</f>
        <v>1711.3916214541732</v>
      </c>
      <c r="N115" s="222">
        <f xml:space="preserve"> N76 + N81 - N87 + N111 + N113</f>
        <v>4627.4569281172562</v>
      </c>
    </row>
    <row r="116" spans="1:14">
      <c r="B116" s="6"/>
      <c r="D116" s="7"/>
      <c r="E116" s="7"/>
      <c r="F116" s="7"/>
      <c r="G116" s="28"/>
      <c r="H116" s="28"/>
      <c r="I116" s="28"/>
      <c r="J116" s="28"/>
      <c r="K116" s="28"/>
      <c r="L116" s="28"/>
      <c r="M116" s="28"/>
      <c r="N116" s="28"/>
    </row>
    <row r="117" spans="1:14" ht="15" thickBot="1"/>
    <row r="118" spans="1:14" ht="15" thickBot="1">
      <c r="A118" s="8"/>
      <c r="B118" s="8"/>
      <c r="C118" s="8"/>
      <c r="D118" s="8"/>
      <c r="E118" s="8"/>
      <c r="F118" s="8"/>
      <c r="G118" s="8"/>
      <c r="H118" s="8"/>
      <c r="I118" s="8"/>
      <c r="J118" s="8"/>
      <c r="K118" s="8"/>
      <c r="L118" s="8"/>
      <c r="M118" s="8"/>
      <c r="N118" s="8"/>
    </row>
    <row r="119" spans="1:14" ht="21.5" thickBot="1">
      <c r="A119" s="13" t="s">
        <v>4</v>
      </c>
      <c r="B119" s="13"/>
      <c r="C119" s="313" t="s">
        <v>179</v>
      </c>
      <c r="D119" s="310"/>
      <c r="E119" s="23"/>
      <c r="F119" s="23"/>
    </row>
    <row r="121" spans="1:14" ht="18.5">
      <c r="A121" s="9" t="s">
        <v>21</v>
      </c>
      <c r="B121" s="9"/>
      <c r="D121" s="2">
        <v>2011</v>
      </c>
      <c r="E121" s="2">
        <f>D121+1</f>
        <v>2012</v>
      </c>
      <c r="F121" s="2">
        <f t="shared" ref="F121:N121" si="7">E121+1</f>
        <v>2013</v>
      </c>
      <c r="G121" s="2">
        <f t="shared" si="7"/>
        <v>2014</v>
      </c>
      <c r="H121" s="2">
        <f t="shared" si="7"/>
        <v>2015</v>
      </c>
      <c r="I121" s="2">
        <f t="shared" si="7"/>
        <v>2016</v>
      </c>
      <c r="J121" s="2">
        <f t="shared" si="7"/>
        <v>2017</v>
      </c>
      <c r="K121" s="2">
        <f t="shared" si="7"/>
        <v>2018</v>
      </c>
      <c r="L121" s="2">
        <f t="shared" si="7"/>
        <v>2019</v>
      </c>
      <c r="M121" s="2">
        <f t="shared" si="7"/>
        <v>2020</v>
      </c>
      <c r="N121" s="2">
        <f t="shared" si="7"/>
        <v>2021</v>
      </c>
    </row>
    <row r="122" spans="1:14">
      <c r="B122" s="79" t="str">
        <f>"Total MWh Produced / Purchased from " &amp; C119</f>
        <v>Total MWh Produced / Purchased from Bear Creek Solar</v>
      </c>
      <c r="C122" s="71"/>
      <c r="D122" s="3"/>
      <c r="E122" s="4"/>
      <c r="F122" s="4"/>
      <c r="G122" s="4"/>
      <c r="H122" s="4"/>
      <c r="I122" s="4"/>
      <c r="J122" s="4"/>
      <c r="K122" s="4">
        <v>5709.8010000000004</v>
      </c>
      <c r="L122" s="4">
        <v>22676</v>
      </c>
      <c r="M122" s="230">
        <v>24050</v>
      </c>
      <c r="N122" s="4">
        <v>21527</v>
      </c>
    </row>
    <row r="123" spans="1:14">
      <c r="B123" s="79" t="s">
        <v>25</v>
      </c>
      <c r="C123" s="71"/>
      <c r="D123" s="54"/>
      <c r="E123" s="55"/>
      <c r="F123" s="55"/>
      <c r="G123" s="55"/>
      <c r="H123" s="55"/>
      <c r="I123" s="55"/>
      <c r="J123" s="55"/>
      <c r="K123" s="55">
        <v>1</v>
      </c>
      <c r="L123" s="55">
        <v>1</v>
      </c>
      <c r="M123" s="234">
        <v>1</v>
      </c>
      <c r="N123" s="55">
        <v>1</v>
      </c>
    </row>
    <row r="124" spans="1:14">
      <c r="B124" s="79" t="s">
        <v>20</v>
      </c>
      <c r="C124" s="71"/>
      <c r="D124" s="48"/>
      <c r="E124" s="49"/>
      <c r="F124" s="49"/>
      <c r="G124" s="49"/>
      <c r="H124" s="49"/>
      <c r="I124" s="49"/>
      <c r="J124" s="55"/>
      <c r="K124" s="55">
        <f>K75</f>
        <v>0.22007817037432531</v>
      </c>
      <c r="L124" s="55">
        <f>L75</f>
        <v>0.2223660721260575</v>
      </c>
      <c r="M124" s="234">
        <v>0.22351563443464154</v>
      </c>
      <c r="N124" s="55">
        <v>0.22326821036945171</v>
      </c>
    </row>
    <row r="125" spans="1:14">
      <c r="B125" s="76" t="s">
        <v>22</v>
      </c>
      <c r="C125" s="77"/>
      <c r="D125" s="37">
        <v>0</v>
      </c>
      <c r="E125" s="37">
        <v>0</v>
      </c>
      <c r="F125" s="37">
        <v>0</v>
      </c>
      <c r="G125" s="37">
        <v>0</v>
      </c>
      <c r="H125" s="37">
        <v>0</v>
      </c>
      <c r="I125" s="37">
        <v>0</v>
      </c>
      <c r="J125" s="37">
        <v>0</v>
      </c>
      <c r="K125" s="37">
        <v>677</v>
      </c>
      <c r="L125" s="37">
        <f>L122*L124</f>
        <v>5042.3730515304796</v>
      </c>
      <c r="M125" s="37">
        <f>M122*M124</f>
        <v>5375.5510081531293</v>
      </c>
      <c r="N125" s="37">
        <f>N122*N124</f>
        <v>4806.2947646231869</v>
      </c>
    </row>
    <row r="126" spans="1:14">
      <c r="B126" s="23"/>
      <c r="C126" s="30"/>
      <c r="D126" s="36"/>
      <c r="E126" s="36"/>
      <c r="F126" s="36"/>
      <c r="G126" s="36"/>
      <c r="H126" s="36"/>
      <c r="I126" s="36"/>
      <c r="J126" s="36"/>
      <c r="K126" s="36"/>
      <c r="L126" s="36"/>
      <c r="M126" s="36"/>
      <c r="N126" s="36"/>
    </row>
    <row r="127" spans="1:14" ht="18.5">
      <c r="A127" s="42" t="s">
        <v>119</v>
      </c>
      <c r="C127" s="30"/>
      <c r="D127" s="2">
        <v>2011</v>
      </c>
      <c r="E127" s="2">
        <f>D127+1</f>
        <v>2012</v>
      </c>
      <c r="F127" s="2">
        <f t="shared" ref="F127:N127" si="8">E127+1</f>
        <v>2013</v>
      </c>
      <c r="G127" s="2">
        <f t="shared" si="8"/>
        <v>2014</v>
      </c>
      <c r="H127" s="2">
        <f t="shared" si="8"/>
        <v>2015</v>
      </c>
      <c r="I127" s="2">
        <f t="shared" si="8"/>
        <v>2016</v>
      </c>
      <c r="J127" s="2">
        <f t="shared" si="8"/>
        <v>2017</v>
      </c>
      <c r="K127" s="2">
        <f t="shared" si="8"/>
        <v>2018</v>
      </c>
      <c r="L127" s="2">
        <f t="shared" si="8"/>
        <v>2019</v>
      </c>
      <c r="M127" s="2">
        <f t="shared" si="8"/>
        <v>2020</v>
      </c>
      <c r="N127" s="2">
        <f t="shared" si="8"/>
        <v>2021</v>
      </c>
    </row>
    <row r="128" spans="1:14">
      <c r="B128" s="79" t="s">
        <v>10</v>
      </c>
      <c r="C128" s="71"/>
      <c r="D128" s="51">
        <f>IF($E3 = "Eligible", D125 * 'Facility Detail'!$B$3079, 0 )</f>
        <v>0</v>
      </c>
      <c r="E128" s="51">
        <f>IF($E3 = "Eligible", E125 * 'Facility Detail'!$B$3079, 0 )</f>
        <v>0</v>
      </c>
      <c r="F128" s="51">
        <f>IF($E3 = "Eligible", F125 * 'Facility Detail'!$B$3079, 0 )</f>
        <v>0</v>
      </c>
      <c r="G128" s="51">
        <f>IF($E3 = "Eligible", G125 * 'Facility Detail'!$B$3079, 0 )</f>
        <v>0</v>
      </c>
      <c r="H128" s="51">
        <f>IF($E3 = "Eligible", H125 * 'Facility Detail'!$B$3079, 0 )</f>
        <v>0</v>
      </c>
      <c r="I128" s="51">
        <f>IF($E3 = "Eligible", I125 * 'Facility Detail'!$B$3079, 0 )</f>
        <v>0</v>
      </c>
      <c r="J128" s="51">
        <f>IF($E3 = "Eligible", J125 * 'Facility Detail'!$B$3079, 0 )</f>
        <v>0</v>
      </c>
      <c r="K128" s="51">
        <f>IF($E3 = "Eligible", K125 * 'Facility Detail'!$B$3079, 0 )</f>
        <v>0</v>
      </c>
      <c r="L128" s="51">
        <f>IF($E3 = "Eligible", L125 * 'Facility Detail'!$B$3079, 0 )</f>
        <v>0</v>
      </c>
      <c r="M128" s="51">
        <f>IF($E3 = "Eligible", M125 * 'Facility Detail'!$B$3079, 0 )</f>
        <v>0</v>
      </c>
      <c r="N128" s="51">
        <f>IF($E3 = "Eligible", N125 * 'Facility Detail'!$B$3079, 0 )</f>
        <v>0</v>
      </c>
    </row>
    <row r="129" spans="1:14">
      <c r="B129" s="79" t="s">
        <v>6</v>
      </c>
      <c r="C129" s="71"/>
      <c r="D129" s="52">
        <f t="shared" ref="D129:N129" si="9">IF($F3 = "Eligible", D125, 0 )</f>
        <v>0</v>
      </c>
      <c r="E129" s="52">
        <f t="shared" si="9"/>
        <v>0</v>
      </c>
      <c r="F129" s="52">
        <f t="shared" si="9"/>
        <v>0</v>
      </c>
      <c r="G129" s="52">
        <f t="shared" si="9"/>
        <v>0</v>
      </c>
      <c r="H129" s="52">
        <f t="shared" si="9"/>
        <v>0</v>
      </c>
      <c r="I129" s="52">
        <f t="shared" si="9"/>
        <v>0</v>
      </c>
      <c r="J129" s="52">
        <f t="shared" si="9"/>
        <v>0</v>
      </c>
      <c r="K129" s="52">
        <f t="shared" si="9"/>
        <v>0</v>
      </c>
      <c r="L129" s="52">
        <f t="shared" si="9"/>
        <v>0</v>
      </c>
      <c r="M129" s="52">
        <f t="shared" si="9"/>
        <v>0</v>
      </c>
      <c r="N129" s="52">
        <f t="shared" si="9"/>
        <v>0</v>
      </c>
    </row>
    <row r="130" spans="1:14">
      <c r="B130" s="78" t="s">
        <v>121</v>
      </c>
      <c r="C130" s="77"/>
      <c r="D130" s="39">
        <f>SUM(D128:D129)</f>
        <v>0</v>
      </c>
      <c r="E130" s="39">
        <f t="shared" ref="E130:N130" si="10">SUM(E128:E129)</f>
        <v>0</v>
      </c>
      <c r="F130" s="39">
        <f t="shared" si="10"/>
        <v>0</v>
      </c>
      <c r="G130" s="39">
        <f t="shared" si="10"/>
        <v>0</v>
      </c>
      <c r="H130" s="39">
        <f t="shared" si="10"/>
        <v>0</v>
      </c>
      <c r="I130" s="39">
        <f t="shared" si="10"/>
        <v>0</v>
      </c>
      <c r="J130" s="39">
        <f t="shared" si="10"/>
        <v>0</v>
      </c>
      <c r="K130" s="39">
        <f t="shared" si="10"/>
        <v>0</v>
      </c>
      <c r="L130" s="39">
        <f t="shared" si="10"/>
        <v>0</v>
      </c>
      <c r="M130" s="39">
        <f t="shared" si="10"/>
        <v>0</v>
      </c>
      <c r="N130" s="39">
        <f t="shared" si="10"/>
        <v>0</v>
      </c>
    </row>
    <row r="131" spans="1:14">
      <c r="B131" s="30"/>
      <c r="C131" s="30"/>
      <c r="D131" s="38"/>
      <c r="E131" s="31"/>
      <c r="F131" s="31"/>
      <c r="G131" s="31"/>
      <c r="H131" s="31"/>
      <c r="I131" s="31"/>
      <c r="J131" s="31"/>
      <c r="K131" s="31"/>
      <c r="L131" s="31"/>
      <c r="M131" s="31"/>
      <c r="N131" s="31"/>
    </row>
    <row r="132" spans="1:14" ht="18.5">
      <c r="A132" s="41" t="s">
        <v>30</v>
      </c>
      <c r="C132" s="30"/>
      <c r="D132" s="2">
        <v>2011</v>
      </c>
      <c r="E132" s="2">
        <f>D132+1</f>
        <v>2012</v>
      </c>
      <c r="F132" s="2">
        <f t="shared" ref="F132:N132" si="11">E132+1</f>
        <v>2013</v>
      </c>
      <c r="G132" s="2">
        <f t="shared" si="11"/>
        <v>2014</v>
      </c>
      <c r="H132" s="2">
        <f t="shared" si="11"/>
        <v>2015</v>
      </c>
      <c r="I132" s="2">
        <f t="shared" si="11"/>
        <v>2016</v>
      </c>
      <c r="J132" s="2">
        <f t="shared" si="11"/>
        <v>2017</v>
      </c>
      <c r="K132" s="2">
        <f t="shared" si="11"/>
        <v>2018</v>
      </c>
      <c r="L132" s="2">
        <f t="shared" si="11"/>
        <v>2019</v>
      </c>
      <c r="M132" s="2">
        <f t="shared" si="11"/>
        <v>2020</v>
      </c>
      <c r="N132" s="2">
        <f t="shared" si="11"/>
        <v>2021</v>
      </c>
    </row>
    <row r="133" spans="1:14">
      <c r="B133" s="79" t="s">
        <v>47</v>
      </c>
      <c r="C133" s="71"/>
      <c r="D133" s="89"/>
      <c r="E133" s="90"/>
      <c r="F133" s="90"/>
      <c r="G133" s="90"/>
      <c r="H133" s="90"/>
      <c r="I133" s="90"/>
      <c r="J133" s="90"/>
      <c r="K133" s="90"/>
      <c r="L133" s="90"/>
      <c r="M133" s="90"/>
      <c r="N133" s="90"/>
    </row>
    <row r="134" spans="1:14">
      <c r="B134" s="80" t="s">
        <v>23</v>
      </c>
      <c r="C134" s="175"/>
      <c r="D134" s="92"/>
      <c r="E134" s="93"/>
      <c r="F134" s="93"/>
      <c r="G134" s="93"/>
      <c r="H134" s="93"/>
      <c r="I134" s="93"/>
      <c r="J134" s="93"/>
      <c r="K134" s="93"/>
      <c r="L134" s="93"/>
      <c r="M134" s="93"/>
      <c r="N134" s="93"/>
    </row>
    <row r="135" spans="1:14">
      <c r="B135" s="95" t="s">
        <v>89</v>
      </c>
      <c r="C135" s="173"/>
      <c r="D135" s="57"/>
      <c r="E135" s="58"/>
      <c r="F135" s="58"/>
      <c r="G135" s="58"/>
      <c r="H135" s="58"/>
      <c r="I135" s="58"/>
      <c r="J135" s="58"/>
      <c r="K135" s="58"/>
      <c r="L135" s="58"/>
      <c r="M135" s="58"/>
      <c r="N135" s="58"/>
    </row>
    <row r="136" spans="1:14">
      <c r="B136" s="33" t="s">
        <v>90</v>
      </c>
      <c r="D136" s="7">
        <v>0</v>
      </c>
      <c r="E136" s="7">
        <v>0</v>
      </c>
      <c r="F136" s="7">
        <v>0</v>
      </c>
      <c r="G136" s="7">
        <v>0</v>
      </c>
      <c r="H136" s="7">
        <v>0</v>
      </c>
      <c r="I136" s="7">
        <v>0</v>
      </c>
      <c r="J136" s="7">
        <v>0</v>
      </c>
      <c r="K136" s="7">
        <v>0</v>
      </c>
      <c r="L136" s="7">
        <v>0</v>
      </c>
      <c r="M136" s="7">
        <v>0</v>
      </c>
      <c r="N136" s="7">
        <v>0</v>
      </c>
    </row>
    <row r="137" spans="1:14">
      <c r="B137" s="6"/>
      <c r="D137" s="7"/>
      <c r="E137" s="7"/>
      <c r="F137" s="7"/>
      <c r="G137" s="28"/>
      <c r="H137" s="28"/>
      <c r="I137" s="28"/>
      <c r="J137" s="28"/>
      <c r="K137" s="28"/>
      <c r="L137" s="28"/>
      <c r="M137" s="28"/>
      <c r="N137" s="28"/>
    </row>
    <row r="138" spans="1:14" ht="18.5">
      <c r="A138" s="9" t="s">
        <v>100</v>
      </c>
      <c r="D138" s="2">
        <f>'Facility Detail'!$B$3082</f>
        <v>2011</v>
      </c>
      <c r="E138" s="2">
        <f>D138+1</f>
        <v>2012</v>
      </c>
      <c r="F138" s="2">
        <f t="shared" ref="F138:N138" si="12">E138+1</f>
        <v>2013</v>
      </c>
      <c r="G138" s="2">
        <f t="shared" si="12"/>
        <v>2014</v>
      </c>
      <c r="H138" s="2">
        <f t="shared" si="12"/>
        <v>2015</v>
      </c>
      <c r="I138" s="2">
        <f t="shared" si="12"/>
        <v>2016</v>
      </c>
      <c r="J138" s="2">
        <f t="shared" si="12"/>
        <v>2017</v>
      </c>
      <c r="K138" s="2">
        <f t="shared" si="12"/>
        <v>2018</v>
      </c>
      <c r="L138" s="2">
        <f t="shared" si="12"/>
        <v>2019</v>
      </c>
      <c r="M138" s="2">
        <f t="shared" si="12"/>
        <v>2020</v>
      </c>
      <c r="N138" s="2">
        <f t="shared" si="12"/>
        <v>2021</v>
      </c>
    </row>
    <row r="139" spans="1:14">
      <c r="B139" s="79" t="s">
        <v>68</v>
      </c>
      <c r="C139" s="71"/>
      <c r="D139" s="3"/>
      <c r="E139" s="60">
        <f>D139</f>
        <v>0</v>
      </c>
      <c r="F139" s="131"/>
      <c r="G139" s="131"/>
      <c r="H139" s="131"/>
      <c r="I139" s="131"/>
      <c r="J139" s="131"/>
      <c r="K139" s="131"/>
      <c r="L139" s="131"/>
      <c r="M139" s="131"/>
      <c r="N139" s="61"/>
    </row>
    <row r="140" spans="1:14">
      <c r="B140" s="79" t="s">
        <v>69</v>
      </c>
      <c r="C140" s="71"/>
      <c r="D140" s="164">
        <f>E140</f>
        <v>0</v>
      </c>
      <c r="E140" s="10"/>
      <c r="F140" s="74"/>
      <c r="G140" s="74"/>
      <c r="H140" s="74"/>
      <c r="I140" s="74"/>
      <c r="J140" s="74"/>
      <c r="K140" s="74"/>
      <c r="L140" s="74"/>
      <c r="M140" s="74"/>
      <c r="N140" s="165"/>
    </row>
    <row r="141" spans="1:14">
      <c r="B141" s="79" t="s">
        <v>70</v>
      </c>
      <c r="C141" s="71"/>
      <c r="D141" s="62"/>
      <c r="E141" s="10">
        <f>E125</f>
        <v>0</v>
      </c>
      <c r="F141" s="70">
        <f>E141</f>
        <v>0</v>
      </c>
      <c r="G141" s="74"/>
      <c r="H141" s="74"/>
      <c r="I141" s="74"/>
      <c r="J141" s="74"/>
      <c r="K141" s="74"/>
      <c r="L141" s="74"/>
      <c r="M141" s="74"/>
      <c r="N141" s="165"/>
    </row>
    <row r="142" spans="1:14">
      <c r="B142" s="79" t="s">
        <v>71</v>
      </c>
      <c r="C142" s="71"/>
      <c r="D142" s="62"/>
      <c r="E142" s="70">
        <f>F142</f>
        <v>0</v>
      </c>
      <c r="F142" s="163"/>
      <c r="G142" s="74"/>
      <c r="H142" s="74"/>
      <c r="I142" s="74"/>
      <c r="J142" s="74"/>
      <c r="K142" s="74"/>
      <c r="L142" s="74"/>
      <c r="M142" s="74"/>
      <c r="N142" s="165"/>
    </row>
    <row r="143" spans="1:14">
      <c r="B143" s="79" t="s">
        <v>171</v>
      </c>
      <c r="C143" s="30"/>
      <c r="D143" s="62"/>
      <c r="E143" s="148"/>
      <c r="F143" s="10">
        <f>F125</f>
        <v>0</v>
      </c>
      <c r="G143" s="149">
        <f>F143</f>
        <v>0</v>
      </c>
      <c r="H143" s="74"/>
      <c r="I143" s="74"/>
      <c r="J143" s="74"/>
      <c r="K143" s="74"/>
      <c r="L143" s="74"/>
      <c r="M143" s="74"/>
      <c r="N143" s="165"/>
    </row>
    <row r="144" spans="1:14">
      <c r="B144" s="79" t="s">
        <v>172</v>
      </c>
      <c r="C144" s="30"/>
      <c r="D144" s="62"/>
      <c r="E144" s="148"/>
      <c r="F144" s="70">
        <f>G144</f>
        <v>0</v>
      </c>
      <c r="G144" s="10"/>
      <c r="H144" s="74"/>
      <c r="I144" s="74"/>
      <c r="J144" s="74"/>
      <c r="K144" s="74"/>
      <c r="L144" s="74"/>
      <c r="M144" s="74"/>
      <c r="N144" s="165"/>
    </row>
    <row r="145" spans="2:15">
      <c r="B145" s="79" t="s">
        <v>173</v>
      </c>
      <c r="C145" s="30"/>
      <c r="D145" s="62"/>
      <c r="E145" s="148"/>
      <c r="F145" s="148"/>
      <c r="G145" s="10">
        <f>G125</f>
        <v>0</v>
      </c>
      <c r="H145" s="149">
        <f>G145</f>
        <v>0</v>
      </c>
      <c r="I145" s="148">
        <f>H145</f>
        <v>0</v>
      </c>
      <c r="J145" s="74"/>
      <c r="K145" s="74"/>
      <c r="L145" s="74"/>
      <c r="M145" s="74"/>
      <c r="N145" s="152"/>
    </row>
    <row r="146" spans="2:15">
      <c r="B146" s="79" t="s">
        <v>174</v>
      </c>
      <c r="C146" s="30"/>
      <c r="D146" s="62"/>
      <c r="E146" s="148"/>
      <c r="F146" s="148"/>
      <c r="G146" s="70"/>
      <c r="H146" s="10"/>
      <c r="I146" s="148"/>
      <c r="J146" s="74"/>
      <c r="K146" s="74"/>
      <c r="L146" s="74"/>
      <c r="M146" s="74"/>
      <c r="N146" s="152"/>
    </row>
    <row r="147" spans="2:15">
      <c r="B147" s="79" t="s">
        <v>175</v>
      </c>
      <c r="C147" s="30"/>
      <c r="D147" s="62"/>
      <c r="E147" s="148"/>
      <c r="F147" s="148"/>
      <c r="G147" s="148"/>
      <c r="H147" s="10">
        <v>0</v>
      </c>
      <c r="I147" s="149">
        <f>H147</f>
        <v>0</v>
      </c>
      <c r="J147" s="74"/>
      <c r="K147" s="74"/>
      <c r="L147" s="74"/>
      <c r="M147" s="74"/>
      <c r="N147" s="152"/>
    </row>
    <row r="148" spans="2:15">
      <c r="B148" s="79" t="s">
        <v>176</v>
      </c>
      <c r="C148" s="30"/>
      <c r="D148" s="62"/>
      <c r="E148" s="148"/>
      <c r="F148" s="148"/>
      <c r="G148" s="148"/>
      <c r="H148" s="70"/>
      <c r="I148" s="10"/>
      <c r="J148" s="74"/>
      <c r="K148" s="74"/>
      <c r="L148" s="74"/>
      <c r="M148" s="74"/>
      <c r="N148" s="152"/>
    </row>
    <row r="149" spans="2:15">
      <c r="B149" s="79" t="s">
        <v>177</v>
      </c>
      <c r="C149" s="30"/>
      <c r="D149" s="62"/>
      <c r="E149" s="148"/>
      <c r="F149" s="148"/>
      <c r="G149" s="148"/>
      <c r="H149" s="148"/>
      <c r="I149" s="207">
        <f>I125</f>
        <v>0</v>
      </c>
      <c r="J149" s="150">
        <f>I149</f>
        <v>0</v>
      </c>
      <c r="K149" s="74"/>
      <c r="L149" s="74"/>
      <c r="M149" s="74"/>
      <c r="N149" s="152"/>
    </row>
    <row r="150" spans="2:15">
      <c r="B150" s="79" t="s">
        <v>168</v>
      </c>
      <c r="C150" s="30"/>
      <c r="D150" s="62"/>
      <c r="E150" s="148"/>
      <c r="F150" s="148"/>
      <c r="G150" s="148"/>
      <c r="H150" s="148"/>
      <c r="I150" s="208"/>
      <c r="J150" s="151"/>
      <c r="K150" s="74"/>
      <c r="L150" s="74"/>
      <c r="M150" s="74"/>
      <c r="N150" s="152"/>
    </row>
    <row r="151" spans="2:15">
      <c r="B151" s="79" t="s">
        <v>169</v>
      </c>
      <c r="C151" s="30"/>
      <c r="D151" s="62"/>
      <c r="E151" s="148"/>
      <c r="F151" s="148"/>
      <c r="G151" s="148"/>
      <c r="H151" s="148"/>
      <c r="I151" s="148"/>
      <c r="J151" s="151">
        <f>J125</f>
        <v>0</v>
      </c>
      <c r="K151" s="150">
        <f>J151</f>
        <v>0</v>
      </c>
      <c r="L151" s="74"/>
      <c r="M151" s="74"/>
      <c r="N151" s="152"/>
    </row>
    <row r="152" spans="2:15">
      <c r="B152" s="79" t="s">
        <v>186</v>
      </c>
      <c r="C152" s="30"/>
      <c r="D152" s="62"/>
      <c r="E152" s="148"/>
      <c r="F152" s="148"/>
      <c r="G152" s="148"/>
      <c r="H152" s="148"/>
      <c r="I152" s="148"/>
      <c r="J152" s="228"/>
      <c r="K152" s="151"/>
      <c r="L152" s="74"/>
      <c r="M152" s="74"/>
      <c r="N152" s="152"/>
    </row>
    <row r="153" spans="2:15">
      <c r="B153" s="79" t="s">
        <v>187</v>
      </c>
      <c r="C153" s="30"/>
      <c r="D153" s="62"/>
      <c r="E153" s="148"/>
      <c r="F153" s="148"/>
      <c r="G153" s="148"/>
      <c r="H153" s="148"/>
      <c r="I153" s="148"/>
      <c r="J153" s="148"/>
      <c r="K153" s="151">
        <f>K125</f>
        <v>677</v>
      </c>
      <c r="L153" s="70">
        <f>K153</f>
        <v>677</v>
      </c>
      <c r="M153" s="74"/>
      <c r="N153" s="152"/>
    </row>
    <row r="154" spans="2:15">
      <c r="B154" s="79" t="s">
        <v>188</v>
      </c>
      <c r="C154" s="30"/>
      <c r="D154" s="62"/>
      <c r="E154" s="148"/>
      <c r="F154" s="148"/>
      <c r="G154" s="148"/>
      <c r="H154" s="148"/>
      <c r="I154" s="148"/>
      <c r="J154" s="148"/>
      <c r="K154" s="228"/>
      <c r="L154" s="151"/>
      <c r="M154" s="74"/>
      <c r="N154" s="152"/>
    </row>
    <row r="155" spans="2:15">
      <c r="B155" s="79" t="s">
        <v>189</v>
      </c>
      <c r="C155" s="30"/>
      <c r="D155" s="62"/>
      <c r="E155" s="148"/>
      <c r="F155" s="148"/>
      <c r="G155" s="148"/>
      <c r="H155" s="148"/>
      <c r="I155" s="148"/>
      <c r="J155" s="148"/>
      <c r="K155" s="148"/>
      <c r="L155" s="151"/>
      <c r="M155" s="70"/>
      <c r="N155" s="152"/>
    </row>
    <row r="156" spans="2:15">
      <c r="B156" s="79" t="s">
        <v>190</v>
      </c>
      <c r="C156" s="30"/>
      <c r="D156" s="62"/>
      <c r="E156" s="148"/>
      <c r="F156" s="148"/>
      <c r="G156" s="148"/>
      <c r="H156" s="148"/>
      <c r="I156" s="148"/>
      <c r="J156" s="148"/>
      <c r="K156" s="148"/>
      <c r="L156" s="209">
        <v>3514</v>
      </c>
      <c r="M156" s="278">
        <v>3514</v>
      </c>
      <c r="N156" s="178"/>
      <c r="O156" s="30"/>
    </row>
    <row r="157" spans="2:15">
      <c r="B157" s="79" t="s">
        <v>191</v>
      </c>
      <c r="C157" s="30"/>
      <c r="D157" s="62"/>
      <c r="E157" s="148"/>
      <c r="F157" s="148"/>
      <c r="G157" s="148"/>
      <c r="H157" s="148"/>
      <c r="I157" s="148"/>
      <c r="J157" s="148"/>
      <c r="K157" s="148"/>
      <c r="L157" s="148"/>
      <c r="M157" s="278">
        <v>0</v>
      </c>
      <c r="N157" s="150">
        <f>M157</f>
        <v>0</v>
      </c>
      <c r="O157" s="30"/>
    </row>
    <row r="158" spans="2:15">
      <c r="B158" s="79" t="s">
        <v>201</v>
      </c>
      <c r="C158" s="30"/>
      <c r="D158" s="62"/>
      <c r="E158" s="148"/>
      <c r="F158" s="148"/>
      <c r="G158" s="148"/>
      <c r="H158" s="148"/>
      <c r="I158" s="148"/>
      <c r="J158" s="148"/>
      <c r="K158" s="148"/>
      <c r="L158" s="148"/>
      <c r="M158" s="150">
        <v>0</v>
      </c>
      <c r="N158" s="151"/>
      <c r="O158" s="30"/>
    </row>
    <row r="159" spans="2:15">
      <c r="B159" s="79" t="s">
        <v>202</v>
      </c>
      <c r="C159" s="30"/>
      <c r="D159" s="63"/>
      <c r="E159" s="133"/>
      <c r="F159" s="133"/>
      <c r="G159" s="133"/>
      <c r="H159" s="133"/>
      <c r="I159" s="133"/>
      <c r="J159" s="133"/>
      <c r="K159" s="133"/>
      <c r="L159" s="133"/>
      <c r="M159" s="133"/>
      <c r="N159" s="153">
        <v>0</v>
      </c>
      <c r="O159" s="30"/>
    </row>
    <row r="160" spans="2:15">
      <c r="B160" s="33" t="s">
        <v>17</v>
      </c>
      <c r="D160" s="218"/>
      <c r="E160" s="218"/>
      <c r="F160" s="218"/>
      <c r="G160" s="218"/>
      <c r="H160" s="218"/>
      <c r="I160" s="218"/>
      <c r="J160" s="218"/>
      <c r="K160" s="218">
        <f>K151-K152-K153</f>
        <v>-677</v>
      </c>
      <c r="L160" s="218">
        <f>L153-L155+L156</f>
        <v>4191</v>
      </c>
      <c r="M160" s="218">
        <f>M155-M156</f>
        <v>-3514</v>
      </c>
      <c r="N160" s="218">
        <f>N155</f>
        <v>0</v>
      </c>
    </row>
    <row r="161" spans="1:15">
      <c r="B161" s="6"/>
      <c r="D161" s="218"/>
      <c r="E161" s="218"/>
      <c r="F161" s="218"/>
      <c r="G161" s="218"/>
      <c r="H161" s="218"/>
      <c r="I161" s="218"/>
      <c r="J161" s="218"/>
      <c r="K161" s="218"/>
      <c r="L161" s="218"/>
      <c r="M161" s="218"/>
      <c r="N161" s="218"/>
    </row>
    <row r="162" spans="1:15">
      <c r="B162" s="76" t="s">
        <v>12</v>
      </c>
      <c r="C162" s="71"/>
      <c r="D162" s="219"/>
      <c r="E162" s="220"/>
      <c r="F162" s="220"/>
      <c r="G162" s="220"/>
      <c r="H162" s="220"/>
      <c r="I162" s="220"/>
      <c r="J162" s="220"/>
      <c r="K162" s="220"/>
      <c r="L162" s="220"/>
      <c r="M162" s="220"/>
      <c r="N162" s="220"/>
    </row>
    <row r="163" spans="1:15">
      <c r="B163" s="6"/>
      <c r="D163" s="218"/>
      <c r="E163" s="218"/>
      <c r="F163" s="218"/>
      <c r="G163" s="218"/>
      <c r="H163" s="218"/>
      <c r="I163" s="218"/>
      <c r="J163" s="218"/>
      <c r="K163" s="218"/>
      <c r="L163" s="218"/>
      <c r="M163" s="218"/>
      <c r="N163" s="218"/>
    </row>
    <row r="164" spans="1:15" ht="18.5">
      <c r="A164" s="41" t="s">
        <v>26</v>
      </c>
      <c r="C164" s="71"/>
      <c r="D164" s="221">
        <f t="shared" ref="D164:N164" si="13" xml:space="preserve"> D125 + D130 - D136 + D160 + D162</f>
        <v>0</v>
      </c>
      <c r="E164" s="222">
        <f t="shared" si="13"/>
        <v>0</v>
      </c>
      <c r="F164" s="222">
        <f t="shared" si="13"/>
        <v>0</v>
      </c>
      <c r="G164" s="222">
        <f t="shared" si="13"/>
        <v>0</v>
      </c>
      <c r="H164" s="222">
        <f t="shared" si="13"/>
        <v>0</v>
      </c>
      <c r="I164" s="222">
        <f t="shared" si="13"/>
        <v>0</v>
      </c>
      <c r="J164" s="222">
        <f t="shared" si="13"/>
        <v>0</v>
      </c>
      <c r="K164" s="222">
        <f t="shared" si="13"/>
        <v>0</v>
      </c>
      <c r="L164" s="222">
        <f t="shared" si="13"/>
        <v>9233.3730515304796</v>
      </c>
      <c r="M164" s="222">
        <f t="shared" si="13"/>
        <v>1861.5510081531293</v>
      </c>
      <c r="N164" s="222">
        <f t="shared" si="13"/>
        <v>4806.2947646231869</v>
      </c>
    </row>
    <row r="165" spans="1:15">
      <c r="B165" s="6"/>
      <c r="D165" s="7"/>
      <c r="E165" s="7"/>
      <c r="F165" s="7"/>
      <c r="G165" s="28"/>
      <c r="H165" s="28"/>
      <c r="I165" s="28"/>
      <c r="J165" s="28"/>
      <c r="K165" s="28"/>
      <c r="L165" s="28"/>
      <c r="M165" s="28"/>
      <c r="N165" s="28"/>
    </row>
    <row r="166" spans="1:15" ht="15" thickBot="1"/>
    <row r="167" spans="1:15" ht="15" customHeight="1">
      <c r="A167" s="8"/>
      <c r="B167" s="8"/>
      <c r="C167" s="8"/>
      <c r="D167" s="8"/>
      <c r="E167" s="8"/>
      <c r="F167" s="8"/>
      <c r="G167" s="8"/>
      <c r="H167" s="8"/>
      <c r="I167" s="8"/>
      <c r="J167" s="8"/>
      <c r="K167" s="8"/>
      <c r="L167" s="8"/>
      <c r="M167" s="8"/>
      <c r="N167" s="8"/>
      <c r="O167" s="30"/>
    </row>
    <row r="168" spans="1:15" ht="15" customHeight="1" thickBot="1">
      <c r="B168" s="30"/>
      <c r="C168" s="30"/>
      <c r="D168" s="30"/>
      <c r="E168" s="30"/>
      <c r="F168" s="30"/>
      <c r="G168" s="30"/>
      <c r="H168" s="30"/>
      <c r="I168" s="30"/>
      <c r="J168" s="30"/>
      <c r="K168" s="30"/>
      <c r="L168" s="30"/>
      <c r="M168" s="30"/>
      <c r="N168" s="30"/>
      <c r="O168" s="30"/>
    </row>
    <row r="169" spans="1:15" ht="21" customHeight="1" thickBot="1">
      <c r="A169" s="13" t="s">
        <v>4</v>
      </c>
      <c r="B169" s="13"/>
      <c r="C169" s="313" t="s">
        <v>204</v>
      </c>
      <c r="D169" s="314"/>
      <c r="E169" s="296"/>
      <c r="F169" s="23"/>
      <c r="G169" s="30"/>
      <c r="O169" s="30"/>
    </row>
    <row r="170" spans="1:15" ht="15" customHeight="1">
      <c r="O170" s="30"/>
    </row>
    <row r="171" spans="1:15" ht="18.75" customHeight="1">
      <c r="A171" s="9" t="s">
        <v>21</v>
      </c>
      <c r="B171" s="9"/>
      <c r="D171" s="2">
        <f>'Facility Detail'!$B$3082</f>
        <v>2011</v>
      </c>
      <c r="E171" s="2">
        <f t="shared" ref="E171:K171" si="14">D171+1</f>
        <v>2012</v>
      </c>
      <c r="F171" s="2">
        <f t="shared" si="14"/>
        <v>2013</v>
      </c>
      <c r="G171" s="2">
        <f t="shared" si="14"/>
        <v>2014</v>
      </c>
      <c r="H171" s="2">
        <f t="shared" si="14"/>
        <v>2015</v>
      </c>
      <c r="I171" s="2">
        <f t="shared" si="14"/>
        <v>2016</v>
      </c>
      <c r="J171" s="2">
        <f t="shared" si="14"/>
        <v>2017</v>
      </c>
      <c r="K171" s="2">
        <f t="shared" si="14"/>
        <v>2018</v>
      </c>
      <c r="L171" s="2">
        <f t="shared" ref="L171" si="15">K171+1</f>
        <v>2019</v>
      </c>
      <c r="M171" s="2">
        <f t="shared" ref="M171" si="16">L171+1</f>
        <v>2020</v>
      </c>
      <c r="N171" s="2">
        <f t="shared" ref="N171" si="17">M171+1</f>
        <v>2021</v>
      </c>
      <c r="O171" s="30"/>
    </row>
    <row r="172" spans="1:15" ht="15" customHeight="1">
      <c r="B172" s="79" t="str">
        <f>"Total MWh Produced / Purchased from " &amp; C169</f>
        <v>Total MWh Produced / Purchased from Bennett Creek Wind Farm - REC Only</v>
      </c>
      <c r="C172" s="71"/>
      <c r="D172" s="3">
        <v>12259</v>
      </c>
      <c r="E172" s="4"/>
      <c r="F172" s="4"/>
      <c r="G172" s="4"/>
      <c r="H172" s="4">
        <v>8656</v>
      </c>
      <c r="I172" s="230">
        <v>11174</v>
      </c>
      <c r="J172" s="230">
        <v>9667</v>
      </c>
      <c r="K172" s="90">
        <v>3216</v>
      </c>
      <c r="L172" s="90"/>
      <c r="M172" s="140"/>
      <c r="N172" s="140"/>
      <c r="O172" s="30"/>
    </row>
    <row r="173" spans="1:15" ht="15" customHeight="1">
      <c r="B173" s="79" t="s">
        <v>25</v>
      </c>
      <c r="C173" s="71"/>
      <c r="D173" s="54">
        <v>1</v>
      </c>
      <c r="E173" s="55"/>
      <c r="F173" s="55"/>
      <c r="G173" s="55"/>
      <c r="H173" s="55">
        <v>1</v>
      </c>
      <c r="I173" s="55">
        <v>1</v>
      </c>
      <c r="J173" s="55">
        <v>1</v>
      </c>
      <c r="K173" s="55">
        <v>1</v>
      </c>
      <c r="L173" s="211"/>
      <c r="M173" s="253"/>
      <c r="N173" s="253"/>
      <c r="O173" s="30"/>
    </row>
    <row r="174" spans="1:15" ht="15" customHeight="1">
      <c r="B174" s="79" t="s">
        <v>20</v>
      </c>
      <c r="C174" s="71"/>
      <c r="D174" s="48">
        <v>1</v>
      </c>
      <c r="E174" s="49"/>
      <c r="F174" s="49"/>
      <c r="G174" s="49"/>
      <c r="H174" s="49">
        <v>1</v>
      </c>
      <c r="I174" s="49">
        <v>1</v>
      </c>
      <c r="J174" s="49">
        <v>1</v>
      </c>
      <c r="K174" s="49">
        <v>1</v>
      </c>
      <c r="L174" s="214"/>
      <c r="M174" s="215"/>
      <c r="N174" s="215"/>
      <c r="O174" s="30"/>
    </row>
    <row r="175" spans="1:15" ht="15" customHeight="1">
      <c r="B175" s="76" t="s">
        <v>22</v>
      </c>
      <c r="C175" s="77"/>
      <c r="D175" s="37">
        <v>12259</v>
      </c>
      <c r="E175" s="37">
        <v>0</v>
      </c>
      <c r="F175" s="37">
        <v>0</v>
      </c>
      <c r="G175" s="37">
        <v>0</v>
      </c>
      <c r="H175" s="37">
        <v>8656</v>
      </c>
      <c r="I175" s="229">
        <v>11174</v>
      </c>
      <c r="J175" s="226">
        <v>9667</v>
      </c>
      <c r="K175" s="37">
        <v>3216</v>
      </c>
      <c r="L175" s="37">
        <f t="shared" ref="L175" si="18">L172 * L173 * L174</f>
        <v>0</v>
      </c>
      <c r="M175" s="37">
        <f t="shared" ref="M175:N175" si="19">M172 * M173 * M174</f>
        <v>0</v>
      </c>
      <c r="N175" s="37">
        <f t="shared" si="19"/>
        <v>0</v>
      </c>
      <c r="O175" s="30"/>
    </row>
    <row r="176" spans="1:15" ht="15" customHeight="1">
      <c r="B176" s="23"/>
      <c r="C176" s="30"/>
      <c r="D176" s="36"/>
      <c r="E176" s="36"/>
      <c r="F176" s="36"/>
      <c r="G176" s="24"/>
      <c r="H176" s="24"/>
      <c r="I176" s="24"/>
      <c r="J176" s="24"/>
      <c r="K176" s="24"/>
      <c r="L176" s="24"/>
      <c r="M176" s="24"/>
      <c r="N176" s="24"/>
      <c r="O176" s="30"/>
    </row>
    <row r="177" spans="1:15" ht="18.75" customHeight="1">
      <c r="A177" s="42" t="s">
        <v>119</v>
      </c>
      <c r="C177" s="30"/>
      <c r="D177" s="2">
        <f>'Facility Detail'!$B$3082</f>
        <v>2011</v>
      </c>
      <c r="E177" s="2">
        <f>D177+1</f>
        <v>2012</v>
      </c>
      <c r="F177" s="2">
        <f>E177+1</f>
        <v>2013</v>
      </c>
      <c r="G177" s="2">
        <f>G171</f>
        <v>2014</v>
      </c>
      <c r="H177" s="2">
        <f>H171</f>
        <v>2015</v>
      </c>
      <c r="I177" s="2">
        <f>I171</f>
        <v>2016</v>
      </c>
      <c r="J177" s="2">
        <f>J171</f>
        <v>2017</v>
      </c>
      <c r="K177" s="2">
        <f t="shared" ref="K177:L177" si="20">K171</f>
        <v>2018</v>
      </c>
      <c r="L177" s="2">
        <f t="shared" si="20"/>
        <v>2019</v>
      </c>
      <c r="M177" s="2">
        <f t="shared" ref="M177:N177" si="21">M171</f>
        <v>2020</v>
      </c>
      <c r="N177" s="2">
        <f t="shared" si="21"/>
        <v>2021</v>
      </c>
      <c r="O177" s="30"/>
    </row>
    <row r="178" spans="1:15" ht="15" customHeight="1">
      <c r="B178" s="79" t="s">
        <v>10</v>
      </c>
      <c r="C178" s="71"/>
      <c r="D178" s="51">
        <f>IF( $E4 = "Eligible", D175 * 'Facility Detail'!$B$3079, 0 )</f>
        <v>0</v>
      </c>
      <c r="E178" s="51">
        <f>IF( $E4 = "Eligible", E175 * 'Facility Detail'!$B$3079, 0 )</f>
        <v>0</v>
      </c>
      <c r="F178" s="51">
        <f>IF( $E4 = "Eligible", F175 * 'Facility Detail'!$B$3079, 0 )</f>
        <v>0</v>
      </c>
      <c r="G178" s="51">
        <f>IF( $E4 = "Eligible", G175 * 'Facility Detail'!$B$3079, 0 )</f>
        <v>0</v>
      </c>
      <c r="H178" s="51">
        <f>IF( $E4 = "Eligible", H175 * 'Facility Detail'!$B$3079, 0 )</f>
        <v>0</v>
      </c>
      <c r="I178" s="51">
        <f>IF( $E4 = "Eligible", I175 * 'Facility Detail'!$B$3079, 0 )</f>
        <v>0</v>
      </c>
      <c r="J178" s="51">
        <f>IF( $E4 = "Eligible", J175 * 'Facility Detail'!$B$3079, 0 )</f>
        <v>0</v>
      </c>
      <c r="K178" s="51">
        <f>IF( $E4 = "Eligible", K175 * 'Facility Detail'!$B$3079, 0 )</f>
        <v>0</v>
      </c>
      <c r="L178" s="51">
        <f>IF( $E4 = "Eligible", L175 * 'Facility Detail'!$B$3079, 0 )</f>
        <v>0</v>
      </c>
      <c r="M178" s="51">
        <f>IF( $E4 = "Eligible", M175 * 'Facility Detail'!$B$3079, 0 )</f>
        <v>0</v>
      </c>
      <c r="N178" s="51">
        <f>IF( $E4 = "Eligible", N175 * 'Facility Detail'!$B$3079, 0 )</f>
        <v>0</v>
      </c>
      <c r="O178" s="30"/>
    </row>
    <row r="179" spans="1:15" ht="15" customHeight="1">
      <c r="B179" s="79" t="s">
        <v>6</v>
      </c>
      <c r="C179" s="71"/>
      <c r="D179" s="52">
        <f t="shared" ref="D179:N179" si="22">IF( $F4 = "Eligible", D175, 0 )</f>
        <v>0</v>
      </c>
      <c r="E179" s="52">
        <f t="shared" si="22"/>
        <v>0</v>
      </c>
      <c r="F179" s="52">
        <f t="shared" si="22"/>
        <v>0</v>
      </c>
      <c r="G179" s="52">
        <f t="shared" si="22"/>
        <v>0</v>
      </c>
      <c r="H179" s="52">
        <f t="shared" si="22"/>
        <v>0</v>
      </c>
      <c r="I179" s="52">
        <f t="shared" si="22"/>
        <v>0</v>
      </c>
      <c r="J179" s="52">
        <f t="shared" si="22"/>
        <v>0</v>
      </c>
      <c r="K179" s="52">
        <f t="shared" si="22"/>
        <v>0</v>
      </c>
      <c r="L179" s="52">
        <f t="shared" si="22"/>
        <v>0</v>
      </c>
      <c r="M179" s="52">
        <f t="shared" si="22"/>
        <v>0</v>
      </c>
      <c r="N179" s="52">
        <f t="shared" si="22"/>
        <v>0</v>
      </c>
      <c r="O179" s="30"/>
    </row>
    <row r="180" spans="1:15" ht="15" customHeight="1">
      <c r="B180" s="78" t="s">
        <v>121</v>
      </c>
      <c r="C180" s="77"/>
      <c r="D180" s="39">
        <f t="shared" ref="D180" si="23">SUM(D178:D179)</f>
        <v>0</v>
      </c>
      <c r="E180" s="39">
        <f t="shared" ref="E180:N180" si="24">SUM(E178:E179)</f>
        <v>0</v>
      </c>
      <c r="F180" s="39">
        <f t="shared" si="24"/>
        <v>0</v>
      </c>
      <c r="G180" s="39">
        <f t="shared" si="24"/>
        <v>0</v>
      </c>
      <c r="H180" s="39">
        <f t="shared" si="24"/>
        <v>0</v>
      </c>
      <c r="I180" s="39">
        <f t="shared" si="24"/>
        <v>0</v>
      </c>
      <c r="J180" s="39">
        <f t="shared" si="24"/>
        <v>0</v>
      </c>
      <c r="K180" s="39">
        <f t="shared" si="24"/>
        <v>0</v>
      </c>
      <c r="L180" s="39">
        <f t="shared" si="24"/>
        <v>0</v>
      </c>
      <c r="M180" s="39">
        <f t="shared" si="24"/>
        <v>0</v>
      </c>
      <c r="N180" s="39">
        <f t="shared" si="24"/>
        <v>0</v>
      </c>
      <c r="O180" s="30"/>
    </row>
    <row r="181" spans="1:15" ht="15" customHeight="1">
      <c r="B181" s="30"/>
      <c r="C181" s="30"/>
      <c r="D181" s="38"/>
      <c r="E181" s="31"/>
      <c r="F181" s="31"/>
      <c r="G181" s="24"/>
      <c r="H181" s="24"/>
      <c r="I181" s="24"/>
      <c r="J181" s="24"/>
      <c r="K181" s="24"/>
      <c r="L181" s="24"/>
      <c r="M181" s="24"/>
      <c r="N181" s="24"/>
      <c r="O181" s="30"/>
    </row>
    <row r="182" spans="1:15" ht="18.75" customHeight="1">
      <c r="A182" s="41" t="s">
        <v>30</v>
      </c>
      <c r="C182" s="30"/>
      <c r="D182" s="2">
        <f>'Facility Detail'!$B$3082</f>
        <v>2011</v>
      </c>
      <c r="E182" s="2">
        <f>D182+1</f>
        <v>2012</v>
      </c>
      <c r="F182" s="2">
        <f>E182+1</f>
        <v>2013</v>
      </c>
      <c r="G182" s="2">
        <f>G171</f>
        <v>2014</v>
      </c>
      <c r="H182" s="2">
        <f>H171</f>
        <v>2015</v>
      </c>
      <c r="I182" s="2">
        <f>I171</f>
        <v>2016</v>
      </c>
      <c r="J182" s="2">
        <f>J171</f>
        <v>2017</v>
      </c>
      <c r="K182" s="2">
        <f t="shared" ref="K182:L182" si="25">K171</f>
        <v>2018</v>
      </c>
      <c r="L182" s="2">
        <f t="shared" si="25"/>
        <v>2019</v>
      </c>
      <c r="M182" s="2">
        <f t="shared" ref="M182:N182" si="26">M171</f>
        <v>2020</v>
      </c>
      <c r="N182" s="2">
        <f t="shared" si="26"/>
        <v>2021</v>
      </c>
      <c r="O182" s="30"/>
    </row>
    <row r="183" spans="1:15" ht="15" customHeight="1">
      <c r="B183" s="79" t="s">
        <v>47</v>
      </c>
      <c r="C183" s="71"/>
      <c r="D183" s="89"/>
      <c r="E183" s="90"/>
      <c r="F183" s="90"/>
      <c r="G183" s="90"/>
      <c r="H183" s="90"/>
      <c r="I183" s="90"/>
      <c r="J183" s="90"/>
      <c r="K183" s="90"/>
      <c r="L183" s="90"/>
      <c r="M183" s="140"/>
      <c r="N183" s="140"/>
      <c r="O183" s="30"/>
    </row>
    <row r="184" spans="1:15" ht="15" customHeight="1">
      <c r="B184" s="80" t="s">
        <v>23</v>
      </c>
      <c r="C184" s="175"/>
      <c r="D184" s="92"/>
      <c r="E184" s="93"/>
      <c r="F184" s="93"/>
      <c r="G184" s="93"/>
      <c r="H184" s="93"/>
      <c r="I184" s="93"/>
      <c r="J184" s="93"/>
      <c r="K184" s="93"/>
      <c r="L184" s="93"/>
      <c r="M184" s="141"/>
      <c r="N184" s="141"/>
      <c r="O184" s="30"/>
    </row>
    <row r="185" spans="1:15" ht="15" customHeight="1">
      <c r="B185" s="95" t="s">
        <v>89</v>
      </c>
      <c r="C185" s="173"/>
      <c r="D185" s="57"/>
      <c r="E185" s="58"/>
      <c r="F185" s="58"/>
      <c r="G185" s="58"/>
      <c r="H185" s="58"/>
      <c r="I185" s="58"/>
      <c r="J185" s="58"/>
      <c r="K185" s="58"/>
      <c r="L185" s="58"/>
      <c r="M185" s="142"/>
      <c r="N185" s="142"/>
      <c r="O185" s="30"/>
    </row>
    <row r="186" spans="1:15" ht="15" customHeight="1">
      <c r="B186" s="33" t="s">
        <v>90</v>
      </c>
      <c r="D186" s="7">
        <f t="shared" ref="D186:I186" si="27">SUM(D183:D185)</f>
        <v>0</v>
      </c>
      <c r="E186" s="7">
        <f t="shared" si="27"/>
        <v>0</v>
      </c>
      <c r="F186" s="7">
        <f t="shared" si="27"/>
        <v>0</v>
      </c>
      <c r="G186" s="7">
        <f t="shared" si="27"/>
        <v>0</v>
      </c>
      <c r="H186" s="7">
        <f t="shared" si="27"/>
        <v>0</v>
      </c>
      <c r="I186" s="7">
        <f t="shared" si="27"/>
        <v>0</v>
      </c>
      <c r="J186" s="7">
        <f t="shared" ref="J186:L186" si="28">SUM(J183:J185)</f>
        <v>0</v>
      </c>
      <c r="K186" s="7">
        <f t="shared" si="28"/>
        <v>0</v>
      </c>
      <c r="L186" s="7">
        <f t="shared" si="28"/>
        <v>0</v>
      </c>
      <c r="M186" s="7">
        <f t="shared" ref="M186:N186" si="29">SUM(M183:M185)</f>
        <v>0</v>
      </c>
      <c r="N186" s="7">
        <f t="shared" si="29"/>
        <v>0</v>
      </c>
      <c r="O186" s="30"/>
    </row>
    <row r="187" spans="1:15" ht="15" customHeight="1">
      <c r="B187" s="6"/>
      <c r="D187" s="7"/>
      <c r="E187" s="7"/>
      <c r="F187" s="7"/>
      <c r="G187" s="28"/>
      <c r="H187" s="28"/>
      <c r="I187" s="28"/>
      <c r="J187" s="28"/>
      <c r="K187" s="28"/>
      <c r="L187" s="28"/>
      <c r="M187" s="28"/>
      <c r="N187" s="28"/>
      <c r="O187" s="30"/>
    </row>
    <row r="188" spans="1:15" ht="18.75" customHeight="1">
      <c r="A188" s="9" t="s">
        <v>100</v>
      </c>
      <c r="D188" s="2">
        <f>'Facility Detail'!$B$3082</f>
        <v>2011</v>
      </c>
      <c r="E188" s="2">
        <f t="shared" ref="E188:K188" si="30">D188+1</f>
        <v>2012</v>
      </c>
      <c r="F188" s="2">
        <f t="shared" si="30"/>
        <v>2013</v>
      </c>
      <c r="G188" s="2">
        <f t="shared" si="30"/>
        <v>2014</v>
      </c>
      <c r="H188" s="2">
        <f t="shared" si="30"/>
        <v>2015</v>
      </c>
      <c r="I188" s="2">
        <f t="shared" si="30"/>
        <v>2016</v>
      </c>
      <c r="J188" s="2">
        <f t="shared" si="30"/>
        <v>2017</v>
      </c>
      <c r="K188" s="2">
        <f t="shared" si="30"/>
        <v>2018</v>
      </c>
      <c r="L188" s="2">
        <f t="shared" ref="L188" si="31">K188+1</f>
        <v>2019</v>
      </c>
      <c r="M188" s="2">
        <f t="shared" ref="M188" si="32">L188+1</f>
        <v>2020</v>
      </c>
      <c r="N188" s="2">
        <f t="shared" ref="N188" si="33">M188+1</f>
        <v>2021</v>
      </c>
      <c r="O188" s="30"/>
    </row>
    <row r="189" spans="1:15" ht="15" customHeight="1">
      <c r="B189" s="79" t="str">
        <f xml:space="preserve"> 'Facility Detail'!$B$3082 &amp; " Surplus Applied to " &amp; ( 'Facility Detail'!$B$3082 + 1 )</f>
        <v>2011 Surplus Applied to 2012</v>
      </c>
      <c r="C189" s="30"/>
      <c r="D189" s="3">
        <f>D175</f>
        <v>12259</v>
      </c>
      <c r="E189" s="60">
        <f>D189</f>
        <v>12259</v>
      </c>
      <c r="F189" s="131"/>
      <c r="G189" s="131"/>
      <c r="H189" s="131"/>
      <c r="I189" s="131"/>
      <c r="J189" s="131"/>
      <c r="K189" s="131"/>
      <c r="L189" s="131"/>
      <c r="M189" s="131"/>
      <c r="N189" s="61"/>
      <c r="O189" s="30"/>
    </row>
    <row r="190" spans="1:15" ht="15" customHeight="1">
      <c r="B190" s="79" t="str">
        <f xml:space="preserve"> ( 'Facility Detail'!$B$3082 + 1 ) &amp; " Surplus Applied to " &amp; ( 'Facility Detail'!$B$3082 )</f>
        <v>2012 Surplus Applied to 2011</v>
      </c>
      <c r="C190" s="30"/>
      <c r="D190" s="47">
        <f>E190</f>
        <v>0</v>
      </c>
      <c r="E190" s="53"/>
      <c r="F190" s="132"/>
      <c r="G190" s="132"/>
      <c r="H190" s="132"/>
      <c r="I190" s="132"/>
      <c r="J190" s="74"/>
      <c r="K190" s="74"/>
      <c r="L190" s="74"/>
      <c r="M190" s="74"/>
      <c r="N190" s="165"/>
      <c r="O190" s="30"/>
    </row>
    <row r="191" spans="1:15" ht="15" customHeight="1">
      <c r="B191" s="79" t="str">
        <f xml:space="preserve"> ( 'Facility Detail'!$B$3082 + 1 ) &amp; " Surplus Applied to " &amp; ( 'Facility Detail'!$B$3082 + 2 )</f>
        <v>2012 Surplus Applied to 2013</v>
      </c>
      <c r="C191" s="30"/>
      <c r="D191" s="62"/>
      <c r="E191" s="10">
        <f>E175</f>
        <v>0</v>
      </c>
      <c r="F191" s="70">
        <f>E191</f>
        <v>0</v>
      </c>
      <c r="G191" s="132"/>
      <c r="H191" s="132"/>
      <c r="I191" s="132"/>
      <c r="J191" s="74"/>
      <c r="K191" s="74"/>
      <c r="L191" s="74"/>
      <c r="M191" s="74"/>
      <c r="N191" s="165"/>
      <c r="O191" s="30"/>
    </row>
    <row r="192" spans="1:15" ht="15" customHeight="1">
      <c r="B192" s="79" t="str">
        <f xml:space="preserve"> ( 'Facility Detail'!$B$3082 + 2 ) &amp; " Surplus Applied to " &amp; ( 'Facility Detail'!$B$3082 + 1 )</f>
        <v>2013 Surplus Applied to 2012</v>
      </c>
      <c r="C192" s="30"/>
      <c r="D192" s="62"/>
      <c r="E192" s="70">
        <f>F192</f>
        <v>0</v>
      </c>
      <c r="F192" s="138"/>
      <c r="G192" s="132"/>
      <c r="H192" s="132"/>
      <c r="I192" s="132"/>
      <c r="J192" s="74"/>
      <c r="K192" s="74"/>
      <c r="L192" s="74"/>
      <c r="M192" s="74"/>
      <c r="N192" s="165"/>
      <c r="O192" s="30"/>
    </row>
    <row r="193" spans="1:15" ht="15" customHeight="1">
      <c r="B193" s="79" t="str">
        <f xml:space="preserve"> ( 'Facility Detail'!$B$3082 + 2 ) &amp; " Surplus Applied to " &amp; ( 'Facility Detail'!$B$3082 + 3 )</f>
        <v>2013 Surplus Applied to 2014</v>
      </c>
      <c r="C193" s="30"/>
      <c r="D193" s="144"/>
      <c r="E193" s="146"/>
      <c r="F193" s="53">
        <f>F175</f>
        <v>0</v>
      </c>
      <c r="G193" s="147">
        <f>F193</f>
        <v>0</v>
      </c>
      <c r="H193" s="132"/>
      <c r="I193" s="132"/>
      <c r="J193" s="74"/>
      <c r="K193" s="74"/>
      <c r="L193" s="74"/>
      <c r="M193" s="74"/>
      <c r="N193" s="165"/>
      <c r="O193" s="30"/>
    </row>
    <row r="194" spans="1:15" ht="15" customHeight="1">
      <c r="B194" s="79" t="str">
        <f xml:space="preserve"> ( 'Facility Detail'!$B$3082 + 3 ) &amp; " Surplus Applied to " &amp; ( 'Facility Detail'!$B$3082 + 2 )</f>
        <v>2014 Surplus Applied to 2013</v>
      </c>
      <c r="C194" s="30"/>
      <c r="D194" s="144"/>
      <c r="E194" s="162"/>
      <c r="F194" s="171">
        <f>G194</f>
        <v>0</v>
      </c>
      <c r="G194" s="53"/>
      <c r="H194" s="132"/>
      <c r="I194" s="132"/>
      <c r="J194" s="74" t="s">
        <v>170</v>
      </c>
      <c r="K194" s="74" t="s">
        <v>170</v>
      </c>
      <c r="L194" s="74" t="s">
        <v>170</v>
      </c>
      <c r="M194" s="74" t="s">
        <v>170</v>
      </c>
      <c r="N194" s="165" t="s">
        <v>170</v>
      </c>
      <c r="O194" s="30"/>
    </row>
    <row r="195" spans="1:15" ht="15" customHeight="1">
      <c r="B195" s="79" t="str">
        <f xml:space="preserve"> ( 'Facility Detail'!$B$3082 + 3 ) &amp; " Surplus Applied to " &amp; ( 'Facility Detail'!$B$3082 + 4 )</f>
        <v>2014 Surplus Applied to 2015</v>
      </c>
      <c r="C195" s="30"/>
      <c r="D195" s="144"/>
      <c r="E195" s="146"/>
      <c r="F195" s="172"/>
      <c r="G195" s="53">
        <f>G175</f>
        <v>0</v>
      </c>
      <c r="H195" s="154">
        <f>G195</f>
        <v>0</v>
      </c>
      <c r="I195" s="146"/>
      <c r="J195" s="148"/>
      <c r="K195" s="148"/>
      <c r="L195" s="148"/>
      <c r="M195" s="74"/>
      <c r="N195" s="152"/>
      <c r="O195" s="30"/>
    </row>
    <row r="196" spans="1:15" ht="15" customHeight="1">
      <c r="B196" s="79" t="str">
        <f xml:space="preserve"> ( 'Facility Detail'!$B$3082 + 4 ) &amp; " Surplus Applied to " &amp; ( 'Facility Detail'!$B$3082 + 3 )</f>
        <v>2015 Surplus Applied to 2014</v>
      </c>
      <c r="C196" s="30"/>
      <c r="D196" s="62"/>
      <c r="E196" s="148"/>
      <c r="F196" s="170"/>
      <c r="G196" s="150">
        <f>H196</f>
        <v>0</v>
      </c>
      <c r="H196" s="151"/>
      <c r="I196" s="148"/>
      <c r="J196" s="148"/>
      <c r="K196" s="148"/>
      <c r="L196" s="148"/>
      <c r="M196" s="74"/>
      <c r="N196" s="152"/>
      <c r="O196" s="30"/>
    </row>
    <row r="197" spans="1:15" ht="15" customHeight="1">
      <c r="B197" s="79" t="str">
        <f xml:space="preserve"> ( 'Facility Detail'!$B$3082 + 4 ) &amp; " Surplus Applied to " &amp; ( 'Facility Detail'!$B$3082 + 5 )</f>
        <v>2015 Surplus Applied to 2016</v>
      </c>
      <c r="C197" s="30"/>
      <c r="D197" s="195"/>
      <c r="E197" s="196"/>
      <c r="F197" s="178"/>
      <c r="G197" s="196"/>
      <c r="H197" s="197">
        <f>H175</f>
        <v>8656</v>
      </c>
      <c r="I197" s="198">
        <f>H197</f>
        <v>8656</v>
      </c>
      <c r="J197" s="74"/>
      <c r="K197" s="74"/>
      <c r="L197" s="74"/>
      <c r="M197" s="74"/>
      <c r="N197" s="165"/>
      <c r="O197" s="30"/>
    </row>
    <row r="198" spans="1:15" ht="15" customHeight="1">
      <c r="B198" s="79" t="str">
        <f xml:space="preserve"> ( 'Facility Detail'!$B$3082 + 5 ) &amp; " Surplus Applied to " &amp; ( 'Facility Detail'!$B$3082 + 4 )</f>
        <v>2016 Surplus Applied to 2015</v>
      </c>
      <c r="C198" s="71"/>
      <c r="D198" s="62"/>
      <c r="E198" s="148"/>
      <c r="F198" s="148"/>
      <c r="G198" s="148"/>
      <c r="H198" s="70">
        <f>I198</f>
        <v>0</v>
      </c>
      <c r="I198" s="151"/>
      <c r="J198" s="74"/>
      <c r="K198" s="74"/>
      <c r="L198" s="74"/>
      <c r="M198" s="74"/>
      <c r="N198" s="165"/>
      <c r="O198" s="30"/>
    </row>
    <row r="199" spans="1:15" ht="15" customHeight="1">
      <c r="B199" s="79" t="str">
        <f xml:space="preserve"> ( 'Facility Detail'!$B$3082 + 5 ) &amp; " Surplus Applied to " &amp; ( 'Facility Detail'!$B$3082 + 6 )</f>
        <v>2016 Surplus Applied to 2017</v>
      </c>
      <c r="C199" s="71"/>
      <c r="D199" s="62"/>
      <c r="E199" s="148"/>
      <c r="F199" s="148"/>
      <c r="G199" s="148"/>
      <c r="H199" s="148"/>
      <c r="I199" s="151">
        <f>I175</f>
        <v>11174</v>
      </c>
      <c r="J199" s="70">
        <f>I199</f>
        <v>11174</v>
      </c>
      <c r="K199" s="74"/>
      <c r="L199" s="74"/>
      <c r="M199" s="74"/>
      <c r="N199" s="165"/>
      <c r="O199" s="30"/>
    </row>
    <row r="200" spans="1:15" ht="15" customHeight="1">
      <c r="B200" s="79" t="s">
        <v>168</v>
      </c>
      <c r="C200" s="30"/>
      <c r="D200" s="62"/>
      <c r="E200" s="148"/>
      <c r="F200" s="148"/>
      <c r="G200" s="148"/>
      <c r="H200" s="148"/>
      <c r="I200" s="150"/>
      <c r="J200" s="151"/>
      <c r="K200" s="148"/>
      <c r="L200" s="74"/>
      <c r="M200" s="74"/>
      <c r="N200" s="165"/>
      <c r="O200" s="30"/>
    </row>
    <row r="201" spans="1:15" ht="15" customHeight="1">
      <c r="B201" s="79" t="s">
        <v>169</v>
      </c>
      <c r="C201" s="30"/>
      <c r="D201" s="62"/>
      <c r="E201" s="148"/>
      <c r="F201" s="148"/>
      <c r="G201" s="148"/>
      <c r="H201" s="148"/>
      <c r="I201" s="148"/>
      <c r="J201" s="151">
        <v>9667</v>
      </c>
      <c r="K201" s="70">
        <f>J201</f>
        <v>9667</v>
      </c>
      <c r="L201" s="74"/>
      <c r="M201" s="74"/>
      <c r="N201" s="152"/>
      <c r="O201" s="30"/>
    </row>
    <row r="202" spans="1:15" ht="15" customHeight="1">
      <c r="B202" s="79" t="s">
        <v>186</v>
      </c>
      <c r="C202" s="30"/>
      <c r="D202" s="62"/>
      <c r="E202" s="148"/>
      <c r="F202" s="148"/>
      <c r="G202" s="148"/>
      <c r="H202" s="148"/>
      <c r="I202" s="148"/>
      <c r="J202" s="150"/>
      <c r="K202" s="151"/>
      <c r="L202" s="74"/>
      <c r="M202" s="74"/>
      <c r="N202" s="152"/>
      <c r="O202" s="30"/>
    </row>
    <row r="203" spans="1:15" ht="15" customHeight="1">
      <c r="B203" s="79" t="s">
        <v>187</v>
      </c>
      <c r="C203" s="30"/>
      <c r="D203" s="63"/>
      <c r="E203" s="133"/>
      <c r="F203" s="133"/>
      <c r="G203" s="133"/>
      <c r="H203" s="133"/>
      <c r="I203" s="133"/>
      <c r="J203" s="133"/>
      <c r="K203" s="153">
        <f>K175</f>
        <v>3216</v>
      </c>
      <c r="L203" s="254">
        <f>K203</f>
        <v>3216</v>
      </c>
      <c r="M203" s="338"/>
      <c r="N203" s="338"/>
      <c r="O203" s="30"/>
    </row>
    <row r="204" spans="1:15" ht="15" customHeight="1">
      <c r="B204" s="33" t="s">
        <v>17</v>
      </c>
      <c r="D204" s="7">
        <f xml:space="preserve"> D190 - D189</f>
        <v>-12259</v>
      </c>
      <c r="E204" s="7">
        <f xml:space="preserve"> E189 + E192 - E191 - E190</f>
        <v>12259</v>
      </c>
      <c r="F204" s="7">
        <f>F191 - F192 -F193</f>
        <v>0</v>
      </c>
      <c r="G204" s="7">
        <f>G193-G194-G195</f>
        <v>0</v>
      </c>
      <c r="H204" s="7">
        <f>H195-H196-H197</f>
        <v>-8656</v>
      </c>
      <c r="I204" s="7">
        <f>I197-I198-I199</f>
        <v>-2518</v>
      </c>
      <c r="J204" s="7">
        <f>J199-J200-J201</f>
        <v>1507</v>
      </c>
      <c r="K204" s="7">
        <f>K201-K202-K203</f>
        <v>6451</v>
      </c>
      <c r="L204" s="7">
        <f>L203</f>
        <v>3216</v>
      </c>
      <c r="M204" s="7"/>
      <c r="N204" s="7"/>
      <c r="O204" s="30"/>
    </row>
    <row r="205" spans="1:15" ht="15" customHeight="1">
      <c r="B205" s="6"/>
      <c r="D205" s="7"/>
      <c r="E205" s="7"/>
      <c r="F205" s="7"/>
      <c r="G205" s="7"/>
      <c r="H205" s="7"/>
      <c r="I205" s="7"/>
      <c r="J205" s="7"/>
      <c r="K205" s="7"/>
      <c r="L205" s="7"/>
      <c r="M205" s="7"/>
      <c r="N205" s="7"/>
      <c r="O205" s="30"/>
    </row>
    <row r="206" spans="1:15" ht="15" customHeight="1">
      <c r="B206" s="76" t="s">
        <v>12</v>
      </c>
      <c r="C206" s="71"/>
      <c r="D206" s="99"/>
      <c r="E206" s="100"/>
      <c r="F206" s="100"/>
      <c r="G206" s="100"/>
      <c r="H206" s="160"/>
      <c r="I206" s="100"/>
      <c r="J206" s="100"/>
      <c r="K206" s="100"/>
      <c r="L206" s="160"/>
      <c r="M206" s="101"/>
      <c r="N206" s="101"/>
      <c r="O206" s="30"/>
    </row>
    <row r="207" spans="1:15" ht="15" customHeight="1">
      <c r="B207" s="6"/>
      <c r="D207" s="7"/>
      <c r="E207" s="7"/>
      <c r="F207" s="7"/>
      <c r="G207" s="7"/>
      <c r="H207" s="7"/>
      <c r="I207" s="7"/>
      <c r="J207" s="7"/>
      <c r="K207" s="7"/>
      <c r="L207" s="7"/>
      <c r="M207" s="7"/>
      <c r="N207" s="7"/>
      <c r="O207" s="30"/>
    </row>
    <row r="208" spans="1:15" ht="18.75" customHeight="1">
      <c r="A208" s="41" t="s">
        <v>26</v>
      </c>
      <c r="C208" s="71"/>
      <c r="D208" s="43">
        <f t="shared" ref="D208:I208" si="34" xml:space="preserve"> D175 + D180 - D186 + D204 + D206</f>
        <v>0</v>
      </c>
      <c r="E208" s="44">
        <f t="shared" si="34"/>
        <v>12259</v>
      </c>
      <c r="F208" s="44">
        <f t="shared" si="34"/>
        <v>0</v>
      </c>
      <c r="G208" s="44">
        <f t="shared" si="34"/>
        <v>0</v>
      </c>
      <c r="H208" s="44">
        <f t="shared" si="34"/>
        <v>0</v>
      </c>
      <c r="I208" s="44">
        <f t="shared" si="34"/>
        <v>8656</v>
      </c>
      <c r="J208" s="44">
        <f t="shared" ref="J208:L208" si="35" xml:space="preserve"> J175 + J180 - J186 + J204 + J206</f>
        <v>11174</v>
      </c>
      <c r="K208" s="44">
        <f t="shared" si="35"/>
        <v>9667</v>
      </c>
      <c r="L208" s="44">
        <f t="shared" si="35"/>
        <v>3216</v>
      </c>
      <c r="M208" s="143">
        <f t="shared" ref="M208:N208" si="36" xml:space="preserve"> M175 + M180 - M186 + M204 + M206</f>
        <v>0</v>
      </c>
      <c r="N208" s="143">
        <f t="shared" si="36"/>
        <v>0</v>
      </c>
      <c r="O208" s="30"/>
    </row>
    <row r="209" spans="1:15" ht="15" customHeight="1">
      <c r="B209" s="6"/>
      <c r="D209" s="7"/>
      <c r="E209" s="7"/>
      <c r="F209" s="7"/>
      <c r="G209" s="28"/>
      <c r="H209" s="28"/>
      <c r="I209" s="28"/>
      <c r="J209" s="28"/>
      <c r="K209" s="28"/>
      <c r="L209" s="28"/>
      <c r="M209" s="28"/>
      <c r="N209" s="28"/>
      <c r="O209" s="30"/>
    </row>
    <row r="210" spans="1:15" ht="15.75" customHeight="1" thickBot="1">
      <c r="O210" s="30"/>
    </row>
    <row r="211" spans="1:15" ht="15" thickBot="1">
      <c r="A211" s="8"/>
      <c r="B211" s="8"/>
      <c r="C211" s="8"/>
      <c r="D211" s="8"/>
      <c r="E211" s="8"/>
      <c r="F211" s="8"/>
      <c r="G211" s="8"/>
      <c r="H211" s="8"/>
      <c r="I211" s="8"/>
      <c r="J211" s="8"/>
      <c r="K211" s="8"/>
      <c r="L211" s="8"/>
      <c r="M211" s="8"/>
      <c r="N211" s="8"/>
    </row>
    <row r="212" spans="1:15" ht="21.5" thickBot="1">
      <c r="A212" s="13" t="s">
        <v>4</v>
      </c>
      <c r="B212" s="13"/>
      <c r="C212" s="313" t="s">
        <v>208</v>
      </c>
      <c r="D212" s="310"/>
      <c r="E212" s="23"/>
      <c r="F212" s="23"/>
    </row>
    <row r="214" spans="1:15" ht="18.5">
      <c r="A214" s="9" t="s">
        <v>21</v>
      </c>
      <c r="B214" s="9"/>
      <c r="D214" s="2">
        <v>2011</v>
      </c>
      <c r="E214" s="2">
        <f>D214+1</f>
        <v>2012</v>
      </c>
      <c r="F214" s="2">
        <f t="shared" ref="F214" si="37">E214+1</f>
        <v>2013</v>
      </c>
      <c r="G214" s="2">
        <f t="shared" ref="G214" si="38">F214+1</f>
        <v>2014</v>
      </c>
      <c r="H214" s="2">
        <f t="shared" ref="H214" si="39">G214+1</f>
        <v>2015</v>
      </c>
      <c r="I214" s="2">
        <f t="shared" ref="I214" si="40">H214+1</f>
        <v>2016</v>
      </c>
      <c r="J214" s="2">
        <f t="shared" ref="J214" si="41">I214+1</f>
        <v>2017</v>
      </c>
      <c r="K214" s="2">
        <f t="shared" ref="K214" si="42">J214+1</f>
        <v>2018</v>
      </c>
      <c r="L214" s="2">
        <f t="shared" ref="L214" si="43">K214+1</f>
        <v>2019</v>
      </c>
      <c r="M214" s="2">
        <f t="shared" ref="M214" si="44">L214+1</f>
        <v>2020</v>
      </c>
      <c r="N214" s="2">
        <f t="shared" ref="N214" si="45">M214+1</f>
        <v>2021</v>
      </c>
    </row>
    <row r="215" spans="1:15">
      <c r="B215" s="79" t="str">
        <f>"Total MWh Produced / Purchased from " &amp; C212</f>
        <v>Total MWh Produced / Purchased from Bigfork</v>
      </c>
      <c r="C215" s="71"/>
      <c r="D215" s="3"/>
      <c r="E215" s="4"/>
      <c r="F215" s="4"/>
      <c r="G215" s="4"/>
      <c r="H215" s="4"/>
      <c r="I215" s="4"/>
      <c r="J215" s="4"/>
      <c r="K215" s="4"/>
      <c r="L215" s="4"/>
      <c r="M215" s="230"/>
      <c r="N215" s="4">
        <v>1117</v>
      </c>
    </row>
    <row r="216" spans="1:15">
      <c r="B216" s="79" t="s">
        <v>25</v>
      </c>
      <c r="C216" s="71"/>
      <c r="D216" s="54"/>
      <c r="E216" s="55"/>
      <c r="F216" s="55"/>
      <c r="G216" s="55"/>
      <c r="H216" s="55"/>
      <c r="I216" s="55"/>
      <c r="J216" s="55"/>
      <c r="K216" s="55"/>
      <c r="L216" s="55"/>
      <c r="M216" s="234"/>
      <c r="N216" s="55">
        <v>1</v>
      </c>
    </row>
    <row r="217" spans="1:15">
      <c r="B217" s="79" t="s">
        <v>20</v>
      </c>
      <c r="C217" s="71"/>
      <c r="D217" s="48"/>
      <c r="E217" s="49"/>
      <c r="F217" s="49"/>
      <c r="G217" s="49"/>
      <c r="H217" s="49"/>
      <c r="I217" s="49"/>
      <c r="J217" s="55"/>
      <c r="K217" s="55"/>
      <c r="L217" s="55"/>
      <c r="M217" s="234"/>
      <c r="N217" s="55">
        <v>8.0780946790754593E-2</v>
      </c>
    </row>
    <row r="218" spans="1:15">
      <c r="B218" s="76" t="s">
        <v>22</v>
      </c>
      <c r="C218" s="77"/>
      <c r="D218" s="37">
        <v>0</v>
      </c>
      <c r="E218" s="37">
        <v>0</v>
      </c>
      <c r="F218" s="37">
        <v>0</v>
      </c>
      <c r="G218" s="37">
        <v>0</v>
      </c>
      <c r="H218" s="37">
        <v>0</v>
      </c>
      <c r="I218" s="37">
        <v>0</v>
      </c>
      <c r="J218" s="37">
        <v>0</v>
      </c>
      <c r="K218" s="37">
        <v>0</v>
      </c>
      <c r="L218" s="37">
        <f>L215*L217</f>
        <v>0</v>
      </c>
      <c r="M218" s="37">
        <f>M215*M217</f>
        <v>0</v>
      </c>
      <c r="N218" s="37">
        <f>N215*N217</f>
        <v>90.232317565272879</v>
      </c>
    </row>
    <row r="219" spans="1:15">
      <c r="B219" s="23"/>
      <c r="C219" s="30"/>
      <c r="D219" s="36"/>
      <c r="E219" s="36"/>
      <c r="F219" s="36"/>
      <c r="G219" s="36"/>
      <c r="H219" s="36"/>
      <c r="I219" s="36"/>
      <c r="J219" s="36"/>
      <c r="K219" s="36"/>
      <c r="L219" s="36"/>
      <c r="M219" s="36"/>
      <c r="N219" s="36"/>
    </row>
    <row r="220" spans="1:15" ht="18.5">
      <c r="A220" s="42" t="s">
        <v>119</v>
      </c>
      <c r="C220" s="30"/>
      <c r="D220" s="2">
        <v>2011</v>
      </c>
      <c r="E220" s="2">
        <f>D220+1</f>
        <v>2012</v>
      </c>
      <c r="F220" s="2">
        <f t="shared" ref="F220" si="46">E220+1</f>
        <v>2013</v>
      </c>
      <c r="G220" s="2">
        <f t="shared" ref="G220" si="47">F220+1</f>
        <v>2014</v>
      </c>
      <c r="H220" s="2">
        <f t="shared" ref="H220" si="48">G220+1</f>
        <v>2015</v>
      </c>
      <c r="I220" s="2">
        <f t="shared" ref="I220" si="49">H220+1</f>
        <v>2016</v>
      </c>
      <c r="J220" s="2">
        <f t="shared" ref="J220" si="50">I220+1</f>
        <v>2017</v>
      </c>
      <c r="K220" s="2">
        <f t="shared" ref="K220" si="51">J220+1</f>
        <v>2018</v>
      </c>
      <c r="L220" s="2">
        <f t="shared" ref="L220" si="52">K220+1</f>
        <v>2019</v>
      </c>
      <c r="M220" s="2">
        <f t="shared" ref="M220" si="53">L220+1</f>
        <v>2020</v>
      </c>
      <c r="N220" s="2">
        <f t="shared" ref="N220" si="54">M220+1</f>
        <v>2021</v>
      </c>
    </row>
    <row r="221" spans="1:15">
      <c r="B221" s="79" t="s">
        <v>10</v>
      </c>
      <c r="C221" s="71"/>
      <c r="D221" s="51">
        <f>IF($E5 = "Eligible", D218 * 'Facility Detail'!$B$3079, 0 )</f>
        <v>0</v>
      </c>
      <c r="E221" s="51">
        <f>IF($E5 = "Eligible", E218 * 'Facility Detail'!$B$3079, 0 )</f>
        <v>0</v>
      </c>
      <c r="F221" s="51">
        <f>IF($E5 = "Eligible", F218 * 'Facility Detail'!$B$3079, 0 )</f>
        <v>0</v>
      </c>
      <c r="G221" s="51">
        <f>IF($E5 = "Eligible", G218 * 'Facility Detail'!$B$3079, 0 )</f>
        <v>0</v>
      </c>
      <c r="H221" s="51">
        <f>IF($E5 = "Eligible", H218 * 'Facility Detail'!$B$3079, 0 )</f>
        <v>0</v>
      </c>
      <c r="I221" s="51">
        <f>IF($E5 = "Eligible", I218 * 'Facility Detail'!$B$3079, 0 )</f>
        <v>0</v>
      </c>
      <c r="J221" s="51">
        <f>IF($E5 = "Eligible", J218 * 'Facility Detail'!$B$3079, 0 )</f>
        <v>0</v>
      </c>
      <c r="K221" s="51">
        <f>IF($E5 = "Eligible", K218 * 'Facility Detail'!$B$3079, 0 )</f>
        <v>0</v>
      </c>
      <c r="L221" s="51">
        <f>IF($E5 = "Eligible", L218 * 'Facility Detail'!$B$3079, 0 )</f>
        <v>0</v>
      </c>
      <c r="M221" s="51">
        <f>IF($E5 = "Eligible", M218 * 'Facility Detail'!$B$3079, 0 )</f>
        <v>0</v>
      </c>
      <c r="N221" s="51">
        <f>IF($E5 = "Eligible", N218 * 'Facility Detail'!$B$3079, 0 )</f>
        <v>0</v>
      </c>
    </row>
    <row r="222" spans="1:15">
      <c r="B222" s="79" t="s">
        <v>6</v>
      </c>
      <c r="C222" s="71"/>
      <c r="D222" s="52">
        <f t="shared" ref="D222:N222" si="55">IF($F5= "Eligible", D218, 0 )</f>
        <v>0</v>
      </c>
      <c r="E222" s="52">
        <f t="shared" si="55"/>
        <v>0</v>
      </c>
      <c r="F222" s="52">
        <f t="shared" si="55"/>
        <v>0</v>
      </c>
      <c r="G222" s="52">
        <f t="shared" si="55"/>
        <v>0</v>
      </c>
      <c r="H222" s="52">
        <f t="shared" si="55"/>
        <v>0</v>
      </c>
      <c r="I222" s="52">
        <f t="shared" si="55"/>
        <v>0</v>
      </c>
      <c r="J222" s="52">
        <f t="shared" si="55"/>
        <v>0</v>
      </c>
      <c r="K222" s="52">
        <f t="shared" si="55"/>
        <v>0</v>
      </c>
      <c r="L222" s="52">
        <f t="shared" si="55"/>
        <v>0</v>
      </c>
      <c r="M222" s="52">
        <f t="shared" si="55"/>
        <v>0</v>
      </c>
      <c r="N222" s="52">
        <f t="shared" si="55"/>
        <v>0</v>
      </c>
    </row>
    <row r="223" spans="1:15">
      <c r="B223" s="78" t="s">
        <v>121</v>
      </c>
      <c r="C223" s="77"/>
      <c r="D223" s="39">
        <f>SUM(D221:D222)</f>
        <v>0</v>
      </c>
      <c r="E223" s="39">
        <f t="shared" ref="E223:N223" si="56">SUM(E221:E222)</f>
        <v>0</v>
      </c>
      <c r="F223" s="39">
        <f t="shared" si="56"/>
        <v>0</v>
      </c>
      <c r="G223" s="39">
        <f t="shared" si="56"/>
        <v>0</v>
      </c>
      <c r="H223" s="39">
        <f t="shared" si="56"/>
        <v>0</v>
      </c>
      <c r="I223" s="39">
        <f t="shared" si="56"/>
        <v>0</v>
      </c>
      <c r="J223" s="39">
        <f t="shared" si="56"/>
        <v>0</v>
      </c>
      <c r="K223" s="39">
        <f t="shared" si="56"/>
        <v>0</v>
      </c>
      <c r="L223" s="39">
        <f t="shared" si="56"/>
        <v>0</v>
      </c>
      <c r="M223" s="39">
        <f t="shared" si="56"/>
        <v>0</v>
      </c>
      <c r="N223" s="39">
        <f t="shared" si="56"/>
        <v>0</v>
      </c>
    </row>
    <row r="224" spans="1:15">
      <c r="B224" s="30"/>
      <c r="C224" s="30"/>
      <c r="D224" s="38"/>
      <c r="E224" s="31"/>
      <c r="F224" s="31"/>
      <c r="G224" s="31"/>
      <c r="H224" s="31"/>
      <c r="I224" s="31"/>
      <c r="J224" s="31"/>
      <c r="K224" s="31"/>
      <c r="L224" s="31"/>
      <c r="M224" s="31"/>
      <c r="N224" s="31"/>
    </row>
    <row r="225" spans="1:14" ht="18.5">
      <c r="A225" s="41" t="s">
        <v>30</v>
      </c>
      <c r="C225" s="30"/>
      <c r="D225" s="2">
        <v>2011</v>
      </c>
      <c r="E225" s="2">
        <f>D225+1</f>
        <v>2012</v>
      </c>
      <c r="F225" s="2">
        <f t="shared" ref="F225" si="57">E225+1</f>
        <v>2013</v>
      </c>
      <c r="G225" s="2">
        <f t="shared" ref="G225" si="58">F225+1</f>
        <v>2014</v>
      </c>
      <c r="H225" s="2">
        <f t="shared" ref="H225" si="59">G225+1</f>
        <v>2015</v>
      </c>
      <c r="I225" s="2">
        <f t="shared" ref="I225" si="60">H225+1</f>
        <v>2016</v>
      </c>
      <c r="J225" s="2">
        <f t="shared" ref="J225" si="61">I225+1</f>
        <v>2017</v>
      </c>
      <c r="K225" s="2">
        <f t="shared" ref="K225" si="62">J225+1</f>
        <v>2018</v>
      </c>
      <c r="L225" s="2">
        <f t="shared" ref="L225" si="63">K225+1</f>
        <v>2019</v>
      </c>
      <c r="M225" s="2">
        <f t="shared" ref="M225" si="64">L225+1</f>
        <v>2020</v>
      </c>
      <c r="N225" s="2">
        <f t="shared" ref="N225" si="65">M225+1</f>
        <v>2021</v>
      </c>
    </row>
    <row r="226" spans="1:14">
      <c r="B226" s="79" t="s">
        <v>47</v>
      </c>
      <c r="C226" s="71"/>
      <c r="D226" s="89"/>
      <c r="E226" s="90"/>
      <c r="F226" s="90"/>
      <c r="G226" s="90"/>
      <c r="H226" s="90"/>
      <c r="I226" s="90"/>
      <c r="J226" s="90"/>
      <c r="K226" s="90"/>
      <c r="L226" s="90"/>
      <c r="M226" s="90"/>
      <c r="N226" s="90"/>
    </row>
    <row r="227" spans="1:14">
      <c r="B227" s="80" t="s">
        <v>23</v>
      </c>
      <c r="C227" s="175"/>
      <c r="D227" s="92"/>
      <c r="E227" s="93"/>
      <c r="F227" s="93"/>
      <c r="G227" s="93"/>
      <c r="H227" s="93"/>
      <c r="I227" s="93"/>
      <c r="J227" s="93"/>
      <c r="K227" s="93"/>
      <c r="L227" s="93"/>
      <c r="M227" s="93"/>
      <c r="N227" s="93"/>
    </row>
    <row r="228" spans="1:14">
      <c r="B228" s="95" t="s">
        <v>89</v>
      </c>
      <c r="C228" s="173"/>
      <c r="D228" s="57"/>
      <c r="E228" s="58"/>
      <c r="F228" s="58"/>
      <c r="G228" s="58"/>
      <c r="H228" s="58"/>
      <c r="I228" s="58"/>
      <c r="J228" s="58"/>
      <c r="K228" s="58"/>
      <c r="L228" s="58"/>
      <c r="M228" s="58"/>
      <c r="N228" s="58"/>
    </row>
    <row r="229" spans="1:14">
      <c r="B229" s="33" t="s">
        <v>90</v>
      </c>
      <c r="D229" s="7">
        <v>0</v>
      </c>
      <c r="E229" s="7">
        <v>0</v>
      </c>
      <c r="F229" s="7">
        <v>0</v>
      </c>
      <c r="G229" s="7">
        <v>0</v>
      </c>
      <c r="H229" s="7">
        <v>0</v>
      </c>
      <c r="I229" s="7">
        <v>0</v>
      </c>
      <c r="J229" s="7">
        <v>0</v>
      </c>
      <c r="K229" s="7">
        <v>0</v>
      </c>
      <c r="L229" s="7">
        <v>0</v>
      </c>
      <c r="M229" s="7">
        <v>0</v>
      </c>
      <c r="N229" s="7">
        <v>0</v>
      </c>
    </row>
    <row r="230" spans="1:14">
      <c r="B230" s="6"/>
      <c r="D230" s="7"/>
      <c r="E230" s="7"/>
      <c r="F230" s="7"/>
      <c r="G230" s="28"/>
      <c r="H230" s="28"/>
      <c r="I230" s="28"/>
      <c r="J230" s="28"/>
      <c r="K230" s="28"/>
      <c r="L230" s="28"/>
      <c r="M230" s="28"/>
      <c r="N230" s="28"/>
    </row>
    <row r="231" spans="1:14" ht="18.5">
      <c r="A231" s="9" t="s">
        <v>100</v>
      </c>
      <c r="D231" s="2">
        <f>'Facility Detail'!$B$3082</f>
        <v>2011</v>
      </c>
      <c r="E231" s="2">
        <f>D231+1</f>
        <v>2012</v>
      </c>
      <c r="F231" s="2">
        <f t="shared" ref="F231" si="66">E231+1</f>
        <v>2013</v>
      </c>
      <c r="G231" s="2">
        <f t="shared" ref="G231" si="67">F231+1</f>
        <v>2014</v>
      </c>
      <c r="H231" s="2">
        <f t="shared" ref="H231" si="68">G231+1</f>
        <v>2015</v>
      </c>
      <c r="I231" s="2">
        <f t="shared" ref="I231" si="69">H231+1</f>
        <v>2016</v>
      </c>
      <c r="J231" s="2">
        <f t="shared" ref="J231" si="70">I231+1</f>
        <v>2017</v>
      </c>
      <c r="K231" s="2">
        <f t="shared" ref="K231" si="71">J231+1</f>
        <v>2018</v>
      </c>
      <c r="L231" s="2">
        <f t="shared" ref="L231" si="72">K231+1</f>
        <v>2019</v>
      </c>
      <c r="M231" s="2">
        <f t="shared" ref="M231" si="73">L231+1</f>
        <v>2020</v>
      </c>
      <c r="N231" s="2">
        <f t="shared" ref="N231" si="74">M231+1</f>
        <v>2021</v>
      </c>
    </row>
    <row r="232" spans="1:14">
      <c r="B232" s="79" t="s">
        <v>68</v>
      </c>
      <c r="C232" s="71"/>
      <c r="D232" s="3"/>
      <c r="E232" s="60">
        <f>D232</f>
        <v>0</v>
      </c>
      <c r="F232" s="131"/>
      <c r="G232" s="131"/>
      <c r="H232" s="131"/>
      <c r="I232" s="131"/>
      <c r="J232" s="131"/>
      <c r="K232" s="131"/>
      <c r="L232" s="131"/>
      <c r="M232" s="131"/>
      <c r="N232" s="61"/>
    </row>
    <row r="233" spans="1:14">
      <c r="B233" s="79" t="s">
        <v>69</v>
      </c>
      <c r="C233" s="71"/>
      <c r="D233" s="164">
        <f>E233</f>
        <v>0</v>
      </c>
      <c r="E233" s="10"/>
      <c r="F233" s="74"/>
      <c r="G233" s="74"/>
      <c r="H233" s="74"/>
      <c r="I233" s="74"/>
      <c r="J233" s="74"/>
      <c r="K233" s="74"/>
      <c r="L233" s="74"/>
      <c r="M233" s="74"/>
      <c r="N233" s="165"/>
    </row>
    <row r="234" spans="1:14">
      <c r="B234" s="79" t="s">
        <v>70</v>
      </c>
      <c r="C234" s="71"/>
      <c r="D234" s="62"/>
      <c r="E234" s="10">
        <f>E218</f>
        <v>0</v>
      </c>
      <c r="F234" s="70">
        <f>E234</f>
        <v>0</v>
      </c>
      <c r="G234" s="74"/>
      <c r="H234" s="74"/>
      <c r="I234" s="74"/>
      <c r="J234" s="74"/>
      <c r="K234" s="74"/>
      <c r="L234" s="74"/>
      <c r="M234" s="74"/>
      <c r="N234" s="165"/>
    </row>
    <row r="235" spans="1:14">
      <c r="B235" s="79" t="s">
        <v>71</v>
      </c>
      <c r="C235" s="71"/>
      <c r="D235" s="62"/>
      <c r="E235" s="70">
        <f>F235</f>
        <v>0</v>
      </c>
      <c r="F235" s="163"/>
      <c r="G235" s="74"/>
      <c r="H235" s="74"/>
      <c r="I235" s="74"/>
      <c r="J235" s="74"/>
      <c r="K235" s="74"/>
      <c r="L235" s="74"/>
      <c r="M235" s="74"/>
      <c r="N235" s="165"/>
    </row>
    <row r="236" spans="1:14">
      <c r="B236" s="79" t="s">
        <v>171</v>
      </c>
      <c r="C236" s="30"/>
      <c r="D236" s="62"/>
      <c r="E236" s="148"/>
      <c r="F236" s="10">
        <f>F218</f>
        <v>0</v>
      </c>
      <c r="G236" s="149">
        <f>F236</f>
        <v>0</v>
      </c>
      <c r="H236" s="74"/>
      <c r="I236" s="74"/>
      <c r="J236" s="74"/>
      <c r="K236" s="74"/>
      <c r="L236" s="74"/>
      <c r="M236" s="74"/>
      <c r="N236" s="165"/>
    </row>
    <row r="237" spans="1:14">
      <c r="B237" s="79" t="s">
        <v>172</v>
      </c>
      <c r="C237" s="30"/>
      <c r="D237" s="62"/>
      <c r="E237" s="148"/>
      <c r="F237" s="70">
        <f>G237</f>
        <v>0</v>
      </c>
      <c r="G237" s="10"/>
      <c r="H237" s="74"/>
      <c r="I237" s="74"/>
      <c r="J237" s="74"/>
      <c r="K237" s="74"/>
      <c r="L237" s="74"/>
      <c r="M237" s="74"/>
      <c r="N237" s="165"/>
    </row>
    <row r="238" spans="1:14">
      <c r="B238" s="79" t="s">
        <v>173</v>
      </c>
      <c r="C238" s="30"/>
      <c r="D238" s="62"/>
      <c r="E238" s="148"/>
      <c r="F238" s="148"/>
      <c r="G238" s="10">
        <f>G218</f>
        <v>0</v>
      </c>
      <c r="H238" s="149">
        <f>G238</f>
        <v>0</v>
      </c>
      <c r="I238" s="148">
        <f>H238</f>
        <v>0</v>
      </c>
      <c r="J238" s="74"/>
      <c r="K238" s="74"/>
      <c r="L238" s="74"/>
      <c r="M238" s="74"/>
      <c r="N238" s="152"/>
    </row>
    <row r="239" spans="1:14">
      <c r="B239" s="79" t="s">
        <v>174</v>
      </c>
      <c r="C239" s="30"/>
      <c r="D239" s="62"/>
      <c r="E239" s="148"/>
      <c r="F239" s="148"/>
      <c r="G239" s="70"/>
      <c r="H239" s="10"/>
      <c r="I239" s="148"/>
      <c r="J239" s="74"/>
      <c r="K239" s="74"/>
      <c r="L239" s="74"/>
      <c r="M239" s="74"/>
      <c r="N239" s="152"/>
    </row>
    <row r="240" spans="1:14">
      <c r="B240" s="79" t="s">
        <v>175</v>
      </c>
      <c r="C240" s="30"/>
      <c r="D240" s="62"/>
      <c r="E240" s="148"/>
      <c r="F240" s="148"/>
      <c r="G240" s="148"/>
      <c r="H240" s="10">
        <v>0</v>
      </c>
      <c r="I240" s="149">
        <f>H240</f>
        <v>0</v>
      </c>
      <c r="J240" s="74"/>
      <c r="K240" s="74"/>
      <c r="L240" s="74"/>
      <c r="M240" s="74"/>
      <c r="N240" s="152"/>
    </row>
    <row r="241" spans="2:15">
      <c r="B241" s="79" t="s">
        <v>176</v>
      </c>
      <c r="C241" s="30"/>
      <c r="D241" s="62"/>
      <c r="E241" s="148"/>
      <c r="F241" s="148"/>
      <c r="G241" s="148"/>
      <c r="H241" s="70"/>
      <c r="I241" s="10"/>
      <c r="J241" s="74"/>
      <c r="K241" s="74"/>
      <c r="L241" s="74"/>
      <c r="M241" s="74"/>
      <c r="N241" s="152"/>
    </row>
    <row r="242" spans="2:15">
      <c r="B242" s="79" t="s">
        <v>177</v>
      </c>
      <c r="C242" s="30"/>
      <c r="D242" s="62"/>
      <c r="E242" s="148"/>
      <c r="F242" s="148"/>
      <c r="G242" s="148"/>
      <c r="H242" s="148"/>
      <c r="I242" s="207">
        <f>I218</f>
        <v>0</v>
      </c>
      <c r="J242" s="150">
        <f>I242</f>
        <v>0</v>
      </c>
      <c r="K242" s="74"/>
      <c r="L242" s="74"/>
      <c r="M242" s="74"/>
      <c r="N242" s="152"/>
    </row>
    <row r="243" spans="2:15">
      <c r="B243" s="79" t="s">
        <v>168</v>
      </c>
      <c r="C243" s="30"/>
      <c r="D243" s="62"/>
      <c r="E243" s="148"/>
      <c r="F243" s="148"/>
      <c r="G243" s="148"/>
      <c r="H243" s="148"/>
      <c r="I243" s="208"/>
      <c r="J243" s="151"/>
      <c r="K243" s="74"/>
      <c r="L243" s="74"/>
      <c r="M243" s="74"/>
      <c r="N243" s="152"/>
    </row>
    <row r="244" spans="2:15">
      <c r="B244" s="79" t="s">
        <v>169</v>
      </c>
      <c r="C244" s="30"/>
      <c r="D244" s="62"/>
      <c r="E244" s="148"/>
      <c r="F244" s="148"/>
      <c r="G244" s="148"/>
      <c r="H244" s="148"/>
      <c r="I244" s="148"/>
      <c r="J244" s="151">
        <f>J218</f>
        <v>0</v>
      </c>
      <c r="K244" s="150">
        <f>J244</f>
        <v>0</v>
      </c>
      <c r="L244" s="74"/>
      <c r="M244" s="74"/>
      <c r="N244" s="152"/>
    </row>
    <row r="245" spans="2:15">
      <c r="B245" s="79" t="s">
        <v>186</v>
      </c>
      <c r="C245" s="30"/>
      <c r="D245" s="62"/>
      <c r="E245" s="148"/>
      <c r="F245" s="148"/>
      <c r="G245" s="148"/>
      <c r="H245" s="148"/>
      <c r="I245" s="148"/>
      <c r="J245" s="228"/>
      <c r="K245" s="151"/>
      <c r="L245" s="74"/>
      <c r="M245" s="74"/>
      <c r="N245" s="152"/>
    </row>
    <row r="246" spans="2:15">
      <c r="B246" s="79" t="s">
        <v>187</v>
      </c>
      <c r="C246" s="30"/>
      <c r="D246" s="62"/>
      <c r="E246" s="148"/>
      <c r="F246" s="148"/>
      <c r="G246" s="148"/>
      <c r="H246" s="148"/>
      <c r="I246" s="148"/>
      <c r="J246" s="148"/>
      <c r="K246" s="151">
        <f>K218</f>
        <v>0</v>
      </c>
      <c r="L246" s="70">
        <f>K246</f>
        <v>0</v>
      </c>
      <c r="M246" s="74"/>
      <c r="N246" s="152"/>
    </row>
    <row r="247" spans="2:15">
      <c r="B247" s="79" t="s">
        <v>188</v>
      </c>
      <c r="C247" s="30"/>
      <c r="D247" s="62"/>
      <c r="E247" s="148"/>
      <c r="F247" s="148"/>
      <c r="G247" s="148"/>
      <c r="H247" s="148"/>
      <c r="I247" s="148"/>
      <c r="J247" s="148"/>
      <c r="K247" s="228"/>
      <c r="L247" s="151"/>
      <c r="M247" s="74"/>
      <c r="N247" s="152"/>
    </row>
    <row r="248" spans="2:15">
      <c r="B248" s="79" t="s">
        <v>189</v>
      </c>
      <c r="C248" s="30"/>
      <c r="D248" s="62"/>
      <c r="E248" s="148"/>
      <c r="F248" s="148"/>
      <c r="G248" s="148"/>
      <c r="H248" s="148"/>
      <c r="I248" s="148"/>
      <c r="J248" s="148"/>
      <c r="K248" s="148"/>
      <c r="L248" s="151"/>
      <c r="M248" s="70"/>
      <c r="N248" s="152"/>
    </row>
    <row r="249" spans="2:15">
      <c r="B249" s="79" t="s">
        <v>190</v>
      </c>
      <c r="C249" s="30"/>
      <c r="D249" s="62"/>
      <c r="E249" s="148"/>
      <c r="F249" s="148"/>
      <c r="G249" s="148"/>
      <c r="H249" s="148"/>
      <c r="I249" s="148"/>
      <c r="J249" s="148"/>
      <c r="K249" s="148"/>
      <c r="L249" s="209"/>
      <c r="M249" s="151"/>
      <c r="N249" s="178"/>
      <c r="O249" s="30"/>
    </row>
    <row r="250" spans="2:15">
      <c r="B250" s="79" t="s">
        <v>191</v>
      </c>
      <c r="C250" s="30"/>
      <c r="D250" s="62"/>
      <c r="E250" s="148"/>
      <c r="F250" s="148"/>
      <c r="G250" s="148"/>
      <c r="H250" s="148"/>
      <c r="I250" s="148"/>
      <c r="J250" s="148"/>
      <c r="K250" s="148"/>
      <c r="L250" s="148"/>
      <c r="M250" s="151">
        <v>0</v>
      </c>
      <c r="N250" s="150">
        <f>M250</f>
        <v>0</v>
      </c>
      <c r="O250" s="30"/>
    </row>
    <row r="251" spans="2:15">
      <c r="B251" s="79" t="s">
        <v>201</v>
      </c>
      <c r="C251" s="30"/>
      <c r="D251" s="62"/>
      <c r="E251" s="148"/>
      <c r="F251" s="148"/>
      <c r="G251" s="148"/>
      <c r="H251" s="148"/>
      <c r="I251" s="148"/>
      <c r="J251" s="148"/>
      <c r="K251" s="148"/>
      <c r="L251" s="148"/>
      <c r="M251" s="150">
        <v>0</v>
      </c>
      <c r="N251" s="151"/>
      <c r="O251" s="30"/>
    </row>
    <row r="252" spans="2:15">
      <c r="B252" s="79" t="s">
        <v>202</v>
      </c>
      <c r="C252" s="30"/>
      <c r="D252" s="63"/>
      <c r="E252" s="133"/>
      <c r="F252" s="133"/>
      <c r="G252" s="133"/>
      <c r="H252" s="133"/>
      <c r="I252" s="133"/>
      <c r="J252" s="133"/>
      <c r="K252" s="133"/>
      <c r="L252" s="133"/>
      <c r="M252" s="133"/>
      <c r="N252" s="153">
        <v>0</v>
      </c>
      <c r="O252" s="30"/>
    </row>
    <row r="253" spans="2:15">
      <c r="B253" s="33" t="s">
        <v>17</v>
      </c>
      <c r="D253" s="218"/>
      <c r="E253" s="218"/>
      <c r="F253" s="218"/>
      <c r="G253" s="218"/>
      <c r="H253" s="218"/>
      <c r="I253" s="218"/>
      <c r="J253" s="218"/>
      <c r="K253" s="218">
        <f>K244-K245-K246</f>
        <v>0</v>
      </c>
      <c r="L253" s="218">
        <f>L246-L248+L249</f>
        <v>0</v>
      </c>
      <c r="M253" s="218">
        <f>M248-M249</f>
        <v>0</v>
      </c>
      <c r="N253" s="218">
        <f>N248</f>
        <v>0</v>
      </c>
    </row>
    <row r="254" spans="2:15">
      <c r="B254" s="6"/>
      <c r="D254" s="218"/>
      <c r="E254" s="218"/>
      <c r="F254" s="218"/>
      <c r="G254" s="218"/>
      <c r="H254" s="218"/>
      <c r="I254" s="218"/>
      <c r="J254" s="218"/>
      <c r="K254" s="218"/>
      <c r="L254" s="218"/>
      <c r="M254" s="218"/>
      <c r="N254" s="218"/>
    </row>
    <row r="255" spans="2:15">
      <c r="B255" s="76" t="s">
        <v>12</v>
      </c>
      <c r="C255" s="71"/>
      <c r="D255" s="219"/>
      <c r="E255" s="220"/>
      <c r="F255" s="220"/>
      <c r="G255" s="220"/>
      <c r="H255" s="220"/>
      <c r="I255" s="220"/>
      <c r="J255" s="220"/>
      <c r="K255" s="220"/>
      <c r="L255" s="220"/>
      <c r="M255" s="220"/>
      <c r="N255" s="220"/>
    </row>
    <row r="256" spans="2:15">
      <c r="B256" s="6"/>
      <c r="D256" s="218"/>
      <c r="E256" s="218"/>
      <c r="F256" s="218"/>
      <c r="G256" s="218"/>
      <c r="H256" s="218"/>
      <c r="I256" s="218"/>
      <c r="J256" s="218"/>
      <c r="K256" s="218"/>
      <c r="L256" s="218"/>
      <c r="M256" s="218"/>
      <c r="N256" s="218"/>
    </row>
    <row r="257" spans="1:14" ht="18.5">
      <c r="A257" s="41" t="s">
        <v>26</v>
      </c>
      <c r="C257" s="71"/>
      <c r="D257" s="221">
        <f t="shared" ref="D257:N257" si="75" xml:space="preserve"> D218 + D223 - D229 + D253 + D255</f>
        <v>0</v>
      </c>
      <c r="E257" s="222">
        <f t="shared" si="75"/>
        <v>0</v>
      </c>
      <c r="F257" s="222">
        <f t="shared" si="75"/>
        <v>0</v>
      </c>
      <c r="G257" s="222">
        <f t="shared" si="75"/>
        <v>0</v>
      </c>
      <c r="H257" s="222">
        <f t="shared" si="75"/>
        <v>0</v>
      </c>
      <c r="I257" s="222">
        <f t="shared" si="75"/>
        <v>0</v>
      </c>
      <c r="J257" s="222">
        <f t="shared" si="75"/>
        <v>0</v>
      </c>
      <c r="K257" s="222">
        <f t="shared" si="75"/>
        <v>0</v>
      </c>
      <c r="L257" s="222">
        <f t="shared" si="75"/>
        <v>0</v>
      </c>
      <c r="M257" s="222">
        <f t="shared" si="75"/>
        <v>0</v>
      </c>
      <c r="N257" s="222">
        <f t="shared" si="75"/>
        <v>90.232317565272879</v>
      </c>
    </row>
    <row r="258" spans="1:14">
      <c r="B258" s="6"/>
      <c r="D258" s="7"/>
      <c r="E258" s="7"/>
      <c r="F258" s="7"/>
      <c r="G258" s="28"/>
      <c r="H258" s="28"/>
      <c r="I258" s="28"/>
      <c r="J258" s="28"/>
      <c r="K258" s="28"/>
      <c r="L258" s="28"/>
      <c r="M258" s="28"/>
      <c r="N258" s="28"/>
    </row>
    <row r="259" spans="1:14" ht="15" thickBot="1"/>
    <row r="260" spans="1:14" ht="15" thickBot="1">
      <c r="A260" s="8"/>
      <c r="B260" s="8"/>
      <c r="C260" s="8"/>
      <c r="D260" s="8"/>
      <c r="E260" s="8"/>
      <c r="F260" s="8"/>
      <c r="G260" s="8"/>
      <c r="H260" s="8"/>
      <c r="I260" s="8"/>
      <c r="J260" s="8"/>
      <c r="K260" s="8"/>
      <c r="L260" s="8"/>
      <c r="M260" s="8"/>
      <c r="N260" s="8"/>
    </row>
    <row r="261" spans="1:14" ht="21.5" thickBot="1">
      <c r="A261" s="13" t="s">
        <v>4</v>
      </c>
      <c r="B261" s="13"/>
      <c r="C261" s="313" t="s">
        <v>209</v>
      </c>
      <c r="D261" s="310"/>
      <c r="E261" s="23"/>
      <c r="F261" s="23"/>
    </row>
    <row r="263" spans="1:14" ht="18.5">
      <c r="A263" s="9" t="s">
        <v>21</v>
      </c>
      <c r="B263" s="9"/>
      <c r="D263" s="2">
        <v>2011</v>
      </c>
      <c r="E263" s="2">
        <f>D263+1</f>
        <v>2012</v>
      </c>
      <c r="F263" s="2">
        <f t="shared" ref="F263" si="76">E263+1</f>
        <v>2013</v>
      </c>
      <c r="G263" s="2">
        <f t="shared" ref="G263" si="77">F263+1</f>
        <v>2014</v>
      </c>
      <c r="H263" s="2">
        <f t="shared" ref="H263" si="78">G263+1</f>
        <v>2015</v>
      </c>
      <c r="I263" s="2">
        <f t="shared" ref="I263" si="79">H263+1</f>
        <v>2016</v>
      </c>
      <c r="J263" s="2">
        <f t="shared" ref="J263" si="80">I263+1</f>
        <v>2017</v>
      </c>
      <c r="K263" s="2">
        <f t="shared" ref="K263" si="81">J263+1</f>
        <v>2018</v>
      </c>
      <c r="L263" s="2">
        <f t="shared" ref="L263" si="82">K263+1</f>
        <v>2019</v>
      </c>
      <c r="M263" s="2">
        <f t="shared" ref="M263" si="83">L263+1</f>
        <v>2020</v>
      </c>
      <c r="N263" s="2">
        <f t="shared" ref="N263" si="84">M263+1</f>
        <v>2021</v>
      </c>
    </row>
    <row r="264" spans="1:14">
      <c r="B264" s="79" t="str">
        <f>"Total MWh Produced / Purchased from " &amp; C261</f>
        <v>Total MWh Produced / Purchased from Blundell</v>
      </c>
      <c r="C264" s="71"/>
      <c r="D264" s="3"/>
      <c r="E264" s="4"/>
      <c r="F264" s="4"/>
      <c r="G264" s="4"/>
      <c r="H264" s="4"/>
      <c r="I264" s="4"/>
      <c r="J264" s="4"/>
      <c r="K264" s="4"/>
      <c r="L264" s="4"/>
      <c r="M264" s="230"/>
      <c r="N264" s="4">
        <v>199358</v>
      </c>
    </row>
    <row r="265" spans="1:14">
      <c r="B265" s="79" t="s">
        <v>25</v>
      </c>
      <c r="C265" s="71"/>
      <c r="D265" s="54"/>
      <c r="E265" s="55"/>
      <c r="F265" s="55"/>
      <c r="G265" s="55"/>
      <c r="H265" s="55"/>
      <c r="I265" s="55"/>
      <c r="J265" s="55"/>
      <c r="K265" s="55"/>
      <c r="L265" s="55"/>
      <c r="M265" s="234"/>
      <c r="N265" s="55">
        <v>1</v>
      </c>
    </row>
    <row r="266" spans="1:14">
      <c r="B266" s="79" t="s">
        <v>20</v>
      </c>
      <c r="C266" s="71"/>
      <c r="D266" s="48"/>
      <c r="E266" s="49"/>
      <c r="F266" s="49"/>
      <c r="G266" s="49"/>
      <c r="H266" s="49"/>
      <c r="I266" s="49"/>
      <c r="J266" s="55"/>
      <c r="K266" s="55"/>
      <c r="L266" s="55"/>
      <c r="M266" s="234"/>
      <c r="N266" s="55">
        <v>8.0780946790754593E-2</v>
      </c>
    </row>
    <row r="267" spans="1:14">
      <c r="B267" s="76" t="s">
        <v>22</v>
      </c>
      <c r="C267" s="77"/>
      <c r="D267" s="37">
        <v>0</v>
      </c>
      <c r="E267" s="37">
        <v>0</v>
      </c>
      <c r="F267" s="37">
        <v>0</v>
      </c>
      <c r="G267" s="37">
        <v>0</v>
      </c>
      <c r="H267" s="37">
        <v>0</v>
      </c>
      <c r="I267" s="37">
        <v>0</v>
      </c>
      <c r="J267" s="37">
        <v>0</v>
      </c>
      <c r="K267" s="37">
        <v>0</v>
      </c>
      <c r="L267" s="37">
        <f>L264*L266</f>
        <v>0</v>
      </c>
      <c r="M267" s="37">
        <f>M264*M266</f>
        <v>0</v>
      </c>
      <c r="N267" s="37">
        <f>N264*N266</f>
        <v>16104.327990311254</v>
      </c>
    </row>
    <row r="268" spans="1:14">
      <c r="B268" s="23"/>
      <c r="C268" s="30"/>
      <c r="D268" s="36"/>
      <c r="E268" s="36"/>
      <c r="F268" s="36"/>
      <c r="G268" s="36"/>
      <c r="H268" s="36"/>
      <c r="I268" s="36"/>
      <c r="J268" s="36"/>
      <c r="K268" s="36"/>
      <c r="L268" s="36"/>
      <c r="M268" s="36"/>
      <c r="N268" s="36"/>
    </row>
    <row r="269" spans="1:14" ht="18.5">
      <c r="A269" s="42" t="s">
        <v>119</v>
      </c>
      <c r="C269" s="30"/>
      <c r="D269" s="2">
        <v>2011</v>
      </c>
      <c r="E269" s="2">
        <f>D269+1</f>
        <v>2012</v>
      </c>
      <c r="F269" s="2">
        <f t="shared" ref="F269" si="85">E269+1</f>
        <v>2013</v>
      </c>
      <c r="G269" s="2">
        <f t="shared" ref="G269" si="86">F269+1</f>
        <v>2014</v>
      </c>
      <c r="H269" s="2">
        <f t="shared" ref="H269" si="87">G269+1</f>
        <v>2015</v>
      </c>
      <c r="I269" s="2">
        <f t="shared" ref="I269" si="88">H269+1</f>
        <v>2016</v>
      </c>
      <c r="J269" s="2">
        <f t="shared" ref="J269" si="89">I269+1</f>
        <v>2017</v>
      </c>
      <c r="K269" s="2">
        <f t="shared" ref="K269" si="90">J269+1</f>
        <v>2018</v>
      </c>
      <c r="L269" s="2">
        <f t="shared" ref="L269" si="91">K269+1</f>
        <v>2019</v>
      </c>
      <c r="M269" s="2">
        <f t="shared" ref="M269" si="92">L269+1</f>
        <v>2020</v>
      </c>
      <c r="N269" s="2">
        <f t="shared" ref="N269" si="93">M269+1</f>
        <v>2021</v>
      </c>
    </row>
    <row r="270" spans="1:14">
      <c r="B270" s="79" t="s">
        <v>10</v>
      </c>
      <c r="C270" s="71"/>
      <c r="D270" s="51">
        <f>IF($E6 = "Eligible", D267 * 'Facility Detail'!$B$3079, 0 )</f>
        <v>0</v>
      </c>
      <c r="E270" s="51">
        <f>IF($E6 = "Eligible", E267 * 'Facility Detail'!$B$3079, 0 )</f>
        <v>0</v>
      </c>
      <c r="F270" s="51">
        <f>IF($E6 = "Eligible", F267 * 'Facility Detail'!$B$3079, 0 )</f>
        <v>0</v>
      </c>
      <c r="G270" s="51">
        <f>IF($E6 = "Eligible", G267 * 'Facility Detail'!$B$3079, 0 )</f>
        <v>0</v>
      </c>
      <c r="H270" s="51">
        <f>IF($E6 = "Eligible", H267 * 'Facility Detail'!$B$3079, 0 )</f>
        <v>0</v>
      </c>
      <c r="I270" s="51">
        <f>IF($E6 = "Eligible", I267 * 'Facility Detail'!$B$3079, 0 )</f>
        <v>0</v>
      </c>
      <c r="J270" s="51">
        <f>IF($E6 = "Eligible", J267 * 'Facility Detail'!$B$3079, 0 )</f>
        <v>0</v>
      </c>
      <c r="K270" s="51">
        <f>IF($E6 = "Eligible", K267 * 'Facility Detail'!$B$3079, 0 )</f>
        <v>0</v>
      </c>
      <c r="L270" s="51">
        <f>IF($E6 = "Eligible", L267 * 'Facility Detail'!$B$3079, 0 )</f>
        <v>0</v>
      </c>
      <c r="M270" s="51">
        <f>IF($E6 = "Eligible", M267 * 'Facility Detail'!$B$3079, 0 )</f>
        <v>0</v>
      </c>
      <c r="N270" s="51">
        <f>IF($E6 = "Eligible", N267 * 'Facility Detail'!$B$3079, 0 )</f>
        <v>0</v>
      </c>
    </row>
    <row r="271" spans="1:14">
      <c r="B271" s="79" t="s">
        <v>6</v>
      </c>
      <c r="C271" s="71"/>
      <c r="D271" s="52">
        <f t="shared" ref="D271:N271" si="94">IF($F6= "Eligible", D267, 0 )</f>
        <v>0</v>
      </c>
      <c r="E271" s="52">
        <f t="shared" si="94"/>
        <v>0</v>
      </c>
      <c r="F271" s="52">
        <f t="shared" si="94"/>
        <v>0</v>
      </c>
      <c r="G271" s="52">
        <f t="shared" si="94"/>
        <v>0</v>
      </c>
      <c r="H271" s="52">
        <f t="shared" si="94"/>
        <v>0</v>
      </c>
      <c r="I271" s="52">
        <f t="shared" si="94"/>
        <v>0</v>
      </c>
      <c r="J271" s="52">
        <f t="shared" si="94"/>
        <v>0</v>
      </c>
      <c r="K271" s="52">
        <f t="shared" si="94"/>
        <v>0</v>
      </c>
      <c r="L271" s="52">
        <f t="shared" si="94"/>
        <v>0</v>
      </c>
      <c r="M271" s="52">
        <f t="shared" si="94"/>
        <v>0</v>
      </c>
      <c r="N271" s="52">
        <f t="shared" si="94"/>
        <v>0</v>
      </c>
    </row>
    <row r="272" spans="1:14">
      <c r="B272" s="78" t="s">
        <v>121</v>
      </c>
      <c r="C272" s="77"/>
      <c r="D272" s="39">
        <f>SUM(D270:D271)</f>
        <v>0</v>
      </c>
      <c r="E272" s="39">
        <f t="shared" ref="E272:N272" si="95">SUM(E270:E271)</f>
        <v>0</v>
      </c>
      <c r="F272" s="39">
        <f t="shared" si="95"/>
        <v>0</v>
      </c>
      <c r="G272" s="39">
        <f t="shared" si="95"/>
        <v>0</v>
      </c>
      <c r="H272" s="39">
        <f t="shared" si="95"/>
        <v>0</v>
      </c>
      <c r="I272" s="39">
        <f t="shared" si="95"/>
        <v>0</v>
      </c>
      <c r="J272" s="39">
        <f t="shared" si="95"/>
        <v>0</v>
      </c>
      <c r="K272" s="39">
        <f t="shared" si="95"/>
        <v>0</v>
      </c>
      <c r="L272" s="39">
        <f t="shared" si="95"/>
        <v>0</v>
      </c>
      <c r="M272" s="39">
        <f t="shared" si="95"/>
        <v>0</v>
      </c>
      <c r="N272" s="39">
        <f t="shared" si="95"/>
        <v>0</v>
      </c>
    </row>
    <row r="273" spans="1:14">
      <c r="B273" s="30"/>
      <c r="C273" s="30"/>
      <c r="D273" s="38"/>
      <c r="E273" s="31"/>
      <c r="F273" s="31"/>
      <c r="G273" s="31"/>
      <c r="H273" s="31"/>
      <c r="I273" s="31"/>
      <c r="J273" s="31"/>
      <c r="K273" s="31"/>
      <c r="L273" s="31"/>
      <c r="M273" s="31"/>
      <c r="N273" s="31"/>
    </row>
    <row r="274" spans="1:14" ht="18.5">
      <c r="A274" s="41" t="s">
        <v>30</v>
      </c>
      <c r="C274" s="30"/>
      <c r="D274" s="2">
        <v>2011</v>
      </c>
      <c r="E274" s="2">
        <f>D274+1</f>
        <v>2012</v>
      </c>
      <c r="F274" s="2">
        <f t="shared" ref="F274" si="96">E274+1</f>
        <v>2013</v>
      </c>
      <c r="G274" s="2">
        <f t="shared" ref="G274" si="97">F274+1</f>
        <v>2014</v>
      </c>
      <c r="H274" s="2">
        <f t="shared" ref="H274" si="98">G274+1</f>
        <v>2015</v>
      </c>
      <c r="I274" s="2">
        <f t="shared" ref="I274" si="99">H274+1</f>
        <v>2016</v>
      </c>
      <c r="J274" s="2">
        <f t="shared" ref="J274" si="100">I274+1</f>
        <v>2017</v>
      </c>
      <c r="K274" s="2">
        <f t="shared" ref="K274" si="101">J274+1</f>
        <v>2018</v>
      </c>
      <c r="L274" s="2">
        <f t="shared" ref="L274" si="102">K274+1</f>
        <v>2019</v>
      </c>
      <c r="M274" s="2">
        <f t="shared" ref="M274" si="103">L274+1</f>
        <v>2020</v>
      </c>
      <c r="N274" s="2">
        <f t="shared" ref="N274" si="104">M274+1</f>
        <v>2021</v>
      </c>
    </row>
    <row r="275" spans="1:14">
      <c r="B275" s="79" t="s">
        <v>47</v>
      </c>
      <c r="C275" s="71"/>
      <c r="D275" s="89"/>
      <c r="E275" s="90"/>
      <c r="F275" s="90"/>
      <c r="G275" s="90"/>
      <c r="H275" s="90"/>
      <c r="I275" s="90"/>
      <c r="J275" s="90"/>
      <c r="K275" s="90"/>
      <c r="L275" s="90"/>
      <c r="M275" s="90"/>
      <c r="N275" s="90"/>
    </row>
    <row r="276" spans="1:14">
      <c r="B276" s="80" t="s">
        <v>23</v>
      </c>
      <c r="C276" s="175"/>
      <c r="D276" s="92"/>
      <c r="E276" s="93"/>
      <c r="F276" s="93"/>
      <c r="G276" s="93"/>
      <c r="H276" s="93"/>
      <c r="I276" s="93"/>
      <c r="J276" s="93"/>
      <c r="K276" s="93"/>
      <c r="L276" s="93"/>
      <c r="M276" s="93"/>
      <c r="N276" s="93"/>
    </row>
    <row r="277" spans="1:14">
      <c r="B277" s="95" t="s">
        <v>89</v>
      </c>
      <c r="C277" s="173"/>
      <c r="D277" s="57"/>
      <c r="E277" s="58"/>
      <c r="F277" s="58"/>
      <c r="G277" s="58"/>
      <c r="H277" s="58"/>
      <c r="I277" s="58"/>
      <c r="J277" s="58"/>
      <c r="K277" s="58"/>
      <c r="L277" s="58"/>
      <c r="M277" s="58"/>
      <c r="N277" s="58"/>
    </row>
    <row r="278" spans="1:14">
      <c r="B278" s="33" t="s">
        <v>90</v>
      </c>
      <c r="D278" s="7">
        <v>0</v>
      </c>
      <c r="E278" s="7">
        <v>0</v>
      </c>
      <c r="F278" s="7">
        <v>0</v>
      </c>
      <c r="G278" s="7">
        <v>0</v>
      </c>
      <c r="H278" s="7">
        <v>0</v>
      </c>
      <c r="I278" s="7">
        <v>0</v>
      </c>
      <c r="J278" s="7">
        <v>0</v>
      </c>
      <c r="K278" s="7">
        <v>0</v>
      </c>
      <c r="L278" s="7">
        <v>0</v>
      </c>
      <c r="M278" s="7">
        <v>0</v>
      </c>
      <c r="N278" s="7">
        <v>0</v>
      </c>
    </row>
    <row r="279" spans="1:14">
      <c r="B279" s="6"/>
      <c r="D279" s="7"/>
      <c r="E279" s="7"/>
      <c r="F279" s="7"/>
      <c r="G279" s="28"/>
      <c r="H279" s="28"/>
      <c r="I279" s="28"/>
      <c r="J279" s="28"/>
      <c r="K279" s="28"/>
      <c r="L279" s="28"/>
      <c r="M279" s="28"/>
      <c r="N279" s="28"/>
    </row>
    <row r="280" spans="1:14" ht="18.5">
      <c r="A280" s="9" t="s">
        <v>100</v>
      </c>
      <c r="D280" s="2">
        <f>'Facility Detail'!$B$3082</f>
        <v>2011</v>
      </c>
      <c r="E280" s="2">
        <f>D280+1</f>
        <v>2012</v>
      </c>
      <c r="F280" s="2">
        <f t="shared" ref="F280" si="105">E280+1</f>
        <v>2013</v>
      </c>
      <c r="G280" s="2">
        <f t="shared" ref="G280" si="106">F280+1</f>
        <v>2014</v>
      </c>
      <c r="H280" s="2">
        <f t="shared" ref="H280" si="107">G280+1</f>
        <v>2015</v>
      </c>
      <c r="I280" s="2">
        <f t="shared" ref="I280" si="108">H280+1</f>
        <v>2016</v>
      </c>
      <c r="J280" s="2">
        <f t="shared" ref="J280" si="109">I280+1</f>
        <v>2017</v>
      </c>
      <c r="K280" s="2">
        <f t="shared" ref="K280" si="110">J280+1</f>
        <v>2018</v>
      </c>
      <c r="L280" s="2">
        <f t="shared" ref="L280" si="111">K280+1</f>
        <v>2019</v>
      </c>
      <c r="M280" s="2">
        <f t="shared" ref="M280" si="112">L280+1</f>
        <v>2020</v>
      </c>
      <c r="N280" s="2">
        <f t="shared" ref="N280" si="113">M280+1</f>
        <v>2021</v>
      </c>
    </row>
    <row r="281" spans="1:14">
      <c r="B281" s="79" t="s">
        <v>68</v>
      </c>
      <c r="C281" s="71"/>
      <c r="D281" s="3"/>
      <c r="E281" s="60">
        <f>D281</f>
        <v>0</v>
      </c>
      <c r="F281" s="131"/>
      <c r="G281" s="131"/>
      <c r="H281" s="131"/>
      <c r="I281" s="131"/>
      <c r="J281" s="131"/>
      <c r="K281" s="131"/>
      <c r="L281" s="131"/>
      <c r="M281" s="131"/>
      <c r="N281" s="61"/>
    </row>
    <row r="282" spans="1:14">
      <c r="B282" s="79" t="s">
        <v>69</v>
      </c>
      <c r="C282" s="71"/>
      <c r="D282" s="164">
        <f>E282</f>
        <v>0</v>
      </c>
      <c r="E282" s="10"/>
      <c r="F282" s="74"/>
      <c r="G282" s="74"/>
      <c r="H282" s="74"/>
      <c r="I282" s="74"/>
      <c r="J282" s="74"/>
      <c r="K282" s="74"/>
      <c r="L282" s="74"/>
      <c r="M282" s="74"/>
      <c r="N282" s="165"/>
    </row>
    <row r="283" spans="1:14">
      <c r="B283" s="79" t="s">
        <v>70</v>
      </c>
      <c r="C283" s="71"/>
      <c r="D283" s="62"/>
      <c r="E283" s="10">
        <f>E267</f>
        <v>0</v>
      </c>
      <c r="F283" s="70">
        <f>E283</f>
        <v>0</v>
      </c>
      <c r="G283" s="74"/>
      <c r="H283" s="74"/>
      <c r="I283" s="74"/>
      <c r="J283" s="74"/>
      <c r="K283" s="74"/>
      <c r="L283" s="74"/>
      <c r="M283" s="74"/>
      <c r="N283" s="165"/>
    </row>
    <row r="284" spans="1:14">
      <c r="B284" s="79" t="s">
        <v>71</v>
      </c>
      <c r="C284" s="71"/>
      <c r="D284" s="62"/>
      <c r="E284" s="70">
        <f>F284</f>
        <v>0</v>
      </c>
      <c r="F284" s="163"/>
      <c r="G284" s="74"/>
      <c r="H284" s="74"/>
      <c r="I284" s="74"/>
      <c r="J284" s="74"/>
      <c r="K284" s="74"/>
      <c r="L284" s="74"/>
      <c r="M284" s="74"/>
      <c r="N284" s="165"/>
    </row>
    <row r="285" spans="1:14">
      <c r="B285" s="79" t="s">
        <v>171</v>
      </c>
      <c r="C285" s="30"/>
      <c r="D285" s="62"/>
      <c r="E285" s="148"/>
      <c r="F285" s="10">
        <f>F267</f>
        <v>0</v>
      </c>
      <c r="G285" s="149">
        <f>F285</f>
        <v>0</v>
      </c>
      <c r="H285" s="74"/>
      <c r="I285" s="74"/>
      <c r="J285" s="74"/>
      <c r="K285" s="74"/>
      <c r="L285" s="74"/>
      <c r="M285" s="74"/>
      <c r="N285" s="165"/>
    </row>
    <row r="286" spans="1:14">
      <c r="B286" s="79" t="s">
        <v>172</v>
      </c>
      <c r="C286" s="30"/>
      <c r="D286" s="62"/>
      <c r="E286" s="148"/>
      <c r="F286" s="70">
        <f>G286</f>
        <v>0</v>
      </c>
      <c r="G286" s="10"/>
      <c r="H286" s="74"/>
      <c r="I286" s="74"/>
      <c r="J286" s="74"/>
      <c r="K286" s="74"/>
      <c r="L286" s="74"/>
      <c r="M286" s="74"/>
      <c r="N286" s="165"/>
    </row>
    <row r="287" spans="1:14">
      <c r="B287" s="79" t="s">
        <v>173</v>
      </c>
      <c r="C287" s="30"/>
      <c r="D287" s="62"/>
      <c r="E287" s="148"/>
      <c r="F287" s="148"/>
      <c r="G287" s="10">
        <f>G267</f>
        <v>0</v>
      </c>
      <c r="H287" s="149">
        <f>G287</f>
        <v>0</v>
      </c>
      <c r="I287" s="148">
        <f>H287</f>
        <v>0</v>
      </c>
      <c r="J287" s="74"/>
      <c r="K287" s="74"/>
      <c r="L287" s="74"/>
      <c r="M287" s="74"/>
      <c r="N287" s="152"/>
    </row>
    <row r="288" spans="1:14">
      <c r="B288" s="79" t="s">
        <v>174</v>
      </c>
      <c r="C288" s="30"/>
      <c r="D288" s="62"/>
      <c r="E288" s="148"/>
      <c r="F288" s="148"/>
      <c r="G288" s="70"/>
      <c r="H288" s="10"/>
      <c r="I288" s="148"/>
      <c r="J288" s="74"/>
      <c r="K288" s="74"/>
      <c r="L288" s="74"/>
      <c r="M288" s="74"/>
      <c r="N288" s="152"/>
    </row>
    <row r="289" spans="2:15">
      <c r="B289" s="79" t="s">
        <v>175</v>
      </c>
      <c r="C289" s="30"/>
      <c r="D289" s="62"/>
      <c r="E289" s="148"/>
      <c r="F289" s="148"/>
      <c r="G289" s="148"/>
      <c r="H289" s="10">
        <v>0</v>
      </c>
      <c r="I289" s="149">
        <f>H289</f>
        <v>0</v>
      </c>
      <c r="J289" s="74"/>
      <c r="K289" s="74"/>
      <c r="L289" s="74"/>
      <c r="M289" s="74"/>
      <c r="N289" s="152"/>
    </row>
    <row r="290" spans="2:15">
      <c r="B290" s="79" t="s">
        <v>176</v>
      </c>
      <c r="C290" s="30"/>
      <c r="D290" s="62"/>
      <c r="E290" s="148"/>
      <c r="F290" s="148"/>
      <c r="G290" s="148"/>
      <c r="H290" s="70"/>
      <c r="I290" s="10"/>
      <c r="J290" s="74"/>
      <c r="K290" s="74"/>
      <c r="L290" s="74"/>
      <c r="M290" s="74"/>
      <c r="N290" s="152"/>
    </row>
    <row r="291" spans="2:15">
      <c r="B291" s="79" t="s">
        <v>177</v>
      </c>
      <c r="C291" s="30"/>
      <c r="D291" s="62"/>
      <c r="E291" s="148"/>
      <c r="F291" s="148"/>
      <c r="G291" s="148"/>
      <c r="H291" s="148"/>
      <c r="I291" s="207">
        <f>I267</f>
        <v>0</v>
      </c>
      <c r="J291" s="150">
        <f>I291</f>
        <v>0</v>
      </c>
      <c r="K291" s="74"/>
      <c r="L291" s="74"/>
      <c r="M291" s="74"/>
      <c r="N291" s="152"/>
    </row>
    <row r="292" spans="2:15">
      <c r="B292" s="79" t="s">
        <v>168</v>
      </c>
      <c r="C292" s="30"/>
      <c r="D292" s="62"/>
      <c r="E292" s="148"/>
      <c r="F292" s="148"/>
      <c r="G292" s="148"/>
      <c r="H292" s="148"/>
      <c r="I292" s="208"/>
      <c r="J292" s="151"/>
      <c r="K292" s="74"/>
      <c r="L292" s="74"/>
      <c r="M292" s="74"/>
      <c r="N292" s="152"/>
    </row>
    <row r="293" spans="2:15">
      <c r="B293" s="79" t="s">
        <v>169</v>
      </c>
      <c r="C293" s="30"/>
      <c r="D293" s="62"/>
      <c r="E293" s="148"/>
      <c r="F293" s="148"/>
      <c r="G293" s="148"/>
      <c r="H293" s="148"/>
      <c r="I293" s="148"/>
      <c r="J293" s="151">
        <f>J267</f>
        <v>0</v>
      </c>
      <c r="K293" s="150">
        <f>J293</f>
        <v>0</v>
      </c>
      <c r="L293" s="74"/>
      <c r="M293" s="74"/>
      <c r="N293" s="152"/>
    </row>
    <row r="294" spans="2:15">
      <c r="B294" s="79" t="s">
        <v>186</v>
      </c>
      <c r="C294" s="30"/>
      <c r="D294" s="62"/>
      <c r="E294" s="148"/>
      <c r="F294" s="148"/>
      <c r="G294" s="148"/>
      <c r="H294" s="148"/>
      <c r="I294" s="148"/>
      <c r="J294" s="228"/>
      <c r="K294" s="151"/>
      <c r="L294" s="74"/>
      <c r="M294" s="74"/>
      <c r="N294" s="152"/>
    </row>
    <row r="295" spans="2:15">
      <c r="B295" s="79" t="s">
        <v>187</v>
      </c>
      <c r="C295" s="30"/>
      <c r="D295" s="62"/>
      <c r="E295" s="148"/>
      <c r="F295" s="148"/>
      <c r="G295" s="148"/>
      <c r="H295" s="148"/>
      <c r="I295" s="148"/>
      <c r="J295" s="148"/>
      <c r="K295" s="151">
        <f>K267</f>
        <v>0</v>
      </c>
      <c r="L295" s="150">
        <f>K295</f>
        <v>0</v>
      </c>
      <c r="M295" s="74"/>
      <c r="N295" s="152"/>
    </row>
    <row r="296" spans="2:15">
      <c r="B296" s="79" t="s">
        <v>188</v>
      </c>
      <c r="C296" s="30"/>
      <c r="D296" s="62"/>
      <c r="E296" s="148"/>
      <c r="F296" s="148"/>
      <c r="G296" s="148"/>
      <c r="H296" s="148"/>
      <c r="I296" s="148"/>
      <c r="J296" s="148"/>
      <c r="K296" s="228"/>
      <c r="L296" s="151"/>
      <c r="M296" s="74"/>
      <c r="N296" s="152"/>
    </row>
    <row r="297" spans="2:15">
      <c r="B297" s="79" t="s">
        <v>189</v>
      </c>
      <c r="C297" s="30"/>
      <c r="D297" s="62"/>
      <c r="E297" s="148"/>
      <c r="F297" s="148"/>
      <c r="G297" s="148"/>
      <c r="H297" s="148"/>
      <c r="I297" s="148"/>
      <c r="J297" s="148"/>
      <c r="K297" s="148"/>
      <c r="L297" s="151"/>
      <c r="M297" s="150"/>
      <c r="N297" s="152"/>
    </row>
    <row r="298" spans="2:15">
      <c r="B298" s="79" t="s">
        <v>190</v>
      </c>
      <c r="C298" s="30"/>
      <c r="D298" s="62"/>
      <c r="E298" s="148"/>
      <c r="F298" s="148"/>
      <c r="G298" s="148"/>
      <c r="H298" s="148"/>
      <c r="I298" s="148"/>
      <c r="J298" s="148"/>
      <c r="K298" s="148"/>
      <c r="L298" s="228"/>
      <c r="M298" s="151"/>
      <c r="N298" s="178"/>
      <c r="O298" s="30"/>
    </row>
    <row r="299" spans="2:15">
      <c r="B299" s="79" t="s">
        <v>191</v>
      </c>
      <c r="C299" s="30"/>
      <c r="D299" s="62"/>
      <c r="E299" s="148"/>
      <c r="F299" s="148"/>
      <c r="G299" s="148"/>
      <c r="H299" s="148"/>
      <c r="I299" s="148"/>
      <c r="J299" s="148"/>
      <c r="K299" s="148"/>
      <c r="L299" s="148"/>
      <c r="M299" s="151">
        <v>0</v>
      </c>
      <c r="N299" s="150">
        <f>M299</f>
        <v>0</v>
      </c>
      <c r="O299" s="30"/>
    </row>
    <row r="300" spans="2:15">
      <c r="B300" s="79" t="s">
        <v>201</v>
      </c>
      <c r="C300" s="30"/>
      <c r="D300" s="62"/>
      <c r="E300" s="148"/>
      <c r="F300" s="148"/>
      <c r="G300" s="148"/>
      <c r="H300" s="148"/>
      <c r="I300" s="148"/>
      <c r="J300" s="148"/>
      <c r="K300" s="148"/>
      <c r="L300" s="148"/>
      <c r="M300" s="228">
        <v>0</v>
      </c>
      <c r="N300" s="151"/>
      <c r="O300" s="30"/>
    </row>
    <row r="301" spans="2:15">
      <c r="B301" s="79" t="s">
        <v>202</v>
      </c>
      <c r="C301" s="30"/>
      <c r="D301" s="63"/>
      <c r="E301" s="133"/>
      <c r="F301" s="133"/>
      <c r="G301" s="133"/>
      <c r="H301" s="133"/>
      <c r="I301" s="133"/>
      <c r="J301" s="133"/>
      <c r="K301" s="133"/>
      <c r="L301" s="133"/>
      <c r="M301" s="133"/>
      <c r="N301" s="153">
        <v>0</v>
      </c>
      <c r="O301" s="30"/>
    </row>
    <row r="302" spans="2:15">
      <c r="B302" s="33" t="s">
        <v>17</v>
      </c>
      <c r="D302" s="218"/>
      <c r="E302" s="218"/>
      <c r="F302" s="218"/>
      <c r="G302" s="218"/>
      <c r="H302" s="218"/>
      <c r="I302" s="218"/>
      <c r="J302" s="218"/>
      <c r="K302" s="218">
        <f>K293-K294-K295</f>
        <v>0</v>
      </c>
      <c r="L302" s="218">
        <f>L295-L297+L298</f>
        <v>0</v>
      </c>
      <c r="M302" s="218">
        <f>M297-M298</f>
        <v>0</v>
      </c>
      <c r="N302" s="218">
        <f>N297</f>
        <v>0</v>
      </c>
    </row>
    <row r="303" spans="2:15">
      <c r="B303" s="6"/>
      <c r="D303" s="218"/>
      <c r="E303" s="218"/>
      <c r="F303" s="218"/>
      <c r="G303" s="218"/>
      <c r="H303" s="218"/>
      <c r="I303" s="218"/>
      <c r="J303" s="218"/>
      <c r="K303" s="218"/>
      <c r="L303" s="218"/>
      <c r="M303" s="218"/>
      <c r="N303" s="218"/>
    </row>
    <row r="304" spans="2:15">
      <c r="B304" s="76" t="s">
        <v>12</v>
      </c>
      <c r="C304" s="71"/>
      <c r="D304" s="219"/>
      <c r="E304" s="220"/>
      <c r="F304" s="220"/>
      <c r="G304" s="220"/>
      <c r="H304" s="220"/>
      <c r="I304" s="220"/>
      <c r="J304" s="220"/>
      <c r="K304" s="220"/>
      <c r="L304" s="220"/>
      <c r="M304" s="220"/>
      <c r="N304" s="220"/>
    </row>
    <row r="305" spans="1:14">
      <c r="B305" s="6"/>
      <c r="D305" s="218"/>
      <c r="E305" s="218"/>
      <c r="F305" s="218"/>
      <c r="G305" s="218"/>
      <c r="H305" s="218"/>
      <c r="I305" s="218"/>
      <c r="J305" s="218"/>
      <c r="K305" s="218"/>
      <c r="L305" s="218"/>
      <c r="M305" s="218"/>
      <c r="N305" s="218"/>
    </row>
    <row r="306" spans="1:14" ht="18.5">
      <c r="A306" s="41" t="s">
        <v>26</v>
      </c>
      <c r="C306" s="71"/>
      <c r="D306" s="221">
        <f t="shared" ref="D306:N306" si="114" xml:space="preserve"> D267 + D272 - D278 + D302 + D304</f>
        <v>0</v>
      </c>
      <c r="E306" s="222">
        <f t="shared" si="114"/>
        <v>0</v>
      </c>
      <c r="F306" s="222">
        <f t="shared" si="114"/>
        <v>0</v>
      </c>
      <c r="G306" s="222">
        <f t="shared" si="114"/>
        <v>0</v>
      </c>
      <c r="H306" s="222">
        <f t="shared" si="114"/>
        <v>0</v>
      </c>
      <c r="I306" s="222">
        <f t="shared" si="114"/>
        <v>0</v>
      </c>
      <c r="J306" s="222">
        <f t="shared" si="114"/>
        <v>0</v>
      </c>
      <c r="K306" s="222">
        <f t="shared" si="114"/>
        <v>0</v>
      </c>
      <c r="L306" s="222">
        <f t="shared" si="114"/>
        <v>0</v>
      </c>
      <c r="M306" s="222">
        <f t="shared" si="114"/>
        <v>0</v>
      </c>
      <c r="N306" s="222">
        <f t="shared" si="114"/>
        <v>16104.327990311254</v>
      </c>
    </row>
    <row r="307" spans="1:14">
      <c r="B307" s="6"/>
      <c r="D307" s="7"/>
      <c r="E307" s="7"/>
      <c r="F307" s="7"/>
      <c r="G307" s="28"/>
      <c r="H307" s="28"/>
      <c r="I307" s="28"/>
      <c r="J307" s="28"/>
      <c r="K307" s="28"/>
      <c r="L307" s="28"/>
      <c r="M307" s="28"/>
      <c r="N307" s="28"/>
    </row>
    <row r="308" spans="1:14" ht="15" thickBot="1"/>
    <row r="309" spans="1:14" ht="15" thickBot="1">
      <c r="A309" s="8"/>
      <c r="B309" s="8"/>
      <c r="C309" s="8"/>
      <c r="D309" s="8"/>
      <c r="E309" s="8"/>
      <c r="F309" s="8"/>
      <c r="G309" s="8"/>
      <c r="H309" s="8"/>
      <c r="I309" s="8"/>
      <c r="J309" s="8"/>
      <c r="K309" s="8"/>
      <c r="L309" s="8"/>
      <c r="M309" s="8"/>
      <c r="N309" s="8"/>
    </row>
    <row r="310" spans="1:14" ht="21.5" thickBot="1">
      <c r="A310" s="13" t="s">
        <v>4</v>
      </c>
      <c r="B310" s="13"/>
      <c r="C310" s="313" t="s">
        <v>210</v>
      </c>
      <c r="D310" s="310"/>
      <c r="E310" s="23"/>
      <c r="F310" s="23"/>
    </row>
    <row r="312" spans="1:14" ht="18.5">
      <c r="A312" s="9" t="s">
        <v>21</v>
      </c>
      <c r="B312" s="9"/>
      <c r="D312" s="2">
        <v>2011</v>
      </c>
      <c r="E312" s="2">
        <f>D312+1</f>
        <v>2012</v>
      </c>
      <c r="F312" s="2">
        <f t="shared" ref="F312" si="115">E312+1</f>
        <v>2013</v>
      </c>
      <c r="G312" s="2">
        <f t="shared" ref="G312" si="116">F312+1</f>
        <v>2014</v>
      </c>
      <c r="H312" s="2">
        <f t="shared" ref="H312" si="117">G312+1</f>
        <v>2015</v>
      </c>
      <c r="I312" s="2">
        <f t="shared" ref="I312" si="118">H312+1</f>
        <v>2016</v>
      </c>
      <c r="J312" s="2">
        <f t="shared" ref="J312" si="119">I312+1</f>
        <v>2017</v>
      </c>
      <c r="K312" s="2">
        <f t="shared" ref="K312" si="120">J312+1</f>
        <v>2018</v>
      </c>
      <c r="L312" s="2">
        <f t="shared" ref="L312" si="121">K312+1</f>
        <v>2019</v>
      </c>
      <c r="M312" s="2">
        <f t="shared" ref="M312" si="122">L312+1</f>
        <v>2020</v>
      </c>
      <c r="N312" s="2">
        <f t="shared" ref="N312" si="123">M312+1</f>
        <v>2021</v>
      </c>
    </row>
    <row r="313" spans="1:14">
      <c r="B313" s="79" t="str">
        <f>"Total MWh Produced / Purchased from " &amp; C310</f>
        <v>Total MWh Produced / Purchased from Blundell II</v>
      </c>
      <c r="C313" s="71"/>
      <c r="D313" s="3"/>
      <c r="E313" s="4"/>
      <c r="F313" s="4"/>
      <c r="G313" s="4"/>
      <c r="H313" s="4"/>
      <c r="I313" s="4"/>
      <c r="J313" s="4"/>
      <c r="K313" s="4"/>
      <c r="L313" s="4"/>
      <c r="M313" s="230"/>
      <c r="N313" s="4">
        <v>95914</v>
      </c>
    </row>
    <row r="314" spans="1:14">
      <c r="B314" s="79" t="s">
        <v>25</v>
      </c>
      <c r="C314" s="71"/>
      <c r="D314" s="54"/>
      <c r="E314" s="55"/>
      <c r="F314" s="55"/>
      <c r="G314" s="55"/>
      <c r="H314" s="55"/>
      <c r="I314" s="55"/>
      <c r="J314" s="55"/>
      <c r="K314" s="55"/>
      <c r="L314" s="55"/>
      <c r="M314" s="234"/>
      <c r="N314" s="55">
        <v>1</v>
      </c>
    </row>
    <row r="315" spans="1:14">
      <c r="B315" s="79" t="s">
        <v>20</v>
      </c>
      <c r="C315" s="71"/>
      <c r="D315" s="48"/>
      <c r="E315" s="49"/>
      <c r="F315" s="49"/>
      <c r="G315" s="49"/>
      <c r="H315" s="49"/>
      <c r="I315" s="49"/>
      <c r="J315" s="55"/>
      <c r="K315" s="55"/>
      <c r="L315" s="55"/>
      <c r="M315" s="234"/>
      <c r="N315" s="55">
        <v>8.0780946790754593E-2</v>
      </c>
    </row>
    <row r="316" spans="1:14">
      <c r="B316" s="76" t="s">
        <v>22</v>
      </c>
      <c r="C316" s="77"/>
      <c r="D316" s="37">
        <v>0</v>
      </c>
      <c r="E316" s="37">
        <v>0</v>
      </c>
      <c r="F316" s="37">
        <v>0</v>
      </c>
      <c r="G316" s="37">
        <v>0</v>
      </c>
      <c r="H316" s="37">
        <v>0</v>
      </c>
      <c r="I316" s="37">
        <v>0</v>
      </c>
      <c r="J316" s="37">
        <v>0</v>
      </c>
      <c r="K316" s="37">
        <v>0</v>
      </c>
      <c r="L316" s="37">
        <f>L313*L315</f>
        <v>0</v>
      </c>
      <c r="M316" s="37">
        <f>M313*M315</f>
        <v>0</v>
      </c>
      <c r="N316" s="37">
        <f>N313*N315</f>
        <v>7748.0237304884358</v>
      </c>
    </row>
    <row r="317" spans="1:14">
      <c r="B317" s="23"/>
      <c r="C317" s="30"/>
      <c r="D317" s="36"/>
      <c r="E317" s="36"/>
      <c r="F317" s="36"/>
      <c r="G317" s="36"/>
      <c r="H317" s="36"/>
      <c r="I317" s="36"/>
      <c r="J317" s="36"/>
      <c r="K317" s="36"/>
      <c r="L317" s="36"/>
      <c r="M317" s="36"/>
      <c r="N317" s="36"/>
    </row>
    <row r="318" spans="1:14" ht="18.5">
      <c r="A318" s="42" t="s">
        <v>119</v>
      </c>
      <c r="C318" s="30"/>
      <c r="D318" s="2">
        <v>2011</v>
      </c>
      <c r="E318" s="2">
        <f>D318+1</f>
        <v>2012</v>
      </c>
      <c r="F318" s="2">
        <f t="shared" ref="F318" si="124">E318+1</f>
        <v>2013</v>
      </c>
      <c r="G318" s="2">
        <f t="shared" ref="G318" si="125">F318+1</f>
        <v>2014</v>
      </c>
      <c r="H318" s="2">
        <f t="shared" ref="H318" si="126">G318+1</f>
        <v>2015</v>
      </c>
      <c r="I318" s="2">
        <f t="shared" ref="I318" si="127">H318+1</f>
        <v>2016</v>
      </c>
      <c r="J318" s="2">
        <f t="shared" ref="J318" si="128">I318+1</f>
        <v>2017</v>
      </c>
      <c r="K318" s="2">
        <f t="shared" ref="K318" si="129">J318+1</f>
        <v>2018</v>
      </c>
      <c r="L318" s="2">
        <f t="shared" ref="L318" si="130">K318+1</f>
        <v>2019</v>
      </c>
      <c r="M318" s="2">
        <f t="shared" ref="M318" si="131">L318+1</f>
        <v>2020</v>
      </c>
      <c r="N318" s="2">
        <f t="shared" ref="N318" si="132">M318+1</f>
        <v>2021</v>
      </c>
    </row>
    <row r="319" spans="1:14">
      <c r="B319" s="79" t="s">
        <v>10</v>
      </c>
      <c r="C319" s="71"/>
      <c r="D319" s="51">
        <f>IF($E7 = "Eligible", D316 * 'Facility Detail'!$B$3079, 0 )</f>
        <v>0</v>
      </c>
      <c r="E319" s="51">
        <f>IF($E7 = "Eligible", E316 * 'Facility Detail'!$B$3079, 0 )</f>
        <v>0</v>
      </c>
      <c r="F319" s="51">
        <f>IF($E7 = "Eligible", F316 * 'Facility Detail'!$B$3079, 0 )</f>
        <v>0</v>
      </c>
      <c r="G319" s="51">
        <f>IF($E7 = "Eligible", G316 * 'Facility Detail'!$B$3079, 0 )</f>
        <v>0</v>
      </c>
      <c r="H319" s="51">
        <f>IF($E7 = "Eligible", H316 * 'Facility Detail'!$B$3079, 0 )</f>
        <v>0</v>
      </c>
      <c r="I319" s="51">
        <f>IF($E7 = "Eligible", I316 * 'Facility Detail'!$B$3079, 0 )</f>
        <v>0</v>
      </c>
      <c r="J319" s="51">
        <f>IF($E7 = "Eligible", J316 * 'Facility Detail'!$B$3079, 0 )</f>
        <v>0</v>
      </c>
      <c r="K319" s="51">
        <f>IF($E7 = "Eligible", K316 * 'Facility Detail'!$B$3079, 0 )</f>
        <v>0</v>
      </c>
      <c r="L319" s="51">
        <f>IF($E7 = "Eligible", L316 * 'Facility Detail'!$B$3079, 0 )</f>
        <v>0</v>
      </c>
      <c r="M319" s="51">
        <f>IF($E7 = "Eligible", M316 * 'Facility Detail'!$B$3079, 0 )</f>
        <v>0</v>
      </c>
      <c r="N319" s="51">
        <f>IF($E7 = "Eligible", N316 * 'Facility Detail'!$B$3079, 0 )</f>
        <v>0</v>
      </c>
    </row>
    <row r="320" spans="1:14">
      <c r="B320" s="79" t="s">
        <v>6</v>
      </c>
      <c r="C320" s="71"/>
      <c r="D320" s="52">
        <f t="shared" ref="D320:N320" si="133">IF($F7= "Eligible", D316, 0 )</f>
        <v>0</v>
      </c>
      <c r="E320" s="52">
        <f t="shared" si="133"/>
        <v>0</v>
      </c>
      <c r="F320" s="52">
        <f t="shared" si="133"/>
        <v>0</v>
      </c>
      <c r="G320" s="52">
        <f t="shared" si="133"/>
        <v>0</v>
      </c>
      <c r="H320" s="52">
        <f t="shared" si="133"/>
        <v>0</v>
      </c>
      <c r="I320" s="52">
        <f t="shared" si="133"/>
        <v>0</v>
      </c>
      <c r="J320" s="52">
        <f t="shared" si="133"/>
        <v>0</v>
      </c>
      <c r="K320" s="52">
        <f t="shared" si="133"/>
        <v>0</v>
      </c>
      <c r="L320" s="52">
        <f t="shared" si="133"/>
        <v>0</v>
      </c>
      <c r="M320" s="52">
        <f t="shared" si="133"/>
        <v>0</v>
      </c>
      <c r="N320" s="52">
        <f t="shared" si="133"/>
        <v>0</v>
      </c>
    </row>
    <row r="321" spans="1:14">
      <c r="B321" s="78" t="s">
        <v>121</v>
      </c>
      <c r="C321" s="77"/>
      <c r="D321" s="39">
        <f>SUM(D319:D320)</f>
        <v>0</v>
      </c>
      <c r="E321" s="39">
        <f t="shared" ref="E321:N321" si="134">SUM(E319:E320)</f>
        <v>0</v>
      </c>
      <c r="F321" s="39">
        <f t="shared" si="134"/>
        <v>0</v>
      </c>
      <c r="G321" s="39">
        <f t="shared" si="134"/>
        <v>0</v>
      </c>
      <c r="H321" s="39">
        <f t="shared" si="134"/>
        <v>0</v>
      </c>
      <c r="I321" s="39">
        <f t="shared" si="134"/>
        <v>0</v>
      </c>
      <c r="J321" s="39">
        <f t="shared" si="134"/>
        <v>0</v>
      </c>
      <c r="K321" s="39">
        <f t="shared" si="134"/>
        <v>0</v>
      </c>
      <c r="L321" s="39">
        <f t="shared" si="134"/>
        <v>0</v>
      </c>
      <c r="M321" s="39">
        <f t="shared" si="134"/>
        <v>0</v>
      </c>
      <c r="N321" s="39">
        <f t="shared" si="134"/>
        <v>0</v>
      </c>
    </row>
    <row r="322" spans="1:14">
      <c r="B322" s="30"/>
      <c r="C322" s="30"/>
      <c r="D322" s="38"/>
      <c r="E322" s="31"/>
      <c r="F322" s="31"/>
      <c r="G322" s="31"/>
      <c r="H322" s="31"/>
      <c r="I322" s="31"/>
      <c r="J322" s="31"/>
      <c r="K322" s="31"/>
      <c r="L322" s="31"/>
      <c r="M322" s="31"/>
      <c r="N322" s="31"/>
    </row>
    <row r="323" spans="1:14" ht="18.5">
      <c r="A323" s="41" t="s">
        <v>30</v>
      </c>
      <c r="C323" s="30"/>
      <c r="D323" s="2">
        <v>2011</v>
      </c>
      <c r="E323" s="2">
        <f>D323+1</f>
        <v>2012</v>
      </c>
      <c r="F323" s="2">
        <f t="shared" ref="F323" si="135">E323+1</f>
        <v>2013</v>
      </c>
      <c r="G323" s="2">
        <f t="shared" ref="G323" si="136">F323+1</f>
        <v>2014</v>
      </c>
      <c r="H323" s="2">
        <f t="shared" ref="H323" si="137">G323+1</f>
        <v>2015</v>
      </c>
      <c r="I323" s="2">
        <f t="shared" ref="I323" si="138">H323+1</f>
        <v>2016</v>
      </c>
      <c r="J323" s="2">
        <f t="shared" ref="J323" si="139">I323+1</f>
        <v>2017</v>
      </c>
      <c r="K323" s="2">
        <f t="shared" ref="K323" si="140">J323+1</f>
        <v>2018</v>
      </c>
      <c r="L323" s="2">
        <f t="shared" ref="L323" si="141">K323+1</f>
        <v>2019</v>
      </c>
      <c r="M323" s="2">
        <f t="shared" ref="M323" si="142">L323+1</f>
        <v>2020</v>
      </c>
      <c r="N323" s="2">
        <f t="shared" ref="N323" si="143">M323+1</f>
        <v>2021</v>
      </c>
    </row>
    <row r="324" spans="1:14">
      <c r="B324" s="79" t="s">
        <v>47</v>
      </c>
      <c r="C324" s="71"/>
      <c r="D324" s="89"/>
      <c r="E324" s="90"/>
      <c r="F324" s="90"/>
      <c r="G324" s="90"/>
      <c r="H324" s="90"/>
      <c r="I324" s="90"/>
      <c r="J324" s="90"/>
      <c r="K324" s="90"/>
      <c r="L324" s="90"/>
      <c r="M324" s="90"/>
      <c r="N324" s="90"/>
    </row>
    <row r="325" spans="1:14">
      <c r="B325" s="80" t="s">
        <v>23</v>
      </c>
      <c r="C325" s="175"/>
      <c r="D325" s="92"/>
      <c r="E325" s="93"/>
      <c r="F325" s="93"/>
      <c r="G325" s="93"/>
      <c r="H325" s="93"/>
      <c r="I325" s="93"/>
      <c r="J325" s="93"/>
      <c r="K325" s="93"/>
      <c r="L325" s="93"/>
      <c r="M325" s="93"/>
      <c r="N325" s="93"/>
    </row>
    <row r="326" spans="1:14">
      <c r="B326" s="95" t="s">
        <v>89</v>
      </c>
      <c r="C326" s="173"/>
      <c r="D326" s="57"/>
      <c r="E326" s="58"/>
      <c r="F326" s="58"/>
      <c r="G326" s="58"/>
      <c r="H326" s="58"/>
      <c r="I326" s="58"/>
      <c r="J326" s="58"/>
      <c r="K326" s="58"/>
      <c r="L326" s="58"/>
      <c r="M326" s="58"/>
      <c r="N326" s="58"/>
    </row>
    <row r="327" spans="1:14">
      <c r="B327" s="33" t="s">
        <v>90</v>
      </c>
      <c r="D327" s="7">
        <v>0</v>
      </c>
      <c r="E327" s="7">
        <v>0</v>
      </c>
      <c r="F327" s="7">
        <v>0</v>
      </c>
      <c r="G327" s="7">
        <v>0</v>
      </c>
      <c r="H327" s="7">
        <v>0</v>
      </c>
      <c r="I327" s="7">
        <v>0</v>
      </c>
      <c r="J327" s="7">
        <v>0</v>
      </c>
      <c r="K327" s="7">
        <v>0</v>
      </c>
      <c r="L327" s="7">
        <v>0</v>
      </c>
      <c r="M327" s="7">
        <v>0</v>
      </c>
      <c r="N327" s="7">
        <v>0</v>
      </c>
    </row>
    <row r="328" spans="1:14">
      <c r="B328" s="6"/>
      <c r="D328" s="7"/>
      <c r="E328" s="7"/>
      <c r="F328" s="7"/>
      <c r="G328" s="28"/>
      <c r="H328" s="28"/>
      <c r="I328" s="28"/>
      <c r="J328" s="28"/>
      <c r="K328" s="28"/>
      <c r="L328" s="28"/>
      <c r="M328" s="28"/>
      <c r="N328" s="28"/>
    </row>
    <row r="329" spans="1:14" ht="18.5">
      <c r="A329" s="9" t="s">
        <v>100</v>
      </c>
      <c r="D329" s="2">
        <f>'Facility Detail'!$B$3082</f>
        <v>2011</v>
      </c>
      <c r="E329" s="2">
        <f>D329+1</f>
        <v>2012</v>
      </c>
      <c r="F329" s="2">
        <f t="shared" ref="F329" si="144">E329+1</f>
        <v>2013</v>
      </c>
      <c r="G329" s="2">
        <f t="shared" ref="G329" si="145">F329+1</f>
        <v>2014</v>
      </c>
      <c r="H329" s="2">
        <f t="shared" ref="H329" si="146">G329+1</f>
        <v>2015</v>
      </c>
      <c r="I329" s="2">
        <f t="shared" ref="I329" si="147">H329+1</f>
        <v>2016</v>
      </c>
      <c r="J329" s="2">
        <f t="shared" ref="J329" si="148">I329+1</f>
        <v>2017</v>
      </c>
      <c r="K329" s="2">
        <f t="shared" ref="K329" si="149">J329+1</f>
        <v>2018</v>
      </c>
      <c r="L329" s="2">
        <f t="shared" ref="L329" si="150">K329+1</f>
        <v>2019</v>
      </c>
      <c r="M329" s="2">
        <f t="shared" ref="M329" si="151">L329+1</f>
        <v>2020</v>
      </c>
      <c r="N329" s="2">
        <f t="shared" ref="N329" si="152">M329+1</f>
        <v>2021</v>
      </c>
    </row>
    <row r="330" spans="1:14">
      <c r="B330" s="79" t="s">
        <v>68</v>
      </c>
      <c r="C330" s="71"/>
      <c r="D330" s="3"/>
      <c r="E330" s="60">
        <f>D330</f>
        <v>0</v>
      </c>
      <c r="F330" s="131"/>
      <c r="G330" s="131"/>
      <c r="H330" s="131"/>
      <c r="I330" s="131"/>
      <c r="J330" s="131"/>
      <c r="K330" s="131"/>
      <c r="L330" s="131"/>
      <c r="M330" s="131"/>
      <c r="N330" s="61"/>
    </row>
    <row r="331" spans="1:14">
      <c r="B331" s="79" t="s">
        <v>69</v>
      </c>
      <c r="C331" s="71"/>
      <c r="D331" s="164">
        <f>E331</f>
        <v>0</v>
      </c>
      <c r="E331" s="10"/>
      <c r="F331" s="74"/>
      <c r="G331" s="74"/>
      <c r="H331" s="74"/>
      <c r="I331" s="74"/>
      <c r="J331" s="74"/>
      <c r="K331" s="74"/>
      <c r="L331" s="74"/>
      <c r="M331" s="74"/>
      <c r="N331" s="165"/>
    </row>
    <row r="332" spans="1:14">
      <c r="B332" s="79" t="s">
        <v>70</v>
      </c>
      <c r="C332" s="71"/>
      <c r="D332" s="62"/>
      <c r="E332" s="10">
        <f>E316</f>
        <v>0</v>
      </c>
      <c r="F332" s="70">
        <f>E332</f>
        <v>0</v>
      </c>
      <c r="G332" s="74"/>
      <c r="H332" s="74"/>
      <c r="I332" s="74"/>
      <c r="J332" s="74"/>
      <c r="K332" s="74"/>
      <c r="L332" s="74"/>
      <c r="M332" s="74"/>
      <c r="N332" s="165"/>
    </row>
    <row r="333" spans="1:14">
      <c r="B333" s="79" t="s">
        <v>71</v>
      </c>
      <c r="C333" s="71"/>
      <c r="D333" s="62"/>
      <c r="E333" s="70">
        <f>F333</f>
        <v>0</v>
      </c>
      <c r="F333" s="163"/>
      <c r="G333" s="74"/>
      <c r="H333" s="74"/>
      <c r="I333" s="74"/>
      <c r="J333" s="74"/>
      <c r="K333" s="74"/>
      <c r="L333" s="74"/>
      <c r="M333" s="74"/>
      <c r="N333" s="165"/>
    </row>
    <row r="334" spans="1:14">
      <c r="B334" s="79" t="s">
        <v>171</v>
      </c>
      <c r="C334" s="30"/>
      <c r="D334" s="62"/>
      <c r="E334" s="148"/>
      <c r="F334" s="10">
        <f>F316</f>
        <v>0</v>
      </c>
      <c r="G334" s="149">
        <f>F334</f>
        <v>0</v>
      </c>
      <c r="H334" s="74"/>
      <c r="I334" s="74"/>
      <c r="J334" s="74"/>
      <c r="K334" s="74"/>
      <c r="L334" s="74"/>
      <c r="M334" s="74"/>
      <c r="N334" s="165"/>
    </row>
    <row r="335" spans="1:14">
      <c r="B335" s="79" t="s">
        <v>172</v>
      </c>
      <c r="C335" s="30"/>
      <c r="D335" s="62"/>
      <c r="E335" s="148"/>
      <c r="F335" s="70">
        <f>G335</f>
        <v>0</v>
      </c>
      <c r="G335" s="10"/>
      <c r="H335" s="74"/>
      <c r="I335" s="74"/>
      <c r="J335" s="74"/>
      <c r="K335" s="74"/>
      <c r="L335" s="74"/>
      <c r="M335" s="74"/>
      <c r="N335" s="165"/>
    </row>
    <row r="336" spans="1:14">
      <c r="B336" s="79" t="s">
        <v>173</v>
      </c>
      <c r="C336" s="30"/>
      <c r="D336" s="62"/>
      <c r="E336" s="148"/>
      <c r="F336" s="148"/>
      <c r="G336" s="10">
        <f>G316</f>
        <v>0</v>
      </c>
      <c r="H336" s="149">
        <f>G336</f>
        <v>0</v>
      </c>
      <c r="I336" s="148">
        <f>H336</f>
        <v>0</v>
      </c>
      <c r="J336" s="74"/>
      <c r="K336" s="74"/>
      <c r="L336" s="74"/>
      <c r="M336" s="74"/>
      <c r="N336" s="152"/>
    </row>
    <row r="337" spans="2:15">
      <c r="B337" s="79" t="s">
        <v>174</v>
      </c>
      <c r="C337" s="30"/>
      <c r="D337" s="62"/>
      <c r="E337" s="148"/>
      <c r="F337" s="148"/>
      <c r="G337" s="70"/>
      <c r="H337" s="10"/>
      <c r="I337" s="148"/>
      <c r="J337" s="74"/>
      <c r="K337" s="74"/>
      <c r="L337" s="74"/>
      <c r="M337" s="74"/>
      <c r="N337" s="152"/>
    </row>
    <row r="338" spans="2:15">
      <c r="B338" s="79" t="s">
        <v>175</v>
      </c>
      <c r="C338" s="30"/>
      <c r="D338" s="62"/>
      <c r="E338" s="148"/>
      <c r="F338" s="148"/>
      <c r="G338" s="148"/>
      <c r="H338" s="10">
        <v>0</v>
      </c>
      <c r="I338" s="149">
        <f>H338</f>
        <v>0</v>
      </c>
      <c r="J338" s="74"/>
      <c r="K338" s="74"/>
      <c r="L338" s="74"/>
      <c r="M338" s="74"/>
      <c r="N338" s="152"/>
    </row>
    <row r="339" spans="2:15">
      <c r="B339" s="79" t="s">
        <v>176</v>
      </c>
      <c r="C339" s="30"/>
      <c r="D339" s="62"/>
      <c r="E339" s="148"/>
      <c r="F339" s="148"/>
      <c r="G339" s="148"/>
      <c r="H339" s="70"/>
      <c r="I339" s="10"/>
      <c r="J339" s="74"/>
      <c r="K339" s="74"/>
      <c r="L339" s="74"/>
      <c r="M339" s="74"/>
      <c r="N339" s="152"/>
    </row>
    <row r="340" spans="2:15">
      <c r="B340" s="79" t="s">
        <v>177</v>
      </c>
      <c r="C340" s="30"/>
      <c r="D340" s="62"/>
      <c r="E340" s="148"/>
      <c r="F340" s="148"/>
      <c r="G340" s="148"/>
      <c r="H340" s="148"/>
      <c r="I340" s="207">
        <f>I316</f>
        <v>0</v>
      </c>
      <c r="J340" s="150">
        <f>I340</f>
        <v>0</v>
      </c>
      <c r="K340" s="74"/>
      <c r="L340" s="74"/>
      <c r="M340" s="74"/>
      <c r="N340" s="152"/>
    </row>
    <row r="341" spans="2:15">
      <c r="B341" s="79" t="s">
        <v>168</v>
      </c>
      <c r="C341" s="30"/>
      <c r="D341" s="62"/>
      <c r="E341" s="148"/>
      <c r="F341" s="148"/>
      <c r="G341" s="148"/>
      <c r="H341" s="148"/>
      <c r="I341" s="208"/>
      <c r="J341" s="151"/>
      <c r="K341" s="74"/>
      <c r="L341" s="74"/>
      <c r="M341" s="74"/>
      <c r="N341" s="152"/>
    </row>
    <row r="342" spans="2:15">
      <c r="B342" s="79" t="s">
        <v>169</v>
      </c>
      <c r="C342" s="30"/>
      <c r="D342" s="62"/>
      <c r="E342" s="148"/>
      <c r="F342" s="148"/>
      <c r="G342" s="148"/>
      <c r="H342" s="148"/>
      <c r="I342" s="148"/>
      <c r="J342" s="151">
        <f>J316</f>
        <v>0</v>
      </c>
      <c r="K342" s="150">
        <f>J342</f>
        <v>0</v>
      </c>
      <c r="L342" s="74"/>
      <c r="M342" s="74"/>
      <c r="N342" s="152"/>
    </row>
    <row r="343" spans="2:15">
      <c r="B343" s="79" t="s">
        <v>186</v>
      </c>
      <c r="C343" s="30"/>
      <c r="D343" s="62"/>
      <c r="E343" s="148"/>
      <c r="F343" s="148"/>
      <c r="G343" s="148"/>
      <c r="H343" s="148"/>
      <c r="I343" s="148"/>
      <c r="J343" s="228"/>
      <c r="K343" s="151"/>
      <c r="L343" s="74"/>
      <c r="M343" s="74"/>
      <c r="N343" s="152"/>
    </row>
    <row r="344" spans="2:15">
      <c r="B344" s="79" t="s">
        <v>187</v>
      </c>
      <c r="C344" s="30"/>
      <c r="D344" s="62"/>
      <c r="E344" s="148"/>
      <c r="F344" s="148"/>
      <c r="G344" s="148"/>
      <c r="H344" s="148"/>
      <c r="I344" s="148"/>
      <c r="J344" s="148"/>
      <c r="K344" s="151">
        <f>K316</f>
        <v>0</v>
      </c>
      <c r="L344" s="70">
        <f>K344</f>
        <v>0</v>
      </c>
      <c r="M344" s="74"/>
      <c r="N344" s="152"/>
    </row>
    <row r="345" spans="2:15">
      <c r="B345" s="79" t="s">
        <v>188</v>
      </c>
      <c r="C345" s="30"/>
      <c r="D345" s="62"/>
      <c r="E345" s="148"/>
      <c r="F345" s="148"/>
      <c r="G345" s="148"/>
      <c r="H345" s="148"/>
      <c r="I345" s="148"/>
      <c r="J345" s="148"/>
      <c r="K345" s="228"/>
      <c r="L345" s="151"/>
      <c r="M345" s="74"/>
      <c r="N345" s="152"/>
    </row>
    <row r="346" spans="2:15">
      <c r="B346" s="79" t="s">
        <v>189</v>
      </c>
      <c r="C346" s="30"/>
      <c r="D346" s="62"/>
      <c r="E346" s="148"/>
      <c r="F346" s="148"/>
      <c r="G346" s="148"/>
      <c r="H346" s="148"/>
      <c r="I346" s="148"/>
      <c r="J346" s="148"/>
      <c r="K346" s="148"/>
      <c r="L346" s="151"/>
      <c r="M346" s="70"/>
      <c r="N346" s="152"/>
    </row>
    <row r="347" spans="2:15">
      <c r="B347" s="79" t="s">
        <v>190</v>
      </c>
      <c r="C347" s="30"/>
      <c r="D347" s="62"/>
      <c r="E347" s="148"/>
      <c r="F347" s="148"/>
      <c r="G347" s="148"/>
      <c r="H347" s="148"/>
      <c r="I347" s="148"/>
      <c r="J347" s="148"/>
      <c r="K347" s="148"/>
      <c r="L347" s="209"/>
      <c r="M347" s="278"/>
      <c r="N347" s="178"/>
      <c r="O347" s="30"/>
    </row>
    <row r="348" spans="2:15">
      <c r="B348" s="79" t="s">
        <v>191</v>
      </c>
      <c r="C348" s="30"/>
      <c r="D348" s="62"/>
      <c r="E348" s="148"/>
      <c r="F348" s="148"/>
      <c r="G348" s="148"/>
      <c r="H348" s="148"/>
      <c r="I348" s="148"/>
      <c r="J348" s="148"/>
      <c r="K348" s="148"/>
      <c r="L348" s="148"/>
      <c r="M348" s="278">
        <v>0</v>
      </c>
      <c r="N348" s="150">
        <f>M348</f>
        <v>0</v>
      </c>
      <c r="O348" s="30"/>
    </row>
    <row r="349" spans="2:15">
      <c r="B349" s="79" t="s">
        <v>201</v>
      </c>
      <c r="C349" s="30"/>
      <c r="D349" s="62"/>
      <c r="E349" s="148"/>
      <c r="F349" s="148"/>
      <c r="G349" s="148"/>
      <c r="H349" s="148"/>
      <c r="I349" s="148"/>
      <c r="J349" s="148"/>
      <c r="K349" s="148"/>
      <c r="L349" s="148"/>
      <c r="M349" s="150">
        <v>0</v>
      </c>
      <c r="N349" s="151"/>
      <c r="O349" s="30"/>
    </row>
    <row r="350" spans="2:15">
      <c r="B350" s="79" t="s">
        <v>202</v>
      </c>
      <c r="C350" s="30"/>
      <c r="D350" s="63"/>
      <c r="E350" s="133"/>
      <c r="F350" s="133"/>
      <c r="G350" s="133"/>
      <c r="H350" s="133"/>
      <c r="I350" s="133"/>
      <c r="J350" s="133"/>
      <c r="K350" s="133"/>
      <c r="L350" s="133"/>
      <c r="M350" s="133"/>
      <c r="N350" s="153">
        <v>0</v>
      </c>
      <c r="O350" s="30"/>
    </row>
    <row r="351" spans="2:15">
      <c r="B351" s="33" t="s">
        <v>17</v>
      </c>
      <c r="D351" s="218"/>
      <c r="E351" s="218"/>
      <c r="F351" s="218"/>
      <c r="G351" s="218"/>
      <c r="H351" s="218"/>
      <c r="I351" s="218"/>
      <c r="J351" s="218"/>
      <c r="K351" s="218">
        <f>K342-K343-K344</f>
        <v>0</v>
      </c>
      <c r="L351" s="218">
        <f>L344-L346+L347</f>
        <v>0</v>
      </c>
      <c r="M351" s="218">
        <f>M346-M347</f>
        <v>0</v>
      </c>
      <c r="N351" s="218">
        <f>N346</f>
        <v>0</v>
      </c>
    </row>
    <row r="352" spans="2:15">
      <c r="B352" s="6"/>
      <c r="D352" s="218"/>
      <c r="E352" s="218"/>
      <c r="F352" s="218"/>
      <c r="G352" s="218"/>
      <c r="H352" s="218"/>
      <c r="I352" s="218"/>
      <c r="J352" s="218"/>
      <c r="K352" s="218"/>
      <c r="L352" s="218"/>
      <c r="M352" s="218"/>
      <c r="N352" s="218"/>
    </row>
    <row r="353" spans="1:14">
      <c r="B353" s="76" t="s">
        <v>12</v>
      </c>
      <c r="C353" s="71"/>
      <c r="D353" s="219"/>
      <c r="E353" s="220"/>
      <c r="F353" s="220"/>
      <c r="G353" s="220"/>
      <c r="H353" s="220"/>
      <c r="I353" s="220"/>
      <c r="J353" s="220"/>
      <c r="K353" s="220"/>
      <c r="L353" s="220"/>
      <c r="M353" s="220"/>
      <c r="N353" s="220"/>
    </row>
    <row r="354" spans="1:14">
      <c r="B354" s="6"/>
      <c r="D354" s="218"/>
      <c r="E354" s="218"/>
      <c r="F354" s="218"/>
      <c r="G354" s="218"/>
      <c r="H354" s="218"/>
      <c r="I354" s="218"/>
      <c r="J354" s="218"/>
      <c r="K354" s="218"/>
      <c r="L354" s="218"/>
      <c r="M354" s="218"/>
      <c r="N354" s="218"/>
    </row>
    <row r="355" spans="1:14" ht="18.5">
      <c r="A355" s="41" t="s">
        <v>26</v>
      </c>
      <c r="C355" s="71"/>
      <c r="D355" s="221">
        <f t="shared" ref="D355:N355" si="153" xml:space="preserve"> D316 + D321 - D327 + D351 + D353</f>
        <v>0</v>
      </c>
      <c r="E355" s="222">
        <f t="shared" si="153"/>
        <v>0</v>
      </c>
      <c r="F355" s="222">
        <f t="shared" si="153"/>
        <v>0</v>
      </c>
      <c r="G355" s="222">
        <f t="shared" si="153"/>
        <v>0</v>
      </c>
      <c r="H355" s="222">
        <f t="shared" si="153"/>
        <v>0</v>
      </c>
      <c r="I355" s="222">
        <f t="shared" si="153"/>
        <v>0</v>
      </c>
      <c r="J355" s="222">
        <f t="shared" si="153"/>
        <v>0</v>
      </c>
      <c r="K355" s="222">
        <f t="shared" si="153"/>
        <v>0</v>
      </c>
      <c r="L355" s="222">
        <f t="shared" si="153"/>
        <v>0</v>
      </c>
      <c r="M355" s="222">
        <f t="shared" si="153"/>
        <v>0</v>
      </c>
      <c r="N355" s="222">
        <f t="shared" si="153"/>
        <v>7748.0237304884358</v>
      </c>
    </row>
    <row r="356" spans="1:14">
      <c r="B356" s="6"/>
      <c r="D356" s="7"/>
      <c r="E356" s="7"/>
      <c r="F356" s="7"/>
      <c r="G356" s="28"/>
      <c r="H356" s="28"/>
      <c r="I356" s="28"/>
      <c r="J356" s="28"/>
      <c r="K356" s="28"/>
      <c r="L356" s="28"/>
      <c r="M356" s="28"/>
      <c r="N356" s="28"/>
    </row>
    <row r="357" spans="1:14" ht="15" thickBot="1"/>
    <row r="358" spans="1:14" ht="15" thickBot="1">
      <c r="A358" s="8"/>
      <c r="B358" s="8"/>
      <c r="C358" s="8"/>
      <c r="D358" s="8"/>
      <c r="E358" s="8"/>
      <c r="F358" s="8"/>
      <c r="G358" s="8"/>
      <c r="H358" s="8"/>
      <c r="I358" s="8"/>
      <c r="J358" s="8"/>
      <c r="K358" s="8"/>
      <c r="L358" s="8"/>
      <c r="M358" s="8"/>
      <c r="N358" s="8"/>
    </row>
    <row r="359" spans="1:14" ht="21.5" thickBot="1">
      <c r="A359" s="13" t="s">
        <v>4</v>
      </c>
      <c r="B359" s="13"/>
      <c r="C359" s="298" t="s">
        <v>180</v>
      </c>
      <c r="D359" s="309"/>
      <c r="E359" s="23"/>
      <c r="F359" s="23"/>
    </row>
    <row r="361" spans="1:14" ht="18.5">
      <c r="A361" s="9" t="s">
        <v>21</v>
      </c>
      <c r="B361" s="9"/>
      <c r="D361" s="2">
        <v>2011</v>
      </c>
      <c r="E361" s="2">
        <f>D361+1</f>
        <v>2012</v>
      </c>
      <c r="F361" s="2">
        <f t="shared" ref="F361:N361" si="154">E361+1</f>
        <v>2013</v>
      </c>
      <c r="G361" s="2">
        <f t="shared" si="154"/>
        <v>2014</v>
      </c>
      <c r="H361" s="2">
        <f t="shared" si="154"/>
        <v>2015</v>
      </c>
      <c r="I361" s="2">
        <f t="shared" si="154"/>
        <v>2016</v>
      </c>
      <c r="J361" s="2">
        <f t="shared" si="154"/>
        <v>2017</v>
      </c>
      <c r="K361" s="2">
        <f t="shared" si="154"/>
        <v>2018</v>
      </c>
      <c r="L361" s="2">
        <f t="shared" si="154"/>
        <v>2019</v>
      </c>
      <c r="M361" s="2">
        <f t="shared" si="154"/>
        <v>2020</v>
      </c>
      <c r="N361" s="2">
        <f t="shared" si="154"/>
        <v>2021</v>
      </c>
    </row>
    <row r="362" spans="1:14">
      <c r="B362" s="79" t="str">
        <f>"Total MWh Produced / Purchased from " &amp; C359</f>
        <v>Total MWh Produced / Purchased from Bly Solar</v>
      </c>
      <c r="C362" s="71"/>
      <c r="D362" s="3"/>
      <c r="E362" s="4"/>
      <c r="F362" s="4"/>
      <c r="G362" s="4"/>
      <c r="H362" s="4"/>
      <c r="I362" s="4"/>
      <c r="J362" s="4">
        <v>0</v>
      </c>
      <c r="K362" s="4">
        <v>586.55600000000004</v>
      </c>
      <c r="L362" s="4">
        <v>18041</v>
      </c>
      <c r="M362" s="230">
        <v>20552</v>
      </c>
      <c r="N362" s="4">
        <v>20402</v>
      </c>
    </row>
    <row r="363" spans="1:14">
      <c r="B363" s="79" t="s">
        <v>25</v>
      </c>
      <c r="C363" s="71"/>
      <c r="D363" s="54"/>
      <c r="E363" s="55"/>
      <c r="F363" s="55"/>
      <c r="G363" s="55"/>
      <c r="H363" s="55"/>
      <c r="I363" s="55"/>
      <c r="J363" s="55"/>
      <c r="K363" s="55">
        <v>1</v>
      </c>
      <c r="L363" s="55">
        <v>1</v>
      </c>
      <c r="M363" s="234">
        <v>1</v>
      </c>
      <c r="N363" s="55">
        <v>1</v>
      </c>
    </row>
    <row r="364" spans="1:14">
      <c r="B364" s="79" t="s">
        <v>20</v>
      </c>
      <c r="C364" s="71"/>
      <c r="D364" s="48"/>
      <c r="E364" s="49"/>
      <c r="F364" s="49"/>
      <c r="G364" s="49"/>
      <c r="H364" s="49"/>
      <c r="I364" s="49"/>
      <c r="J364" s="49"/>
      <c r="K364" s="49">
        <f>K75</f>
        <v>0.22007817037432531</v>
      </c>
      <c r="L364" s="49">
        <f>L75</f>
        <v>0.2223660721260575</v>
      </c>
      <c r="M364" s="243">
        <f>M75</f>
        <v>0.22351563443464154</v>
      </c>
      <c r="N364" s="243">
        <f>N75</f>
        <v>0.22326821036945171</v>
      </c>
    </row>
    <row r="365" spans="1:14">
      <c r="B365" s="76" t="s">
        <v>22</v>
      </c>
      <c r="C365" s="77"/>
      <c r="D365" s="37">
        <v>0</v>
      </c>
      <c r="E365" s="37">
        <v>0</v>
      </c>
      <c r="F365" s="37">
        <v>0</v>
      </c>
      <c r="G365" s="37">
        <v>0</v>
      </c>
      <c r="H365" s="37">
        <v>0</v>
      </c>
      <c r="I365" s="37">
        <v>0</v>
      </c>
      <c r="J365" s="37">
        <f>J362*J364</f>
        <v>0</v>
      </c>
      <c r="K365" s="37">
        <v>129</v>
      </c>
      <c r="L365" s="37">
        <f>L362*L364</f>
        <v>4011.7063072262031</v>
      </c>
      <c r="M365" s="37">
        <f>M362*M364</f>
        <v>4593.6933189007532</v>
      </c>
      <c r="N365" s="37">
        <f>N362*N364</f>
        <v>4555.1180279575537</v>
      </c>
    </row>
    <row r="366" spans="1:14">
      <c r="B366" s="23"/>
      <c r="C366" s="30"/>
      <c r="D366" s="36"/>
      <c r="E366" s="36"/>
      <c r="F366" s="36"/>
      <c r="G366" s="36"/>
      <c r="H366" s="36"/>
      <c r="I366" s="36"/>
      <c r="J366" s="36"/>
      <c r="K366" s="36"/>
      <c r="L366" s="36"/>
      <c r="M366" s="36"/>
      <c r="N366" s="36"/>
    </row>
    <row r="367" spans="1:14" ht="18.5">
      <c r="A367" s="42" t="s">
        <v>119</v>
      </c>
      <c r="C367" s="30"/>
      <c r="D367" s="2">
        <v>2011</v>
      </c>
      <c r="E367" s="2">
        <f>D367+1</f>
        <v>2012</v>
      </c>
      <c r="F367" s="2">
        <f t="shared" ref="F367:N367" si="155">E367+1</f>
        <v>2013</v>
      </c>
      <c r="G367" s="2">
        <f t="shared" si="155"/>
        <v>2014</v>
      </c>
      <c r="H367" s="2">
        <f t="shared" si="155"/>
        <v>2015</v>
      </c>
      <c r="I367" s="2">
        <f t="shared" si="155"/>
        <v>2016</v>
      </c>
      <c r="J367" s="2">
        <f t="shared" si="155"/>
        <v>2017</v>
      </c>
      <c r="K367" s="2">
        <f t="shared" si="155"/>
        <v>2018</v>
      </c>
      <c r="L367" s="2">
        <f t="shared" si="155"/>
        <v>2019</v>
      </c>
      <c r="M367" s="2">
        <f t="shared" si="155"/>
        <v>2020</v>
      </c>
      <c r="N367" s="2">
        <f t="shared" si="155"/>
        <v>2021</v>
      </c>
    </row>
    <row r="368" spans="1:14">
      <c r="B368" s="79" t="s">
        <v>10</v>
      </c>
      <c r="C368" s="71"/>
      <c r="D368" s="51">
        <f>IF($E8 = "Eligible", D365 * 'Facility Detail'!$B$3079, 0 )</f>
        <v>0</v>
      </c>
      <c r="E368" s="51">
        <f>IF($E8 = "Eligible", E365 * 'Facility Detail'!$B$3079, 0 )</f>
        <v>0</v>
      </c>
      <c r="F368" s="51">
        <f>IF($E8 = "Eligible", F365 * 'Facility Detail'!$B$3079, 0 )</f>
        <v>0</v>
      </c>
      <c r="G368" s="51">
        <f>IF($E8 = "Eligible", G365 * 'Facility Detail'!$B$3079, 0 )</f>
        <v>0</v>
      </c>
      <c r="H368" s="51">
        <f>IF($E8 = "Eligible", H365 * 'Facility Detail'!$B$3079, 0 )</f>
        <v>0</v>
      </c>
      <c r="I368" s="51">
        <f>IF($E8 = "Eligible", I365 * 'Facility Detail'!$B$3079, 0 )</f>
        <v>0</v>
      </c>
      <c r="J368" s="51">
        <f>IF($E8 = "Eligible", J365 * 'Facility Detail'!$B$3079, 0 )</f>
        <v>0</v>
      </c>
      <c r="K368" s="51">
        <f>IF($E8 = "Eligible", K365 * 'Facility Detail'!$B$3079, 0 )</f>
        <v>0</v>
      </c>
      <c r="L368" s="51">
        <f>IF($E8 = "Eligible", L365 * 'Facility Detail'!$B$3079, 0 )</f>
        <v>0</v>
      </c>
      <c r="M368" s="51">
        <f>IF($E8 = "Eligible", M365 * 'Facility Detail'!$B$3079, 0 )</f>
        <v>0</v>
      </c>
      <c r="N368" s="51">
        <f>IF($E8 = "Eligible", N365 * 'Facility Detail'!$B$3079, 0 )</f>
        <v>0</v>
      </c>
    </row>
    <row r="369" spans="1:14">
      <c r="B369" s="79" t="s">
        <v>6</v>
      </c>
      <c r="C369" s="71"/>
      <c r="D369" s="52">
        <f t="shared" ref="D369:N369" si="156">IF($F8= "Eligible", D365, 0 )</f>
        <v>0</v>
      </c>
      <c r="E369" s="52">
        <f t="shared" si="156"/>
        <v>0</v>
      </c>
      <c r="F369" s="52">
        <f t="shared" si="156"/>
        <v>0</v>
      </c>
      <c r="G369" s="52">
        <f t="shared" si="156"/>
        <v>0</v>
      </c>
      <c r="H369" s="52">
        <f t="shared" si="156"/>
        <v>0</v>
      </c>
      <c r="I369" s="52">
        <f t="shared" si="156"/>
        <v>0</v>
      </c>
      <c r="J369" s="52">
        <f t="shared" si="156"/>
        <v>0</v>
      </c>
      <c r="K369" s="52">
        <f t="shared" si="156"/>
        <v>0</v>
      </c>
      <c r="L369" s="52">
        <f t="shared" si="156"/>
        <v>0</v>
      </c>
      <c r="M369" s="52">
        <f t="shared" si="156"/>
        <v>0</v>
      </c>
      <c r="N369" s="52">
        <f t="shared" si="156"/>
        <v>0</v>
      </c>
    </row>
    <row r="370" spans="1:14">
      <c r="B370" s="78" t="s">
        <v>121</v>
      </c>
      <c r="C370" s="77"/>
      <c r="D370" s="39">
        <f>SUM(D368:D369)</f>
        <v>0</v>
      </c>
      <c r="E370" s="39">
        <f t="shared" ref="E370:N370" si="157">SUM(E368:E369)</f>
        <v>0</v>
      </c>
      <c r="F370" s="39">
        <f t="shared" si="157"/>
        <v>0</v>
      </c>
      <c r="G370" s="39">
        <f t="shared" si="157"/>
        <v>0</v>
      </c>
      <c r="H370" s="39">
        <f t="shared" si="157"/>
        <v>0</v>
      </c>
      <c r="I370" s="39">
        <f t="shared" si="157"/>
        <v>0</v>
      </c>
      <c r="J370" s="39">
        <f t="shared" si="157"/>
        <v>0</v>
      </c>
      <c r="K370" s="39">
        <f t="shared" si="157"/>
        <v>0</v>
      </c>
      <c r="L370" s="39">
        <f t="shared" si="157"/>
        <v>0</v>
      </c>
      <c r="M370" s="39">
        <f t="shared" si="157"/>
        <v>0</v>
      </c>
      <c r="N370" s="39">
        <f t="shared" si="157"/>
        <v>0</v>
      </c>
    </row>
    <row r="371" spans="1:14">
      <c r="B371" s="30"/>
      <c r="C371" s="30"/>
      <c r="D371" s="38"/>
      <c r="E371" s="31"/>
      <c r="F371" s="31"/>
      <c r="G371" s="31"/>
      <c r="H371" s="31"/>
      <c r="I371" s="31"/>
      <c r="J371" s="31"/>
      <c r="K371" s="31"/>
      <c r="L371" s="31"/>
      <c r="M371" s="31"/>
      <c r="N371" s="31"/>
    </row>
    <row r="372" spans="1:14" ht="18.5">
      <c r="A372" s="41" t="s">
        <v>30</v>
      </c>
      <c r="C372" s="30"/>
      <c r="D372" s="2">
        <v>2011</v>
      </c>
      <c r="E372" s="2">
        <f>D372+1</f>
        <v>2012</v>
      </c>
      <c r="F372" s="2">
        <f t="shared" ref="F372:N372" si="158">E372+1</f>
        <v>2013</v>
      </c>
      <c r="G372" s="2">
        <f t="shared" si="158"/>
        <v>2014</v>
      </c>
      <c r="H372" s="2">
        <f t="shared" si="158"/>
        <v>2015</v>
      </c>
      <c r="I372" s="2">
        <f t="shared" si="158"/>
        <v>2016</v>
      </c>
      <c r="J372" s="2">
        <f t="shared" si="158"/>
        <v>2017</v>
      </c>
      <c r="K372" s="2">
        <f t="shared" si="158"/>
        <v>2018</v>
      </c>
      <c r="L372" s="2">
        <f t="shared" si="158"/>
        <v>2019</v>
      </c>
      <c r="M372" s="2">
        <f t="shared" si="158"/>
        <v>2020</v>
      </c>
      <c r="N372" s="2">
        <f t="shared" si="158"/>
        <v>2021</v>
      </c>
    </row>
    <row r="373" spans="1:14">
      <c r="B373" s="79" t="s">
        <v>47</v>
      </c>
      <c r="C373" s="71"/>
      <c r="D373" s="89"/>
      <c r="E373" s="90"/>
      <c r="F373" s="90"/>
      <c r="G373" s="90"/>
      <c r="H373" s="90"/>
      <c r="I373" s="90"/>
      <c r="J373" s="90"/>
      <c r="K373" s="90"/>
      <c r="L373" s="90"/>
      <c r="M373" s="90"/>
      <c r="N373" s="90"/>
    </row>
    <row r="374" spans="1:14">
      <c r="B374" s="80" t="s">
        <v>23</v>
      </c>
      <c r="C374" s="175"/>
      <c r="D374" s="92"/>
      <c r="E374" s="93"/>
      <c r="F374" s="93"/>
      <c r="G374" s="93"/>
      <c r="H374" s="93"/>
      <c r="I374" s="93"/>
      <c r="J374" s="93"/>
      <c r="K374" s="93"/>
      <c r="L374" s="93"/>
      <c r="M374" s="93"/>
      <c r="N374" s="93"/>
    </row>
    <row r="375" spans="1:14">
      <c r="B375" s="95" t="s">
        <v>89</v>
      </c>
      <c r="C375" s="173"/>
      <c r="D375" s="57"/>
      <c r="E375" s="58"/>
      <c r="F375" s="58"/>
      <c r="G375" s="58"/>
      <c r="H375" s="58"/>
      <c r="I375" s="58"/>
      <c r="J375" s="58"/>
      <c r="K375" s="58"/>
      <c r="L375" s="58"/>
      <c r="M375" s="58"/>
      <c r="N375" s="58"/>
    </row>
    <row r="376" spans="1:14">
      <c r="B376" s="33" t="s">
        <v>90</v>
      </c>
      <c r="D376" s="7">
        <v>0</v>
      </c>
      <c r="E376" s="7">
        <v>0</v>
      </c>
      <c r="F376" s="7">
        <v>0</v>
      </c>
      <c r="G376" s="7">
        <v>0</v>
      </c>
      <c r="H376" s="7">
        <v>0</v>
      </c>
      <c r="I376" s="7">
        <v>0</v>
      </c>
      <c r="J376" s="7">
        <v>0</v>
      </c>
      <c r="K376" s="7">
        <v>0</v>
      </c>
      <c r="L376" s="7">
        <v>0</v>
      </c>
      <c r="M376" s="7">
        <v>0</v>
      </c>
      <c r="N376" s="7">
        <v>0</v>
      </c>
    </row>
    <row r="377" spans="1:14">
      <c r="B377" s="6"/>
      <c r="D377" s="7"/>
      <c r="E377" s="7"/>
      <c r="F377" s="7"/>
      <c r="G377" s="28"/>
      <c r="H377" s="28"/>
      <c r="I377" s="28"/>
      <c r="J377" s="28"/>
      <c r="K377" s="28"/>
      <c r="L377" s="28"/>
      <c r="M377" s="28"/>
      <c r="N377" s="28"/>
    </row>
    <row r="378" spans="1:14" ht="18.5">
      <c r="A378" s="9" t="s">
        <v>100</v>
      </c>
      <c r="D378" s="2">
        <f>'Facility Detail'!$B$3082</f>
        <v>2011</v>
      </c>
      <c r="E378" s="2">
        <f>D378+1</f>
        <v>2012</v>
      </c>
      <c r="F378" s="2">
        <f t="shared" ref="F378:N378" si="159">E378+1</f>
        <v>2013</v>
      </c>
      <c r="G378" s="2">
        <f t="shared" si="159"/>
        <v>2014</v>
      </c>
      <c r="H378" s="2">
        <f t="shared" si="159"/>
        <v>2015</v>
      </c>
      <c r="I378" s="2">
        <f t="shared" si="159"/>
        <v>2016</v>
      </c>
      <c r="J378" s="2">
        <f t="shared" si="159"/>
        <v>2017</v>
      </c>
      <c r="K378" s="2">
        <f t="shared" si="159"/>
        <v>2018</v>
      </c>
      <c r="L378" s="2">
        <f t="shared" si="159"/>
        <v>2019</v>
      </c>
      <c r="M378" s="2">
        <f t="shared" si="159"/>
        <v>2020</v>
      </c>
      <c r="N378" s="2">
        <f t="shared" si="159"/>
        <v>2021</v>
      </c>
    </row>
    <row r="379" spans="1:14">
      <c r="B379" s="79" t="s">
        <v>68</v>
      </c>
      <c r="C379" s="71"/>
      <c r="D379" s="3"/>
      <c r="E379" s="60">
        <f>D379</f>
        <v>0</v>
      </c>
      <c r="F379" s="131"/>
      <c r="G379" s="131"/>
      <c r="H379" s="131"/>
      <c r="I379" s="131"/>
      <c r="J379" s="131"/>
      <c r="K379" s="131"/>
      <c r="L379" s="131"/>
      <c r="M379" s="131"/>
      <c r="N379" s="61"/>
    </row>
    <row r="380" spans="1:14">
      <c r="B380" s="79" t="s">
        <v>69</v>
      </c>
      <c r="C380" s="71"/>
      <c r="D380" s="164">
        <f>E380</f>
        <v>0</v>
      </c>
      <c r="E380" s="10"/>
      <c r="F380" s="74"/>
      <c r="G380" s="74"/>
      <c r="H380" s="74"/>
      <c r="I380" s="74"/>
      <c r="J380" s="74"/>
      <c r="K380" s="74"/>
      <c r="L380" s="74"/>
      <c r="M380" s="74"/>
      <c r="N380" s="165"/>
    </row>
    <row r="381" spans="1:14">
      <c r="B381" s="79" t="s">
        <v>70</v>
      </c>
      <c r="C381" s="71"/>
      <c r="D381" s="62"/>
      <c r="E381" s="10">
        <f>E365</f>
        <v>0</v>
      </c>
      <c r="F381" s="70">
        <f>E381</f>
        <v>0</v>
      </c>
      <c r="G381" s="74"/>
      <c r="H381" s="74"/>
      <c r="I381" s="74"/>
      <c r="J381" s="74"/>
      <c r="K381" s="74"/>
      <c r="L381" s="74"/>
      <c r="M381" s="74"/>
      <c r="N381" s="165"/>
    </row>
    <row r="382" spans="1:14">
      <c r="B382" s="79" t="s">
        <v>71</v>
      </c>
      <c r="C382" s="71"/>
      <c r="D382" s="62"/>
      <c r="E382" s="70">
        <f>F382</f>
        <v>0</v>
      </c>
      <c r="F382" s="163"/>
      <c r="G382" s="74"/>
      <c r="H382" s="74"/>
      <c r="I382" s="74"/>
      <c r="J382" s="74"/>
      <c r="K382" s="74"/>
      <c r="L382" s="74"/>
      <c r="M382" s="74"/>
      <c r="N382" s="165"/>
    </row>
    <row r="383" spans="1:14">
      <c r="B383" s="79" t="s">
        <v>171</v>
      </c>
      <c r="C383" s="30"/>
      <c r="D383" s="62"/>
      <c r="E383" s="148"/>
      <c r="F383" s="10">
        <f>F365</f>
        <v>0</v>
      </c>
      <c r="G383" s="149">
        <f>F383</f>
        <v>0</v>
      </c>
      <c r="H383" s="74"/>
      <c r="I383" s="74"/>
      <c r="J383" s="74"/>
      <c r="K383" s="74"/>
      <c r="L383" s="74"/>
      <c r="M383" s="74"/>
      <c r="N383" s="165"/>
    </row>
    <row r="384" spans="1:14">
      <c r="B384" s="79" t="s">
        <v>172</v>
      </c>
      <c r="C384" s="30"/>
      <c r="D384" s="62"/>
      <c r="E384" s="148"/>
      <c r="F384" s="70">
        <f>G384</f>
        <v>0</v>
      </c>
      <c r="G384" s="10"/>
      <c r="H384" s="74"/>
      <c r="I384" s="74"/>
      <c r="J384" s="74"/>
      <c r="K384" s="74"/>
      <c r="L384" s="74"/>
      <c r="M384" s="74"/>
      <c r="N384" s="165"/>
    </row>
    <row r="385" spans="2:15">
      <c r="B385" s="79" t="s">
        <v>173</v>
      </c>
      <c r="C385" s="30"/>
      <c r="D385" s="62"/>
      <c r="E385" s="148"/>
      <c r="F385" s="148"/>
      <c r="G385" s="10">
        <f>G365</f>
        <v>0</v>
      </c>
      <c r="H385" s="149">
        <f>G385</f>
        <v>0</v>
      </c>
      <c r="I385" s="148">
        <f>H385</f>
        <v>0</v>
      </c>
      <c r="J385" s="74"/>
      <c r="K385" s="74"/>
      <c r="L385" s="74"/>
      <c r="M385" s="74"/>
      <c r="N385" s="152"/>
    </row>
    <row r="386" spans="2:15">
      <c r="B386" s="79" t="s">
        <v>174</v>
      </c>
      <c r="C386" s="30"/>
      <c r="D386" s="62"/>
      <c r="E386" s="148"/>
      <c r="F386" s="148"/>
      <c r="G386" s="70"/>
      <c r="H386" s="10"/>
      <c r="I386" s="148"/>
      <c r="J386" s="74"/>
      <c r="K386" s="74"/>
      <c r="L386" s="74"/>
      <c r="M386" s="74"/>
      <c r="N386" s="152"/>
    </row>
    <row r="387" spans="2:15">
      <c r="B387" s="79" t="s">
        <v>175</v>
      </c>
      <c r="C387" s="30"/>
      <c r="D387" s="62"/>
      <c r="E387" s="148"/>
      <c r="F387" s="148"/>
      <c r="G387" s="148"/>
      <c r="H387" s="10">
        <v>0</v>
      </c>
      <c r="I387" s="149">
        <f>H387</f>
        <v>0</v>
      </c>
      <c r="J387" s="74"/>
      <c r="K387" s="74"/>
      <c r="L387" s="74"/>
      <c r="M387" s="74"/>
      <c r="N387" s="152"/>
    </row>
    <row r="388" spans="2:15">
      <c r="B388" s="79" t="s">
        <v>176</v>
      </c>
      <c r="C388" s="30"/>
      <c r="D388" s="62"/>
      <c r="E388" s="148"/>
      <c r="F388" s="148"/>
      <c r="G388" s="148"/>
      <c r="H388" s="70"/>
      <c r="I388" s="10"/>
      <c r="J388" s="74"/>
      <c r="K388" s="74"/>
      <c r="L388" s="74"/>
      <c r="M388" s="74"/>
      <c r="N388" s="152"/>
    </row>
    <row r="389" spans="2:15">
      <c r="B389" s="79" t="s">
        <v>177</v>
      </c>
      <c r="C389" s="30"/>
      <c r="D389" s="62"/>
      <c r="E389" s="148"/>
      <c r="F389" s="148"/>
      <c r="G389" s="148"/>
      <c r="H389" s="148"/>
      <c r="I389" s="207">
        <f>I365</f>
        <v>0</v>
      </c>
      <c r="J389" s="150">
        <f>I389</f>
        <v>0</v>
      </c>
      <c r="K389" s="74"/>
      <c r="L389" s="74"/>
      <c r="M389" s="74"/>
      <c r="N389" s="152"/>
    </row>
    <row r="390" spans="2:15">
      <c r="B390" s="79" t="s">
        <v>168</v>
      </c>
      <c r="C390" s="30"/>
      <c r="D390" s="62"/>
      <c r="E390" s="148"/>
      <c r="F390" s="148"/>
      <c r="G390" s="148"/>
      <c r="H390" s="148"/>
      <c r="I390" s="208"/>
      <c r="J390" s="151"/>
      <c r="K390" s="74"/>
      <c r="L390" s="74"/>
      <c r="M390" s="74"/>
      <c r="N390" s="152"/>
    </row>
    <row r="391" spans="2:15">
      <c r="B391" s="79" t="s">
        <v>169</v>
      </c>
      <c r="C391" s="30"/>
      <c r="D391" s="62"/>
      <c r="E391" s="148"/>
      <c r="F391" s="148"/>
      <c r="G391" s="148"/>
      <c r="H391" s="148"/>
      <c r="I391" s="148"/>
      <c r="J391" s="151">
        <f>J365</f>
        <v>0</v>
      </c>
      <c r="K391" s="150">
        <f>J391</f>
        <v>0</v>
      </c>
      <c r="L391" s="74"/>
      <c r="M391" s="74"/>
      <c r="N391" s="152"/>
    </row>
    <row r="392" spans="2:15">
      <c r="B392" s="79" t="s">
        <v>186</v>
      </c>
      <c r="C392" s="30"/>
      <c r="D392" s="62"/>
      <c r="E392" s="148"/>
      <c r="F392" s="148"/>
      <c r="G392" s="148"/>
      <c r="H392" s="148"/>
      <c r="I392" s="148"/>
      <c r="J392" s="228"/>
      <c r="K392" s="151"/>
      <c r="L392" s="74"/>
      <c r="M392" s="74"/>
      <c r="N392" s="152"/>
    </row>
    <row r="393" spans="2:15">
      <c r="B393" s="79" t="s">
        <v>187</v>
      </c>
      <c r="C393" s="30"/>
      <c r="D393" s="62"/>
      <c r="E393" s="148"/>
      <c r="F393" s="148"/>
      <c r="G393" s="148"/>
      <c r="H393" s="148"/>
      <c r="I393" s="148"/>
      <c r="J393" s="148"/>
      <c r="K393" s="151">
        <f>K365</f>
        <v>129</v>
      </c>
      <c r="L393" s="150">
        <f>K393</f>
        <v>129</v>
      </c>
      <c r="M393" s="74"/>
      <c r="N393" s="152"/>
    </row>
    <row r="394" spans="2:15">
      <c r="B394" s="79" t="s">
        <v>188</v>
      </c>
      <c r="C394" s="30"/>
      <c r="D394" s="62"/>
      <c r="E394" s="148"/>
      <c r="F394" s="148"/>
      <c r="G394" s="148"/>
      <c r="H394" s="148"/>
      <c r="I394" s="148"/>
      <c r="J394" s="148"/>
      <c r="K394" s="228"/>
      <c r="L394" s="151">
        <v>0</v>
      </c>
      <c r="M394" s="74"/>
      <c r="N394" s="152"/>
    </row>
    <row r="395" spans="2:15">
      <c r="B395" s="79" t="s">
        <v>189</v>
      </c>
      <c r="C395" s="30"/>
      <c r="D395" s="62"/>
      <c r="E395" s="148"/>
      <c r="F395" s="148"/>
      <c r="G395" s="148"/>
      <c r="H395" s="148"/>
      <c r="I395" s="148"/>
      <c r="J395" s="148"/>
      <c r="K395" s="148"/>
      <c r="L395" s="151">
        <v>0</v>
      </c>
      <c r="M395" s="70">
        <v>0</v>
      </c>
      <c r="N395" s="152"/>
    </row>
    <row r="396" spans="2:15">
      <c r="B396" s="79" t="s">
        <v>190</v>
      </c>
      <c r="C396" s="30"/>
      <c r="D396" s="62"/>
      <c r="E396" s="148"/>
      <c r="F396" s="148"/>
      <c r="G396" s="148"/>
      <c r="H396" s="148"/>
      <c r="I396" s="148"/>
      <c r="J396" s="148"/>
      <c r="K396" s="148"/>
      <c r="L396" s="150">
        <v>2923</v>
      </c>
      <c r="M396" s="278">
        <v>2923</v>
      </c>
      <c r="N396" s="178"/>
      <c r="O396" s="30"/>
    </row>
    <row r="397" spans="2:15">
      <c r="B397" s="79" t="s">
        <v>191</v>
      </c>
      <c r="C397" s="30"/>
      <c r="D397" s="62"/>
      <c r="E397" s="148"/>
      <c r="F397" s="148"/>
      <c r="G397" s="148"/>
      <c r="H397" s="148"/>
      <c r="I397" s="148"/>
      <c r="J397" s="148"/>
      <c r="K397" s="148"/>
      <c r="L397" s="148"/>
      <c r="M397" s="278">
        <v>0</v>
      </c>
      <c r="N397" s="150">
        <f>M397</f>
        <v>0</v>
      </c>
      <c r="O397" s="30"/>
    </row>
    <row r="398" spans="2:15">
      <c r="B398" s="79" t="s">
        <v>201</v>
      </c>
      <c r="C398" s="30"/>
      <c r="D398" s="62"/>
      <c r="E398" s="148"/>
      <c r="F398" s="148"/>
      <c r="G398" s="148"/>
      <c r="H398" s="148"/>
      <c r="I398" s="148"/>
      <c r="J398" s="148"/>
      <c r="K398" s="148"/>
      <c r="L398" s="148"/>
      <c r="M398" s="150">
        <v>0</v>
      </c>
      <c r="N398" s="151"/>
      <c r="O398" s="30"/>
    </row>
    <row r="399" spans="2:15">
      <c r="B399" s="79" t="s">
        <v>202</v>
      </c>
      <c r="C399" s="30"/>
      <c r="D399" s="63"/>
      <c r="E399" s="133"/>
      <c r="F399" s="133"/>
      <c r="G399" s="133"/>
      <c r="H399" s="133"/>
      <c r="I399" s="133"/>
      <c r="J399" s="133"/>
      <c r="K399" s="133"/>
      <c r="L399" s="133"/>
      <c r="M399" s="133"/>
      <c r="N399" s="153">
        <v>0</v>
      </c>
      <c r="O399" s="30"/>
    </row>
    <row r="400" spans="2:15">
      <c r="B400" s="33" t="s">
        <v>17</v>
      </c>
      <c r="D400" s="218"/>
      <c r="E400" s="218"/>
      <c r="F400" s="218"/>
      <c r="G400" s="218"/>
      <c r="H400" s="218"/>
      <c r="I400" s="218"/>
      <c r="J400" s="218">
        <f>J389-J390-J391</f>
        <v>0</v>
      </c>
      <c r="K400" s="218">
        <f>K391-K392-K393</f>
        <v>-129</v>
      </c>
      <c r="L400" s="218">
        <f>L393-L394-L395+L396</f>
        <v>3052</v>
      </c>
      <c r="M400" s="218">
        <f>M395-M396</f>
        <v>-2923</v>
      </c>
      <c r="N400" s="218">
        <f>N395</f>
        <v>0</v>
      </c>
    </row>
    <row r="401" spans="1:15">
      <c r="B401" s="6"/>
      <c r="D401" s="218"/>
      <c r="E401" s="218"/>
      <c r="F401" s="218"/>
      <c r="G401" s="218"/>
      <c r="H401" s="218"/>
      <c r="I401" s="218"/>
      <c r="J401" s="218"/>
      <c r="K401" s="218"/>
      <c r="L401" s="218"/>
      <c r="M401" s="218"/>
      <c r="N401" s="218"/>
    </row>
    <row r="402" spans="1:15">
      <c r="B402" s="76" t="s">
        <v>12</v>
      </c>
      <c r="C402" s="71"/>
      <c r="D402" s="219"/>
      <c r="E402" s="220"/>
      <c r="F402" s="220"/>
      <c r="G402" s="220"/>
      <c r="H402" s="220"/>
      <c r="I402" s="220"/>
      <c r="J402" s="220"/>
      <c r="K402" s="220"/>
      <c r="L402" s="220"/>
      <c r="M402" s="220"/>
      <c r="N402" s="220"/>
    </row>
    <row r="403" spans="1:15">
      <c r="B403" s="6"/>
      <c r="D403" s="239"/>
      <c r="E403" s="238"/>
      <c r="F403" s="238"/>
      <c r="G403" s="238"/>
      <c r="H403" s="238"/>
      <c r="I403" s="238"/>
      <c r="J403" s="238"/>
      <c r="K403" s="238"/>
      <c r="L403" s="238"/>
      <c r="M403" s="238"/>
      <c r="N403" s="238"/>
    </row>
    <row r="404" spans="1:15" ht="18.5">
      <c r="A404" s="41" t="s">
        <v>26</v>
      </c>
      <c r="C404" s="30"/>
      <c r="D404" s="221">
        <f t="shared" ref="D404:N404" si="160" xml:space="preserve"> D365 + D370 - D376 + D400 + D402</f>
        <v>0</v>
      </c>
      <c r="E404" s="222">
        <f t="shared" si="160"/>
        <v>0</v>
      </c>
      <c r="F404" s="222">
        <f t="shared" si="160"/>
        <v>0</v>
      </c>
      <c r="G404" s="222">
        <f t="shared" si="160"/>
        <v>0</v>
      </c>
      <c r="H404" s="222">
        <f t="shared" si="160"/>
        <v>0</v>
      </c>
      <c r="I404" s="222">
        <f t="shared" si="160"/>
        <v>0</v>
      </c>
      <c r="J404" s="222">
        <f t="shared" si="160"/>
        <v>0</v>
      </c>
      <c r="K404" s="222">
        <f t="shared" si="160"/>
        <v>0</v>
      </c>
      <c r="L404" s="222">
        <f t="shared" si="160"/>
        <v>7063.7063072262026</v>
      </c>
      <c r="M404" s="222">
        <f t="shared" si="160"/>
        <v>1670.6933189007532</v>
      </c>
      <c r="N404" s="222">
        <f t="shared" si="160"/>
        <v>4555.1180279575537</v>
      </c>
    </row>
    <row r="405" spans="1:15" ht="15" thickBot="1"/>
    <row r="406" spans="1:15">
      <c r="A406" s="8"/>
      <c r="B406" s="8"/>
      <c r="C406" s="8"/>
      <c r="D406" s="8"/>
      <c r="E406" s="8"/>
      <c r="F406" s="8"/>
      <c r="G406" s="8"/>
      <c r="H406" s="8"/>
      <c r="I406" s="8"/>
      <c r="J406" s="8"/>
      <c r="K406" s="8"/>
      <c r="L406" s="8"/>
      <c r="M406" s="8"/>
      <c r="N406" s="8"/>
      <c r="O406" s="30"/>
    </row>
    <row r="407" spans="1:15" ht="15" thickBot="1">
      <c r="B407" s="30"/>
      <c r="C407" s="30"/>
      <c r="D407" s="30"/>
      <c r="E407" s="30"/>
      <c r="F407" s="30"/>
      <c r="G407" s="30"/>
      <c r="H407" s="30"/>
      <c r="I407" s="30"/>
      <c r="J407" s="30"/>
      <c r="K407" s="30"/>
      <c r="L407" s="30"/>
      <c r="M407" s="30"/>
      <c r="N407" s="30"/>
      <c r="O407" s="30"/>
    </row>
    <row r="408" spans="1:15" ht="21.5" thickBot="1">
      <c r="A408" s="13" t="s">
        <v>4</v>
      </c>
      <c r="B408" s="13"/>
      <c r="C408" s="313" t="s">
        <v>159</v>
      </c>
      <c r="D408" s="317"/>
      <c r="E408" s="23"/>
      <c r="F408" s="23"/>
      <c r="G408" s="30"/>
      <c r="H408" s="30"/>
      <c r="O408" s="30"/>
    </row>
    <row r="409" spans="1:15">
      <c r="O409" s="30"/>
    </row>
    <row r="410" spans="1:15" ht="18.5">
      <c r="A410" s="9" t="s">
        <v>21</v>
      </c>
      <c r="B410" s="9"/>
      <c r="D410" s="2">
        <f>'Facility Detail'!$B$3082</f>
        <v>2011</v>
      </c>
      <c r="E410" s="2">
        <f>D410+1</f>
        <v>2012</v>
      </c>
      <c r="F410" s="2">
        <f>E410+1</f>
        <v>2013</v>
      </c>
      <c r="G410" s="2">
        <f t="shared" ref="G410:K410" si="161">F410+1</f>
        <v>2014</v>
      </c>
      <c r="H410" s="2">
        <f t="shared" si="161"/>
        <v>2015</v>
      </c>
      <c r="I410" s="2">
        <f t="shared" si="161"/>
        <v>2016</v>
      </c>
      <c r="J410" s="2">
        <f t="shared" si="161"/>
        <v>2017</v>
      </c>
      <c r="K410" s="2">
        <f t="shared" si="161"/>
        <v>2018</v>
      </c>
      <c r="L410" s="2">
        <f t="shared" ref="L410" si="162">K410+1</f>
        <v>2019</v>
      </c>
      <c r="M410" s="2">
        <f t="shared" ref="M410" si="163">L410+1</f>
        <v>2020</v>
      </c>
      <c r="N410" s="2">
        <f t="shared" ref="N410" si="164">M410+1</f>
        <v>2021</v>
      </c>
      <c r="O410" s="30"/>
    </row>
    <row r="411" spans="1:15">
      <c r="B411" s="79" t="str">
        <f>"Total MWh Produced / Purchased from " &amp; C408</f>
        <v>Total MWh Produced / Purchased from Campbell Hill/Three Buttes</v>
      </c>
      <c r="C411" s="71"/>
      <c r="D411" s="3"/>
      <c r="E411" s="4"/>
      <c r="F411" s="4"/>
      <c r="G411" s="4"/>
      <c r="H411" s="4">
        <v>294027</v>
      </c>
      <c r="I411" s="4">
        <v>333872</v>
      </c>
      <c r="J411" s="4">
        <v>311597</v>
      </c>
      <c r="K411" s="230">
        <v>309187.63400000002</v>
      </c>
      <c r="L411" s="230">
        <v>146872</v>
      </c>
      <c r="M411" s="280">
        <v>342882</v>
      </c>
      <c r="N411" s="280">
        <v>311950</v>
      </c>
      <c r="O411" s="30"/>
    </row>
    <row r="412" spans="1:15">
      <c r="B412" s="79" t="s">
        <v>25</v>
      </c>
      <c r="C412" s="71"/>
      <c r="D412" s="54"/>
      <c r="E412" s="55"/>
      <c r="F412" s="187"/>
      <c r="G412" s="187"/>
      <c r="H412" s="187">
        <v>1</v>
      </c>
      <c r="I412" s="187">
        <v>1</v>
      </c>
      <c r="J412" s="187">
        <v>1</v>
      </c>
      <c r="K412" s="187">
        <v>1</v>
      </c>
      <c r="L412" s="187">
        <v>1</v>
      </c>
      <c r="M412" s="235">
        <v>1</v>
      </c>
      <c r="N412" s="235">
        <v>1</v>
      </c>
      <c r="O412" s="30"/>
    </row>
    <row r="413" spans="1:15">
      <c r="B413" s="79" t="s">
        <v>20</v>
      </c>
      <c r="C413" s="71"/>
      <c r="D413" s="48"/>
      <c r="E413" s="49"/>
      <c r="F413" s="179"/>
      <c r="G413" s="179"/>
      <c r="H413" s="49">
        <v>8.0535999999999996E-2</v>
      </c>
      <c r="I413" s="49">
        <v>8.1698151927344531E-2</v>
      </c>
      <c r="J413" s="49">
        <v>8.0833713568703974E-2</v>
      </c>
      <c r="K413" s="49">
        <v>7.9451999999999995E-2</v>
      </c>
      <c r="L413" s="49">
        <v>7.6724662968274293E-2</v>
      </c>
      <c r="M413" s="243">
        <v>8.1268700519883177E-2</v>
      </c>
      <c r="N413" s="243">
        <f>N315</f>
        <v>8.0780946790754593E-2</v>
      </c>
      <c r="O413" s="30"/>
    </row>
    <row r="414" spans="1:15">
      <c r="B414" s="76" t="s">
        <v>22</v>
      </c>
      <c r="C414" s="77"/>
      <c r="D414" s="37">
        <f xml:space="preserve"> ROUND(D411 * D412 * D413,0)</f>
        <v>0</v>
      </c>
      <c r="E414" s="37">
        <f t="shared" ref="E414:G414" si="165" xml:space="preserve"> ROUND(E411 * E412 * E413,0)</f>
        <v>0</v>
      </c>
      <c r="F414" s="37">
        <f t="shared" si="165"/>
        <v>0</v>
      </c>
      <c r="G414" s="37">
        <f t="shared" si="165"/>
        <v>0</v>
      </c>
      <c r="H414" s="37">
        <v>23680</v>
      </c>
      <c r="I414" s="37">
        <v>27276</v>
      </c>
      <c r="J414" s="229">
        <v>25187</v>
      </c>
      <c r="K414" s="229">
        <v>24567</v>
      </c>
      <c r="L414" s="229">
        <f>L411*L413</f>
        <v>11268.704699476382</v>
      </c>
      <c r="M414" s="229">
        <f>M411*M413</f>
        <v>27865.574571658584</v>
      </c>
      <c r="N414" s="229">
        <f>N411*N413</f>
        <v>25199.616351375895</v>
      </c>
      <c r="O414" s="30"/>
    </row>
    <row r="415" spans="1:15">
      <c r="B415" s="23"/>
      <c r="C415" s="30"/>
      <c r="D415" s="36"/>
      <c r="E415" s="36"/>
      <c r="F415" s="36"/>
      <c r="G415" s="36"/>
      <c r="H415" s="36"/>
      <c r="I415" s="36"/>
      <c r="J415" s="36"/>
      <c r="K415" s="36"/>
      <c r="L415" s="36"/>
      <c r="M415" s="36"/>
      <c r="N415" s="36"/>
      <c r="O415" s="30"/>
    </row>
    <row r="416" spans="1:15" ht="18.5">
      <c r="A416" s="42" t="s">
        <v>119</v>
      </c>
      <c r="C416" s="30"/>
      <c r="D416" s="2">
        <f>'Facility Detail'!$B$3082</f>
        <v>2011</v>
      </c>
      <c r="E416" s="2">
        <f>D416+1</f>
        <v>2012</v>
      </c>
      <c r="F416" s="2">
        <f>E416+1</f>
        <v>2013</v>
      </c>
      <c r="G416" s="2">
        <f t="shared" ref="G416:K416" si="166">F416+1</f>
        <v>2014</v>
      </c>
      <c r="H416" s="2">
        <f t="shared" si="166"/>
        <v>2015</v>
      </c>
      <c r="I416" s="2">
        <f t="shared" si="166"/>
        <v>2016</v>
      </c>
      <c r="J416" s="2">
        <f t="shared" si="166"/>
        <v>2017</v>
      </c>
      <c r="K416" s="2">
        <f t="shared" si="166"/>
        <v>2018</v>
      </c>
      <c r="L416" s="2">
        <f t="shared" ref="L416" si="167">K416+1</f>
        <v>2019</v>
      </c>
      <c r="M416" s="2">
        <f t="shared" ref="M416" si="168">L416+1</f>
        <v>2020</v>
      </c>
      <c r="N416" s="2">
        <f t="shared" ref="N416" si="169">M416+1</f>
        <v>2021</v>
      </c>
      <c r="O416" s="30"/>
    </row>
    <row r="417" spans="1:15">
      <c r="B417" s="79" t="s">
        <v>10</v>
      </c>
      <c r="C417" s="71"/>
      <c r="D417" s="51">
        <f>IF($E9 = "Eligible", D414 * 'Facility Detail'!$B$3079, 0 )</f>
        <v>0</v>
      </c>
      <c r="E417" s="51">
        <f>IF($E9 = "Eligible", E414 * 'Facility Detail'!$B$3079, 0 )</f>
        <v>0</v>
      </c>
      <c r="F417" s="51">
        <f>IF($E9 = "Eligible", F414 * 'Facility Detail'!$B$3079, 0 )</f>
        <v>0</v>
      </c>
      <c r="G417" s="51">
        <f>IF($E9 = "Eligible", G414 * 'Facility Detail'!$B$3079, 0 )</f>
        <v>0</v>
      </c>
      <c r="H417" s="51">
        <f>IF($E9 = "Eligible", H414 * 'Facility Detail'!$B$3079, 0 )</f>
        <v>0</v>
      </c>
      <c r="I417" s="51">
        <f>IF($E9 = "Eligible", I414 * 'Facility Detail'!$B$3079, 0 )</f>
        <v>0</v>
      </c>
      <c r="J417" s="51">
        <f>IF($E9 = "Eligible", J414 * 'Facility Detail'!$B$3079, 0 )</f>
        <v>0</v>
      </c>
      <c r="K417" s="51">
        <f>IF($E9 = "Eligible", K414 * 'Facility Detail'!$B$3079, 0 )</f>
        <v>0</v>
      </c>
      <c r="L417" s="51">
        <f>IF($E9 = "Eligible", L414 * 'Facility Detail'!$B$3079, 0 )</f>
        <v>0</v>
      </c>
      <c r="M417" s="51">
        <f>IF($E9 = "Eligible", M414 * 'Facility Detail'!$B$3079, 0 )</f>
        <v>0</v>
      </c>
      <c r="N417" s="51">
        <f>IF($E9 = "Eligible", N414 * 'Facility Detail'!$B$3079, 0 )</f>
        <v>0</v>
      </c>
      <c r="O417" s="30"/>
    </row>
    <row r="418" spans="1:15">
      <c r="B418" s="79" t="s">
        <v>6</v>
      </c>
      <c r="C418" s="71"/>
      <c r="D418" s="52">
        <f t="shared" ref="D418:N418" si="170">IF($F9= "Eligible", D414, 0 )</f>
        <v>0</v>
      </c>
      <c r="E418" s="52">
        <f t="shared" si="170"/>
        <v>0</v>
      </c>
      <c r="F418" s="52">
        <f t="shared" si="170"/>
        <v>0</v>
      </c>
      <c r="G418" s="52">
        <f t="shared" si="170"/>
        <v>0</v>
      </c>
      <c r="H418" s="52">
        <f t="shared" si="170"/>
        <v>0</v>
      </c>
      <c r="I418" s="52">
        <f t="shared" si="170"/>
        <v>0</v>
      </c>
      <c r="J418" s="52">
        <f t="shared" si="170"/>
        <v>0</v>
      </c>
      <c r="K418" s="52">
        <f t="shared" si="170"/>
        <v>0</v>
      </c>
      <c r="L418" s="52">
        <f t="shared" si="170"/>
        <v>0</v>
      </c>
      <c r="M418" s="52">
        <f t="shared" si="170"/>
        <v>0</v>
      </c>
      <c r="N418" s="52">
        <f t="shared" si="170"/>
        <v>0</v>
      </c>
      <c r="O418" s="30"/>
    </row>
    <row r="419" spans="1:15">
      <c r="B419" s="78" t="s">
        <v>121</v>
      </c>
      <c r="C419" s="77"/>
      <c r="D419" s="39">
        <f>SUM(D417:D418)</f>
        <v>0</v>
      </c>
      <c r="E419" s="39">
        <f t="shared" ref="E419:N419" si="171">SUM(E417:E418)</f>
        <v>0</v>
      </c>
      <c r="F419" s="39">
        <f t="shared" si="171"/>
        <v>0</v>
      </c>
      <c r="G419" s="39">
        <f t="shared" si="171"/>
        <v>0</v>
      </c>
      <c r="H419" s="39">
        <f t="shared" si="171"/>
        <v>0</v>
      </c>
      <c r="I419" s="39">
        <f t="shared" si="171"/>
        <v>0</v>
      </c>
      <c r="J419" s="39">
        <f t="shared" si="171"/>
        <v>0</v>
      </c>
      <c r="K419" s="39">
        <f t="shared" si="171"/>
        <v>0</v>
      </c>
      <c r="L419" s="39">
        <f t="shared" si="171"/>
        <v>0</v>
      </c>
      <c r="M419" s="39">
        <f t="shared" si="171"/>
        <v>0</v>
      </c>
      <c r="N419" s="39">
        <f t="shared" si="171"/>
        <v>0</v>
      </c>
      <c r="O419" s="30"/>
    </row>
    <row r="420" spans="1:15">
      <c r="B420" s="30"/>
      <c r="C420" s="30"/>
      <c r="D420" s="38"/>
      <c r="E420" s="31"/>
      <c r="F420" s="31"/>
      <c r="G420" s="31"/>
      <c r="H420" s="31"/>
      <c r="I420" s="31"/>
      <c r="J420" s="31"/>
      <c r="K420" s="31"/>
      <c r="L420" s="31"/>
      <c r="M420" s="31"/>
      <c r="N420" s="31"/>
      <c r="O420" s="30"/>
    </row>
    <row r="421" spans="1:15" ht="18.5">
      <c r="A421" s="41" t="s">
        <v>30</v>
      </c>
      <c r="C421" s="30"/>
      <c r="D421" s="2">
        <f>'Facility Detail'!$B$3082</f>
        <v>2011</v>
      </c>
      <c r="E421" s="2">
        <f>D421+1</f>
        <v>2012</v>
      </c>
      <c r="F421" s="2">
        <f>E421+1</f>
        <v>2013</v>
      </c>
      <c r="G421" s="2">
        <f t="shared" ref="G421:K421" si="172">F421+1</f>
        <v>2014</v>
      </c>
      <c r="H421" s="2">
        <f t="shared" si="172"/>
        <v>2015</v>
      </c>
      <c r="I421" s="2">
        <f t="shared" si="172"/>
        <v>2016</v>
      </c>
      <c r="J421" s="2">
        <f t="shared" si="172"/>
        <v>2017</v>
      </c>
      <c r="K421" s="2">
        <f t="shared" si="172"/>
        <v>2018</v>
      </c>
      <c r="L421" s="2">
        <f t="shared" ref="L421" si="173">K421+1</f>
        <v>2019</v>
      </c>
      <c r="M421" s="2">
        <f t="shared" ref="M421" si="174">L421+1</f>
        <v>2020</v>
      </c>
      <c r="N421" s="2">
        <f t="shared" ref="N421" si="175">M421+1</f>
        <v>2021</v>
      </c>
      <c r="O421" s="30"/>
    </row>
    <row r="422" spans="1:15">
      <c r="B422" s="79" t="s">
        <v>47</v>
      </c>
      <c r="C422" s="71"/>
      <c r="D422" s="89"/>
      <c r="E422" s="90"/>
      <c r="F422" s="90"/>
      <c r="G422" s="155"/>
      <c r="H422" s="155"/>
      <c r="I422" s="90"/>
      <c r="J422" s="90"/>
      <c r="K422" s="90"/>
      <c r="L422" s="90"/>
      <c r="M422" s="90"/>
      <c r="N422" s="90"/>
      <c r="O422" s="30"/>
    </row>
    <row r="423" spans="1:15">
      <c r="B423" s="80" t="s">
        <v>23</v>
      </c>
      <c r="C423" s="175"/>
      <c r="D423" s="92"/>
      <c r="E423" s="93"/>
      <c r="F423" s="93"/>
      <c r="G423" s="156"/>
      <c r="H423" s="156"/>
      <c r="I423" s="93"/>
      <c r="J423" s="93"/>
      <c r="K423" s="93"/>
      <c r="L423" s="93"/>
      <c r="M423" s="93"/>
      <c r="N423" s="93"/>
      <c r="O423" s="30"/>
    </row>
    <row r="424" spans="1:15">
      <c r="B424" s="95" t="s">
        <v>89</v>
      </c>
      <c r="C424" s="173"/>
      <c r="D424" s="57"/>
      <c r="E424" s="58"/>
      <c r="F424" s="58"/>
      <c r="G424" s="157"/>
      <c r="H424" s="157"/>
      <c r="I424" s="58"/>
      <c r="J424" s="58"/>
      <c r="K424" s="58"/>
      <c r="L424" s="58"/>
      <c r="M424" s="58"/>
      <c r="N424" s="58"/>
      <c r="O424" s="30"/>
    </row>
    <row r="425" spans="1:15">
      <c r="B425" s="33" t="s">
        <v>90</v>
      </c>
      <c r="D425" s="7">
        <f>SUM(D422:D424)</f>
        <v>0</v>
      </c>
      <c r="E425" s="7">
        <f>SUM(E422:E424)</f>
        <v>0</v>
      </c>
      <c r="F425" s="7">
        <f>SUM(F422:F424)</f>
        <v>0</v>
      </c>
      <c r="G425" s="7">
        <f t="shared" ref="G425:J425" si="176">SUM(G422:G424)</f>
        <v>0</v>
      </c>
      <c r="H425" s="7">
        <f t="shared" si="176"/>
        <v>0</v>
      </c>
      <c r="I425" s="7">
        <f t="shared" si="176"/>
        <v>0</v>
      </c>
      <c r="J425" s="7">
        <f t="shared" si="176"/>
        <v>0</v>
      </c>
      <c r="K425" s="7">
        <f t="shared" ref="K425:N425" si="177">SUM(K422:K424)</f>
        <v>0</v>
      </c>
      <c r="L425" s="7">
        <f t="shared" si="177"/>
        <v>0</v>
      </c>
      <c r="M425" s="7">
        <f t="shared" ref="M425" si="178">SUM(M422:M424)</f>
        <v>0</v>
      </c>
      <c r="N425" s="7">
        <f t="shared" si="177"/>
        <v>0</v>
      </c>
      <c r="O425" s="30"/>
    </row>
    <row r="426" spans="1:15">
      <c r="B426" s="6"/>
      <c r="D426" s="7"/>
      <c r="E426" s="7"/>
      <c r="F426" s="7"/>
      <c r="G426" s="7"/>
      <c r="H426" s="7"/>
      <c r="I426" s="7"/>
      <c r="J426" s="7"/>
      <c r="K426" s="7"/>
      <c r="L426" s="7"/>
      <c r="M426" s="7"/>
      <c r="N426" s="7"/>
      <c r="O426" s="30"/>
    </row>
    <row r="427" spans="1:15" ht="18.5">
      <c r="A427" s="9" t="s">
        <v>100</v>
      </c>
      <c r="D427" s="2">
        <f>'Facility Detail'!$B$3082</f>
        <v>2011</v>
      </c>
      <c r="E427" s="2">
        <f>D427+1</f>
        <v>2012</v>
      </c>
      <c r="F427" s="2">
        <f>E427+1</f>
        <v>2013</v>
      </c>
      <c r="G427" s="2">
        <f t="shared" ref="G427:K427" si="179">F427+1</f>
        <v>2014</v>
      </c>
      <c r="H427" s="2">
        <f t="shared" si="179"/>
        <v>2015</v>
      </c>
      <c r="I427" s="2">
        <f t="shared" si="179"/>
        <v>2016</v>
      </c>
      <c r="J427" s="2">
        <f t="shared" si="179"/>
        <v>2017</v>
      </c>
      <c r="K427" s="2">
        <f t="shared" si="179"/>
        <v>2018</v>
      </c>
      <c r="L427" s="2">
        <f t="shared" ref="L427" si="180">K427+1</f>
        <v>2019</v>
      </c>
      <c r="M427" s="2">
        <f t="shared" ref="M427" si="181">L427+1</f>
        <v>2020</v>
      </c>
      <c r="N427" s="2">
        <f t="shared" ref="N427" si="182">M427+1</f>
        <v>2021</v>
      </c>
      <c r="O427" s="30"/>
    </row>
    <row r="428" spans="1:15" ht="14.25" customHeight="1">
      <c r="A428" s="9"/>
      <c r="B428" s="79" t="s">
        <v>68</v>
      </c>
      <c r="C428" s="30"/>
      <c r="D428" s="3"/>
      <c r="E428" s="60">
        <f>D428</f>
        <v>0</v>
      </c>
      <c r="F428" s="131"/>
      <c r="G428" s="131"/>
      <c r="H428" s="131"/>
      <c r="I428" s="131"/>
      <c r="J428" s="131"/>
      <c r="K428" s="131"/>
      <c r="L428" s="131"/>
      <c r="M428" s="131"/>
      <c r="N428" s="61"/>
      <c r="O428" s="30"/>
    </row>
    <row r="429" spans="1:15" ht="14.25" customHeight="1">
      <c r="A429" s="9"/>
      <c r="B429" s="79" t="s">
        <v>69</v>
      </c>
      <c r="C429" s="30"/>
      <c r="D429" s="164">
        <f>E429</f>
        <v>0</v>
      </c>
      <c r="E429" s="10"/>
      <c r="F429" s="74"/>
      <c r="G429" s="74"/>
      <c r="H429" s="74"/>
      <c r="I429" s="74"/>
      <c r="J429" s="74"/>
      <c r="K429" s="74"/>
      <c r="L429" s="74"/>
      <c r="M429" s="74"/>
      <c r="N429" s="165"/>
      <c r="O429" s="30"/>
    </row>
    <row r="430" spans="1:15" ht="14.25" customHeight="1">
      <c r="A430" s="9"/>
      <c r="B430" s="79" t="s">
        <v>70</v>
      </c>
      <c r="C430" s="30"/>
      <c r="D430" s="62"/>
      <c r="E430" s="10">
        <f>E414</f>
        <v>0</v>
      </c>
      <c r="F430" s="70">
        <f>E430</f>
        <v>0</v>
      </c>
      <c r="G430" s="74"/>
      <c r="H430" s="74"/>
      <c r="I430" s="74"/>
      <c r="J430" s="74"/>
      <c r="K430" s="74"/>
      <c r="L430" s="74"/>
      <c r="M430" s="74"/>
      <c r="N430" s="165"/>
      <c r="O430" s="30"/>
    </row>
    <row r="431" spans="1:15" ht="14.25" customHeight="1">
      <c r="A431" s="9"/>
      <c r="B431" s="79" t="s">
        <v>71</v>
      </c>
      <c r="C431" s="30"/>
      <c r="D431" s="62"/>
      <c r="E431" s="70">
        <f>F431</f>
        <v>0</v>
      </c>
      <c r="F431" s="163"/>
      <c r="G431" s="74"/>
      <c r="H431" s="74"/>
      <c r="I431" s="74"/>
      <c r="J431" s="74"/>
      <c r="K431" s="74"/>
      <c r="L431" s="74"/>
      <c r="M431" s="74"/>
      <c r="N431" s="165"/>
      <c r="O431" s="30"/>
    </row>
    <row r="432" spans="1:15" ht="14.25" customHeight="1">
      <c r="A432" s="9"/>
      <c r="B432" s="79" t="s">
        <v>171</v>
      </c>
      <c r="C432" s="30"/>
      <c r="D432" s="62"/>
      <c r="E432" s="148"/>
      <c r="F432" s="10">
        <f>F414</f>
        <v>0</v>
      </c>
      <c r="G432" s="149">
        <f>F432</f>
        <v>0</v>
      </c>
      <c r="H432" s="74"/>
      <c r="I432" s="74"/>
      <c r="J432" s="74"/>
      <c r="K432" s="74"/>
      <c r="L432" s="74"/>
      <c r="M432" s="74"/>
      <c r="N432" s="165"/>
      <c r="O432" s="30"/>
    </row>
    <row r="433" spans="2:15" ht="14.25" customHeight="1">
      <c r="B433" s="79" t="s">
        <v>172</v>
      </c>
      <c r="C433" s="30"/>
      <c r="D433" s="62"/>
      <c r="E433" s="148"/>
      <c r="F433" s="70">
        <f>G433</f>
        <v>0</v>
      </c>
      <c r="G433" s="10"/>
      <c r="H433" s="74"/>
      <c r="I433" s="74"/>
      <c r="J433" s="74" t="s">
        <v>170</v>
      </c>
      <c r="K433" s="74"/>
      <c r="L433" s="74"/>
      <c r="M433" s="74"/>
      <c r="N433" s="165"/>
      <c r="O433" s="30"/>
    </row>
    <row r="434" spans="2:15" ht="14.25" customHeight="1">
      <c r="B434" s="79" t="s">
        <v>173</v>
      </c>
      <c r="C434" s="30"/>
      <c r="D434" s="62"/>
      <c r="E434" s="148"/>
      <c r="F434" s="148"/>
      <c r="G434" s="10"/>
      <c r="H434" s="149">
        <f>G434</f>
        <v>0</v>
      </c>
      <c r="I434" s="148">
        <f>H434</f>
        <v>0</v>
      </c>
      <c r="J434" s="74"/>
      <c r="K434" s="74"/>
      <c r="L434" s="74"/>
      <c r="M434" s="74"/>
      <c r="N434" s="152"/>
      <c r="O434" s="30"/>
    </row>
    <row r="435" spans="2:15" ht="14.25" customHeight="1">
      <c r="B435" s="79" t="s">
        <v>174</v>
      </c>
      <c r="C435" s="30"/>
      <c r="D435" s="62"/>
      <c r="E435" s="148"/>
      <c r="F435" s="148"/>
      <c r="G435" s="70"/>
      <c r="H435" s="10"/>
      <c r="I435" s="148"/>
      <c r="J435" s="74"/>
      <c r="K435" s="74"/>
      <c r="L435" s="74"/>
      <c r="M435" s="74"/>
      <c r="N435" s="152"/>
      <c r="O435" s="30"/>
    </row>
    <row r="436" spans="2:15" ht="14.25" customHeight="1">
      <c r="B436" s="79" t="s">
        <v>175</v>
      </c>
      <c r="C436" s="30"/>
      <c r="D436" s="62"/>
      <c r="E436" s="148"/>
      <c r="F436" s="148"/>
      <c r="G436" s="148"/>
      <c r="H436" s="10">
        <f>H414</f>
        <v>23680</v>
      </c>
      <c r="I436" s="149">
        <f>H436</f>
        <v>23680</v>
      </c>
      <c r="J436" s="74"/>
      <c r="K436" s="74"/>
      <c r="L436" s="74"/>
      <c r="M436" s="74"/>
      <c r="N436" s="152"/>
      <c r="O436" s="30"/>
    </row>
    <row r="437" spans="2:15" ht="14.25" customHeight="1">
      <c r="B437" s="79" t="s">
        <v>176</v>
      </c>
      <c r="C437" s="30"/>
      <c r="D437" s="62"/>
      <c r="E437" s="148"/>
      <c r="F437" s="148"/>
      <c r="G437" s="148"/>
      <c r="H437" s="70"/>
      <c r="I437" s="10"/>
      <c r="J437" s="74"/>
      <c r="K437" s="74"/>
      <c r="L437" s="74"/>
      <c r="M437" s="74"/>
      <c r="N437" s="152"/>
      <c r="O437" s="30"/>
    </row>
    <row r="438" spans="2:15" ht="14.25" customHeight="1">
      <c r="B438" s="79" t="s">
        <v>177</v>
      </c>
      <c r="C438" s="30"/>
      <c r="D438" s="62"/>
      <c r="E438" s="148"/>
      <c r="F438" s="148"/>
      <c r="G438" s="148"/>
      <c r="H438" s="148"/>
      <c r="I438" s="257">
        <v>0</v>
      </c>
      <c r="J438" s="258">
        <f>I438</f>
        <v>0</v>
      </c>
      <c r="K438" s="74"/>
      <c r="L438" s="74"/>
      <c r="M438" s="74"/>
      <c r="N438" s="152"/>
      <c r="O438" s="30"/>
    </row>
    <row r="439" spans="2:15" ht="14.25" customHeight="1">
      <c r="B439" s="79" t="s">
        <v>168</v>
      </c>
      <c r="C439" s="30"/>
      <c r="D439" s="62"/>
      <c r="E439" s="148"/>
      <c r="F439" s="148"/>
      <c r="G439" s="148"/>
      <c r="H439" s="148"/>
      <c r="I439" s="208"/>
      <c r="J439" s="151"/>
      <c r="K439" s="74"/>
      <c r="L439" s="74"/>
      <c r="M439" s="74"/>
      <c r="N439" s="152"/>
      <c r="O439" s="30"/>
    </row>
    <row r="440" spans="2:15" ht="14.25" customHeight="1">
      <c r="B440" s="79" t="s">
        <v>169</v>
      </c>
      <c r="C440" s="30"/>
      <c r="D440" s="62"/>
      <c r="E440" s="148"/>
      <c r="F440" s="148"/>
      <c r="G440" s="148"/>
      <c r="H440" s="148"/>
      <c r="I440" s="148"/>
      <c r="J440" s="151">
        <f>J414</f>
        <v>25187</v>
      </c>
      <c r="K440" s="258">
        <f>J440</f>
        <v>25187</v>
      </c>
      <c r="L440" s="74"/>
      <c r="M440" s="74"/>
      <c r="N440" s="152"/>
      <c r="O440" s="30"/>
    </row>
    <row r="441" spans="2:15" ht="14.25" customHeight="1">
      <c r="B441" s="79" t="s">
        <v>186</v>
      </c>
      <c r="C441" s="30"/>
      <c r="D441" s="62"/>
      <c r="E441" s="148"/>
      <c r="F441" s="148"/>
      <c r="G441" s="148"/>
      <c r="H441" s="148"/>
      <c r="I441" s="148"/>
      <c r="J441" s="228"/>
      <c r="K441" s="151"/>
      <c r="L441" s="74"/>
      <c r="M441" s="74"/>
      <c r="N441" s="152"/>
      <c r="O441" s="30"/>
    </row>
    <row r="442" spans="2:15" ht="14.25" customHeight="1">
      <c r="B442" s="79" t="s">
        <v>187</v>
      </c>
      <c r="C442" s="30"/>
      <c r="D442" s="62"/>
      <c r="E442" s="148"/>
      <c r="F442" s="148"/>
      <c r="G442" s="148"/>
      <c r="H442" s="148"/>
      <c r="I442" s="148"/>
      <c r="J442" s="148"/>
      <c r="K442" s="151">
        <v>0</v>
      </c>
      <c r="L442" s="258">
        <f>K442</f>
        <v>0</v>
      </c>
      <c r="M442" s="74"/>
      <c r="N442" s="74"/>
      <c r="O442" s="30"/>
    </row>
    <row r="443" spans="2:15" ht="14.25" customHeight="1">
      <c r="B443" s="79" t="s">
        <v>188</v>
      </c>
      <c r="C443" s="30"/>
      <c r="D443" s="62"/>
      <c r="E443" s="148"/>
      <c r="F443" s="148"/>
      <c r="G443" s="148"/>
      <c r="H443" s="148"/>
      <c r="I443" s="148"/>
      <c r="J443" s="148"/>
      <c r="K443" s="228"/>
      <c r="L443" s="151"/>
      <c r="M443" s="74"/>
      <c r="N443" s="74"/>
      <c r="O443" s="30"/>
    </row>
    <row r="444" spans="2:15" ht="14.25" customHeight="1">
      <c r="B444" s="79" t="s">
        <v>189</v>
      </c>
      <c r="C444" s="30"/>
      <c r="D444" s="62"/>
      <c r="E444" s="148"/>
      <c r="F444" s="148"/>
      <c r="G444" s="148"/>
      <c r="H444" s="148"/>
      <c r="I444" s="148"/>
      <c r="J444" s="148"/>
      <c r="K444" s="148"/>
      <c r="L444" s="151"/>
      <c r="M444" s="258">
        <f>K444</f>
        <v>0</v>
      </c>
      <c r="N444" s="152"/>
      <c r="O444" s="30"/>
    </row>
    <row r="445" spans="2:15">
      <c r="B445" s="79" t="s">
        <v>190</v>
      </c>
      <c r="C445" s="30"/>
      <c r="D445" s="62"/>
      <c r="E445" s="148"/>
      <c r="F445" s="148"/>
      <c r="G445" s="148"/>
      <c r="H445" s="148"/>
      <c r="I445" s="148"/>
      <c r="J445" s="148"/>
      <c r="K445" s="148"/>
      <c r="L445" s="228"/>
      <c r="M445" s="151"/>
      <c r="N445" s="152"/>
      <c r="O445" s="30"/>
    </row>
    <row r="446" spans="2:15">
      <c r="B446" s="79" t="s">
        <v>191</v>
      </c>
      <c r="C446" s="30"/>
      <c r="D446" s="62"/>
      <c r="E446" s="148"/>
      <c r="F446" s="148"/>
      <c r="G446" s="148"/>
      <c r="H446" s="148"/>
      <c r="I446" s="148"/>
      <c r="J446" s="148"/>
      <c r="K446" s="148"/>
      <c r="L446" s="148"/>
      <c r="M446" s="151"/>
      <c r="N446" s="258">
        <f>L444</f>
        <v>0</v>
      </c>
      <c r="O446" s="30"/>
    </row>
    <row r="447" spans="2:15">
      <c r="B447" s="79" t="s">
        <v>201</v>
      </c>
      <c r="C447" s="30"/>
      <c r="D447" s="62"/>
      <c r="E447" s="148"/>
      <c r="F447" s="148"/>
      <c r="G447" s="148"/>
      <c r="H447" s="148"/>
      <c r="I447" s="148"/>
      <c r="J447" s="148"/>
      <c r="K447" s="148"/>
      <c r="L447" s="148"/>
      <c r="M447" s="150">
        <f>N447</f>
        <v>20000</v>
      </c>
      <c r="N447" s="151">
        <v>20000</v>
      </c>
      <c r="O447" s="30"/>
    </row>
    <row r="448" spans="2:15">
      <c r="B448" s="79" t="s">
        <v>202</v>
      </c>
      <c r="C448" s="30"/>
      <c r="D448" s="63"/>
      <c r="E448" s="133"/>
      <c r="F448" s="133"/>
      <c r="G448" s="133"/>
      <c r="H448" s="133"/>
      <c r="I448" s="133"/>
      <c r="J448" s="133"/>
      <c r="K448" s="133"/>
      <c r="L448" s="133"/>
      <c r="M448" s="133"/>
      <c r="N448" s="153">
        <f>M446</f>
        <v>0</v>
      </c>
      <c r="O448" s="30"/>
    </row>
    <row r="449" spans="1:15">
      <c r="B449" s="33" t="s">
        <v>17</v>
      </c>
      <c r="D449" s="180">
        <f xml:space="preserve"> D432 - D428</f>
        <v>0</v>
      </c>
      <c r="E449" s="180">
        <f xml:space="preserve"> E428 + E436 - E433 - E432</f>
        <v>0</v>
      </c>
      <c r="F449" s="180">
        <f>F433 - F436</f>
        <v>0</v>
      </c>
      <c r="G449" s="180">
        <f>G433 - G436</f>
        <v>0</v>
      </c>
      <c r="H449" s="180">
        <f>H434-H435-H436</f>
        <v>-23680</v>
      </c>
      <c r="I449" s="180">
        <f>I436-I437-I438</f>
        <v>23680</v>
      </c>
      <c r="J449" s="180">
        <f>J438-J439-J440</f>
        <v>-25187</v>
      </c>
      <c r="K449" s="28">
        <f>K440-K441-K442</f>
        <v>25187</v>
      </c>
      <c r="L449" s="180">
        <f>L442-L443-L444</f>
        <v>0</v>
      </c>
      <c r="M449" s="180">
        <f>M447</f>
        <v>20000</v>
      </c>
      <c r="N449" s="180">
        <f>N447*-1</f>
        <v>-20000</v>
      </c>
      <c r="O449" s="30"/>
    </row>
    <row r="450" spans="1:15">
      <c r="B450" s="6"/>
      <c r="D450" s="7"/>
      <c r="E450" s="7"/>
      <c r="F450" s="7"/>
      <c r="G450" s="7"/>
      <c r="H450" s="7"/>
      <c r="I450" s="7"/>
      <c r="J450" s="7"/>
      <c r="K450" s="7"/>
      <c r="L450" s="7"/>
      <c r="M450" s="7"/>
      <c r="N450" s="7"/>
      <c r="O450" s="30"/>
    </row>
    <row r="451" spans="1:15">
      <c r="B451" s="76" t="s">
        <v>12</v>
      </c>
      <c r="C451" s="71"/>
      <c r="D451" s="99"/>
      <c r="E451" s="100"/>
      <c r="F451" s="160"/>
      <c r="G451" s="160"/>
      <c r="H451" s="160"/>
      <c r="I451" s="160"/>
      <c r="J451" s="160"/>
      <c r="K451" s="160"/>
      <c r="L451" s="160"/>
      <c r="M451" s="101"/>
      <c r="N451" s="101"/>
      <c r="O451" s="30"/>
    </row>
    <row r="452" spans="1:15">
      <c r="B452" s="6"/>
      <c r="D452" s="7"/>
      <c r="E452" s="7"/>
      <c r="F452" s="7"/>
      <c r="G452" s="7"/>
      <c r="H452" s="7"/>
      <c r="I452" s="7"/>
      <c r="J452" s="7"/>
      <c r="K452" s="7"/>
      <c r="L452" s="7"/>
      <c r="M452" s="7"/>
      <c r="N452" s="7"/>
      <c r="O452" s="30"/>
    </row>
    <row r="453" spans="1:15" ht="18.5">
      <c r="A453" s="41" t="s">
        <v>26</v>
      </c>
      <c r="C453" s="71"/>
      <c r="D453" s="43">
        <f t="shared" ref="D453:N453" si="183" xml:space="preserve"> D414 + D419 - D425 + D449 + D451</f>
        <v>0</v>
      </c>
      <c r="E453" s="44">
        <f t="shared" si="183"/>
        <v>0</v>
      </c>
      <c r="F453" s="44">
        <f t="shared" si="183"/>
        <v>0</v>
      </c>
      <c r="G453" s="183">
        <f t="shared" si="183"/>
        <v>0</v>
      </c>
      <c r="H453" s="183">
        <f t="shared" si="183"/>
        <v>0</v>
      </c>
      <c r="I453" s="183">
        <f t="shared" si="183"/>
        <v>50956</v>
      </c>
      <c r="J453" s="183">
        <f t="shared" si="183"/>
        <v>0</v>
      </c>
      <c r="K453" s="183">
        <f t="shared" si="183"/>
        <v>49754</v>
      </c>
      <c r="L453" s="183">
        <f t="shared" si="183"/>
        <v>11268.704699476382</v>
      </c>
      <c r="M453" s="183">
        <f t="shared" si="183"/>
        <v>47865.574571658581</v>
      </c>
      <c r="N453" s="183">
        <f t="shared" si="183"/>
        <v>5199.6163513758947</v>
      </c>
      <c r="O453" s="30"/>
    </row>
    <row r="454" spans="1:15">
      <c r="B454" s="6"/>
      <c r="D454" s="7"/>
      <c r="E454" s="7"/>
      <c r="F454" s="7"/>
      <c r="G454" s="28"/>
      <c r="H454" s="28"/>
      <c r="I454" s="28"/>
      <c r="J454" s="28"/>
      <c r="K454" s="28"/>
      <c r="L454" s="28"/>
      <c r="M454" s="28"/>
      <c r="N454" s="28"/>
      <c r="O454" s="30"/>
    </row>
    <row r="455" spans="1:15" ht="15" thickBot="1">
      <c r="O455" s="30"/>
    </row>
    <row r="456" spans="1:15" ht="15" thickBot="1">
      <c r="A456" s="8"/>
      <c r="B456" s="8"/>
      <c r="C456" s="8"/>
      <c r="D456" s="8"/>
      <c r="E456" s="8"/>
      <c r="F456" s="8"/>
      <c r="G456" s="8"/>
      <c r="H456" s="8"/>
      <c r="I456" s="8"/>
      <c r="J456" s="8"/>
      <c r="K456" s="8"/>
      <c r="L456" s="8"/>
      <c r="M456" s="8"/>
      <c r="N456" s="8"/>
    </row>
    <row r="457" spans="1:15" ht="21.5" thickBot="1">
      <c r="A457" s="13" t="s">
        <v>4</v>
      </c>
      <c r="B457" s="13"/>
      <c r="C457" s="313" t="s">
        <v>212</v>
      </c>
      <c r="D457" s="310"/>
      <c r="E457" s="23"/>
      <c r="F457" s="23"/>
    </row>
    <row r="459" spans="1:15" ht="18.5">
      <c r="A459" s="9" t="s">
        <v>21</v>
      </c>
      <c r="B459" s="9"/>
      <c r="D459" s="2">
        <v>2011</v>
      </c>
      <c r="E459" s="2">
        <f>D459+1</f>
        <v>2012</v>
      </c>
      <c r="F459" s="2">
        <f t="shared" ref="F459" si="184">E459+1</f>
        <v>2013</v>
      </c>
      <c r="G459" s="2">
        <f t="shared" ref="G459" si="185">F459+1</f>
        <v>2014</v>
      </c>
      <c r="H459" s="2">
        <f t="shared" ref="H459" si="186">G459+1</f>
        <v>2015</v>
      </c>
      <c r="I459" s="2">
        <f t="shared" ref="I459" si="187">H459+1</f>
        <v>2016</v>
      </c>
      <c r="J459" s="2">
        <f t="shared" ref="J459" si="188">I459+1</f>
        <v>2017</v>
      </c>
      <c r="K459" s="2">
        <f t="shared" ref="K459" si="189">J459+1</f>
        <v>2018</v>
      </c>
      <c r="L459" s="2">
        <f t="shared" ref="L459" si="190">K459+1</f>
        <v>2019</v>
      </c>
      <c r="M459" s="2">
        <f t="shared" ref="M459" si="191">L459+1</f>
        <v>2020</v>
      </c>
      <c r="N459" s="2">
        <f t="shared" ref="N459" si="192">M459+1</f>
        <v>2021</v>
      </c>
    </row>
    <row r="460" spans="1:15">
      <c r="B460" s="79" t="str">
        <f>"Total MWh Produced / Purchased from " &amp; C457</f>
        <v>Total MWh Produced / Purchased from Cedar Springs Wind I</v>
      </c>
      <c r="C460" s="71"/>
      <c r="D460" s="3"/>
      <c r="E460" s="4"/>
      <c r="F460" s="4"/>
      <c r="G460" s="4"/>
      <c r="H460" s="4"/>
      <c r="I460" s="4"/>
      <c r="J460" s="4">
        <v>0</v>
      </c>
      <c r="K460" s="4"/>
      <c r="L460" s="4"/>
      <c r="M460" s="230"/>
      <c r="N460" s="4">
        <v>745113</v>
      </c>
    </row>
    <row r="461" spans="1:15">
      <c r="B461" s="79" t="s">
        <v>25</v>
      </c>
      <c r="C461" s="71"/>
      <c r="D461" s="54"/>
      <c r="E461" s="55"/>
      <c r="F461" s="55"/>
      <c r="G461" s="55"/>
      <c r="H461" s="55"/>
      <c r="I461" s="55"/>
      <c r="J461" s="55"/>
      <c r="K461" s="55"/>
      <c r="L461" s="55"/>
      <c r="M461" s="234"/>
      <c r="N461" s="55">
        <v>1</v>
      </c>
    </row>
    <row r="462" spans="1:15">
      <c r="B462" s="79" t="s">
        <v>20</v>
      </c>
      <c r="C462" s="71"/>
      <c r="D462" s="48"/>
      <c r="E462" s="49"/>
      <c r="F462" s="49"/>
      <c r="G462" s="49"/>
      <c r="H462" s="49"/>
      <c r="I462" s="49"/>
      <c r="J462" s="49"/>
      <c r="K462" s="49"/>
      <c r="L462" s="49"/>
      <c r="M462" s="243"/>
      <c r="N462" s="49">
        <f>N413</f>
        <v>8.0780946790754593E-2</v>
      </c>
    </row>
    <row r="463" spans="1:15">
      <c r="B463" s="76" t="s">
        <v>22</v>
      </c>
      <c r="C463" s="77"/>
      <c r="D463" s="37">
        <v>0</v>
      </c>
      <c r="E463" s="37">
        <v>0</v>
      </c>
      <c r="F463" s="37">
        <v>0</v>
      </c>
      <c r="G463" s="37">
        <v>0</v>
      </c>
      <c r="H463" s="37">
        <v>0</v>
      </c>
      <c r="I463" s="37">
        <v>0</v>
      </c>
      <c r="J463" s="37">
        <f>J460*J462</f>
        <v>0</v>
      </c>
      <c r="K463" s="37">
        <f>K460*K462</f>
        <v>0</v>
      </c>
      <c r="L463" s="37">
        <f>L460*L462</f>
        <v>0</v>
      </c>
      <c r="M463" s="37">
        <f>M460*M462</f>
        <v>0</v>
      </c>
      <c r="N463" s="37">
        <f>N460*N462</f>
        <v>60190.933606099527</v>
      </c>
    </row>
    <row r="464" spans="1:15">
      <c r="B464" s="23"/>
      <c r="C464" s="30"/>
      <c r="D464" s="36"/>
      <c r="E464" s="36"/>
      <c r="F464" s="36"/>
      <c r="G464" s="36"/>
      <c r="H464" s="36"/>
      <c r="I464" s="36"/>
      <c r="J464" s="36"/>
      <c r="K464" s="36"/>
      <c r="L464" s="36"/>
      <c r="M464" s="36"/>
      <c r="N464" s="36"/>
    </row>
    <row r="465" spans="1:14" ht="18.5">
      <c r="A465" s="42" t="s">
        <v>119</v>
      </c>
      <c r="C465" s="30"/>
      <c r="D465" s="2">
        <v>2011</v>
      </c>
      <c r="E465" s="2">
        <f>D465+1</f>
        <v>2012</v>
      </c>
      <c r="F465" s="2">
        <f t="shared" ref="F465" si="193">E465+1</f>
        <v>2013</v>
      </c>
      <c r="G465" s="2">
        <f t="shared" ref="G465" si="194">F465+1</f>
        <v>2014</v>
      </c>
      <c r="H465" s="2">
        <f t="shared" ref="H465" si="195">G465+1</f>
        <v>2015</v>
      </c>
      <c r="I465" s="2">
        <f t="shared" ref="I465" si="196">H465+1</f>
        <v>2016</v>
      </c>
      <c r="J465" s="2">
        <f t="shared" ref="J465" si="197">I465+1</f>
        <v>2017</v>
      </c>
      <c r="K465" s="2">
        <f t="shared" ref="K465" si="198">J465+1</f>
        <v>2018</v>
      </c>
      <c r="L465" s="2">
        <f t="shared" ref="L465" si="199">K465+1</f>
        <v>2019</v>
      </c>
      <c r="M465" s="2">
        <f t="shared" ref="M465" si="200">L465+1</f>
        <v>2020</v>
      </c>
      <c r="N465" s="2">
        <f t="shared" ref="N465" si="201">M465+1</f>
        <v>2021</v>
      </c>
    </row>
    <row r="466" spans="1:14">
      <c r="B466" s="79" t="s">
        <v>10</v>
      </c>
      <c r="C466" s="71"/>
      <c r="D466" s="51">
        <f>IF($E10 = "Eligible", D463 * 'Facility Detail'!$B$3079, 0 )</f>
        <v>0</v>
      </c>
      <c r="E466" s="51">
        <f>IF($E10 = "Eligible", E463 * 'Facility Detail'!$B$3079, 0 )</f>
        <v>0</v>
      </c>
      <c r="F466" s="51">
        <f>IF($E10 = "Eligible", F463 * 'Facility Detail'!$B$3079, 0 )</f>
        <v>0</v>
      </c>
      <c r="G466" s="51">
        <f>IF($E10 = "Eligible", G463 * 'Facility Detail'!$B$3079, 0 )</f>
        <v>0</v>
      </c>
      <c r="H466" s="51">
        <f>IF($E10 = "Eligible", H463 * 'Facility Detail'!$B$3079, 0 )</f>
        <v>0</v>
      </c>
      <c r="I466" s="51">
        <f>IF($E10 = "Eligible", I463 * 'Facility Detail'!$B$3079, 0 )</f>
        <v>0</v>
      </c>
      <c r="J466" s="51">
        <f>IF($E10 = "Eligible", J463 * 'Facility Detail'!$B$3079, 0 )</f>
        <v>0</v>
      </c>
      <c r="K466" s="51">
        <f>IF($E10 = "Eligible", K463 * 'Facility Detail'!$B$3079, 0 )</f>
        <v>0</v>
      </c>
      <c r="L466" s="51">
        <f>IF($E10 = "Eligible", L463 * 'Facility Detail'!$B$3079, 0 )</f>
        <v>0</v>
      </c>
      <c r="M466" s="51">
        <f>IF($E10 = "Eligible", M463 * 'Facility Detail'!$B$3079, 0 )</f>
        <v>0</v>
      </c>
      <c r="N466" s="51">
        <f>IF($E10 = "Eligible", N463 * 'Facility Detail'!$B$3079, 0 )</f>
        <v>0</v>
      </c>
    </row>
    <row r="467" spans="1:14">
      <c r="B467" s="79" t="s">
        <v>6</v>
      </c>
      <c r="C467" s="71"/>
      <c r="D467" s="52">
        <f t="shared" ref="D467:N467" si="202">IF($F10= "Eligible", D463, 0 )</f>
        <v>0</v>
      </c>
      <c r="E467" s="52">
        <f t="shared" si="202"/>
        <v>0</v>
      </c>
      <c r="F467" s="52">
        <f t="shared" si="202"/>
        <v>0</v>
      </c>
      <c r="G467" s="52">
        <f t="shared" si="202"/>
        <v>0</v>
      </c>
      <c r="H467" s="52">
        <f t="shared" si="202"/>
        <v>0</v>
      </c>
      <c r="I467" s="52">
        <f t="shared" si="202"/>
        <v>0</v>
      </c>
      <c r="J467" s="52">
        <f t="shared" si="202"/>
        <v>0</v>
      </c>
      <c r="K467" s="52">
        <f t="shared" si="202"/>
        <v>0</v>
      </c>
      <c r="L467" s="52">
        <f t="shared" si="202"/>
        <v>0</v>
      </c>
      <c r="M467" s="52">
        <f t="shared" si="202"/>
        <v>0</v>
      </c>
      <c r="N467" s="52">
        <f t="shared" si="202"/>
        <v>0</v>
      </c>
    </row>
    <row r="468" spans="1:14">
      <c r="B468" s="78" t="s">
        <v>121</v>
      </c>
      <c r="C468" s="77"/>
      <c r="D468" s="39">
        <f>SUM(D466:D467)</f>
        <v>0</v>
      </c>
      <c r="E468" s="39">
        <f t="shared" ref="E468:N468" si="203">SUM(E466:E467)</f>
        <v>0</v>
      </c>
      <c r="F468" s="39">
        <f t="shared" si="203"/>
        <v>0</v>
      </c>
      <c r="G468" s="39">
        <f t="shared" si="203"/>
        <v>0</v>
      </c>
      <c r="H468" s="39">
        <f t="shared" si="203"/>
        <v>0</v>
      </c>
      <c r="I468" s="39">
        <f t="shared" si="203"/>
        <v>0</v>
      </c>
      <c r="J468" s="39">
        <f t="shared" si="203"/>
        <v>0</v>
      </c>
      <c r="K468" s="39">
        <f t="shared" si="203"/>
        <v>0</v>
      </c>
      <c r="L468" s="39">
        <f t="shared" si="203"/>
        <v>0</v>
      </c>
      <c r="M468" s="39">
        <f t="shared" si="203"/>
        <v>0</v>
      </c>
      <c r="N468" s="39">
        <f t="shared" si="203"/>
        <v>0</v>
      </c>
    </row>
    <row r="469" spans="1:14">
      <c r="B469" s="30"/>
      <c r="C469" s="30"/>
      <c r="D469" s="38"/>
      <c r="E469" s="31"/>
      <c r="F469" s="31"/>
      <c r="G469" s="31"/>
      <c r="H469" s="31"/>
      <c r="I469" s="31"/>
      <c r="J469" s="31"/>
      <c r="K469" s="31"/>
      <c r="L469" s="31"/>
      <c r="M469" s="31"/>
      <c r="N469" s="31"/>
    </row>
    <row r="470" spans="1:14" ht="18.5">
      <c r="A470" s="41" t="s">
        <v>30</v>
      </c>
      <c r="C470" s="30"/>
      <c r="D470" s="2">
        <v>2011</v>
      </c>
      <c r="E470" s="2">
        <f>D470+1</f>
        <v>2012</v>
      </c>
      <c r="F470" s="2">
        <f t="shared" ref="F470" si="204">E470+1</f>
        <v>2013</v>
      </c>
      <c r="G470" s="2">
        <f t="shared" ref="G470" si="205">F470+1</f>
        <v>2014</v>
      </c>
      <c r="H470" s="2">
        <f t="shared" ref="H470" si="206">G470+1</f>
        <v>2015</v>
      </c>
      <c r="I470" s="2">
        <f t="shared" ref="I470" si="207">H470+1</f>
        <v>2016</v>
      </c>
      <c r="J470" s="2">
        <f t="shared" ref="J470" si="208">I470+1</f>
        <v>2017</v>
      </c>
      <c r="K470" s="2">
        <f t="shared" ref="K470" si="209">J470+1</f>
        <v>2018</v>
      </c>
      <c r="L470" s="2">
        <f t="shared" ref="L470" si="210">K470+1</f>
        <v>2019</v>
      </c>
      <c r="M470" s="2">
        <f t="shared" ref="M470" si="211">L470+1</f>
        <v>2020</v>
      </c>
      <c r="N470" s="2">
        <f t="shared" ref="N470" si="212">M470+1</f>
        <v>2021</v>
      </c>
    </row>
    <row r="471" spans="1:14">
      <c r="B471" s="79" t="s">
        <v>47</v>
      </c>
      <c r="C471" s="71"/>
      <c r="D471" s="89"/>
      <c r="E471" s="90"/>
      <c r="F471" s="90"/>
      <c r="G471" s="90"/>
      <c r="H471" s="90"/>
      <c r="I471" s="90"/>
      <c r="J471" s="90"/>
      <c r="K471" s="90"/>
      <c r="L471" s="90"/>
      <c r="M471" s="90"/>
      <c r="N471" s="90"/>
    </row>
    <row r="472" spans="1:14">
      <c r="B472" s="80" t="s">
        <v>23</v>
      </c>
      <c r="C472" s="175"/>
      <c r="D472" s="92"/>
      <c r="E472" s="93"/>
      <c r="F472" s="93"/>
      <c r="G472" s="93"/>
      <c r="H472" s="93"/>
      <c r="I472" s="93"/>
      <c r="J472" s="93"/>
      <c r="K472" s="93"/>
      <c r="L472" s="93"/>
      <c r="M472" s="93"/>
      <c r="N472" s="93"/>
    </row>
    <row r="473" spans="1:14">
      <c r="B473" s="95" t="s">
        <v>89</v>
      </c>
      <c r="C473" s="173"/>
      <c r="D473" s="57"/>
      <c r="E473" s="58"/>
      <c r="F473" s="58"/>
      <c r="G473" s="58"/>
      <c r="H473" s="58"/>
      <c r="I473" s="58"/>
      <c r="J473" s="58"/>
      <c r="K473" s="58"/>
      <c r="L473" s="58"/>
      <c r="M473" s="58"/>
      <c r="N473" s="58"/>
    </row>
    <row r="474" spans="1:14">
      <c r="B474" s="33" t="s">
        <v>90</v>
      </c>
      <c r="D474" s="7">
        <v>0</v>
      </c>
      <c r="E474" s="7">
        <v>0</v>
      </c>
      <c r="F474" s="7">
        <v>0</v>
      </c>
      <c r="G474" s="7">
        <v>0</v>
      </c>
      <c r="H474" s="7">
        <v>0</v>
      </c>
      <c r="I474" s="7">
        <v>0</v>
      </c>
      <c r="J474" s="7">
        <v>0</v>
      </c>
      <c r="K474" s="7">
        <v>0</v>
      </c>
      <c r="L474" s="7">
        <v>0</v>
      </c>
      <c r="M474" s="7">
        <v>0</v>
      </c>
      <c r="N474" s="7">
        <v>0</v>
      </c>
    </row>
    <row r="475" spans="1:14">
      <c r="B475" s="6"/>
      <c r="D475" s="7"/>
      <c r="E475" s="7"/>
      <c r="F475" s="7"/>
      <c r="G475" s="28"/>
      <c r="H475" s="28"/>
      <c r="I475" s="28"/>
      <c r="J475" s="28"/>
      <c r="K475" s="28"/>
      <c r="L475" s="28"/>
      <c r="M475" s="28"/>
      <c r="N475" s="28"/>
    </row>
    <row r="476" spans="1:14" ht="18.5">
      <c r="A476" s="9" t="s">
        <v>100</v>
      </c>
      <c r="D476" s="2">
        <f>'Facility Detail'!$B$3082</f>
        <v>2011</v>
      </c>
      <c r="E476" s="2">
        <f>D476+1</f>
        <v>2012</v>
      </c>
      <c r="F476" s="2">
        <f t="shared" ref="F476" si="213">E476+1</f>
        <v>2013</v>
      </c>
      <c r="G476" s="2">
        <f t="shared" ref="G476" si="214">F476+1</f>
        <v>2014</v>
      </c>
      <c r="H476" s="2">
        <f t="shared" ref="H476" si="215">G476+1</f>
        <v>2015</v>
      </c>
      <c r="I476" s="2">
        <f t="shared" ref="I476" si="216">H476+1</f>
        <v>2016</v>
      </c>
      <c r="J476" s="2">
        <f t="shared" ref="J476" si="217">I476+1</f>
        <v>2017</v>
      </c>
      <c r="K476" s="2">
        <f t="shared" ref="K476" si="218">J476+1</f>
        <v>2018</v>
      </c>
      <c r="L476" s="2">
        <f t="shared" ref="L476" si="219">K476+1</f>
        <v>2019</v>
      </c>
      <c r="M476" s="169">
        <f t="shared" ref="M476" si="220">L476+1</f>
        <v>2020</v>
      </c>
      <c r="N476" s="2">
        <f t="shared" ref="N476" si="221">M476+1</f>
        <v>2021</v>
      </c>
    </row>
    <row r="477" spans="1:14">
      <c r="B477" s="79" t="s">
        <v>68</v>
      </c>
      <c r="C477" s="71"/>
      <c r="D477" s="3"/>
      <c r="E477" s="60">
        <f>D477</f>
        <v>0</v>
      </c>
      <c r="F477" s="131"/>
      <c r="G477" s="131"/>
      <c r="H477" s="131"/>
      <c r="I477" s="131"/>
      <c r="J477" s="131"/>
      <c r="K477" s="131"/>
      <c r="L477" s="131"/>
      <c r="M477" s="318"/>
      <c r="N477" s="61"/>
    </row>
    <row r="478" spans="1:14">
      <c r="B478" s="79" t="s">
        <v>69</v>
      </c>
      <c r="C478" s="71"/>
      <c r="D478" s="164">
        <f>E478</f>
        <v>0</v>
      </c>
      <c r="E478" s="10"/>
      <c r="F478" s="74"/>
      <c r="G478" s="74"/>
      <c r="H478" s="74"/>
      <c r="I478" s="74"/>
      <c r="J478" s="74"/>
      <c r="K478" s="74"/>
      <c r="L478" s="74"/>
      <c r="M478" s="74"/>
      <c r="N478" s="165"/>
    </row>
    <row r="479" spans="1:14">
      <c r="B479" s="79" t="s">
        <v>70</v>
      </c>
      <c r="C479" s="71"/>
      <c r="D479" s="62"/>
      <c r="E479" s="10">
        <f>E463</f>
        <v>0</v>
      </c>
      <c r="F479" s="70">
        <f>E479</f>
        <v>0</v>
      </c>
      <c r="G479" s="74"/>
      <c r="H479" s="74"/>
      <c r="I479" s="74"/>
      <c r="J479" s="74"/>
      <c r="K479" s="74"/>
      <c r="L479" s="74"/>
      <c r="M479" s="74"/>
      <c r="N479" s="165"/>
    </row>
    <row r="480" spans="1:14">
      <c r="B480" s="79" t="s">
        <v>71</v>
      </c>
      <c r="C480" s="71"/>
      <c r="D480" s="62"/>
      <c r="E480" s="70">
        <f>F480</f>
        <v>0</v>
      </c>
      <c r="F480" s="163"/>
      <c r="G480" s="74"/>
      <c r="H480" s="74"/>
      <c r="I480" s="74"/>
      <c r="J480" s="74"/>
      <c r="K480" s="74"/>
      <c r="L480" s="74"/>
      <c r="M480" s="74"/>
      <c r="N480" s="165"/>
    </row>
    <row r="481" spans="2:15">
      <c r="B481" s="79" t="s">
        <v>171</v>
      </c>
      <c r="C481" s="30"/>
      <c r="D481" s="62"/>
      <c r="E481" s="148"/>
      <c r="F481" s="10">
        <f>F463</f>
        <v>0</v>
      </c>
      <c r="G481" s="149">
        <f>F481</f>
        <v>0</v>
      </c>
      <c r="H481" s="74"/>
      <c r="I481" s="74"/>
      <c r="J481" s="74"/>
      <c r="K481" s="74"/>
      <c r="L481" s="74"/>
      <c r="M481" s="74"/>
      <c r="N481" s="165"/>
    </row>
    <row r="482" spans="2:15">
      <c r="B482" s="79" t="s">
        <v>172</v>
      </c>
      <c r="C482" s="30"/>
      <c r="D482" s="62"/>
      <c r="E482" s="148"/>
      <c r="F482" s="70">
        <f>G482</f>
        <v>0</v>
      </c>
      <c r="G482" s="10"/>
      <c r="H482" s="74"/>
      <c r="I482" s="74"/>
      <c r="J482" s="74"/>
      <c r="K482" s="74"/>
      <c r="L482" s="74"/>
      <c r="M482" s="74"/>
      <c r="N482" s="165"/>
    </row>
    <row r="483" spans="2:15">
      <c r="B483" s="79" t="s">
        <v>173</v>
      </c>
      <c r="C483" s="30"/>
      <c r="D483" s="62"/>
      <c r="E483" s="148"/>
      <c r="F483" s="148"/>
      <c r="G483" s="10">
        <f>G463</f>
        <v>0</v>
      </c>
      <c r="H483" s="149">
        <f>G483</f>
        <v>0</v>
      </c>
      <c r="I483" s="148">
        <f>H483</f>
        <v>0</v>
      </c>
      <c r="J483" s="74"/>
      <c r="K483" s="74"/>
      <c r="L483" s="74"/>
      <c r="M483" s="74"/>
      <c r="N483" s="152"/>
    </row>
    <row r="484" spans="2:15">
      <c r="B484" s="79" t="s">
        <v>174</v>
      </c>
      <c r="C484" s="30"/>
      <c r="D484" s="62"/>
      <c r="E484" s="148"/>
      <c r="F484" s="148"/>
      <c r="G484" s="70"/>
      <c r="H484" s="10"/>
      <c r="I484" s="148"/>
      <c r="J484" s="74"/>
      <c r="K484" s="74"/>
      <c r="L484" s="74"/>
      <c r="M484" s="74"/>
      <c r="N484" s="152"/>
    </row>
    <row r="485" spans="2:15">
      <c r="B485" s="79" t="s">
        <v>175</v>
      </c>
      <c r="C485" s="30"/>
      <c r="D485" s="62"/>
      <c r="E485" s="148"/>
      <c r="F485" s="148"/>
      <c r="G485" s="148"/>
      <c r="H485" s="10">
        <v>0</v>
      </c>
      <c r="I485" s="149">
        <f>H485</f>
        <v>0</v>
      </c>
      <c r="J485" s="74"/>
      <c r="K485" s="74"/>
      <c r="L485" s="74"/>
      <c r="M485" s="74"/>
      <c r="N485" s="152"/>
    </row>
    <row r="486" spans="2:15">
      <c r="B486" s="79" t="s">
        <v>176</v>
      </c>
      <c r="C486" s="30"/>
      <c r="D486" s="62"/>
      <c r="E486" s="148"/>
      <c r="F486" s="148"/>
      <c r="G486" s="148"/>
      <c r="H486" s="70"/>
      <c r="I486" s="10"/>
      <c r="J486" s="74"/>
      <c r="K486" s="74"/>
      <c r="L486" s="74"/>
      <c r="M486" s="74"/>
      <c r="N486" s="152"/>
    </row>
    <row r="487" spans="2:15">
      <c r="B487" s="79" t="s">
        <v>177</v>
      </c>
      <c r="C487" s="30"/>
      <c r="D487" s="62"/>
      <c r="E487" s="148"/>
      <c r="F487" s="148"/>
      <c r="G487" s="148"/>
      <c r="H487" s="148"/>
      <c r="I487" s="207">
        <f>I463</f>
        <v>0</v>
      </c>
      <c r="J487" s="150">
        <f>I487</f>
        <v>0</v>
      </c>
      <c r="K487" s="74"/>
      <c r="L487" s="74"/>
      <c r="M487" s="74"/>
      <c r="N487" s="152"/>
    </row>
    <row r="488" spans="2:15">
      <c r="B488" s="79" t="s">
        <v>168</v>
      </c>
      <c r="C488" s="30"/>
      <c r="D488" s="62"/>
      <c r="E488" s="148"/>
      <c r="F488" s="148"/>
      <c r="G488" s="148"/>
      <c r="H488" s="148"/>
      <c r="I488" s="208"/>
      <c r="J488" s="151"/>
      <c r="K488" s="74"/>
      <c r="L488" s="74"/>
      <c r="M488" s="74"/>
      <c r="N488" s="152"/>
    </row>
    <row r="489" spans="2:15">
      <c r="B489" s="79" t="s">
        <v>169</v>
      </c>
      <c r="C489" s="30"/>
      <c r="D489" s="62"/>
      <c r="E489" s="148"/>
      <c r="F489" s="148"/>
      <c r="G489" s="148"/>
      <c r="H489" s="148"/>
      <c r="I489" s="148"/>
      <c r="J489" s="151">
        <f>J463</f>
        <v>0</v>
      </c>
      <c r="K489" s="150">
        <f>J489</f>
        <v>0</v>
      </c>
      <c r="L489" s="74"/>
      <c r="M489" s="74"/>
      <c r="N489" s="152"/>
    </row>
    <row r="490" spans="2:15">
      <c r="B490" s="79" t="s">
        <v>186</v>
      </c>
      <c r="C490" s="30"/>
      <c r="D490" s="62"/>
      <c r="E490" s="148"/>
      <c r="F490" s="148"/>
      <c r="G490" s="148"/>
      <c r="H490" s="148"/>
      <c r="I490" s="148"/>
      <c r="J490" s="228"/>
      <c r="K490" s="151"/>
      <c r="L490" s="74"/>
      <c r="M490" s="74"/>
      <c r="N490" s="152"/>
    </row>
    <row r="491" spans="2:15">
      <c r="B491" s="79" t="s">
        <v>187</v>
      </c>
      <c r="C491" s="30"/>
      <c r="D491" s="62"/>
      <c r="E491" s="148"/>
      <c r="F491" s="148"/>
      <c r="G491" s="148"/>
      <c r="H491" s="148"/>
      <c r="I491" s="148"/>
      <c r="J491" s="148"/>
      <c r="K491" s="151">
        <f>K463</f>
        <v>0</v>
      </c>
      <c r="L491" s="150">
        <f>K491</f>
        <v>0</v>
      </c>
      <c r="M491" s="74"/>
      <c r="N491" s="152"/>
    </row>
    <row r="492" spans="2:15">
      <c r="B492" s="79" t="s">
        <v>188</v>
      </c>
      <c r="C492" s="30"/>
      <c r="D492" s="62"/>
      <c r="E492" s="148"/>
      <c r="F492" s="148"/>
      <c r="G492" s="148"/>
      <c r="H492" s="148"/>
      <c r="I492" s="148"/>
      <c r="J492" s="148"/>
      <c r="K492" s="228"/>
      <c r="L492" s="151"/>
      <c r="M492" s="74"/>
      <c r="N492" s="152"/>
    </row>
    <row r="493" spans="2:15">
      <c r="B493" s="79" t="s">
        <v>189</v>
      </c>
      <c r="C493" s="30"/>
      <c r="D493" s="62"/>
      <c r="E493" s="148"/>
      <c r="F493" s="148"/>
      <c r="G493" s="148"/>
      <c r="H493" s="148"/>
      <c r="I493" s="148"/>
      <c r="J493" s="148"/>
      <c r="K493" s="148"/>
      <c r="L493" s="151"/>
      <c r="M493" s="70"/>
      <c r="N493" s="152"/>
    </row>
    <row r="494" spans="2:15">
      <c r="B494" s="79" t="s">
        <v>190</v>
      </c>
      <c r="C494" s="30"/>
      <c r="D494" s="62"/>
      <c r="E494" s="148"/>
      <c r="F494" s="148"/>
      <c r="G494" s="148"/>
      <c r="H494" s="148"/>
      <c r="I494" s="148"/>
      <c r="J494" s="148"/>
      <c r="K494" s="148"/>
      <c r="L494" s="228"/>
      <c r="M494" s="278"/>
      <c r="N494" s="178"/>
      <c r="O494" s="30"/>
    </row>
    <row r="495" spans="2:15">
      <c r="B495" s="79" t="s">
        <v>191</v>
      </c>
      <c r="C495" s="30"/>
      <c r="D495" s="62"/>
      <c r="E495" s="148"/>
      <c r="F495" s="148"/>
      <c r="G495" s="148"/>
      <c r="H495" s="148"/>
      <c r="I495" s="148"/>
      <c r="J495" s="148"/>
      <c r="K495" s="148"/>
      <c r="L495" s="148"/>
      <c r="M495" s="278">
        <v>0</v>
      </c>
      <c r="N495" s="150">
        <f>M495</f>
        <v>0</v>
      </c>
      <c r="O495" s="30"/>
    </row>
    <row r="496" spans="2:15">
      <c r="B496" s="79" t="s">
        <v>201</v>
      </c>
      <c r="C496" s="30"/>
      <c r="D496" s="62"/>
      <c r="E496" s="148"/>
      <c r="F496" s="148"/>
      <c r="G496" s="148"/>
      <c r="H496" s="148"/>
      <c r="I496" s="148"/>
      <c r="J496" s="148"/>
      <c r="K496" s="148"/>
      <c r="L496" s="148"/>
      <c r="M496" s="150">
        <v>20000</v>
      </c>
      <c r="N496" s="151">
        <v>20000</v>
      </c>
      <c r="O496" s="30"/>
    </row>
    <row r="497" spans="1:15">
      <c r="B497" s="79" t="s">
        <v>202</v>
      </c>
      <c r="C497" s="30"/>
      <c r="D497" s="63"/>
      <c r="E497" s="133"/>
      <c r="F497" s="133"/>
      <c r="G497" s="133"/>
      <c r="H497" s="133"/>
      <c r="I497" s="133"/>
      <c r="J497" s="133"/>
      <c r="K497" s="133"/>
      <c r="L497" s="133"/>
      <c r="M497" s="133"/>
      <c r="N497" s="153">
        <v>0</v>
      </c>
      <c r="O497" s="30"/>
    </row>
    <row r="498" spans="1:15">
      <c r="B498" s="33" t="s">
        <v>17</v>
      </c>
      <c r="D498" s="218"/>
      <c r="E498" s="218"/>
      <c r="F498" s="218"/>
      <c r="G498" s="218"/>
      <c r="H498" s="218"/>
      <c r="I498" s="218"/>
      <c r="J498" s="218">
        <f>J487-J488-J489</f>
        <v>0</v>
      </c>
      <c r="K498" s="218">
        <f>K489-K490-K491</f>
        <v>0</v>
      </c>
      <c r="L498" s="218">
        <f>L491-L492-L493+L494</f>
        <v>0</v>
      </c>
      <c r="M498" s="218">
        <f>M496</f>
        <v>20000</v>
      </c>
      <c r="N498" s="218">
        <f>N496*-1</f>
        <v>-20000</v>
      </c>
    </row>
    <row r="499" spans="1:15">
      <c r="B499" s="6"/>
      <c r="D499" s="218"/>
      <c r="E499" s="218"/>
      <c r="F499" s="218"/>
      <c r="G499" s="218"/>
      <c r="H499" s="218"/>
      <c r="I499" s="218"/>
      <c r="J499" s="218"/>
      <c r="K499" s="218"/>
      <c r="L499" s="218"/>
      <c r="M499" s="218"/>
      <c r="N499" s="218"/>
    </row>
    <row r="500" spans="1:15">
      <c r="B500" s="76" t="s">
        <v>12</v>
      </c>
      <c r="C500" s="71"/>
      <c r="D500" s="219"/>
      <c r="E500" s="220"/>
      <c r="F500" s="220"/>
      <c r="G500" s="220"/>
      <c r="H500" s="220"/>
      <c r="I500" s="220"/>
      <c r="J500" s="220"/>
      <c r="K500" s="220"/>
      <c r="L500" s="220"/>
      <c r="M500" s="220"/>
      <c r="N500" s="220"/>
    </row>
    <row r="501" spans="1:15">
      <c r="B501" s="6"/>
      <c r="D501" s="239"/>
      <c r="E501" s="238"/>
      <c r="F501" s="238"/>
      <c r="G501" s="238"/>
      <c r="H501" s="238"/>
      <c r="I501" s="238"/>
      <c r="J501" s="238"/>
      <c r="K501" s="238"/>
      <c r="L501" s="238"/>
      <c r="M501" s="238"/>
      <c r="N501" s="238"/>
    </row>
    <row r="502" spans="1:15" ht="18.5">
      <c r="A502" s="41" t="s">
        <v>26</v>
      </c>
      <c r="C502" s="30"/>
      <c r="D502" s="221">
        <f t="shared" ref="D502:M502" si="222" xml:space="preserve"> D463 + D468 - D474 + D498 + D500</f>
        <v>0</v>
      </c>
      <c r="E502" s="222">
        <f t="shared" si="222"/>
        <v>0</v>
      </c>
      <c r="F502" s="222">
        <f t="shared" si="222"/>
        <v>0</v>
      </c>
      <c r="G502" s="222">
        <f t="shared" si="222"/>
        <v>0</v>
      </c>
      <c r="H502" s="222">
        <f t="shared" si="222"/>
        <v>0</v>
      </c>
      <c r="I502" s="222">
        <f t="shared" si="222"/>
        <v>0</v>
      </c>
      <c r="J502" s="222">
        <f t="shared" si="222"/>
        <v>0</v>
      </c>
      <c r="K502" s="222">
        <f t="shared" si="222"/>
        <v>0</v>
      </c>
      <c r="L502" s="222">
        <f t="shared" si="222"/>
        <v>0</v>
      </c>
      <c r="M502" s="222">
        <f t="shared" si="222"/>
        <v>20000</v>
      </c>
      <c r="N502" s="222">
        <f xml:space="preserve"> N463+N498</f>
        <v>40190.933606099527</v>
      </c>
    </row>
    <row r="503" spans="1:15" ht="15" thickBot="1"/>
    <row r="504" spans="1:15" ht="15" thickBot="1">
      <c r="A504" s="8"/>
      <c r="B504" s="8"/>
      <c r="C504" s="8"/>
      <c r="D504" s="8"/>
      <c r="E504" s="8"/>
      <c r="F504" s="8"/>
      <c r="G504" s="8"/>
      <c r="H504" s="8"/>
      <c r="I504" s="8"/>
      <c r="J504" s="8"/>
      <c r="K504" s="8"/>
      <c r="L504" s="8"/>
      <c r="M504" s="8"/>
      <c r="N504" s="8"/>
    </row>
    <row r="505" spans="1:15" ht="21.5" thickBot="1">
      <c r="A505" s="13" t="s">
        <v>4</v>
      </c>
      <c r="B505" s="13"/>
      <c r="C505" s="313" t="s">
        <v>213</v>
      </c>
      <c r="D505" s="310"/>
      <c r="E505" s="23"/>
      <c r="F505" s="23"/>
    </row>
    <row r="507" spans="1:15" ht="18.5">
      <c r="A507" s="9" t="s">
        <v>21</v>
      </c>
      <c r="B507" s="9"/>
      <c r="D507" s="2">
        <v>2011</v>
      </c>
      <c r="E507" s="2">
        <f>D507+1</f>
        <v>2012</v>
      </c>
      <c r="F507" s="2">
        <f t="shared" ref="F507" si="223">E507+1</f>
        <v>2013</v>
      </c>
      <c r="G507" s="2">
        <f t="shared" ref="G507" si="224">F507+1</f>
        <v>2014</v>
      </c>
      <c r="H507" s="2">
        <f t="shared" ref="H507" si="225">G507+1</f>
        <v>2015</v>
      </c>
      <c r="I507" s="2">
        <f t="shared" ref="I507" si="226">H507+1</f>
        <v>2016</v>
      </c>
      <c r="J507" s="2">
        <f t="shared" ref="J507" si="227">I507+1</f>
        <v>2017</v>
      </c>
      <c r="K507" s="2">
        <f t="shared" ref="K507" si="228">J507+1</f>
        <v>2018</v>
      </c>
      <c r="L507" s="2">
        <f t="shared" ref="L507" si="229">K507+1</f>
        <v>2019</v>
      </c>
      <c r="M507" s="2">
        <f t="shared" ref="M507" si="230">L507+1</f>
        <v>2020</v>
      </c>
      <c r="N507" s="2">
        <f t="shared" ref="N507" si="231">M507+1</f>
        <v>2021</v>
      </c>
    </row>
    <row r="508" spans="1:15">
      <c r="B508" s="79" t="str">
        <f>"Total MWh Produced / Purchased from " &amp; C505</f>
        <v>Total MWh Produced / Purchased from Cedar Springs Wind II</v>
      </c>
      <c r="C508" s="71"/>
      <c r="D508" s="3"/>
      <c r="E508" s="4"/>
      <c r="F508" s="4"/>
      <c r="G508" s="4"/>
      <c r="H508" s="4"/>
      <c r="I508" s="4"/>
      <c r="J508" s="4">
        <v>0</v>
      </c>
      <c r="K508" s="4"/>
      <c r="L508" s="4"/>
      <c r="M508" s="230"/>
      <c r="N508" s="4">
        <v>740220</v>
      </c>
    </row>
    <row r="509" spans="1:15">
      <c r="B509" s="79" t="s">
        <v>25</v>
      </c>
      <c r="C509" s="71"/>
      <c r="D509" s="54"/>
      <c r="E509" s="55"/>
      <c r="F509" s="55"/>
      <c r="G509" s="55"/>
      <c r="H509" s="55"/>
      <c r="I509" s="55"/>
      <c r="J509" s="55"/>
      <c r="K509" s="55"/>
      <c r="L509" s="55"/>
      <c r="M509" s="234"/>
      <c r="N509" s="55">
        <v>1</v>
      </c>
    </row>
    <row r="510" spans="1:15">
      <c r="B510" s="79" t="s">
        <v>20</v>
      </c>
      <c r="C510" s="71"/>
      <c r="D510" s="48"/>
      <c r="E510" s="49"/>
      <c r="F510" s="49"/>
      <c r="G510" s="49"/>
      <c r="H510" s="49"/>
      <c r="I510" s="49"/>
      <c r="J510" s="49"/>
      <c r="K510" s="49"/>
      <c r="L510" s="49"/>
      <c r="M510" s="243"/>
      <c r="N510" s="49">
        <f>N462</f>
        <v>8.0780946790754593E-2</v>
      </c>
    </row>
    <row r="511" spans="1:15">
      <c r="B511" s="76" t="s">
        <v>22</v>
      </c>
      <c r="C511" s="77"/>
      <c r="D511" s="37">
        <v>0</v>
      </c>
      <c r="E511" s="37">
        <v>0</v>
      </c>
      <c r="F511" s="37">
        <v>0</v>
      </c>
      <c r="G511" s="37">
        <v>0</v>
      </c>
      <c r="H511" s="37">
        <v>0</v>
      </c>
      <c r="I511" s="37">
        <v>0</v>
      </c>
      <c r="J511" s="37">
        <f>J508*J510</f>
        <v>0</v>
      </c>
      <c r="K511" s="37">
        <f>K508*K510</f>
        <v>0</v>
      </c>
      <c r="L511" s="37">
        <f>L508*L510</f>
        <v>0</v>
      </c>
      <c r="M511" s="37">
        <f>M508*M510</f>
        <v>0</v>
      </c>
      <c r="N511" s="37">
        <f>N508*N510</f>
        <v>59795.672433452368</v>
      </c>
    </row>
    <row r="512" spans="1:15">
      <c r="B512" s="23"/>
      <c r="C512" s="30"/>
      <c r="D512" s="36"/>
      <c r="E512" s="36"/>
      <c r="F512" s="36"/>
      <c r="G512" s="36"/>
      <c r="H512" s="36"/>
      <c r="I512" s="36"/>
      <c r="J512" s="36"/>
      <c r="K512" s="36"/>
      <c r="L512" s="36"/>
      <c r="M512" s="36"/>
      <c r="N512" s="36"/>
    </row>
    <row r="513" spans="1:14" ht="18.5">
      <c r="A513" s="42" t="s">
        <v>119</v>
      </c>
      <c r="C513" s="30"/>
      <c r="D513" s="2">
        <v>2011</v>
      </c>
      <c r="E513" s="2">
        <f>D513+1</f>
        <v>2012</v>
      </c>
      <c r="F513" s="2">
        <f t="shared" ref="F513" si="232">E513+1</f>
        <v>2013</v>
      </c>
      <c r="G513" s="2">
        <f t="shared" ref="G513" si="233">F513+1</f>
        <v>2014</v>
      </c>
      <c r="H513" s="2">
        <f t="shared" ref="H513" si="234">G513+1</f>
        <v>2015</v>
      </c>
      <c r="I513" s="2">
        <f t="shared" ref="I513" si="235">H513+1</f>
        <v>2016</v>
      </c>
      <c r="J513" s="2">
        <f t="shared" ref="J513" si="236">I513+1</f>
        <v>2017</v>
      </c>
      <c r="K513" s="2">
        <f t="shared" ref="K513" si="237">J513+1</f>
        <v>2018</v>
      </c>
      <c r="L513" s="2">
        <f t="shared" ref="L513" si="238">K513+1</f>
        <v>2019</v>
      </c>
      <c r="M513" s="2">
        <f t="shared" ref="M513" si="239">L513+1</f>
        <v>2020</v>
      </c>
      <c r="N513" s="2">
        <f t="shared" ref="N513" si="240">M513+1</f>
        <v>2021</v>
      </c>
    </row>
    <row r="514" spans="1:14">
      <c r="B514" s="79" t="s">
        <v>10</v>
      </c>
      <c r="C514" s="71"/>
      <c r="D514" s="51">
        <f>IF($E11 = "Eligible", D511 * 'Facility Detail'!$B$3079, 0 )</f>
        <v>0</v>
      </c>
      <c r="E514" s="51">
        <f>IF($E11 = "Eligible", E511 * 'Facility Detail'!$B$3079, 0 )</f>
        <v>0</v>
      </c>
      <c r="F514" s="51">
        <f>IF($E11 = "Eligible", F511 * 'Facility Detail'!$B$3079, 0 )</f>
        <v>0</v>
      </c>
      <c r="G514" s="51">
        <f>IF($E11 = "Eligible", G511 * 'Facility Detail'!$B$3079, 0 )</f>
        <v>0</v>
      </c>
      <c r="H514" s="51">
        <f>IF($E11 = "Eligible", H511 * 'Facility Detail'!$B$3079, 0 )</f>
        <v>0</v>
      </c>
      <c r="I514" s="51">
        <f>IF($E11 = "Eligible", I511 * 'Facility Detail'!$B$3079, 0 )</f>
        <v>0</v>
      </c>
      <c r="J514" s="51">
        <f>IF($E11 = "Eligible", J511 * 'Facility Detail'!$B$3079, 0 )</f>
        <v>0</v>
      </c>
      <c r="K514" s="51">
        <f>IF($E11 = "Eligible", K511 * 'Facility Detail'!$B$3079, 0 )</f>
        <v>0</v>
      </c>
      <c r="L514" s="51">
        <f>IF($E11 = "Eligible", L511 * 'Facility Detail'!$B$3079, 0 )</f>
        <v>0</v>
      </c>
      <c r="M514" s="51">
        <f>IF($E11 = "Eligible", M511 * 'Facility Detail'!$B$3079, 0 )</f>
        <v>0</v>
      </c>
      <c r="N514" s="51">
        <f>IF($E11 = "Eligible", N511 * 'Facility Detail'!$B$3079, 0 )</f>
        <v>0</v>
      </c>
    </row>
    <row r="515" spans="1:14">
      <c r="B515" s="79" t="s">
        <v>6</v>
      </c>
      <c r="C515" s="71"/>
      <c r="D515" s="52">
        <f t="shared" ref="D515:N515" si="241">IF($F11= "Eligible", D511, 0 )</f>
        <v>0</v>
      </c>
      <c r="E515" s="52">
        <f t="shared" si="241"/>
        <v>0</v>
      </c>
      <c r="F515" s="52">
        <f t="shared" si="241"/>
        <v>0</v>
      </c>
      <c r="G515" s="52">
        <f t="shared" si="241"/>
        <v>0</v>
      </c>
      <c r="H515" s="52">
        <f t="shared" si="241"/>
        <v>0</v>
      </c>
      <c r="I515" s="52">
        <f t="shared" si="241"/>
        <v>0</v>
      </c>
      <c r="J515" s="52">
        <f t="shared" si="241"/>
        <v>0</v>
      </c>
      <c r="K515" s="52">
        <f t="shared" si="241"/>
        <v>0</v>
      </c>
      <c r="L515" s="52">
        <f t="shared" si="241"/>
        <v>0</v>
      </c>
      <c r="M515" s="52">
        <f t="shared" si="241"/>
        <v>0</v>
      </c>
      <c r="N515" s="52">
        <f t="shared" si="241"/>
        <v>0</v>
      </c>
    </row>
    <row r="516" spans="1:14">
      <c r="B516" s="78" t="s">
        <v>121</v>
      </c>
      <c r="C516" s="77"/>
      <c r="D516" s="39">
        <f>SUM(D514:D515)</f>
        <v>0</v>
      </c>
      <c r="E516" s="39">
        <f t="shared" ref="E516:N516" si="242">SUM(E514:E515)</f>
        <v>0</v>
      </c>
      <c r="F516" s="39">
        <f t="shared" si="242"/>
        <v>0</v>
      </c>
      <c r="G516" s="39">
        <f t="shared" si="242"/>
        <v>0</v>
      </c>
      <c r="H516" s="39">
        <f t="shared" si="242"/>
        <v>0</v>
      </c>
      <c r="I516" s="39">
        <f t="shared" si="242"/>
        <v>0</v>
      </c>
      <c r="J516" s="39">
        <f t="shared" si="242"/>
        <v>0</v>
      </c>
      <c r="K516" s="39">
        <f t="shared" si="242"/>
        <v>0</v>
      </c>
      <c r="L516" s="39">
        <f t="shared" si="242"/>
        <v>0</v>
      </c>
      <c r="M516" s="39">
        <f t="shared" si="242"/>
        <v>0</v>
      </c>
      <c r="N516" s="39">
        <f t="shared" si="242"/>
        <v>0</v>
      </c>
    </row>
    <row r="517" spans="1:14">
      <c r="B517" s="30"/>
      <c r="C517" s="30"/>
      <c r="D517" s="38"/>
      <c r="E517" s="31"/>
      <c r="F517" s="31"/>
      <c r="G517" s="31"/>
      <c r="H517" s="31"/>
      <c r="I517" s="31"/>
      <c r="J517" s="31"/>
      <c r="K517" s="31"/>
      <c r="L517" s="31"/>
      <c r="M517" s="31"/>
      <c r="N517" s="31"/>
    </row>
    <row r="518" spans="1:14" ht="18.5">
      <c r="A518" s="41" t="s">
        <v>30</v>
      </c>
      <c r="C518" s="30"/>
      <c r="D518" s="2">
        <v>2011</v>
      </c>
      <c r="E518" s="2">
        <f>D518+1</f>
        <v>2012</v>
      </c>
      <c r="F518" s="2">
        <f t="shared" ref="F518" si="243">E518+1</f>
        <v>2013</v>
      </c>
      <c r="G518" s="2">
        <f t="shared" ref="G518" si="244">F518+1</f>
        <v>2014</v>
      </c>
      <c r="H518" s="2">
        <f t="shared" ref="H518" si="245">G518+1</f>
        <v>2015</v>
      </c>
      <c r="I518" s="2">
        <f t="shared" ref="I518" si="246">H518+1</f>
        <v>2016</v>
      </c>
      <c r="J518" s="2">
        <f t="shared" ref="J518" si="247">I518+1</f>
        <v>2017</v>
      </c>
      <c r="K518" s="2">
        <f t="shared" ref="K518" si="248">J518+1</f>
        <v>2018</v>
      </c>
      <c r="L518" s="2">
        <f t="shared" ref="L518" si="249">K518+1</f>
        <v>2019</v>
      </c>
      <c r="M518" s="2">
        <f t="shared" ref="M518" si="250">L518+1</f>
        <v>2020</v>
      </c>
      <c r="N518" s="2">
        <f t="shared" ref="N518" si="251">M518+1</f>
        <v>2021</v>
      </c>
    </row>
    <row r="519" spans="1:14">
      <c r="B519" s="79" t="s">
        <v>47</v>
      </c>
      <c r="C519" s="71"/>
      <c r="D519" s="89"/>
      <c r="E519" s="90"/>
      <c r="F519" s="90"/>
      <c r="G519" s="90"/>
      <c r="H519" s="90"/>
      <c r="I519" s="90"/>
      <c r="J519" s="90"/>
      <c r="K519" s="90"/>
      <c r="L519" s="90"/>
      <c r="M519" s="90"/>
      <c r="N519" s="90"/>
    </row>
    <row r="520" spans="1:14">
      <c r="B520" s="80" t="s">
        <v>23</v>
      </c>
      <c r="C520" s="175"/>
      <c r="D520" s="92"/>
      <c r="E520" s="93"/>
      <c r="F520" s="93"/>
      <c r="G520" s="93"/>
      <c r="H520" s="93"/>
      <c r="I520" s="93"/>
      <c r="J520" s="93"/>
      <c r="K520" s="93"/>
      <c r="L520" s="93"/>
      <c r="M520" s="93"/>
      <c r="N520" s="93"/>
    </row>
    <row r="521" spans="1:14">
      <c r="B521" s="95" t="s">
        <v>89</v>
      </c>
      <c r="C521" s="173"/>
      <c r="D521" s="57"/>
      <c r="E521" s="58"/>
      <c r="F521" s="58"/>
      <c r="G521" s="58"/>
      <c r="H521" s="58"/>
      <c r="I521" s="58"/>
      <c r="J521" s="58"/>
      <c r="K521" s="58"/>
      <c r="L521" s="58"/>
      <c r="M521" s="58"/>
      <c r="N521" s="58"/>
    </row>
    <row r="522" spans="1:14">
      <c r="B522" s="33" t="s">
        <v>90</v>
      </c>
      <c r="D522" s="7">
        <v>0</v>
      </c>
      <c r="E522" s="7">
        <v>0</v>
      </c>
      <c r="F522" s="7">
        <v>0</v>
      </c>
      <c r="G522" s="7">
        <v>0</v>
      </c>
      <c r="H522" s="7">
        <v>0</v>
      </c>
      <c r="I522" s="7">
        <v>0</v>
      </c>
      <c r="J522" s="7">
        <v>0</v>
      </c>
      <c r="K522" s="7">
        <v>0</v>
      </c>
      <c r="L522" s="7">
        <v>0</v>
      </c>
      <c r="M522" s="7">
        <v>0</v>
      </c>
      <c r="N522" s="7">
        <v>0</v>
      </c>
    </row>
    <row r="523" spans="1:14">
      <c r="B523" s="6"/>
      <c r="D523" s="7"/>
      <c r="E523" s="7"/>
      <c r="F523" s="7"/>
      <c r="G523" s="28"/>
      <c r="H523" s="28"/>
      <c r="I523" s="28"/>
      <c r="J523" s="28"/>
      <c r="K523" s="28"/>
      <c r="L523" s="28"/>
      <c r="M523" s="28"/>
      <c r="N523" s="28"/>
    </row>
    <row r="524" spans="1:14" ht="18.5">
      <c r="A524" s="9" t="s">
        <v>100</v>
      </c>
      <c r="D524" s="2">
        <f>'Facility Detail'!$B$3082</f>
        <v>2011</v>
      </c>
      <c r="E524" s="2">
        <f>D524+1</f>
        <v>2012</v>
      </c>
      <c r="F524" s="2">
        <f t="shared" ref="F524" si="252">E524+1</f>
        <v>2013</v>
      </c>
      <c r="G524" s="2">
        <f t="shared" ref="G524" si="253">F524+1</f>
        <v>2014</v>
      </c>
      <c r="H524" s="2">
        <f t="shared" ref="H524" si="254">G524+1</f>
        <v>2015</v>
      </c>
      <c r="I524" s="2">
        <f t="shared" ref="I524" si="255">H524+1</f>
        <v>2016</v>
      </c>
      <c r="J524" s="2">
        <f t="shared" ref="J524" si="256">I524+1</f>
        <v>2017</v>
      </c>
      <c r="K524" s="2">
        <f t="shared" ref="K524" si="257">J524+1</f>
        <v>2018</v>
      </c>
      <c r="L524" s="2">
        <f t="shared" ref="L524" si="258">K524+1</f>
        <v>2019</v>
      </c>
      <c r="M524" s="169">
        <f t="shared" ref="M524" si="259">L524+1</f>
        <v>2020</v>
      </c>
      <c r="N524" s="2">
        <f t="shared" ref="N524" si="260">M524+1</f>
        <v>2021</v>
      </c>
    </row>
    <row r="525" spans="1:14">
      <c r="B525" s="79" t="s">
        <v>68</v>
      </c>
      <c r="C525" s="71"/>
      <c r="D525" s="3"/>
      <c r="E525" s="60">
        <f>D525</f>
        <v>0</v>
      </c>
      <c r="F525" s="131"/>
      <c r="G525" s="131"/>
      <c r="H525" s="131"/>
      <c r="I525" s="131"/>
      <c r="J525" s="131"/>
      <c r="K525" s="131"/>
      <c r="L525" s="131"/>
      <c r="M525" s="318"/>
      <c r="N525" s="61"/>
    </row>
    <row r="526" spans="1:14">
      <c r="B526" s="79" t="s">
        <v>69</v>
      </c>
      <c r="C526" s="71"/>
      <c r="D526" s="164">
        <f>E526</f>
        <v>0</v>
      </c>
      <c r="E526" s="10"/>
      <c r="F526" s="74"/>
      <c r="G526" s="74"/>
      <c r="H526" s="74"/>
      <c r="I526" s="74"/>
      <c r="J526" s="74"/>
      <c r="K526" s="74"/>
      <c r="L526" s="74"/>
      <c r="M526" s="74"/>
      <c r="N526" s="165"/>
    </row>
    <row r="527" spans="1:14">
      <c r="B527" s="79" t="s">
        <v>70</v>
      </c>
      <c r="C527" s="71"/>
      <c r="D527" s="62"/>
      <c r="E527" s="10">
        <f>E511</f>
        <v>0</v>
      </c>
      <c r="F527" s="70">
        <f>E527</f>
        <v>0</v>
      </c>
      <c r="G527" s="74"/>
      <c r="H527" s="74"/>
      <c r="I527" s="74"/>
      <c r="J527" s="74"/>
      <c r="K527" s="74"/>
      <c r="L527" s="74"/>
      <c r="M527" s="74"/>
      <c r="N527" s="165"/>
    </row>
    <row r="528" spans="1:14">
      <c r="B528" s="79" t="s">
        <v>71</v>
      </c>
      <c r="C528" s="71"/>
      <c r="D528" s="62"/>
      <c r="E528" s="70">
        <f>F528</f>
        <v>0</v>
      </c>
      <c r="F528" s="163"/>
      <c r="G528" s="74"/>
      <c r="H528" s="74"/>
      <c r="I528" s="74"/>
      <c r="J528" s="74"/>
      <c r="K528" s="74"/>
      <c r="L528" s="74"/>
      <c r="M528" s="74"/>
      <c r="N528" s="165"/>
    </row>
    <row r="529" spans="2:15">
      <c r="B529" s="79" t="s">
        <v>171</v>
      </c>
      <c r="C529" s="30"/>
      <c r="D529" s="62"/>
      <c r="E529" s="148"/>
      <c r="F529" s="10">
        <f>F511</f>
        <v>0</v>
      </c>
      <c r="G529" s="149">
        <f>F529</f>
        <v>0</v>
      </c>
      <c r="H529" s="74"/>
      <c r="I529" s="74"/>
      <c r="J529" s="74"/>
      <c r="K529" s="74"/>
      <c r="L529" s="74"/>
      <c r="M529" s="74"/>
      <c r="N529" s="165"/>
    </row>
    <row r="530" spans="2:15">
      <c r="B530" s="79" t="s">
        <v>172</v>
      </c>
      <c r="C530" s="30"/>
      <c r="D530" s="62"/>
      <c r="E530" s="148"/>
      <c r="F530" s="70">
        <f>G530</f>
        <v>0</v>
      </c>
      <c r="G530" s="10"/>
      <c r="H530" s="74"/>
      <c r="I530" s="74"/>
      <c r="J530" s="74"/>
      <c r="K530" s="74"/>
      <c r="L530" s="74"/>
      <c r="M530" s="74"/>
      <c r="N530" s="165"/>
    </row>
    <row r="531" spans="2:15">
      <c r="B531" s="79" t="s">
        <v>173</v>
      </c>
      <c r="C531" s="30"/>
      <c r="D531" s="62"/>
      <c r="E531" s="148"/>
      <c r="F531" s="148"/>
      <c r="G531" s="10">
        <f>G511</f>
        <v>0</v>
      </c>
      <c r="H531" s="149">
        <f>G531</f>
        <v>0</v>
      </c>
      <c r="I531" s="148">
        <f>H531</f>
        <v>0</v>
      </c>
      <c r="J531" s="74"/>
      <c r="K531" s="74"/>
      <c r="L531" s="74"/>
      <c r="M531" s="74"/>
      <c r="N531" s="152"/>
    </row>
    <row r="532" spans="2:15">
      <c r="B532" s="79" t="s">
        <v>174</v>
      </c>
      <c r="C532" s="30"/>
      <c r="D532" s="62"/>
      <c r="E532" s="148"/>
      <c r="F532" s="148"/>
      <c r="G532" s="70"/>
      <c r="H532" s="10"/>
      <c r="I532" s="148"/>
      <c r="J532" s="74"/>
      <c r="K532" s="74"/>
      <c r="L532" s="74"/>
      <c r="M532" s="74"/>
      <c r="N532" s="152"/>
    </row>
    <row r="533" spans="2:15">
      <c r="B533" s="79" t="s">
        <v>175</v>
      </c>
      <c r="C533" s="30"/>
      <c r="D533" s="62"/>
      <c r="E533" s="148"/>
      <c r="F533" s="148"/>
      <c r="G533" s="148"/>
      <c r="H533" s="10">
        <v>0</v>
      </c>
      <c r="I533" s="149">
        <f>H533</f>
        <v>0</v>
      </c>
      <c r="J533" s="74"/>
      <c r="K533" s="74"/>
      <c r="L533" s="74"/>
      <c r="M533" s="74"/>
      <c r="N533" s="152"/>
    </row>
    <row r="534" spans="2:15">
      <c r="B534" s="79" t="s">
        <v>176</v>
      </c>
      <c r="C534" s="30"/>
      <c r="D534" s="62"/>
      <c r="E534" s="148"/>
      <c r="F534" s="148"/>
      <c r="G534" s="148"/>
      <c r="H534" s="70"/>
      <c r="I534" s="10"/>
      <c r="J534" s="74"/>
      <c r="K534" s="74"/>
      <c r="L534" s="74"/>
      <c r="M534" s="74"/>
      <c r="N534" s="152"/>
    </row>
    <row r="535" spans="2:15">
      <c r="B535" s="79" t="s">
        <v>177</v>
      </c>
      <c r="C535" s="30"/>
      <c r="D535" s="62"/>
      <c r="E535" s="148"/>
      <c r="F535" s="148"/>
      <c r="G535" s="148"/>
      <c r="H535" s="148"/>
      <c r="I535" s="207">
        <f>I511</f>
        <v>0</v>
      </c>
      <c r="J535" s="150">
        <f>I535</f>
        <v>0</v>
      </c>
      <c r="K535" s="74"/>
      <c r="L535" s="74"/>
      <c r="M535" s="74"/>
      <c r="N535" s="152"/>
    </row>
    <row r="536" spans="2:15">
      <c r="B536" s="79" t="s">
        <v>168</v>
      </c>
      <c r="C536" s="30"/>
      <c r="D536" s="62"/>
      <c r="E536" s="148"/>
      <c r="F536" s="148"/>
      <c r="G536" s="148"/>
      <c r="H536" s="148"/>
      <c r="I536" s="208"/>
      <c r="J536" s="151"/>
      <c r="K536" s="74"/>
      <c r="L536" s="74"/>
      <c r="M536" s="74"/>
      <c r="N536" s="152"/>
    </row>
    <row r="537" spans="2:15">
      <c r="B537" s="79" t="s">
        <v>169</v>
      </c>
      <c r="C537" s="30"/>
      <c r="D537" s="62"/>
      <c r="E537" s="148"/>
      <c r="F537" s="148"/>
      <c r="G537" s="148"/>
      <c r="H537" s="148"/>
      <c r="I537" s="148"/>
      <c r="J537" s="151">
        <f>J511</f>
        <v>0</v>
      </c>
      <c r="K537" s="150">
        <f>J537</f>
        <v>0</v>
      </c>
      <c r="L537" s="74"/>
      <c r="M537" s="74"/>
      <c r="N537" s="152"/>
    </row>
    <row r="538" spans="2:15">
      <c r="B538" s="79" t="s">
        <v>186</v>
      </c>
      <c r="C538" s="30"/>
      <c r="D538" s="62"/>
      <c r="E538" s="148"/>
      <c r="F538" s="148"/>
      <c r="G538" s="148"/>
      <c r="H538" s="148"/>
      <c r="I538" s="148"/>
      <c r="J538" s="228"/>
      <c r="K538" s="151"/>
      <c r="L538" s="74"/>
      <c r="M538" s="74"/>
      <c r="N538" s="152"/>
    </row>
    <row r="539" spans="2:15">
      <c r="B539" s="79" t="s">
        <v>187</v>
      </c>
      <c r="C539" s="30"/>
      <c r="D539" s="62"/>
      <c r="E539" s="148"/>
      <c r="F539" s="148"/>
      <c r="G539" s="148"/>
      <c r="H539" s="148"/>
      <c r="I539" s="148"/>
      <c r="J539" s="148"/>
      <c r="K539" s="151">
        <f>K511</f>
        <v>0</v>
      </c>
      <c r="L539" s="150">
        <f>K539</f>
        <v>0</v>
      </c>
      <c r="M539" s="74"/>
      <c r="N539" s="152"/>
    </row>
    <row r="540" spans="2:15">
      <c r="B540" s="79" t="s">
        <v>188</v>
      </c>
      <c r="C540" s="30"/>
      <c r="D540" s="62"/>
      <c r="E540" s="148"/>
      <c r="F540" s="148"/>
      <c r="G540" s="148"/>
      <c r="H540" s="148"/>
      <c r="I540" s="148"/>
      <c r="J540" s="148"/>
      <c r="K540" s="228"/>
      <c r="L540" s="151"/>
      <c r="M540" s="74"/>
      <c r="N540" s="152"/>
    </row>
    <row r="541" spans="2:15">
      <c r="B541" s="79" t="s">
        <v>189</v>
      </c>
      <c r="C541" s="30"/>
      <c r="D541" s="62"/>
      <c r="E541" s="148"/>
      <c r="F541" s="148"/>
      <c r="G541" s="148"/>
      <c r="H541" s="148"/>
      <c r="I541" s="148"/>
      <c r="J541" s="148"/>
      <c r="K541" s="148"/>
      <c r="L541" s="151"/>
      <c r="M541" s="70"/>
      <c r="N541" s="152"/>
    </row>
    <row r="542" spans="2:15">
      <c r="B542" s="79" t="s">
        <v>190</v>
      </c>
      <c r="C542" s="30"/>
      <c r="D542" s="62"/>
      <c r="E542" s="148"/>
      <c r="F542" s="148"/>
      <c r="G542" s="148"/>
      <c r="H542" s="148"/>
      <c r="I542" s="148"/>
      <c r="J542" s="148"/>
      <c r="K542" s="148"/>
      <c r="L542" s="228"/>
      <c r="M542" s="278"/>
      <c r="N542" s="178"/>
      <c r="O542" s="30"/>
    </row>
    <row r="543" spans="2:15">
      <c r="B543" s="79" t="s">
        <v>191</v>
      </c>
      <c r="C543" s="30"/>
      <c r="D543" s="62"/>
      <c r="E543" s="148"/>
      <c r="F543" s="148"/>
      <c r="G543" s="148"/>
      <c r="H543" s="148"/>
      <c r="I543" s="148"/>
      <c r="J543" s="148"/>
      <c r="K543" s="148"/>
      <c r="L543" s="148"/>
      <c r="M543" s="278">
        <v>0</v>
      </c>
      <c r="N543" s="150">
        <f>M543</f>
        <v>0</v>
      </c>
      <c r="O543" s="30"/>
    </row>
    <row r="544" spans="2:15">
      <c r="B544" s="79" t="s">
        <v>201</v>
      </c>
      <c r="C544" s="30"/>
      <c r="D544" s="62"/>
      <c r="E544" s="148"/>
      <c r="F544" s="148"/>
      <c r="G544" s="148"/>
      <c r="H544" s="148"/>
      <c r="I544" s="148"/>
      <c r="J544" s="148"/>
      <c r="K544" s="148"/>
      <c r="L544" s="148"/>
      <c r="M544" s="150">
        <v>20000</v>
      </c>
      <c r="N544" s="151">
        <v>20000</v>
      </c>
      <c r="O544" s="30"/>
    </row>
    <row r="545" spans="1:15">
      <c r="B545" s="79" t="s">
        <v>202</v>
      </c>
      <c r="C545" s="30"/>
      <c r="D545" s="63"/>
      <c r="E545" s="133"/>
      <c r="F545" s="133"/>
      <c r="G545" s="133"/>
      <c r="H545" s="133"/>
      <c r="I545" s="133"/>
      <c r="J545" s="133"/>
      <c r="K545" s="133"/>
      <c r="L545" s="133"/>
      <c r="M545" s="133"/>
      <c r="N545" s="153">
        <v>0</v>
      </c>
      <c r="O545" s="30"/>
    </row>
    <row r="546" spans="1:15">
      <c r="B546" s="33" t="s">
        <v>17</v>
      </c>
      <c r="D546" s="218"/>
      <c r="E546" s="218"/>
      <c r="F546" s="218"/>
      <c r="G546" s="218"/>
      <c r="H546" s="218"/>
      <c r="I546" s="218"/>
      <c r="J546" s="218">
        <f>J535-J536-J537</f>
        <v>0</v>
      </c>
      <c r="K546" s="218">
        <f>K537-K538-K539</f>
        <v>0</v>
      </c>
      <c r="L546" s="218">
        <f>L539-L540-L541+L542</f>
        <v>0</v>
      </c>
      <c r="M546" s="218">
        <f>M544</f>
        <v>20000</v>
      </c>
      <c r="N546" s="218">
        <f>N544*-1</f>
        <v>-20000</v>
      </c>
    </row>
    <row r="547" spans="1:15">
      <c r="B547" s="6"/>
      <c r="D547" s="218"/>
      <c r="E547" s="218"/>
      <c r="F547" s="218"/>
      <c r="G547" s="218"/>
      <c r="H547" s="218"/>
      <c r="I547" s="218"/>
      <c r="J547" s="218"/>
      <c r="K547" s="218"/>
      <c r="L547" s="218"/>
      <c r="M547" s="218"/>
      <c r="N547" s="218"/>
    </row>
    <row r="548" spans="1:15">
      <c r="B548" s="76" t="s">
        <v>12</v>
      </c>
      <c r="C548" s="71"/>
      <c r="D548" s="219"/>
      <c r="E548" s="220"/>
      <c r="F548" s="220"/>
      <c r="G548" s="220"/>
      <c r="H548" s="220"/>
      <c r="I548" s="220"/>
      <c r="J548" s="220"/>
      <c r="K548" s="220"/>
      <c r="L548" s="220"/>
      <c r="M548" s="220"/>
      <c r="N548" s="220"/>
    </row>
    <row r="549" spans="1:15">
      <c r="B549" s="6"/>
      <c r="D549" s="239"/>
      <c r="E549" s="238"/>
      <c r="F549" s="238"/>
      <c r="G549" s="238"/>
      <c r="H549" s="238"/>
      <c r="I549" s="238"/>
      <c r="J549" s="238"/>
      <c r="K549" s="238"/>
      <c r="L549" s="238"/>
      <c r="M549" s="238"/>
      <c r="N549" s="238"/>
    </row>
    <row r="550" spans="1:15" ht="18.5">
      <c r="A550" s="41" t="s">
        <v>26</v>
      </c>
      <c r="C550" s="30"/>
      <c r="D550" s="221">
        <f t="shared" ref="D550:M550" si="261" xml:space="preserve"> D511 + D516 - D522 + D546 + D548</f>
        <v>0</v>
      </c>
      <c r="E550" s="222">
        <f t="shared" si="261"/>
        <v>0</v>
      </c>
      <c r="F550" s="222">
        <f t="shared" si="261"/>
        <v>0</v>
      </c>
      <c r="G550" s="222">
        <f t="shared" si="261"/>
        <v>0</v>
      </c>
      <c r="H550" s="222">
        <f t="shared" si="261"/>
        <v>0</v>
      </c>
      <c r="I550" s="222">
        <f t="shared" si="261"/>
        <v>0</v>
      </c>
      <c r="J550" s="222">
        <f t="shared" si="261"/>
        <v>0</v>
      </c>
      <c r="K550" s="222">
        <f t="shared" si="261"/>
        <v>0</v>
      </c>
      <c r="L550" s="222">
        <f t="shared" si="261"/>
        <v>0</v>
      </c>
      <c r="M550" s="222">
        <f t="shared" si="261"/>
        <v>20000</v>
      </c>
      <c r="N550" s="222">
        <f xml:space="preserve"> N511+N546</f>
        <v>39795.672433452368</v>
      </c>
    </row>
    <row r="551" spans="1:15" ht="15" thickBot="1"/>
    <row r="552" spans="1:15" ht="15" thickBot="1">
      <c r="A552" s="8"/>
      <c r="B552" s="8"/>
      <c r="C552" s="8"/>
      <c r="D552" s="8"/>
      <c r="E552" s="8"/>
      <c r="F552" s="8"/>
      <c r="G552" s="8"/>
      <c r="H552" s="8"/>
      <c r="I552" s="8"/>
      <c r="J552" s="8"/>
      <c r="K552" s="8"/>
      <c r="L552" s="8"/>
      <c r="M552" s="8"/>
      <c r="N552" s="8"/>
    </row>
    <row r="553" spans="1:15" ht="21.5" thickBot="1">
      <c r="A553" s="13" t="s">
        <v>4</v>
      </c>
      <c r="B553" s="13"/>
      <c r="C553" s="313" t="s">
        <v>214</v>
      </c>
      <c r="D553" s="310"/>
      <c r="E553" s="23"/>
      <c r="F553" s="23"/>
    </row>
    <row r="555" spans="1:15" ht="18.5">
      <c r="A555" s="9" t="s">
        <v>21</v>
      </c>
      <c r="B555" s="9"/>
      <c r="D555" s="2">
        <v>2011</v>
      </c>
      <c r="E555" s="2">
        <f>D555+1</f>
        <v>2012</v>
      </c>
      <c r="F555" s="2">
        <f t="shared" ref="F555" si="262">E555+1</f>
        <v>2013</v>
      </c>
      <c r="G555" s="2">
        <f t="shared" ref="G555" si="263">F555+1</f>
        <v>2014</v>
      </c>
      <c r="H555" s="2">
        <f t="shared" ref="H555" si="264">G555+1</f>
        <v>2015</v>
      </c>
      <c r="I555" s="2">
        <f t="shared" ref="I555" si="265">H555+1</f>
        <v>2016</v>
      </c>
      <c r="J555" s="2">
        <f t="shared" ref="J555" si="266">I555+1</f>
        <v>2017</v>
      </c>
      <c r="K555" s="2">
        <f t="shared" ref="K555" si="267">J555+1</f>
        <v>2018</v>
      </c>
      <c r="L555" s="2">
        <f t="shared" ref="L555" si="268">K555+1</f>
        <v>2019</v>
      </c>
      <c r="M555" s="2">
        <f t="shared" ref="M555" si="269">L555+1</f>
        <v>2020</v>
      </c>
      <c r="N555" s="2">
        <f t="shared" ref="N555" si="270">M555+1</f>
        <v>2021</v>
      </c>
    </row>
    <row r="556" spans="1:15">
      <c r="B556" s="79" t="str">
        <f>"Total MWh Produced / Purchased from " &amp; C553</f>
        <v>Total MWh Produced / Purchased from Cedar Springs Wind III</v>
      </c>
      <c r="C556" s="71"/>
      <c r="D556" s="3"/>
      <c r="E556" s="4"/>
      <c r="F556" s="4"/>
      <c r="G556" s="4"/>
      <c r="H556" s="4"/>
      <c r="I556" s="4"/>
      <c r="J556" s="4">
        <v>0</v>
      </c>
      <c r="K556" s="4"/>
      <c r="L556" s="4"/>
      <c r="M556" s="230"/>
      <c r="N556" s="4">
        <v>494507</v>
      </c>
    </row>
    <row r="557" spans="1:15">
      <c r="B557" s="79" t="s">
        <v>25</v>
      </c>
      <c r="C557" s="71"/>
      <c r="D557" s="54"/>
      <c r="E557" s="55"/>
      <c r="F557" s="55"/>
      <c r="G557" s="55"/>
      <c r="H557" s="55"/>
      <c r="I557" s="55"/>
      <c r="J557" s="55"/>
      <c r="K557" s="55"/>
      <c r="L557" s="55"/>
      <c r="M557" s="234"/>
      <c r="N557" s="55">
        <v>1</v>
      </c>
    </row>
    <row r="558" spans="1:15">
      <c r="B558" s="79" t="s">
        <v>20</v>
      </c>
      <c r="C558" s="71"/>
      <c r="D558" s="48"/>
      <c r="E558" s="49"/>
      <c r="F558" s="49"/>
      <c r="G558" s="49"/>
      <c r="H558" s="49"/>
      <c r="I558" s="49"/>
      <c r="J558" s="49"/>
      <c r="K558" s="49"/>
      <c r="L558" s="49"/>
      <c r="M558" s="243"/>
      <c r="N558" s="49">
        <f>N510</f>
        <v>8.0780946790754593E-2</v>
      </c>
    </row>
    <row r="559" spans="1:15">
      <c r="B559" s="76" t="s">
        <v>22</v>
      </c>
      <c r="C559" s="77"/>
      <c r="D559" s="37">
        <v>0</v>
      </c>
      <c r="E559" s="37">
        <v>0</v>
      </c>
      <c r="F559" s="37">
        <v>0</v>
      </c>
      <c r="G559" s="37">
        <v>0</v>
      </c>
      <c r="H559" s="37">
        <v>0</v>
      </c>
      <c r="I559" s="37">
        <v>0</v>
      </c>
      <c r="J559" s="37">
        <f>J556*J558</f>
        <v>0</v>
      </c>
      <c r="K559" s="37">
        <f>K556*K558</f>
        <v>0</v>
      </c>
      <c r="L559" s="37">
        <f>L556*L558</f>
        <v>0</v>
      </c>
      <c r="M559" s="37">
        <f>M556*M558</f>
        <v>0</v>
      </c>
      <c r="N559" s="37">
        <f>N556*N558</f>
        <v>39946.743654655678</v>
      </c>
    </row>
    <row r="560" spans="1:15">
      <c r="B560" s="23"/>
      <c r="C560" s="30"/>
      <c r="D560" s="36"/>
      <c r="E560" s="36"/>
      <c r="F560" s="36"/>
      <c r="G560" s="36"/>
      <c r="H560" s="36"/>
      <c r="I560" s="36"/>
      <c r="J560" s="36"/>
      <c r="K560" s="36"/>
      <c r="L560" s="36"/>
      <c r="M560" s="36"/>
      <c r="N560" s="36"/>
    </row>
    <row r="561" spans="1:14" ht="18.5">
      <c r="A561" s="42" t="s">
        <v>119</v>
      </c>
      <c r="C561" s="30"/>
      <c r="D561" s="2">
        <v>2011</v>
      </c>
      <c r="E561" s="2">
        <f>D561+1</f>
        <v>2012</v>
      </c>
      <c r="F561" s="2">
        <f t="shared" ref="F561" si="271">E561+1</f>
        <v>2013</v>
      </c>
      <c r="G561" s="2">
        <f t="shared" ref="G561" si="272">F561+1</f>
        <v>2014</v>
      </c>
      <c r="H561" s="2">
        <f t="shared" ref="H561" si="273">G561+1</f>
        <v>2015</v>
      </c>
      <c r="I561" s="2">
        <f t="shared" ref="I561" si="274">H561+1</f>
        <v>2016</v>
      </c>
      <c r="J561" s="2">
        <f t="shared" ref="J561" si="275">I561+1</f>
        <v>2017</v>
      </c>
      <c r="K561" s="2">
        <f t="shared" ref="K561" si="276">J561+1</f>
        <v>2018</v>
      </c>
      <c r="L561" s="2">
        <f t="shared" ref="L561" si="277">K561+1</f>
        <v>2019</v>
      </c>
      <c r="M561" s="2">
        <f t="shared" ref="M561" si="278">L561+1</f>
        <v>2020</v>
      </c>
      <c r="N561" s="2">
        <f t="shared" ref="N561" si="279">M561+1</f>
        <v>2021</v>
      </c>
    </row>
    <row r="562" spans="1:14">
      <c r="B562" s="79" t="s">
        <v>10</v>
      </c>
      <c r="C562" s="71"/>
      <c r="D562" s="51">
        <f>IF($E12 = "Eligible", D559 * 'Facility Detail'!$B$3079, 0 )</f>
        <v>0</v>
      </c>
      <c r="E562" s="51">
        <f>IF($E12 = "Eligible", E559 * 'Facility Detail'!$B$3079, 0 )</f>
        <v>0</v>
      </c>
      <c r="F562" s="51">
        <f>IF($E12 = "Eligible", F559 * 'Facility Detail'!$B$3079, 0 )</f>
        <v>0</v>
      </c>
      <c r="G562" s="51">
        <f>IF($E12 = "Eligible", G559 * 'Facility Detail'!$B$3079, 0 )</f>
        <v>0</v>
      </c>
      <c r="H562" s="51">
        <f>IF($E12 = "Eligible", H559 * 'Facility Detail'!$B$3079, 0 )</f>
        <v>0</v>
      </c>
      <c r="I562" s="51">
        <f>IF($E12 = "Eligible", I559 * 'Facility Detail'!$B$3079, 0 )</f>
        <v>0</v>
      </c>
      <c r="J562" s="51">
        <f>IF($E12 = "Eligible", J559 * 'Facility Detail'!$B$3079, 0 )</f>
        <v>0</v>
      </c>
      <c r="K562" s="51">
        <f>IF($E12 = "Eligible", K559 * 'Facility Detail'!$B$3079, 0 )</f>
        <v>0</v>
      </c>
      <c r="L562" s="51">
        <f>IF($E12 = "Eligible", L559 * 'Facility Detail'!$B$3079, 0 )</f>
        <v>0</v>
      </c>
      <c r="M562" s="51">
        <f>IF($E12 = "Eligible", M559 * 'Facility Detail'!$B$3079, 0 )</f>
        <v>0</v>
      </c>
      <c r="N562" s="51">
        <f>IF($E12 = "Eligible", N559 * 'Facility Detail'!$B$3079, 0 )</f>
        <v>0</v>
      </c>
    </row>
    <row r="563" spans="1:14">
      <c r="B563" s="79" t="s">
        <v>6</v>
      </c>
      <c r="C563" s="71"/>
      <c r="D563" s="52">
        <f t="shared" ref="D563:N563" si="280">IF($F12= "Eligible", D559, 0 )</f>
        <v>0</v>
      </c>
      <c r="E563" s="52">
        <f t="shared" si="280"/>
        <v>0</v>
      </c>
      <c r="F563" s="52">
        <f t="shared" si="280"/>
        <v>0</v>
      </c>
      <c r="G563" s="52">
        <f t="shared" si="280"/>
        <v>0</v>
      </c>
      <c r="H563" s="52">
        <f t="shared" si="280"/>
        <v>0</v>
      </c>
      <c r="I563" s="52">
        <f t="shared" si="280"/>
        <v>0</v>
      </c>
      <c r="J563" s="52">
        <f t="shared" si="280"/>
        <v>0</v>
      </c>
      <c r="K563" s="52">
        <f t="shared" si="280"/>
        <v>0</v>
      </c>
      <c r="L563" s="52">
        <f t="shared" si="280"/>
        <v>0</v>
      </c>
      <c r="M563" s="52">
        <f t="shared" si="280"/>
        <v>0</v>
      </c>
      <c r="N563" s="52">
        <f t="shared" si="280"/>
        <v>0</v>
      </c>
    </row>
    <row r="564" spans="1:14">
      <c r="B564" s="78" t="s">
        <v>121</v>
      </c>
      <c r="C564" s="77"/>
      <c r="D564" s="39">
        <f>SUM(D562:D563)</f>
        <v>0</v>
      </c>
      <c r="E564" s="39">
        <f t="shared" ref="E564:N564" si="281">SUM(E562:E563)</f>
        <v>0</v>
      </c>
      <c r="F564" s="39">
        <f t="shared" si="281"/>
        <v>0</v>
      </c>
      <c r="G564" s="39">
        <f t="shared" si="281"/>
        <v>0</v>
      </c>
      <c r="H564" s="39">
        <f t="shared" si="281"/>
        <v>0</v>
      </c>
      <c r="I564" s="39">
        <f t="shared" si="281"/>
        <v>0</v>
      </c>
      <c r="J564" s="39">
        <f t="shared" si="281"/>
        <v>0</v>
      </c>
      <c r="K564" s="39">
        <f t="shared" si="281"/>
        <v>0</v>
      </c>
      <c r="L564" s="39">
        <f t="shared" si="281"/>
        <v>0</v>
      </c>
      <c r="M564" s="39">
        <f t="shared" si="281"/>
        <v>0</v>
      </c>
      <c r="N564" s="39">
        <f t="shared" si="281"/>
        <v>0</v>
      </c>
    </row>
    <row r="565" spans="1:14">
      <c r="B565" s="30"/>
      <c r="C565" s="30"/>
      <c r="D565" s="38"/>
      <c r="E565" s="31"/>
      <c r="F565" s="31"/>
      <c r="G565" s="31"/>
      <c r="H565" s="31"/>
      <c r="I565" s="31"/>
      <c r="J565" s="31"/>
      <c r="K565" s="31"/>
      <c r="L565" s="31"/>
      <c r="M565" s="31"/>
      <c r="N565" s="31"/>
    </row>
    <row r="566" spans="1:14" ht="18.5">
      <c r="A566" s="41" t="s">
        <v>30</v>
      </c>
      <c r="C566" s="30"/>
      <c r="D566" s="2">
        <v>2011</v>
      </c>
      <c r="E566" s="2">
        <f>D566+1</f>
        <v>2012</v>
      </c>
      <c r="F566" s="2">
        <f t="shared" ref="F566" si="282">E566+1</f>
        <v>2013</v>
      </c>
      <c r="G566" s="2">
        <f t="shared" ref="G566" si="283">F566+1</f>
        <v>2014</v>
      </c>
      <c r="H566" s="2">
        <f t="shared" ref="H566" si="284">G566+1</f>
        <v>2015</v>
      </c>
      <c r="I566" s="2">
        <f t="shared" ref="I566" si="285">H566+1</f>
        <v>2016</v>
      </c>
      <c r="J566" s="2">
        <f t="shared" ref="J566" si="286">I566+1</f>
        <v>2017</v>
      </c>
      <c r="K566" s="2">
        <f t="shared" ref="K566" si="287">J566+1</f>
        <v>2018</v>
      </c>
      <c r="L566" s="2">
        <f t="shared" ref="L566" si="288">K566+1</f>
        <v>2019</v>
      </c>
      <c r="M566" s="2">
        <f t="shared" ref="M566" si="289">L566+1</f>
        <v>2020</v>
      </c>
      <c r="N566" s="2">
        <f t="shared" ref="N566" si="290">M566+1</f>
        <v>2021</v>
      </c>
    </row>
    <row r="567" spans="1:14">
      <c r="B567" s="79" t="s">
        <v>47</v>
      </c>
      <c r="C567" s="71"/>
      <c r="D567" s="89"/>
      <c r="E567" s="90"/>
      <c r="F567" s="90"/>
      <c r="G567" s="90"/>
      <c r="H567" s="90"/>
      <c r="I567" s="90"/>
      <c r="J567" s="90"/>
      <c r="K567" s="90"/>
      <c r="L567" s="90"/>
      <c r="M567" s="90"/>
      <c r="N567" s="90"/>
    </row>
    <row r="568" spans="1:14">
      <c r="B568" s="80" t="s">
        <v>23</v>
      </c>
      <c r="C568" s="175"/>
      <c r="D568" s="92"/>
      <c r="E568" s="93"/>
      <c r="F568" s="93"/>
      <c r="G568" s="93"/>
      <c r="H568" s="93"/>
      <c r="I568" s="93"/>
      <c r="J568" s="93"/>
      <c r="K568" s="93"/>
      <c r="L568" s="93"/>
      <c r="M568" s="93"/>
      <c r="N568" s="93"/>
    </row>
    <row r="569" spans="1:14">
      <c r="B569" s="95" t="s">
        <v>89</v>
      </c>
      <c r="C569" s="173"/>
      <c r="D569" s="57"/>
      <c r="E569" s="58"/>
      <c r="F569" s="58"/>
      <c r="G569" s="58"/>
      <c r="H569" s="58"/>
      <c r="I569" s="58"/>
      <c r="J569" s="58"/>
      <c r="K569" s="58"/>
      <c r="L569" s="58"/>
      <c r="M569" s="58"/>
      <c r="N569" s="58"/>
    </row>
    <row r="570" spans="1:14">
      <c r="B570" s="33" t="s">
        <v>90</v>
      </c>
      <c r="D570" s="7">
        <v>0</v>
      </c>
      <c r="E570" s="7">
        <v>0</v>
      </c>
      <c r="F570" s="7">
        <v>0</v>
      </c>
      <c r="G570" s="7">
        <v>0</v>
      </c>
      <c r="H570" s="7">
        <v>0</v>
      </c>
      <c r="I570" s="7">
        <v>0</v>
      </c>
      <c r="J570" s="7">
        <v>0</v>
      </c>
      <c r="K570" s="7">
        <v>0</v>
      </c>
      <c r="L570" s="7">
        <v>0</v>
      </c>
      <c r="M570" s="7">
        <v>0</v>
      </c>
      <c r="N570" s="7">
        <v>0</v>
      </c>
    </row>
    <row r="571" spans="1:14">
      <c r="B571" s="6"/>
      <c r="D571" s="7"/>
      <c r="E571" s="7"/>
      <c r="F571" s="7"/>
      <c r="G571" s="28"/>
      <c r="H571" s="28"/>
      <c r="I571" s="28"/>
      <c r="J571" s="28"/>
      <c r="K571" s="28"/>
      <c r="L571" s="28"/>
      <c r="M571" s="28"/>
      <c r="N571" s="28"/>
    </row>
    <row r="572" spans="1:14" ht="18.5">
      <c r="A572" s="9" t="s">
        <v>100</v>
      </c>
      <c r="D572" s="2">
        <f>'Facility Detail'!$B$3082</f>
        <v>2011</v>
      </c>
      <c r="E572" s="2">
        <f>D572+1</f>
        <v>2012</v>
      </c>
      <c r="F572" s="2">
        <f t="shared" ref="F572" si="291">E572+1</f>
        <v>2013</v>
      </c>
      <c r="G572" s="2">
        <f t="shared" ref="G572" si="292">F572+1</f>
        <v>2014</v>
      </c>
      <c r="H572" s="2">
        <f t="shared" ref="H572" si="293">G572+1</f>
        <v>2015</v>
      </c>
      <c r="I572" s="2">
        <f t="shared" ref="I572" si="294">H572+1</f>
        <v>2016</v>
      </c>
      <c r="J572" s="2">
        <f t="shared" ref="J572" si="295">I572+1</f>
        <v>2017</v>
      </c>
      <c r="K572" s="2">
        <f t="shared" ref="K572" si="296">J572+1</f>
        <v>2018</v>
      </c>
      <c r="L572" s="2">
        <f t="shared" ref="L572" si="297">K572+1</f>
        <v>2019</v>
      </c>
      <c r="M572" s="169">
        <f t="shared" ref="M572" si="298">L572+1</f>
        <v>2020</v>
      </c>
      <c r="N572" s="2">
        <f t="shared" ref="N572" si="299">M572+1</f>
        <v>2021</v>
      </c>
    </row>
    <row r="573" spans="1:14">
      <c r="B573" s="79" t="s">
        <v>68</v>
      </c>
      <c r="C573" s="71"/>
      <c r="D573" s="3"/>
      <c r="E573" s="60">
        <f>D573</f>
        <v>0</v>
      </c>
      <c r="F573" s="131"/>
      <c r="G573" s="131"/>
      <c r="H573" s="131"/>
      <c r="I573" s="131"/>
      <c r="J573" s="131"/>
      <c r="K573" s="131"/>
      <c r="L573" s="131"/>
      <c r="M573" s="318"/>
      <c r="N573" s="61"/>
    </row>
    <row r="574" spans="1:14">
      <c r="B574" s="79" t="s">
        <v>69</v>
      </c>
      <c r="C574" s="71"/>
      <c r="D574" s="164">
        <f>E574</f>
        <v>0</v>
      </c>
      <c r="E574" s="10"/>
      <c r="F574" s="74"/>
      <c r="G574" s="74"/>
      <c r="H574" s="74"/>
      <c r="I574" s="74"/>
      <c r="J574" s="74"/>
      <c r="K574" s="74"/>
      <c r="L574" s="74"/>
      <c r="M574" s="74"/>
      <c r="N574" s="165"/>
    </row>
    <row r="575" spans="1:14">
      <c r="B575" s="79" t="s">
        <v>70</v>
      </c>
      <c r="C575" s="71"/>
      <c r="D575" s="62"/>
      <c r="E575" s="10">
        <f>E559</f>
        <v>0</v>
      </c>
      <c r="F575" s="70">
        <f>E575</f>
        <v>0</v>
      </c>
      <c r="G575" s="74"/>
      <c r="H575" s="74"/>
      <c r="I575" s="74"/>
      <c r="J575" s="74"/>
      <c r="K575" s="74"/>
      <c r="L575" s="74"/>
      <c r="M575" s="74"/>
      <c r="N575" s="165"/>
    </row>
    <row r="576" spans="1:14">
      <c r="B576" s="79" t="s">
        <v>71</v>
      </c>
      <c r="C576" s="71"/>
      <c r="D576" s="62"/>
      <c r="E576" s="70">
        <f>F576</f>
        <v>0</v>
      </c>
      <c r="F576" s="163"/>
      <c r="G576" s="74"/>
      <c r="H576" s="74"/>
      <c r="I576" s="74"/>
      <c r="J576" s="74"/>
      <c r="K576" s="74"/>
      <c r="L576" s="74"/>
      <c r="M576" s="74"/>
      <c r="N576" s="165"/>
    </row>
    <row r="577" spans="2:15">
      <c r="B577" s="79" t="s">
        <v>171</v>
      </c>
      <c r="C577" s="30"/>
      <c r="D577" s="62"/>
      <c r="E577" s="148"/>
      <c r="F577" s="10">
        <f>F559</f>
        <v>0</v>
      </c>
      <c r="G577" s="149">
        <f>F577</f>
        <v>0</v>
      </c>
      <c r="H577" s="74"/>
      <c r="I577" s="74"/>
      <c r="J577" s="74"/>
      <c r="K577" s="74"/>
      <c r="L577" s="74"/>
      <c r="M577" s="74"/>
      <c r="N577" s="165"/>
    </row>
    <row r="578" spans="2:15">
      <c r="B578" s="79" t="s">
        <v>172</v>
      </c>
      <c r="C578" s="30"/>
      <c r="D578" s="62"/>
      <c r="E578" s="148"/>
      <c r="F578" s="70">
        <f>G578</f>
        <v>0</v>
      </c>
      <c r="G578" s="10"/>
      <c r="H578" s="74"/>
      <c r="I578" s="74"/>
      <c r="J578" s="74"/>
      <c r="K578" s="74"/>
      <c r="L578" s="74"/>
      <c r="M578" s="74"/>
      <c r="N578" s="165"/>
    </row>
    <row r="579" spans="2:15">
      <c r="B579" s="79" t="s">
        <v>173</v>
      </c>
      <c r="C579" s="30"/>
      <c r="D579" s="62"/>
      <c r="E579" s="148"/>
      <c r="F579" s="148"/>
      <c r="G579" s="10">
        <f>G559</f>
        <v>0</v>
      </c>
      <c r="H579" s="149">
        <f>G579</f>
        <v>0</v>
      </c>
      <c r="I579" s="148">
        <f>H579</f>
        <v>0</v>
      </c>
      <c r="J579" s="74"/>
      <c r="K579" s="74"/>
      <c r="L579" s="74"/>
      <c r="M579" s="74"/>
      <c r="N579" s="152"/>
    </row>
    <row r="580" spans="2:15">
      <c r="B580" s="79" t="s">
        <v>174</v>
      </c>
      <c r="C580" s="30"/>
      <c r="D580" s="62"/>
      <c r="E580" s="148"/>
      <c r="F580" s="148"/>
      <c r="G580" s="70"/>
      <c r="H580" s="10"/>
      <c r="I580" s="148"/>
      <c r="J580" s="74"/>
      <c r="K580" s="74"/>
      <c r="L580" s="74"/>
      <c r="M580" s="74"/>
      <c r="N580" s="152"/>
    </row>
    <row r="581" spans="2:15">
      <c r="B581" s="79" t="s">
        <v>175</v>
      </c>
      <c r="C581" s="30"/>
      <c r="D581" s="62"/>
      <c r="E581" s="148"/>
      <c r="F581" s="148"/>
      <c r="G581" s="148"/>
      <c r="H581" s="10">
        <v>0</v>
      </c>
      <c r="I581" s="149">
        <f>H581</f>
        <v>0</v>
      </c>
      <c r="J581" s="74"/>
      <c r="K581" s="74"/>
      <c r="L581" s="74"/>
      <c r="M581" s="74"/>
      <c r="N581" s="152"/>
    </row>
    <row r="582" spans="2:15">
      <c r="B582" s="79" t="s">
        <v>176</v>
      </c>
      <c r="C582" s="30"/>
      <c r="D582" s="62"/>
      <c r="E582" s="148"/>
      <c r="F582" s="148"/>
      <c r="G582" s="148"/>
      <c r="H582" s="70"/>
      <c r="I582" s="10"/>
      <c r="J582" s="74"/>
      <c r="K582" s="74"/>
      <c r="L582" s="74"/>
      <c r="M582" s="74"/>
      <c r="N582" s="152"/>
    </row>
    <row r="583" spans="2:15">
      <c r="B583" s="79" t="s">
        <v>177</v>
      </c>
      <c r="C583" s="30"/>
      <c r="D583" s="62"/>
      <c r="E583" s="148"/>
      <c r="F583" s="148"/>
      <c r="G583" s="148"/>
      <c r="H583" s="148"/>
      <c r="I583" s="207">
        <f>I559</f>
        <v>0</v>
      </c>
      <c r="J583" s="150">
        <f>I583</f>
        <v>0</v>
      </c>
      <c r="K583" s="74"/>
      <c r="L583" s="74"/>
      <c r="M583" s="74"/>
      <c r="N583" s="152"/>
    </row>
    <row r="584" spans="2:15">
      <c r="B584" s="79" t="s">
        <v>168</v>
      </c>
      <c r="C584" s="30"/>
      <c r="D584" s="62"/>
      <c r="E584" s="148"/>
      <c r="F584" s="148"/>
      <c r="G584" s="148"/>
      <c r="H584" s="148"/>
      <c r="I584" s="208"/>
      <c r="J584" s="151"/>
      <c r="K584" s="74"/>
      <c r="L584" s="74"/>
      <c r="M584" s="74"/>
      <c r="N584" s="152"/>
    </row>
    <row r="585" spans="2:15">
      <c r="B585" s="79" t="s">
        <v>169</v>
      </c>
      <c r="C585" s="30"/>
      <c r="D585" s="62"/>
      <c r="E585" s="148"/>
      <c r="F585" s="148"/>
      <c r="G585" s="148"/>
      <c r="H585" s="148"/>
      <c r="I585" s="148"/>
      <c r="J585" s="151">
        <f>J559</f>
        <v>0</v>
      </c>
      <c r="K585" s="150">
        <f>J585</f>
        <v>0</v>
      </c>
      <c r="L585" s="74"/>
      <c r="M585" s="74"/>
      <c r="N585" s="152"/>
    </row>
    <row r="586" spans="2:15">
      <c r="B586" s="79" t="s">
        <v>186</v>
      </c>
      <c r="C586" s="30"/>
      <c r="D586" s="62"/>
      <c r="E586" s="148"/>
      <c r="F586" s="148"/>
      <c r="G586" s="148"/>
      <c r="H586" s="148"/>
      <c r="I586" s="148"/>
      <c r="J586" s="228"/>
      <c r="K586" s="151"/>
      <c r="L586" s="74"/>
      <c r="M586" s="74"/>
      <c r="N586" s="152"/>
    </row>
    <row r="587" spans="2:15">
      <c r="B587" s="79" t="s">
        <v>187</v>
      </c>
      <c r="C587" s="30"/>
      <c r="D587" s="62"/>
      <c r="E587" s="148"/>
      <c r="F587" s="148"/>
      <c r="G587" s="148"/>
      <c r="H587" s="148"/>
      <c r="I587" s="148"/>
      <c r="J587" s="148"/>
      <c r="K587" s="151">
        <f>K559</f>
        <v>0</v>
      </c>
      <c r="L587" s="150">
        <f>K587</f>
        <v>0</v>
      </c>
      <c r="M587" s="74"/>
      <c r="N587" s="152"/>
    </row>
    <row r="588" spans="2:15">
      <c r="B588" s="79" t="s">
        <v>188</v>
      </c>
      <c r="C588" s="30"/>
      <c r="D588" s="62"/>
      <c r="E588" s="148"/>
      <c r="F588" s="148"/>
      <c r="G588" s="148"/>
      <c r="H588" s="148"/>
      <c r="I588" s="148"/>
      <c r="J588" s="148"/>
      <c r="K588" s="228"/>
      <c r="L588" s="151"/>
      <c r="M588" s="74"/>
      <c r="N588" s="152"/>
    </row>
    <row r="589" spans="2:15">
      <c r="B589" s="79" t="s">
        <v>189</v>
      </c>
      <c r="C589" s="30"/>
      <c r="D589" s="62"/>
      <c r="E589" s="148"/>
      <c r="F589" s="148"/>
      <c r="G589" s="148"/>
      <c r="H589" s="148"/>
      <c r="I589" s="148"/>
      <c r="J589" s="148"/>
      <c r="K589" s="148"/>
      <c r="L589" s="151"/>
      <c r="M589" s="70"/>
      <c r="N589" s="152"/>
    </row>
    <row r="590" spans="2:15">
      <c r="B590" s="79" t="s">
        <v>190</v>
      </c>
      <c r="C590" s="30"/>
      <c r="D590" s="62"/>
      <c r="E590" s="148"/>
      <c r="F590" s="148"/>
      <c r="G590" s="148"/>
      <c r="H590" s="148"/>
      <c r="I590" s="148"/>
      <c r="J590" s="148"/>
      <c r="K590" s="148"/>
      <c r="L590" s="228"/>
      <c r="M590" s="278"/>
      <c r="N590" s="178"/>
      <c r="O590" s="30"/>
    </row>
    <row r="591" spans="2:15">
      <c r="B591" s="79" t="s">
        <v>191</v>
      </c>
      <c r="C591" s="30"/>
      <c r="D591" s="62"/>
      <c r="E591" s="148"/>
      <c r="F591" s="148"/>
      <c r="G591" s="148"/>
      <c r="H591" s="148"/>
      <c r="I591" s="148"/>
      <c r="J591" s="148"/>
      <c r="K591" s="148"/>
      <c r="L591" s="148"/>
      <c r="M591" s="278">
        <v>0</v>
      </c>
      <c r="N591" s="150">
        <f>M591</f>
        <v>0</v>
      </c>
      <c r="O591" s="30"/>
    </row>
    <row r="592" spans="2:15">
      <c r="B592" s="79" t="s">
        <v>201</v>
      </c>
      <c r="C592" s="30"/>
      <c r="D592" s="62"/>
      <c r="E592" s="148"/>
      <c r="F592" s="148"/>
      <c r="G592" s="148"/>
      <c r="H592" s="148"/>
      <c r="I592" s="148"/>
      <c r="J592" s="148"/>
      <c r="K592" s="148"/>
      <c r="L592" s="148"/>
      <c r="M592" s="150">
        <v>0</v>
      </c>
      <c r="N592" s="151">
        <v>0</v>
      </c>
      <c r="O592" s="30"/>
    </row>
    <row r="593" spans="1:15">
      <c r="B593" s="79" t="s">
        <v>202</v>
      </c>
      <c r="C593" s="30"/>
      <c r="D593" s="63"/>
      <c r="E593" s="133"/>
      <c r="F593" s="133"/>
      <c r="G593" s="133"/>
      <c r="H593" s="133"/>
      <c r="I593" s="133"/>
      <c r="J593" s="133"/>
      <c r="K593" s="133"/>
      <c r="L593" s="133"/>
      <c r="M593" s="133"/>
      <c r="N593" s="153">
        <v>0</v>
      </c>
      <c r="O593" s="30"/>
    </row>
    <row r="594" spans="1:15">
      <c r="B594" s="33" t="s">
        <v>17</v>
      </c>
      <c r="D594" s="218"/>
      <c r="E594" s="218"/>
      <c r="F594" s="218"/>
      <c r="G594" s="218"/>
      <c r="H594" s="218"/>
      <c r="I594" s="218"/>
      <c r="J594" s="218">
        <f>J583-J584-J585</f>
        <v>0</v>
      </c>
      <c r="K594" s="218">
        <f>K585-K586-K587</f>
        <v>0</v>
      </c>
      <c r="L594" s="218">
        <f>L587-L588-L589+L590</f>
        <v>0</v>
      </c>
      <c r="M594" s="218">
        <f>M592</f>
        <v>0</v>
      </c>
      <c r="N594" s="218">
        <f>N592*-1</f>
        <v>0</v>
      </c>
    </row>
    <row r="595" spans="1:15">
      <c r="B595" s="6"/>
      <c r="D595" s="218"/>
      <c r="E595" s="218"/>
      <c r="F595" s="218"/>
      <c r="G595" s="218"/>
      <c r="H595" s="218"/>
      <c r="I595" s="218"/>
      <c r="J595" s="218"/>
      <c r="K595" s="218"/>
      <c r="L595" s="218"/>
      <c r="M595" s="218"/>
      <c r="N595" s="218"/>
    </row>
    <row r="596" spans="1:15">
      <c r="B596" s="76" t="s">
        <v>12</v>
      </c>
      <c r="C596" s="71"/>
      <c r="D596" s="219"/>
      <c r="E596" s="220"/>
      <c r="F596" s="220"/>
      <c r="G596" s="220"/>
      <c r="H596" s="220"/>
      <c r="I596" s="220"/>
      <c r="J596" s="220"/>
      <c r="K596" s="220"/>
      <c r="L596" s="220"/>
      <c r="M596" s="220"/>
      <c r="N596" s="220"/>
    </row>
    <row r="597" spans="1:15">
      <c r="B597" s="6"/>
      <c r="D597" s="239"/>
      <c r="E597" s="238"/>
      <c r="F597" s="238"/>
      <c r="G597" s="238"/>
      <c r="H597" s="238"/>
      <c r="I597" s="238"/>
      <c r="J597" s="238"/>
      <c r="K597" s="238"/>
      <c r="L597" s="238"/>
      <c r="M597" s="238"/>
      <c r="N597" s="238"/>
    </row>
    <row r="598" spans="1:15" ht="18.5">
      <c r="A598" s="41" t="s">
        <v>26</v>
      </c>
      <c r="C598" s="30"/>
      <c r="D598" s="221">
        <f t="shared" ref="D598:N598" si="300" xml:space="preserve"> D559 + D564 - D570 + D594 + D596</f>
        <v>0</v>
      </c>
      <c r="E598" s="222">
        <f t="shared" si="300"/>
        <v>0</v>
      </c>
      <c r="F598" s="222">
        <f t="shared" si="300"/>
        <v>0</v>
      </c>
      <c r="G598" s="222">
        <f t="shared" si="300"/>
        <v>0</v>
      </c>
      <c r="H598" s="222">
        <f t="shared" si="300"/>
        <v>0</v>
      </c>
      <c r="I598" s="222">
        <f t="shared" si="300"/>
        <v>0</v>
      </c>
      <c r="J598" s="222">
        <f t="shared" si="300"/>
        <v>0</v>
      </c>
      <c r="K598" s="222">
        <f t="shared" si="300"/>
        <v>0</v>
      </c>
      <c r="L598" s="222">
        <f t="shared" si="300"/>
        <v>0</v>
      </c>
      <c r="M598" s="222">
        <f t="shared" si="300"/>
        <v>0</v>
      </c>
      <c r="N598" s="222">
        <f t="shared" si="300"/>
        <v>39946.743654655678</v>
      </c>
    </row>
    <row r="599" spans="1:15" ht="15" thickBot="1"/>
    <row r="600" spans="1:15">
      <c r="A600" s="8"/>
      <c r="B600" s="8"/>
      <c r="C600" s="8"/>
      <c r="D600" s="8"/>
      <c r="E600" s="8"/>
      <c r="F600" s="8"/>
      <c r="G600" s="8"/>
      <c r="H600" s="8"/>
      <c r="I600" s="8"/>
      <c r="J600" s="8"/>
      <c r="K600" s="8"/>
      <c r="L600" s="8"/>
      <c r="M600" s="8"/>
      <c r="N600" s="8"/>
    </row>
    <row r="601" spans="1:15" ht="15" thickBot="1"/>
    <row r="602" spans="1:15" ht="21.5" thickBot="1">
      <c r="A602" s="13" t="s">
        <v>4</v>
      </c>
      <c r="B602" s="13"/>
      <c r="C602" s="340" t="str">
        <f>B13</f>
        <v>Condon Wind Power Project - Condon Wind Power Project - REC Only</v>
      </c>
      <c r="D602" s="341"/>
      <c r="E602" s="348"/>
      <c r="F602" s="348"/>
      <c r="G602" s="342"/>
    </row>
    <row r="604" spans="1:15" ht="18.5">
      <c r="A604" s="9" t="s">
        <v>21</v>
      </c>
      <c r="B604" s="9"/>
      <c r="D604" s="2">
        <f>'Facility Detail'!$D$72</f>
        <v>2011</v>
      </c>
      <c r="E604" s="2">
        <f>D604+1</f>
        <v>2012</v>
      </c>
      <c r="F604" s="2">
        <f>E604+1</f>
        <v>2013</v>
      </c>
      <c r="G604" s="2">
        <f t="shared" ref="G604:N604" si="301">F604+1</f>
        <v>2014</v>
      </c>
      <c r="H604" s="2">
        <f t="shared" si="301"/>
        <v>2015</v>
      </c>
      <c r="I604" s="2">
        <f t="shared" si="301"/>
        <v>2016</v>
      </c>
      <c r="J604" s="2">
        <f t="shared" si="301"/>
        <v>2017</v>
      </c>
      <c r="K604" s="2">
        <f t="shared" si="301"/>
        <v>2018</v>
      </c>
      <c r="L604" s="2">
        <f t="shared" si="301"/>
        <v>2019</v>
      </c>
      <c r="M604" s="2">
        <f t="shared" si="301"/>
        <v>2020</v>
      </c>
      <c r="N604" s="2">
        <f t="shared" si="301"/>
        <v>2021</v>
      </c>
    </row>
    <row r="605" spans="1:15">
      <c r="B605" s="326" t="str">
        <f>"Total MWh Produced / Purchased from " &amp; C602</f>
        <v>Total MWh Produced / Purchased from Condon Wind Power Project - Condon Wind Power Project - REC Only</v>
      </c>
      <c r="C605" s="71"/>
      <c r="D605" s="3"/>
      <c r="E605" s="4"/>
      <c r="F605" s="4"/>
      <c r="G605" s="4"/>
      <c r="H605" s="230"/>
      <c r="I605" s="230">
        <v>8286</v>
      </c>
      <c r="J605" s="230"/>
      <c r="K605" s="230"/>
      <c r="L605" s="230"/>
      <c r="M605" s="230"/>
      <c r="N605" s="230"/>
    </row>
    <row r="606" spans="1:15">
      <c r="B606" s="326" t="s">
        <v>25</v>
      </c>
      <c r="C606" s="71"/>
      <c r="D606" s="54"/>
      <c r="E606" s="55"/>
      <c r="F606" s="55"/>
      <c r="G606" s="55"/>
      <c r="H606" s="55"/>
      <c r="I606" s="55">
        <v>1</v>
      </c>
      <c r="J606" s="55">
        <v>1</v>
      </c>
      <c r="K606" s="55"/>
      <c r="L606" s="55"/>
      <c r="M606" s="55"/>
      <c r="N606" s="55"/>
    </row>
    <row r="607" spans="1:15">
      <c r="B607" s="326" t="s">
        <v>20</v>
      </c>
      <c r="C607" s="71"/>
      <c r="D607" s="48"/>
      <c r="E607" s="49"/>
      <c r="F607" s="49"/>
      <c r="G607" s="49"/>
      <c r="H607" s="49"/>
      <c r="I607" s="49">
        <v>1</v>
      </c>
      <c r="J607" s="49"/>
      <c r="K607" s="49"/>
      <c r="L607" s="49"/>
      <c r="M607" s="49"/>
      <c r="N607" s="49"/>
    </row>
    <row r="608" spans="1:15">
      <c r="B608" s="33" t="s">
        <v>22</v>
      </c>
      <c r="C608" s="6"/>
      <c r="D608" s="37">
        <f xml:space="preserve"> D605 * D606 * D607</f>
        <v>0</v>
      </c>
      <c r="E608" s="37">
        <f xml:space="preserve"> E605 * E606 * E607</f>
        <v>0</v>
      </c>
      <c r="F608" s="37">
        <f xml:space="preserve"> F605 * F606 * F607</f>
        <v>0</v>
      </c>
      <c r="G608" s="37">
        <f t="shared" ref="G608:H608" si="302" xml:space="preserve"> G605 * G606 * G607</f>
        <v>0</v>
      </c>
      <c r="H608" s="229">
        <f t="shared" si="302"/>
        <v>0</v>
      </c>
      <c r="I608" s="229">
        <v>8286</v>
      </c>
      <c r="J608" s="229">
        <f t="shared" ref="J608:N608" si="303" xml:space="preserve"> J605 * J606 * J607</f>
        <v>0</v>
      </c>
      <c r="K608" s="229">
        <f t="shared" si="303"/>
        <v>0</v>
      </c>
      <c r="L608" s="229">
        <f t="shared" si="303"/>
        <v>0</v>
      </c>
      <c r="M608" s="229">
        <f t="shared" si="303"/>
        <v>0</v>
      </c>
      <c r="N608" s="229">
        <f t="shared" si="303"/>
        <v>0</v>
      </c>
    </row>
    <row r="609" spans="1:14">
      <c r="D609" s="36"/>
      <c r="E609" s="36"/>
      <c r="F609" s="36"/>
      <c r="G609" s="36"/>
      <c r="H609" s="36"/>
      <c r="I609" s="36"/>
      <c r="J609" s="36"/>
      <c r="K609" s="36"/>
      <c r="L609" s="36"/>
      <c r="M609" s="36"/>
      <c r="N609" s="36"/>
    </row>
    <row r="610" spans="1:14" ht="18.5">
      <c r="A610" s="9" t="s">
        <v>119</v>
      </c>
      <c r="D610" s="2">
        <f>'Facility Detail'!$D$72</f>
        <v>2011</v>
      </c>
      <c r="E610" s="2">
        <f>D610+1</f>
        <v>2012</v>
      </c>
      <c r="F610" s="2">
        <f>E610+1</f>
        <v>2013</v>
      </c>
      <c r="G610" s="2">
        <f t="shared" ref="G610:N610" si="304">F610+1</f>
        <v>2014</v>
      </c>
      <c r="H610" s="2">
        <f t="shared" si="304"/>
        <v>2015</v>
      </c>
      <c r="I610" s="2">
        <f t="shared" si="304"/>
        <v>2016</v>
      </c>
      <c r="J610" s="2">
        <f t="shared" si="304"/>
        <v>2017</v>
      </c>
      <c r="K610" s="2">
        <f t="shared" si="304"/>
        <v>2018</v>
      </c>
      <c r="L610" s="2">
        <f t="shared" si="304"/>
        <v>2019</v>
      </c>
      <c r="M610" s="2">
        <f t="shared" si="304"/>
        <v>2020</v>
      </c>
      <c r="N610" s="2">
        <f t="shared" si="304"/>
        <v>2021</v>
      </c>
    </row>
    <row r="611" spans="1:14">
      <c r="B611" s="326" t="s">
        <v>10</v>
      </c>
      <c r="C611" s="71"/>
      <c r="D611" s="51">
        <f>IF($E13="Eligible",D608*'Facility Detail'!$B$3079,0)</f>
        <v>0</v>
      </c>
      <c r="E611" s="51">
        <f>IF($E13="Eligible",E608*'Facility Detail'!$B$3079,0)</f>
        <v>0</v>
      </c>
      <c r="F611" s="51">
        <f>IF($E13="Eligible",F608*'Facility Detail'!$B$3079,0)</f>
        <v>0</v>
      </c>
      <c r="G611" s="51">
        <f>IF($E13="Eligible",G608*'Facility Detail'!$B$3079,0)</f>
        <v>0</v>
      </c>
      <c r="H611" s="51">
        <f>IF($E13="Eligible",H608*'Facility Detail'!$B$3079,0)</f>
        <v>0</v>
      </c>
      <c r="I611" s="51">
        <f>IF($E13="Eligible",I608*'Facility Detail'!$B$3079,0)</f>
        <v>0</v>
      </c>
      <c r="J611" s="51">
        <f>IF($E13="Eligible",J608*'Facility Detail'!$B$3079,0)</f>
        <v>0</v>
      </c>
      <c r="K611" s="51">
        <f>IF($E13="Eligible",K608*'Facility Detail'!$B$3079,0)</f>
        <v>0</v>
      </c>
      <c r="L611" s="51">
        <f>IF($E13="Eligible",L608*'Facility Detail'!$B$3079,0)</f>
        <v>0</v>
      </c>
      <c r="M611" s="51">
        <f>IF($E13="Eligible",M608*'Facility Detail'!$B$3079,0)</f>
        <v>0</v>
      </c>
      <c r="N611" s="51">
        <f>IF($E13="Eligible",N608*'Facility Detail'!$B$3079,0)</f>
        <v>0</v>
      </c>
    </row>
    <row r="612" spans="1:14">
      <c r="B612" s="326" t="s">
        <v>6</v>
      </c>
      <c r="C612" s="71"/>
      <c r="D612" s="51">
        <f t="shared" ref="D612:N612" si="305">IF($F14="Eligible",D608,0)</f>
        <v>0</v>
      </c>
      <c r="E612" s="51">
        <f t="shared" si="305"/>
        <v>0</v>
      </c>
      <c r="F612" s="51">
        <f t="shared" si="305"/>
        <v>0</v>
      </c>
      <c r="G612" s="51">
        <f t="shared" si="305"/>
        <v>0</v>
      </c>
      <c r="H612" s="51">
        <f t="shared" si="305"/>
        <v>0</v>
      </c>
      <c r="I612" s="51">
        <f t="shared" si="305"/>
        <v>0</v>
      </c>
      <c r="J612" s="51">
        <f t="shared" si="305"/>
        <v>0</v>
      </c>
      <c r="K612" s="51">
        <f t="shared" si="305"/>
        <v>0</v>
      </c>
      <c r="L612" s="51">
        <f t="shared" si="305"/>
        <v>0</v>
      </c>
      <c r="M612" s="51">
        <f t="shared" si="305"/>
        <v>0</v>
      </c>
      <c r="N612" s="51">
        <f t="shared" si="305"/>
        <v>0</v>
      </c>
    </row>
    <row r="613" spans="1:14">
      <c r="B613" s="33" t="s">
        <v>121</v>
      </c>
      <c r="C613" s="6"/>
      <c r="D613" s="39">
        <f>SUM(D611:D612)</f>
        <v>0</v>
      </c>
      <c r="E613" s="40">
        <f>SUM(E611:E612)</f>
        <v>0</v>
      </c>
      <c r="F613" s="40">
        <f>SUM(F611:F612)</f>
        <v>0</v>
      </c>
      <c r="G613" s="40">
        <f t="shared" ref="G613:N613" si="306">SUM(G611:G612)</f>
        <v>0</v>
      </c>
      <c r="H613" s="40">
        <f t="shared" si="306"/>
        <v>0</v>
      </c>
      <c r="I613" s="40">
        <f t="shared" si="306"/>
        <v>0</v>
      </c>
      <c r="J613" s="40">
        <f t="shared" si="306"/>
        <v>0</v>
      </c>
      <c r="K613" s="40">
        <f t="shared" si="306"/>
        <v>0</v>
      </c>
      <c r="L613" s="40">
        <f t="shared" si="306"/>
        <v>0</v>
      </c>
      <c r="M613" s="40">
        <f t="shared" si="306"/>
        <v>0</v>
      </c>
      <c r="N613" s="40">
        <f t="shared" si="306"/>
        <v>0</v>
      </c>
    </row>
    <row r="614" spans="1:14">
      <c r="D614" s="38"/>
      <c r="E614" s="31"/>
      <c r="F614" s="31"/>
      <c r="G614" s="31"/>
      <c r="H614" s="31"/>
      <c r="I614" s="31"/>
      <c r="J614" s="31"/>
      <c r="K614" s="31"/>
      <c r="L614" s="31"/>
      <c r="M614" s="31"/>
      <c r="N614" s="31"/>
    </row>
    <row r="615" spans="1:14" ht="18.5">
      <c r="A615" s="9" t="s">
        <v>30</v>
      </c>
      <c r="D615" s="2">
        <f>'Facility Detail'!$D$72</f>
        <v>2011</v>
      </c>
      <c r="E615" s="2">
        <f>D615+1</f>
        <v>2012</v>
      </c>
      <c r="F615" s="2">
        <f>E615+1</f>
        <v>2013</v>
      </c>
      <c r="G615" s="2">
        <f t="shared" ref="G615:N615" si="307">F615+1</f>
        <v>2014</v>
      </c>
      <c r="H615" s="2">
        <f t="shared" si="307"/>
        <v>2015</v>
      </c>
      <c r="I615" s="2">
        <f t="shared" si="307"/>
        <v>2016</v>
      </c>
      <c r="J615" s="2">
        <f t="shared" si="307"/>
        <v>2017</v>
      </c>
      <c r="K615" s="2">
        <f t="shared" si="307"/>
        <v>2018</v>
      </c>
      <c r="L615" s="2">
        <f t="shared" si="307"/>
        <v>2019</v>
      </c>
      <c r="M615" s="2">
        <f t="shared" si="307"/>
        <v>2020</v>
      </c>
      <c r="N615" s="2">
        <f t="shared" si="307"/>
        <v>2021</v>
      </c>
    </row>
    <row r="616" spans="1:14">
      <c r="B616" s="326" t="s">
        <v>47</v>
      </c>
      <c r="C616" s="71"/>
      <c r="D616" s="89"/>
      <c r="E616" s="90"/>
      <c r="F616" s="90"/>
      <c r="G616" s="90"/>
      <c r="H616" s="90"/>
      <c r="I616" s="90"/>
      <c r="J616" s="90"/>
      <c r="K616" s="90"/>
      <c r="L616" s="90"/>
      <c r="M616" s="90"/>
      <c r="N616" s="90"/>
    </row>
    <row r="617" spans="1:14">
      <c r="B617" s="330" t="s">
        <v>23</v>
      </c>
      <c r="C617" s="331"/>
      <c r="D617" s="92"/>
      <c r="E617" s="93"/>
      <c r="F617" s="93"/>
      <c r="G617" s="93"/>
      <c r="H617" s="93"/>
      <c r="I617" s="93"/>
      <c r="J617" s="93"/>
      <c r="K617" s="93"/>
      <c r="L617" s="93"/>
      <c r="M617" s="93"/>
      <c r="N617" s="93"/>
    </row>
    <row r="618" spans="1:14">
      <c r="B618" s="330" t="s">
        <v>89</v>
      </c>
      <c r="C618" s="332"/>
      <c r="D618" s="57"/>
      <c r="E618" s="58"/>
      <c r="F618" s="58"/>
      <c r="G618" s="58"/>
      <c r="H618" s="58"/>
      <c r="I618" s="58"/>
      <c r="J618" s="58"/>
      <c r="K618" s="58"/>
      <c r="L618" s="58"/>
      <c r="M618" s="58"/>
      <c r="N618" s="58"/>
    </row>
    <row r="619" spans="1:14">
      <c r="B619" s="33" t="s">
        <v>90</v>
      </c>
      <c r="D619" s="7">
        <f>SUM(D616:D618)</f>
        <v>0</v>
      </c>
      <c r="E619" s="7">
        <f>SUM(E616:E618)</f>
        <v>0</v>
      </c>
      <c r="F619" s="7">
        <f>SUM(F616:F618)</f>
        <v>0</v>
      </c>
      <c r="G619" s="7">
        <f t="shared" ref="G619:N619" si="308">SUM(G616:G618)</f>
        <v>0</v>
      </c>
      <c r="H619" s="7">
        <f t="shared" si="308"/>
        <v>0</v>
      </c>
      <c r="I619" s="7">
        <f t="shared" si="308"/>
        <v>0</v>
      </c>
      <c r="J619" s="7">
        <f t="shared" si="308"/>
        <v>0</v>
      </c>
      <c r="K619" s="7">
        <f t="shared" si="308"/>
        <v>0</v>
      </c>
      <c r="L619" s="7">
        <f t="shared" si="308"/>
        <v>0</v>
      </c>
      <c r="M619" s="7">
        <f t="shared" si="308"/>
        <v>0</v>
      </c>
      <c r="N619" s="7">
        <f t="shared" si="308"/>
        <v>0</v>
      </c>
    </row>
    <row r="620" spans="1:14">
      <c r="B620" s="6"/>
      <c r="D620" s="7"/>
      <c r="E620" s="7"/>
      <c r="F620" s="7"/>
      <c r="G620" s="7"/>
      <c r="H620" s="7"/>
      <c r="I620" s="7"/>
      <c r="J620" s="7"/>
      <c r="K620" s="7"/>
      <c r="L620" s="7"/>
      <c r="M620" s="7"/>
      <c r="N620" s="7"/>
    </row>
    <row r="621" spans="1:14" ht="18.5">
      <c r="A621" s="9" t="s">
        <v>100</v>
      </c>
      <c r="D621" s="2">
        <f>'Facility Detail'!$D$72</f>
        <v>2011</v>
      </c>
      <c r="E621" s="2">
        <f>D621+1</f>
        <v>2012</v>
      </c>
      <c r="F621" s="2">
        <f>E621+1</f>
        <v>2013</v>
      </c>
      <c r="G621" s="2">
        <f t="shared" ref="G621:N621" si="309">F621+1</f>
        <v>2014</v>
      </c>
      <c r="H621" s="2">
        <f t="shared" si="309"/>
        <v>2015</v>
      </c>
      <c r="I621" s="2">
        <f t="shared" si="309"/>
        <v>2016</v>
      </c>
      <c r="J621" s="2">
        <f t="shared" si="309"/>
        <v>2017</v>
      </c>
      <c r="K621" s="2">
        <f t="shared" si="309"/>
        <v>2018</v>
      </c>
      <c r="L621" s="2">
        <f t="shared" si="309"/>
        <v>2019</v>
      </c>
      <c r="M621" s="2">
        <f t="shared" si="309"/>
        <v>2020</v>
      </c>
      <c r="N621" s="2">
        <f t="shared" si="309"/>
        <v>2021</v>
      </c>
    </row>
    <row r="622" spans="1:14">
      <c r="B622" s="326" t="s">
        <v>68</v>
      </c>
      <c r="C622" s="71"/>
      <c r="D622" s="3"/>
      <c r="E622" s="60">
        <f>D622</f>
        <v>0</v>
      </c>
      <c r="F622" s="131"/>
      <c r="G622" s="131"/>
      <c r="H622" s="131"/>
      <c r="I622" s="131"/>
      <c r="J622" s="131"/>
      <c r="K622" s="131"/>
      <c r="L622" s="131"/>
      <c r="M622" s="131"/>
      <c r="N622" s="131"/>
    </row>
    <row r="623" spans="1:14">
      <c r="B623" s="326" t="s">
        <v>69</v>
      </c>
      <c r="C623" s="71"/>
      <c r="D623" s="164">
        <f>E623</f>
        <v>0</v>
      </c>
      <c r="E623" s="10"/>
      <c r="F623" s="74"/>
      <c r="G623" s="74"/>
      <c r="H623" s="74"/>
      <c r="I623" s="74"/>
      <c r="J623" s="74"/>
      <c r="K623" s="74"/>
      <c r="L623" s="74"/>
      <c r="M623" s="74"/>
      <c r="N623" s="74"/>
    </row>
    <row r="624" spans="1:14">
      <c r="B624" s="326" t="s">
        <v>70</v>
      </c>
      <c r="C624" s="71"/>
      <c r="D624" s="62"/>
      <c r="E624" s="10">
        <f>E608</f>
        <v>0</v>
      </c>
      <c r="F624" s="70">
        <f>E624</f>
        <v>0</v>
      </c>
      <c r="G624" s="74"/>
      <c r="H624" s="74"/>
      <c r="I624" s="74"/>
      <c r="J624" s="74"/>
      <c r="K624" s="74"/>
      <c r="L624" s="74"/>
      <c r="M624" s="74"/>
      <c r="N624" s="74"/>
    </row>
    <row r="625" spans="1:14">
      <c r="B625" s="326" t="s">
        <v>71</v>
      </c>
      <c r="C625" s="71"/>
      <c r="D625" s="62"/>
      <c r="E625" s="70">
        <f>F625</f>
        <v>0</v>
      </c>
      <c r="F625" s="163"/>
      <c r="G625" s="74"/>
      <c r="H625" s="74"/>
      <c r="I625" s="74"/>
      <c r="J625" s="74"/>
      <c r="K625" s="74"/>
      <c r="L625" s="74"/>
      <c r="M625" s="74"/>
      <c r="N625" s="74"/>
    </row>
    <row r="626" spans="1:14">
      <c r="B626" s="326" t="s">
        <v>171</v>
      </c>
      <c r="D626" s="62"/>
      <c r="E626" s="148"/>
      <c r="F626" s="10">
        <f>F608</f>
        <v>0</v>
      </c>
      <c r="G626" s="149">
        <f>F626</f>
        <v>0</v>
      </c>
      <c r="H626" s="74"/>
      <c r="I626" s="74"/>
      <c r="J626" s="74"/>
      <c r="K626" s="74"/>
      <c r="L626" s="74"/>
      <c r="M626" s="74"/>
      <c r="N626" s="74"/>
    </row>
    <row r="627" spans="1:14">
      <c r="B627" s="326" t="s">
        <v>172</v>
      </c>
      <c r="D627" s="62"/>
      <c r="E627" s="148"/>
      <c r="F627" s="70">
        <f>G627</f>
        <v>0</v>
      </c>
      <c r="G627" s="10"/>
      <c r="H627" s="74"/>
      <c r="I627" s="74"/>
      <c r="J627" s="74"/>
      <c r="K627" s="74"/>
      <c r="L627" s="74"/>
      <c r="M627" s="74"/>
      <c r="N627" s="74"/>
    </row>
    <row r="628" spans="1:14">
      <c r="B628" s="326" t="s">
        <v>173</v>
      </c>
      <c r="D628" s="62"/>
      <c r="E628" s="148"/>
      <c r="F628" s="148"/>
      <c r="G628" s="10">
        <f>G608</f>
        <v>0</v>
      </c>
      <c r="H628" s="149">
        <f>G628</f>
        <v>0</v>
      </c>
      <c r="I628" s="148"/>
      <c r="J628" s="148"/>
      <c r="K628" s="148"/>
      <c r="L628" s="148"/>
      <c r="M628" s="148"/>
      <c r="N628" s="148"/>
    </row>
    <row r="629" spans="1:14">
      <c r="B629" s="326" t="s">
        <v>174</v>
      </c>
      <c r="D629" s="62"/>
      <c r="E629" s="148"/>
      <c r="F629" s="148"/>
      <c r="G629" s="150"/>
      <c r="H629" s="151"/>
      <c r="I629" s="148"/>
      <c r="J629" s="148"/>
      <c r="K629" s="148"/>
      <c r="L629" s="148"/>
      <c r="M629" s="148"/>
      <c r="N629" s="148"/>
    </row>
    <row r="630" spans="1:14">
      <c r="B630" s="326" t="s">
        <v>175</v>
      </c>
      <c r="D630" s="62"/>
      <c r="E630" s="148"/>
      <c r="F630" s="148"/>
      <c r="G630" s="148"/>
      <c r="H630" s="151">
        <v>0</v>
      </c>
      <c r="I630" s="149">
        <f>H630</f>
        <v>0</v>
      </c>
      <c r="J630" s="74"/>
      <c r="K630" s="74"/>
      <c r="L630" s="74"/>
      <c r="M630" s="74"/>
      <c r="N630" s="74"/>
    </row>
    <row r="631" spans="1:14">
      <c r="B631" s="326" t="s">
        <v>176</v>
      </c>
      <c r="D631" s="62"/>
      <c r="E631" s="148"/>
      <c r="F631" s="148"/>
      <c r="G631" s="148"/>
      <c r="H631" s="70"/>
      <c r="I631" s="151"/>
      <c r="J631" s="74"/>
      <c r="K631" s="74"/>
      <c r="L631" s="74"/>
      <c r="M631" s="74"/>
      <c r="N631" s="74"/>
    </row>
    <row r="632" spans="1:14">
      <c r="B632" s="326" t="s">
        <v>177</v>
      </c>
      <c r="D632" s="62"/>
      <c r="E632" s="148"/>
      <c r="F632" s="148"/>
      <c r="G632" s="148"/>
      <c r="H632" s="148"/>
      <c r="I632" s="151">
        <f>I608</f>
        <v>8286</v>
      </c>
      <c r="J632" s="149">
        <f>I632</f>
        <v>8286</v>
      </c>
      <c r="K632" s="74"/>
      <c r="L632" s="74"/>
      <c r="M632" s="74"/>
      <c r="N632" s="74"/>
    </row>
    <row r="633" spans="1:14">
      <c r="B633" s="326" t="s">
        <v>168</v>
      </c>
      <c r="D633" s="62"/>
      <c r="E633" s="148"/>
      <c r="F633" s="148"/>
      <c r="G633" s="148"/>
      <c r="H633" s="148"/>
      <c r="I633" s="209"/>
      <c r="J633" s="151"/>
      <c r="K633" s="74"/>
      <c r="L633" s="74"/>
      <c r="M633" s="74"/>
      <c r="N633" s="74"/>
    </row>
    <row r="634" spans="1:14">
      <c r="B634" s="326" t="s">
        <v>169</v>
      </c>
      <c r="D634" s="63"/>
      <c r="E634" s="133"/>
      <c r="F634" s="133"/>
      <c r="G634" s="133"/>
      <c r="H634" s="133"/>
      <c r="I634" s="133"/>
      <c r="J634" s="153"/>
      <c r="K634" s="329"/>
      <c r="L634" s="133"/>
      <c r="M634" s="133"/>
      <c r="N634" s="133"/>
    </row>
    <row r="635" spans="1:14">
      <c r="B635" s="33" t="s">
        <v>17</v>
      </c>
      <c r="D635" s="180">
        <f xml:space="preserve"> D628 - D627</f>
        <v>0</v>
      </c>
      <c r="E635" s="180">
        <f xml:space="preserve"> E627 + E630 - E629 - E628</f>
        <v>0</v>
      </c>
      <c r="F635" s="180">
        <f>F629 - F630</f>
        <v>0</v>
      </c>
      <c r="G635" s="180">
        <f t="shared" ref="G635" si="310">G629 - G630</f>
        <v>0</v>
      </c>
      <c r="H635" s="28">
        <f>H628-H629-H630</f>
        <v>0</v>
      </c>
      <c r="I635" s="28">
        <f>I630-I631-I632</f>
        <v>-8286</v>
      </c>
      <c r="J635" s="28">
        <f>J632-J633-J634</f>
        <v>8286</v>
      </c>
      <c r="K635" s="28">
        <f>K634</f>
        <v>0</v>
      </c>
      <c r="L635" s="28">
        <f t="shared" ref="L635:N635" si="311">L634</f>
        <v>0</v>
      </c>
      <c r="M635" s="28">
        <f t="shared" si="311"/>
        <v>0</v>
      </c>
      <c r="N635" s="28">
        <f t="shared" si="311"/>
        <v>0</v>
      </c>
    </row>
    <row r="636" spans="1:14">
      <c r="B636" s="6"/>
      <c r="D636" s="7"/>
      <c r="E636" s="7"/>
      <c r="F636" s="7"/>
      <c r="G636" s="7"/>
      <c r="H636" s="7"/>
      <c r="I636" s="7"/>
      <c r="J636" s="7"/>
      <c r="K636" s="7"/>
      <c r="L636" s="7"/>
      <c r="M636" s="7"/>
      <c r="N636" s="7"/>
    </row>
    <row r="637" spans="1:14">
      <c r="B637" s="33" t="s">
        <v>12</v>
      </c>
      <c r="C637" s="71"/>
      <c r="D637" s="99"/>
      <c r="E637" s="100"/>
      <c r="F637" s="100"/>
      <c r="G637" s="100"/>
      <c r="H637" s="100"/>
      <c r="I637" s="100"/>
      <c r="J637" s="100"/>
      <c r="K637" s="100"/>
      <c r="L637" s="100"/>
      <c r="M637" s="100"/>
      <c r="N637" s="100"/>
    </row>
    <row r="638" spans="1:14">
      <c r="B638" s="6"/>
      <c r="D638" s="7"/>
      <c r="E638" s="7"/>
      <c r="F638" s="7"/>
      <c r="G638" s="7"/>
      <c r="H638" s="7"/>
      <c r="I638" s="7"/>
      <c r="J638" s="7"/>
      <c r="K638" s="7"/>
      <c r="L638" s="7"/>
      <c r="M638" s="7"/>
      <c r="N638" s="7"/>
    </row>
    <row r="639" spans="1:14" ht="18.5">
      <c r="A639" s="9" t="s">
        <v>26</v>
      </c>
      <c r="C639" s="71"/>
      <c r="D639" s="43">
        <f xml:space="preserve"> D608 + D613 - D619 + D635 + D637</f>
        <v>0</v>
      </c>
      <c r="E639" s="44">
        <f xml:space="preserve"> E608 + E613 - E619 + E635 + E637</f>
        <v>0</v>
      </c>
      <c r="F639" s="44">
        <f xml:space="preserve"> F608 + F613 - F619 + F635 + F637</f>
        <v>0</v>
      </c>
      <c r="G639" s="44">
        <f t="shared" ref="G639:N639" si="312" xml:space="preserve"> G608 + G613 - G619 + G635 + G637</f>
        <v>0</v>
      </c>
      <c r="H639" s="44">
        <f t="shared" si="312"/>
        <v>0</v>
      </c>
      <c r="I639" s="44">
        <f t="shared" si="312"/>
        <v>0</v>
      </c>
      <c r="J639" s="44">
        <f t="shared" si="312"/>
        <v>8286</v>
      </c>
      <c r="K639" s="44">
        <f t="shared" si="312"/>
        <v>0</v>
      </c>
      <c r="L639" s="44">
        <f t="shared" si="312"/>
        <v>0</v>
      </c>
      <c r="M639" s="44">
        <f t="shared" si="312"/>
        <v>0</v>
      </c>
      <c r="N639" s="44">
        <f t="shared" si="312"/>
        <v>0</v>
      </c>
    </row>
    <row r="640" spans="1:14">
      <c r="B640" s="6"/>
      <c r="D640" s="7"/>
      <c r="E640" s="7"/>
      <c r="F640" s="7"/>
      <c r="G640" s="28"/>
      <c r="H640" s="28"/>
      <c r="I640" s="28"/>
      <c r="J640" s="28"/>
      <c r="K640" s="28"/>
      <c r="L640" s="28"/>
      <c r="M640" s="28"/>
      <c r="N640" s="28"/>
    </row>
    <row r="641" spans="1:14" ht="15" thickBot="1"/>
    <row r="642" spans="1:14">
      <c r="A642" s="8"/>
      <c r="B642" s="8"/>
      <c r="C642" s="8"/>
      <c r="D642" s="8"/>
      <c r="E642" s="8"/>
      <c r="F642" s="8"/>
      <c r="G642" s="8"/>
      <c r="H642" s="8"/>
      <c r="I642" s="8"/>
      <c r="J642" s="8"/>
      <c r="K642" s="8"/>
      <c r="L642" s="8"/>
      <c r="M642" s="8"/>
      <c r="N642" s="8"/>
    </row>
    <row r="643" spans="1:14" ht="15" thickBot="1"/>
    <row r="644" spans="1:14" ht="21.5" thickBot="1">
      <c r="A644" s="13" t="s">
        <v>4</v>
      </c>
      <c r="B644" s="13"/>
      <c r="C644" s="340" t="str">
        <f>B14</f>
        <v>Condon Wind Power Project - Condon Phase II - REC Only</v>
      </c>
      <c r="D644" s="341"/>
      <c r="E644" s="348"/>
      <c r="F644" s="342"/>
    </row>
    <row r="646" spans="1:14" ht="18.5">
      <c r="A646" s="9" t="s">
        <v>21</v>
      </c>
      <c r="B646" s="9"/>
      <c r="D646" s="2">
        <f>'Facility Detail'!$D$72</f>
        <v>2011</v>
      </c>
      <c r="E646" s="2">
        <f>D646+1</f>
        <v>2012</v>
      </c>
      <c r="F646" s="2">
        <f>E646+1</f>
        <v>2013</v>
      </c>
      <c r="G646" s="2">
        <f t="shared" ref="G646:N646" si="313">F646+1</f>
        <v>2014</v>
      </c>
      <c r="H646" s="2">
        <f t="shared" si="313"/>
        <v>2015</v>
      </c>
      <c r="I646" s="2">
        <f t="shared" si="313"/>
        <v>2016</v>
      </c>
      <c r="J646" s="2">
        <f t="shared" si="313"/>
        <v>2017</v>
      </c>
      <c r="K646" s="2">
        <f t="shared" si="313"/>
        <v>2018</v>
      </c>
      <c r="L646" s="2">
        <f t="shared" si="313"/>
        <v>2019</v>
      </c>
      <c r="M646" s="2">
        <f t="shared" si="313"/>
        <v>2020</v>
      </c>
      <c r="N646" s="2">
        <f t="shared" si="313"/>
        <v>2021</v>
      </c>
    </row>
    <row r="647" spans="1:14">
      <c r="B647" s="326" t="str">
        <f>"Total MWh Produced / Purchased from " &amp; C644</f>
        <v>Total MWh Produced / Purchased from Condon Wind Power Project - Condon Phase II - REC Only</v>
      </c>
      <c r="C647" s="71"/>
      <c r="D647" s="3"/>
      <c r="E647" s="4"/>
      <c r="F647" s="4"/>
      <c r="G647" s="4"/>
      <c r="H647" s="230"/>
      <c r="I647" s="230">
        <v>7725</v>
      </c>
      <c r="J647" s="230"/>
      <c r="K647" s="230"/>
      <c r="L647" s="230"/>
      <c r="M647" s="230"/>
      <c r="N647" s="230"/>
    </row>
    <row r="648" spans="1:14">
      <c r="B648" s="326" t="s">
        <v>25</v>
      </c>
      <c r="C648" s="71"/>
      <c r="D648" s="54"/>
      <c r="E648" s="55"/>
      <c r="F648" s="55"/>
      <c r="G648" s="55"/>
      <c r="H648" s="55"/>
      <c r="I648" s="55">
        <v>1</v>
      </c>
      <c r="J648" s="55">
        <v>1</v>
      </c>
      <c r="K648" s="55"/>
      <c r="L648" s="55"/>
      <c r="M648" s="55"/>
      <c r="N648" s="55"/>
    </row>
    <row r="649" spans="1:14">
      <c r="B649" s="326" t="s">
        <v>20</v>
      </c>
      <c r="C649" s="71"/>
      <c r="D649" s="48"/>
      <c r="E649" s="49"/>
      <c r="F649" s="49"/>
      <c r="G649" s="49"/>
      <c r="H649" s="49"/>
      <c r="I649" s="49">
        <v>1</v>
      </c>
      <c r="J649" s="49"/>
      <c r="K649" s="49"/>
      <c r="L649" s="49"/>
      <c r="M649" s="49"/>
      <c r="N649" s="49"/>
    </row>
    <row r="650" spans="1:14">
      <c r="B650" s="33" t="s">
        <v>22</v>
      </c>
      <c r="C650" s="6"/>
      <c r="D650" s="37">
        <f xml:space="preserve"> D647 * D648 * D649</f>
        <v>0</v>
      </c>
      <c r="E650" s="37">
        <f xml:space="preserve"> E647 * E648 * E649</f>
        <v>0</v>
      </c>
      <c r="F650" s="37">
        <f xml:space="preserve"> F647 * F648 * F649</f>
        <v>0</v>
      </c>
      <c r="G650" s="37">
        <f t="shared" ref="G650:H650" si="314" xml:space="preserve"> G647 * G648 * G649</f>
        <v>0</v>
      </c>
      <c r="H650" s="229">
        <f t="shared" si="314"/>
        <v>0</v>
      </c>
      <c r="I650" s="229">
        <v>7725</v>
      </c>
      <c r="J650" s="229">
        <f t="shared" ref="J650:N650" si="315" xml:space="preserve"> J647 * J648 * J649</f>
        <v>0</v>
      </c>
      <c r="K650" s="229">
        <f t="shared" si="315"/>
        <v>0</v>
      </c>
      <c r="L650" s="229">
        <f t="shared" si="315"/>
        <v>0</v>
      </c>
      <c r="M650" s="229">
        <f t="shared" si="315"/>
        <v>0</v>
      </c>
      <c r="N650" s="229">
        <f t="shared" si="315"/>
        <v>0</v>
      </c>
    </row>
    <row r="651" spans="1:14">
      <c r="D651" s="36"/>
      <c r="E651" s="36"/>
      <c r="F651" s="36"/>
      <c r="G651" s="36"/>
      <c r="H651" s="36"/>
      <c r="I651" s="36"/>
      <c r="J651" s="36"/>
      <c r="K651" s="36"/>
      <c r="L651" s="36"/>
      <c r="M651" s="36"/>
      <c r="N651" s="36"/>
    </row>
    <row r="652" spans="1:14" ht="18.5">
      <c r="A652" s="9" t="s">
        <v>119</v>
      </c>
      <c r="D652" s="2">
        <f>'Facility Detail'!$D$72</f>
        <v>2011</v>
      </c>
      <c r="E652" s="2">
        <f>D652+1</f>
        <v>2012</v>
      </c>
      <c r="F652" s="2">
        <f>E652+1</f>
        <v>2013</v>
      </c>
      <c r="G652" s="2">
        <f t="shared" ref="G652:N652" si="316">F652+1</f>
        <v>2014</v>
      </c>
      <c r="H652" s="2">
        <f t="shared" si="316"/>
        <v>2015</v>
      </c>
      <c r="I652" s="2">
        <f t="shared" si="316"/>
        <v>2016</v>
      </c>
      <c r="J652" s="2">
        <f t="shared" si="316"/>
        <v>2017</v>
      </c>
      <c r="K652" s="2">
        <f t="shared" si="316"/>
        <v>2018</v>
      </c>
      <c r="L652" s="2">
        <f t="shared" si="316"/>
        <v>2019</v>
      </c>
      <c r="M652" s="2">
        <f t="shared" si="316"/>
        <v>2020</v>
      </c>
      <c r="N652" s="2">
        <f t="shared" si="316"/>
        <v>2021</v>
      </c>
    </row>
    <row r="653" spans="1:14">
      <c r="B653" s="326" t="s">
        <v>10</v>
      </c>
      <c r="C653" s="71"/>
      <c r="D653" s="51">
        <f>IF($E14="Eligible",D650*'Facility Detail'!$B$3079,0)</f>
        <v>0</v>
      </c>
      <c r="E653" s="51">
        <f>IF($E14="Eligible",E650*'Facility Detail'!$B$3079,0)</f>
        <v>0</v>
      </c>
      <c r="F653" s="51">
        <f>IF($E14="Eligible",F650*'Facility Detail'!$B$3079,0)</f>
        <v>0</v>
      </c>
      <c r="G653" s="51">
        <f>IF($E14="Eligible",G650*'Facility Detail'!$B$3079,0)</f>
        <v>0</v>
      </c>
      <c r="H653" s="51">
        <f>IF($E14="Eligible",H650*'Facility Detail'!$B$3079,0)</f>
        <v>0</v>
      </c>
      <c r="I653" s="51">
        <f>IF($E14="Eligible",I650*'Facility Detail'!$B$3079,0)</f>
        <v>0</v>
      </c>
      <c r="J653" s="51">
        <f>IF($E14="Eligible",J650*'Facility Detail'!$B$3079,0)</f>
        <v>0</v>
      </c>
      <c r="K653" s="51">
        <f>IF($E14="Eligible",K650*'Facility Detail'!$B$3079,0)</f>
        <v>0</v>
      </c>
      <c r="L653" s="51">
        <f>IF($E14="Eligible",L650*'Facility Detail'!$B$3079,0)</f>
        <v>0</v>
      </c>
      <c r="M653" s="51">
        <f>IF($E14="Eligible",M650*'Facility Detail'!$B$3079,0)</f>
        <v>0</v>
      </c>
      <c r="N653" s="51">
        <f>IF($E14="Eligible",N650*'Facility Detail'!$B$3079,0)</f>
        <v>0</v>
      </c>
    </row>
    <row r="654" spans="1:14">
      <c r="B654" s="326" t="s">
        <v>6</v>
      </c>
      <c r="C654" s="71"/>
      <c r="D654" s="51">
        <f t="shared" ref="D654:N654" si="317">IF($F14="Eligible",D650,0)</f>
        <v>0</v>
      </c>
      <c r="E654" s="51">
        <f t="shared" si="317"/>
        <v>0</v>
      </c>
      <c r="F654" s="51">
        <f t="shared" si="317"/>
        <v>0</v>
      </c>
      <c r="G654" s="51">
        <f t="shared" si="317"/>
        <v>0</v>
      </c>
      <c r="H654" s="51">
        <f t="shared" si="317"/>
        <v>0</v>
      </c>
      <c r="I654" s="51">
        <f t="shared" si="317"/>
        <v>0</v>
      </c>
      <c r="J654" s="51">
        <f t="shared" si="317"/>
        <v>0</v>
      </c>
      <c r="K654" s="51">
        <f t="shared" si="317"/>
        <v>0</v>
      </c>
      <c r="L654" s="51">
        <f t="shared" si="317"/>
        <v>0</v>
      </c>
      <c r="M654" s="51">
        <f t="shared" si="317"/>
        <v>0</v>
      </c>
      <c r="N654" s="51">
        <f t="shared" si="317"/>
        <v>0</v>
      </c>
    </row>
    <row r="655" spans="1:14">
      <c r="B655" s="33" t="s">
        <v>121</v>
      </c>
      <c r="C655" s="6"/>
      <c r="D655" s="39">
        <f>SUM(D653:D654)</f>
        <v>0</v>
      </c>
      <c r="E655" s="40">
        <f>SUM(E653:E654)</f>
        <v>0</v>
      </c>
      <c r="F655" s="40">
        <f>SUM(F653:F654)</f>
        <v>0</v>
      </c>
      <c r="G655" s="40">
        <f t="shared" ref="G655:N655" si="318">SUM(G653:G654)</f>
        <v>0</v>
      </c>
      <c r="H655" s="40">
        <f t="shared" si="318"/>
        <v>0</v>
      </c>
      <c r="I655" s="40">
        <f t="shared" si="318"/>
        <v>0</v>
      </c>
      <c r="J655" s="40">
        <f t="shared" si="318"/>
        <v>0</v>
      </c>
      <c r="K655" s="40">
        <f t="shared" si="318"/>
        <v>0</v>
      </c>
      <c r="L655" s="40">
        <f t="shared" si="318"/>
        <v>0</v>
      </c>
      <c r="M655" s="40">
        <f t="shared" si="318"/>
        <v>0</v>
      </c>
      <c r="N655" s="40">
        <f t="shared" si="318"/>
        <v>0</v>
      </c>
    </row>
    <row r="656" spans="1:14">
      <c r="D656" s="38"/>
      <c r="E656" s="31"/>
      <c r="F656" s="31"/>
      <c r="G656" s="31"/>
      <c r="H656" s="31"/>
      <c r="I656" s="31"/>
      <c r="J656" s="31"/>
      <c r="K656" s="31"/>
      <c r="L656" s="31"/>
      <c r="M656" s="31"/>
      <c r="N656" s="31"/>
    </row>
    <row r="657" spans="1:14" ht="18.5">
      <c r="A657" s="9" t="s">
        <v>30</v>
      </c>
      <c r="D657" s="2">
        <f>'Facility Detail'!$D$72</f>
        <v>2011</v>
      </c>
      <c r="E657" s="2">
        <f>D657+1</f>
        <v>2012</v>
      </c>
      <c r="F657" s="2">
        <f>E657+1</f>
        <v>2013</v>
      </c>
      <c r="G657" s="2">
        <f t="shared" ref="G657:N657" si="319">F657+1</f>
        <v>2014</v>
      </c>
      <c r="H657" s="2">
        <f t="shared" si="319"/>
        <v>2015</v>
      </c>
      <c r="I657" s="2">
        <f t="shared" si="319"/>
        <v>2016</v>
      </c>
      <c r="J657" s="2">
        <f t="shared" si="319"/>
        <v>2017</v>
      </c>
      <c r="K657" s="2">
        <f t="shared" si="319"/>
        <v>2018</v>
      </c>
      <c r="L657" s="2">
        <f t="shared" si="319"/>
        <v>2019</v>
      </c>
      <c r="M657" s="2">
        <f t="shared" si="319"/>
        <v>2020</v>
      </c>
      <c r="N657" s="2">
        <f t="shared" si="319"/>
        <v>2021</v>
      </c>
    </row>
    <row r="658" spans="1:14">
      <c r="B658" s="326" t="s">
        <v>47</v>
      </c>
      <c r="C658" s="71"/>
      <c r="D658" s="89"/>
      <c r="E658" s="90"/>
      <c r="F658" s="90"/>
      <c r="G658" s="90"/>
      <c r="H658" s="90"/>
      <c r="I658" s="90"/>
      <c r="J658" s="90"/>
      <c r="K658" s="90"/>
      <c r="L658" s="90"/>
      <c r="M658" s="90"/>
      <c r="N658" s="90"/>
    </row>
    <row r="659" spans="1:14">
      <c r="B659" s="330" t="s">
        <v>23</v>
      </c>
      <c r="C659" s="331"/>
      <c r="D659" s="92"/>
      <c r="E659" s="93"/>
      <c r="F659" s="93"/>
      <c r="G659" s="93"/>
      <c r="H659" s="93"/>
      <c r="I659" s="93"/>
      <c r="J659" s="93"/>
      <c r="K659" s="93"/>
      <c r="L659" s="93"/>
      <c r="M659" s="93"/>
      <c r="N659" s="93"/>
    </row>
    <row r="660" spans="1:14">
      <c r="B660" s="330" t="s">
        <v>89</v>
      </c>
      <c r="C660" s="332"/>
      <c r="D660" s="57"/>
      <c r="E660" s="58"/>
      <c r="F660" s="58"/>
      <c r="G660" s="58"/>
      <c r="H660" s="58"/>
      <c r="I660" s="58"/>
      <c r="J660" s="58"/>
      <c r="K660" s="58"/>
      <c r="L660" s="58"/>
      <c r="M660" s="58"/>
      <c r="N660" s="58"/>
    </row>
    <row r="661" spans="1:14">
      <c r="B661" s="33" t="s">
        <v>90</v>
      </c>
      <c r="D661" s="7">
        <f>SUM(D658:D660)</f>
        <v>0</v>
      </c>
      <c r="E661" s="7">
        <f>SUM(E658:E660)</f>
        <v>0</v>
      </c>
      <c r="F661" s="7">
        <f>SUM(F658:F660)</f>
        <v>0</v>
      </c>
      <c r="G661" s="7">
        <f t="shared" ref="G661:N661" si="320">SUM(G658:G660)</f>
        <v>0</v>
      </c>
      <c r="H661" s="7">
        <f t="shared" si="320"/>
        <v>0</v>
      </c>
      <c r="I661" s="7">
        <f t="shared" si="320"/>
        <v>0</v>
      </c>
      <c r="J661" s="7">
        <f t="shared" si="320"/>
        <v>0</v>
      </c>
      <c r="K661" s="7">
        <f t="shared" si="320"/>
        <v>0</v>
      </c>
      <c r="L661" s="7">
        <f t="shared" si="320"/>
        <v>0</v>
      </c>
      <c r="M661" s="7">
        <f t="shared" si="320"/>
        <v>0</v>
      </c>
      <c r="N661" s="7">
        <f t="shared" si="320"/>
        <v>0</v>
      </c>
    </row>
    <row r="662" spans="1:14">
      <c r="B662" s="6"/>
      <c r="D662" s="7"/>
      <c r="E662" s="7"/>
      <c r="F662" s="7"/>
      <c r="G662" s="7"/>
      <c r="H662" s="7"/>
      <c r="I662" s="7"/>
      <c r="J662" s="7"/>
      <c r="K662" s="7"/>
      <c r="L662" s="7"/>
      <c r="M662" s="7"/>
      <c r="N662" s="7"/>
    </row>
    <row r="663" spans="1:14" ht="18.5">
      <c r="A663" s="9" t="s">
        <v>100</v>
      </c>
      <c r="D663" s="2">
        <f>'Facility Detail'!$D$72</f>
        <v>2011</v>
      </c>
      <c r="E663" s="2">
        <f>D663+1</f>
        <v>2012</v>
      </c>
      <c r="F663" s="2">
        <f>E663+1</f>
        <v>2013</v>
      </c>
      <c r="G663" s="2">
        <f t="shared" ref="G663:N663" si="321">F663+1</f>
        <v>2014</v>
      </c>
      <c r="H663" s="2">
        <f t="shared" si="321"/>
        <v>2015</v>
      </c>
      <c r="I663" s="2">
        <f t="shared" si="321"/>
        <v>2016</v>
      </c>
      <c r="J663" s="2">
        <f t="shared" si="321"/>
        <v>2017</v>
      </c>
      <c r="K663" s="2">
        <f t="shared" si="321"/>
        <v>2018</v>
      </c>
      <c r="L663" s="2">
        <f t="shared" si="321"/>
        <v>2019</v>
      </c>
      <c r="M663" s="2">
        <f t="shared" si="321"/>
        <v>2020</v>
      </c>
      <c r="N663" s="2">
        <f t="shared" si="321"/>
        <v>2021</v>
      </c>
    </row>
    <row r="664" spans="1:14">
      <c r="B664" s="326" t="s">
        <v>68</v>
      </c>
      <c r="C664" s="71"/>
      <c r="D664" s="3"/>
      <c r="E664" s="60">
        <f>D664</f>
        <v>0</v>
      </c>
      <c r="F664" s="131"/>
      <c r="G664" s="131"/>
      <c r="H664" s="131"/>
      <c r="I664" s="131"/>
      <c r="J664" s="131"/>
      <c r="K664" s="131"/>
      <c r="L664" s="131"/>
      <c r="M664" s="131"/>
      <c r="N664" s="131"/>
    </row>
    <row r="665" spans="1:14">
      <c r="B665" s="326" t="s">
        <v>69</v>
      </c>
      <c r="C665" s="71"/>
      <c r="D665" s="164">
        <f>E665</f>
        <v>0</v>
      </c>
      <c r="E665" s="10"/>
      <c r="F665" s="74"/>
      <c r="G665" s="74"/>
      <c r="H665" s="74"/>
      <c r="I665" s="74"/>
      <c r="J665" s="74"/>
      <c r="K665" s="74"/>
      <c r="L665" s="74"/>
      <c r="M665" s="74"/>
      <c r="N665" s="74"/>
    </row>
    <row r="666" spans="1:14">
      <c r="B666" s="326" t="s">
        <v>70</v>
      </c>
      <c r="C666" s="71"/>
      <c r="D666" s="62"/>
      <c r="E666" s="10">
        <f>E650</f>
        <v>0</v>
      </c>
      <c r="F666" s="70">
        <f>E666</f>
        <v>0</v>
      </c>
      <c r="G666" s="74"/>
      <c r="H666" s="74"/>
      <c r="I666" s="74"/>
      <c r="J666" s="74"/>
      <c r="K666" s="74"/>
      <c r="L666" s="74"/>
      <c r="M666" s="74"/>
      <c r="N666" s="74"/>
    </row>
    <row r="667" spans="1:14">
      <c r="B667" s="326" t="s">
        <v>71</v>
      </c>
      <c r="C667" s="71"/>
      <c r="D667" s="62"/>
      <c r="E667" s="70">
        <f>F667</f>
        <v>0</v>
      </c>
      <c r="F667" s="163"/>
      <c r="G667" s="74"/>
      <c r="H667" s="74"/>
      <c r="I667" s="74"/>
      <c r="J667" s="74"/>
      <c r="K667" s="74"/>
      <c r="L667" s="74"/>
      <c r="M667" s="74"/>
      <c r="N667" s="74"/>
    </row>
    <row r="668" spans="1:14">
      <c r="B668" s="326" t="s">
        <v>171</v>
      </c>
      <c r="D668" s="62"/>
      <c r="E668" s="148"/>
      <c r="F668" s="10">
        <f>F650</f>
        <v>0</v>
      </c>
      <c r="G668" s="149">
        <f>F668</f>
        <v>0</v>
      </c>
      <c r="H668" s="74"/>
      <c r="I668" s="74"/>
      <c r="J668" s="74"/>
      <c r="K668" s="74"/>
      <c r="L668" s="74"/>
      <c r="M668" s="74"/>
      <c r="N668" s="74"/>
    </row>
    <row r="669" spans="1:14">
      <c r="B669" s="326" t="s">
        <v>172</v>
      </c>
      <c r="D669" s="62"/>
      <c r="E669" s="148"/>
      <c r="F669" s="70">
        <f>G669</f>
        <v>0</v>
      </c>
      <c r="G669" s="10"/>
      <c r="H669" s="74"/>
      <c r="I669" s="74"/>
      <c r="J669" s="74"/>
      <c r="K669" s="74"/>
      <c r="L669" s="74"/>
      <c r="M669" s="74"/>
      <c r="N669" s="74"/>
    </row>
    <row r="670" spans="1:14">
      <c r="B670" s="326" t="s">
        <v>173</v>
      </c>
      <c r="D670" s="62"/>
      <c r="E670" s="148"/>
      <c r="F670" s="148"/>
      <c r="G670" s="10">
        <f>G650</f>
        <v>0</v>
      </c>
      <c r="H670" s="149">
        <f>G670</f>
        <v>0</v>
      </c>
      <c r="I670" s="148"/>
      <c r="J670" s="148"/>
      <c r="K670" s="148"/>
      <c r="L670" s="148"/>
      <c r="M670" s="148"/>
      <c r="N670" s="148"/>
    </row>
    <row r="671" spans="1:14">
      <c r="B671" s="326" t="s">
        <v>174</v>
      </c>
      <c r="D671" s="62"/>
      <c r="E671" s="148"/>
      <c r="F671" s="148"/>
      <c r="G671" s="150"/>
      <c r="H671" s="151"/>
      <c r="I671" s="148"/>
      <c r="J671" s="148"/>
      <c r="K671" s="148"/>
      <c r="L671" s="148"/>
      <c r="M671" s="148"/>
      <c r="N671" s="148"/>
    </row>
    <row r="672" spans="1:14">
      <c r="B672" s="326" t="s">
        <v>175</v>
      </c>
      <c r="D672" s="62"/>
      <c r="E672" s="148"/>
      <c r="F672" s="148"/>
      <c r="G672" s="148"/>
      <c r="H672" s="151">
        <v>0</v>
      </c>
      <c r="I672" s="149">
        <f>H672</f>
        <v>0</v>
      </c>
      <c r="J672" s="74"/>
      <c r="K672" s="74"/>
      <c r="L672" s="74"/>
      <c r="M672" s="74"/>
      <c r="N672" s="74"/>
    </row>
    <row r="673" spans="1:15">
      <c r="B673" s="326" t="s">
        <v>176</v>
      </c>
      <c r="D673" s="62"/>
      <c r="E673" s="148"/>
      <c r="F673" s="148"/>
      <c r="G673" s="148"/>
      <c r="H673" s="70"/>
      <c r="I673" s="151"/>
      <c r="J673" s="74"/>
      <c r="K673" s="74"/>
      <c r="L673" s="74"/>
      <c r="M673" s="74"/>
      <c r="N673" s="74"/>
    </row>
    <row r="674" spans="1:15">
      <c r="B674" s="326" t="s">
        <v>177</v>
      </c>
      <c r="D674" s="62"/>
      <c r="E674" s="148"/>
      <c r="F674" s="148"/>
      <c r="G674" s="148"/>
      <c r="H674" s="148"/>
      <c r="I674" s="151">
        <f>I650</f>
        <v>7725</v>
      </c>
      <c r="J674" s="149">
        <f>I674</f>
        <v>7725</v>
      </c>
      <c r="K674" s="74"/>
      <c r="L674" s="74"/>
      <c r="M674" s="74"/>
      <c r="N674" s="74"/>
    </row>
    <row r="675" spans="1:15">
      <c r="B675" s="326" t="s">
        <v>168</v>
      </c>
      <c r="D675" s="62"/>
      <c r="E675" s="148"/>
      <c r="F675" s="148"/>
      <c r="G675" s="148"/>
      <c r="H675" s="148"/>
      <c r="I675" s="209"/>
      <c r="J675" s="151"/>
      <c r="K675" s="74"/>
      <c r="L675" s="74"/>
      <c r="M675" s="74"/>
      <c r="N675" s="74"/>
    </row>
    <row r="676" spans="1:15">
      <c r="B676" s="326" t="s">
        <v>169</v>
      </c>
      <c r="D676" s="63"/>
      <c r="E676" s="133"/>
      <c r="F676" s="133"/>
      <c r="G676" s="133"/>
      <c r="H676" s="133"/>
      <c r="I676" s="133"/>
      <c r="J676" s="153"/>
      <c r="K676" s="329"/>
      <c r="L676" s="133"/>
      <c r="M676" s="133"/>
      <c r="N676" s="133"/>
    </row>
    <row r="677" spans="1:15">
      <c r="B677" s="33" t="s">
        <v>17</v>
      </c>
      <c r="D677" s="180">
        <f xml:space="preserve"> D670 - D669</f>
        <v>0</v>
      </c>
      <c r="E677" s="180">
        <f xml:space="preserve"> E669 + E672 - E671 - E670</f>
        <v>0</v>
      </c>
      <c r="F677" s="180">
        <f>F671 - F672</f>
        <v>0</v>
      </c>
      <c r="G677" s="180">
        <f t="shared" ref="G677" si="322">G671 - G672</f>
        <v>0</v>
      </c>
      <c r="H677" s="28">
        <f>H670-H671-H672</f>
        <v>0</v>
      </c>
      <c r="I677" s="28">
        <f>I672-I673-I674</f>
        <v>-7725</v>
      </c>
      <c r="J677" s="28">
        <f>J674-J675-J676</f>
        <v>7725</v>
      </c>
      <c r="K677" s="28">
        <f>K676</f>
        <v>0</v>
      </c>
      <c r="L677" s="28">
        <f t="shared" ref="L677:N677" si="323">L676</f>
        <v>0</v>
      </c>
      <c r="M677" s="28">
        <f t="shared" si="323"/>
        <v>0</v>
      </c>
      <c r="N677" s="28">
        <f t="shared" si="323"/>
        <v>0</v>
      </c>
    </row>
    <row r="678" spans="1:15">
      <c r="B678" s="6"/>
      <c r="D678" s="7"/>
      <c r="E678" s="7"/>
      <c r="F678" s="7"/>
      <c r="G678" s="7"/>
      <c r="H678" s="7"/>
      <c r="I678" s="7"/>
      <c r="J678" s="7"/>
      <c r="K678" s="7"/>
      <c r="L678" s="7"/>
      <c r="M678" s="7"/>
      <c r="N678" s="7"/>
    </row>
    <row r="679" spans="1:15">
      <c r="B679" s="33" t="s">
        <v>12</v>
      </c>
      <c r="C679" s="71"/>
      <c r="D679" s="99"/>
      <c r="E679" s="100"/>
      <c r="F679" s="100"/>
      <c r="G679" s="100"/>
      <c r="H679" s="100"/>
      <c r="I679" s="100"/>
      <c r="J679" s="100"/>
      <c r="K679" s="100"/>
      <c r="L679" s="100"/>
      <c r="M679" s="100"/>
      <c r="N679" s="100"/>
    </row>
    <row r="680" spans="1:15">
      <c r="B680" s="6"/>
      <c r="D680" s="7"/>
      <c r="E680" s="7"/>
      <c r="F680" s="7"/>
      <c r="G680" s="7"/>
      <c r="H680" s="7"/>
      <c r="I680" s="7"/>
      <c r="J680" s="7"/>
      <c r="K680" s="7"/>
      <c r="L680" s="7"/>
      <c r="M680" s="7"/>
      <c r="N680" s="7"/>
    </row>
    <row r="681" spans="1:15" ht="18.5">
      <c r="A681" s="9" t="s">
        <v>26</v>
      </c>
      <c r="C681" s="71"/>
      <c r="D681" s="43">
        <f xml:space="preserve"> D650 + D655 - D661 + D677 + D679</f>
        <v>0</v>
      </c>
      <c r="E681" s="44">
        <f xml:space="preserve"> E650 + E655 - E661 + E677 + E679</f>
        <v>0</v>
      </c>
      <c r="F681" s="44">
        <f xml:space="preserve"> F650 + F655 - F661 + F677 + F679</f>
        <v>0</v>
      </c>
      <c r="G681" s="44">
        <f t="shared" ref="G681:N681" si="324" xml:space="preserve"> G650 + G655 - G661 + G677 + G679</f>
        <v>0</v>
      </c>
      <c r="H681" s="44">
        <f t="shared" si="324"/>
        <v>0</v>
      </c>
      <c r="I681" s="44">
        <f t="shared" si="324"/>
        <v>0</v>
      </c>
      <c r="J681" s="44">
        <f t="shared" si="324"/>
        <v>7725</v>
      </c>
      <c r="K681" s="44">
        <f t="shared" si="324"/>
        <v>0</v>
      </c>
      <c r="L681" s="44">
        <f t="shared" si="324"/>
        <v>0</v>
      </c>
      <c r="M681" s="44">
        <f t="shared" si="324"/>
        <v>0</v>
      </c>
      <c r="N681" s="44">
        <f t="shared" si="324"/>
        <v>0</v>
      </c>
    </row>
    <row r="682" spans="1:15">
      <c r="B682" s="6"/>
      <c r="D682" s="7"/>
      <c r="E682" s="7"/>
      <c r="F682" s="7"/>
      <c r="G682" s="28"/>
      <c r="H682" s="28"/>
      <c r="I682" s="28"/>
      <c r="J682" s="28"/>
      <c r="K682" s="28"/>
      <c r="L682" s="28"/>
      <c r="M682" s="28"/>
      <c r="N682" s="28"/>
    </row>
    <row r="683" spans="1:15" ht="15" thickBot="1"/>
    <row r="684" spans="1:15">
      <c r="A684" s="8"/>
      <c r="B684" s="8"/>
      <c r="C684" s="8"/>
      <c r="D684" s="8"/>
      <c r="E684" s="8"/>
      <c r="F684" s="8"/>
      <c r="G684" s="8"/>
      <c r="H684" s="8"/>
      <c r="I684" s="8"/>
      <c r="J684" s="8"/>
      <c r="K684" s="8"/>
      <c r="L684" s="8"/>
      <c r="M684" s="8"/>
      <c r="N684" s="8"/>
      <c r="O684" s="30"/>
    </row>
    <row r="685" spans="1:15" ht="15" thickBot="1">
      <c r="B685" s="30"/>
      <c r="C685" s="30"/>
      <c r="D685" s="30"/>
      <c r="E685" s="30"/>
      <c r="F685" s="30"/>
      <c r="G685" s="30"/>
      <c r="H685" s="30"/>
      <c r="I685" s="30"/>
      <c r="J685" s="30"/>
      <c r="K685" s="30"/>
      <c r="L685" s="30"/>
      <c r="M685" s="30"/>
      <c r="N685" s="30"/>
      <c r="O685" s="30"/>
    </row>
    <row r="686" spans="1:15" ht="21.5" thickBot="1">
      <c r="A686" s="13" t="s">
        <v>4</v>
      </c>
      <c r="B686" s="13"/>
      <c r="C686" s="298" t="s">
        <v>157</v>
      </c>
      <c r="D686" s="309"/>
      <c r="E686" s="23"/>
      <c r="F686" s="23"/>
      <c r="O686" s="30"/>
    </row>
    <row r="687" spans="1:15">
      <c r="O687" s="30"/>
    </row>
    <row r="688" spans="1:15" ht="18.5">
      <c r="A688" s="9" t="s">
        <v>21</v>
      </c>
      <c r="B688" s="9"/>
      <c r="D688" s="2">
        <f>'Facility Detail'!$B$3082</f>
        <v>2011</v>
      </c>
      <c r="E688" s="2">
        <f t="shared" ref="E688:N688" si="325">D688+1</f>
        <v>2012</v>
      </c>
      <c r="F688" s="2">
        <f t="shared" si="325"/>
        <v>2013</v>
      </c>
      <c r="G688" s="2">
        <f t="shared" si="325"/>
        <v>2014</v>
      </c>
      <c r="H688" s="2">
        <f t="shared" si="325"/>
        <v>2015</v>
      </c>
      <c r="I688" s="2">
        <f t="shared" si="325"/>
        <v>2016</v>
      </c>
      <c r="J688" s="2">
        <f t="shared" si="325"/>
        <v>2017</v>
      </c>
      <c r="K688" s="2">
        <f t="shared" si="325"/>
        <v>2018</v>
      </c>
      <c r="L688" s="2">
        <f t="shared" si="325"/>
        <v>2019</v>
      </c>
      <c r="M688" s="2">
        <f t="shared" si="325"/>
        <v>2020</v>
      </c>
      <c r="N688" s="2">
        <f t="shared" si="325"/>
        <v>2021</v>
      </c>
      <c r="O688" s="30"/>
    </row>
    <row r="689" spans="1:15">
      <c r="B689" s="79" t="str">
        <f>"Total MWh Produced / Purchased from " &amp; C686</f>
        <v>Total MWh Produced / Purchased from Dunlap I</v>
      </c>
      <c r="C689" s="71"/>
      <c r="D689" s="3"/>
      <c r="E689" s="4"/>
      <c r="F689" s="4"/>
      <c r="G689" s="184"/>
      <c r="H689" s="4">
        <v>339706</v>
      </c>
      <c r="I689" s="4">
        <v>388498</v>
      </c>
      <c r="J689" s="230">
        <v>351261</v>
      </c>
      <c r="K689" s="230">
        <v>391874</v>
      </c>
      <c r="L689" s="225">
        <v>182469</v>
      </c>
      <c r="M689" s="280">
        <v>416943</v>
      </c>
      <c r="N689" s="280">
        <v>464964</v>
      </c>
      <c r="O689" s="30"/>
    </row>
    <row r="690" spans="1:15">
      <c r="B690" s="79" t="s">
        <v>25</v>
      </c>
      <c r="C690" s="71"/>
      <c r="D690" s="54"/>
      <c r="E690" s="55"/>
      <c r="F690" s="55"/>
      <c r="G690" s="186"/>
      <c r="H690" s="55">
        <v>1</v>
      </c>
      <c r="I690" s="55">
        <v>1</v>
      </c>
      <c r="J690" s="234">
        <v>1</v>
      </c>
      <c r="K690" s="234">
        <v>1</v>
      </c>
      <c r="L690" s="234">
        <v>1</v>
      </c>
      <c r="M690" s="287">
        <v>1</v>
      </c>
      <c r="N690" s="287">
        <v>1</v>
      </c>
      <c r="O690" s="30"/>
    </row>
    <row r="691" spans="1:15">
      <c r="B691" s="79" t="s">
        <v>20</v>
      </c>
      <c r="C691" s="71"/>
      <c r="D691" s="48"/>
      <c r="E691" s="49"/>
      <c r="F691" s="49"/>
      <c r="G691" s="182"/>
      <c r="H691" s="49">
        <v>8.0535999999999996E-2</v>
      </c>
      <c r="I691" s="49">
        <v>8.1698151927344531E-2</v>
      </c>
      <c r="J691" s="49">
        <v>8.0833713568703974E-2</v>
      </c>
      <c r="K691" s="49">
        <v>7.9451999999999995E-2</v>
      </c>
      <c r="L691" s="49">
        <v>7.6724662968274293E-2</v>
      </c>
      <c r="M691" s="243">
        <f>M413</f>
        <v>8.1268700519883177E-2</v>
      </c>
      <c r="N691" s="243">
        <f>N413</f>
        <v>8.0780946790754593E-2</v>
      </c>
      <c r="O691" s="30"/>
    </row>
    <row r="692" spans="1:15">
      <c r="B692" s="76" t="s">
        <v>22</v>
      </c>
      <c r="C692" s="77"/>
      <c r="D692" s="37">
        <f xml:space="preserve"> ROUND(D689 * D690 * D691,0)</f>
        <v>0</v>
      </c>
      <c r="E692" s="37">
        <f xml:space="preserve"> ROUND(E689 * E690 * E691,0)</f>
        <v>0</v>
      </c>
      <c r="F692" s="37">
        <f xml:space="preserve"> ROUND(F689 * F690 * F691,0)</f>
        <v>0</v>
      </c>
      <c r="G692" s="37">
        <f xml:space="preserve"> ROUND(G689 * G690 * G691,0)</f>
        <v>0</v>
      </c>
      <c r="H692" s="37">
        <v>27359</v>
      </c>
      <c r="I692" s="37">
        <v>31741</v>
      </c>
      <c r="J692" s="37">
        <v>25412</v>
      </c>
      <c r="K692" s="229">
        <v>31135</v>
      </c>
      <c r="L692" s="37">
        <f>L689*L691</f>
        <v>13999.872527158042</v>
      </c>
      <c r="M692" s="37">
        <f>M689*M691</f>
        <v>33884.41580086165</v>
      </c>
      <c r="N692" s="37">
        <f>N689*N691</f>
        <v>37560.23214361642</v>
      </c>
      <c r="O692" s="30"/>
    </row>
    <row r="693" spans="1:15">
      <c r="B693" s="23"/>
      <c r="C693" s="30"/>
      <c r="D693" s="36"/>
      <c r="E693" s="36"/>
      <c r="F693" s="36"/>
      <c r="G693" s="36"/>
      <c r="H693" s="36"/>
      <c r="I693" s="36"/>
      <c r="J693" s="36"/>
      <c r="K693" s="36"/>
      <c r="L693" s="36"/>
      <c r="M693" s="36"/>
      <c r="N693" s="36"/>
      <c r="O693" s="30"/>
    </row>
    <row r="694" spans="1:15" ht="18.5">
      <c r="A694" s="42" t="s">
        <v>119</v>
      </c>
      <c r="C694" s="30"/>
      <c r="D694" s="2">
        <f>'Facility Detail'!$B$3082</f>
        <v>2011</v>
      </c>
      <c r="E694" s="2">
        <f t="shared" ref="E694:N694" si="326">D694+1</f>
        <v>2012</v>
      </c>
      <c r="F694" s="2">
        <f t="shared" si="326"/>
        <v>2013</v>
      </c>
      <c r="G694" s="2">
        <f t="shared" si="326"/>
        <v>2014</v>
      </c>
      <c r="H694" s="2">
        <f t="shared" si="326"/>
        <v>2015</v>
      </c>
      <c r="I694" s="2">
        <f t="shared" si="326"/>
        <v>2016</v>
      </c>
      <c r="J694" s="2">
        <f t="shared" si="326"/>
        <v>2017</v>
      </c>
      <c r="K694" s="2">
        <f t="shared" si="326"/>
        <v>2018</v>
      </c>
      <c r="L694" s="2">
        <f t="shared" si="326"/>
        <v>2019</v>
      </c>
      <c r="M694" s="2">
        <f t="shared" si="326"/>
        <v>2020</v>
      </c>
      <c r="N694" s="2">
        <f t="shared" si="326"/>
        <v>2021</v>
      </c>
      <c r="O694" s="30"/>
    </row>
    <row r="695" spans="1:15">
      <c r="B695" s="79" t="s">
        <v>10</v>
      </c>
      <c r="C695" s="71"/>
      <c r="D695" s="51">
        <f>IF($E15 = "Eligible", D692 * 'Facility Detail'!$B$3079, 0 )</f>
        <v>0</v>
      </c>
      <c r="E695" s="51">
        <f>IF($E15 = "Eligible", E692 * 'Facility Detail'!$B$3079, 0 )</f>
        <v>0</v>
      </c>
      <c r="F695" s="51">
        <f>IF($E15 = "Eligible", F692 * 'Facility Detail'!$B$3079, 0 )</f>
        <v>0</v>
      </c>
      <c r="G695" s="51">
        <f>IF($E15 = "Eligible", G692 * 'Facility Detail'!$B$3079, 0 )</f>
        <v>0</v>
      </c>
      <c r="H695" s="51">
        <f>IF($E15 = "Eligible", H692 * 'Facility Detail'!$B$3079, 0 )</f>
        <v>0</v>
      </c>
      <c r="I695" s="51">
        <f>IF($E15 = "Eligible", I692 * 'Facility Detail'!$B$3079, 0 )</f>
        <v>0</v>
      </c>
      <c r="J695" s="51">
        <f>IF($E15 = "Eligible", J692 * 'Facility Detail'!$B$3079, 0 )</f>
        <v>0</v>
      </c>
      <c r="K695" s="51">
        <f>IF($E15 = "Eligible", K692 * 'Facility Detail'!$B$3079, 0 )</f>
        <v>0</v>
      </c>
      <c r="L695" s="51">
        <f>IF($E15 = "Eligible", L692 * 'Facility Detail'!$B$3079, 0 )</f>
        <v>0</v>
      </c>
      <c r="M695" s="51">
        <f>IF($E15 = "Eligible", M692 * 'Facility Detail'!$B$3079, 0 )</f>
        <v>0</v>
      </c>
      <c r="N695" s="51">
        <f>IF($E15 = "Eligible", N692 * 'Facility Detail'!$B$3079, 0 )</f>
        <v>0</v>
      </c>
      <c r="O695" s="30"/>
    </row>
    <row r="696" spans="1:15">
      <c r="B696" s="79" t="s">
        <v>6</v>
      </c>
      <c r="C696" s="71"/>
      <c r="D696" s="52">
        <f t="shared" ref="D696:N696" si="327">IF($F15= "Eligible", D692, 0 )</f>
        <v>0</v>
      </c>
      <c r="E696" s="52">
        <f t="shared" si="327"/>
        <v>0</v>
      </c>
      <c r="F696" s="52">
        <f t="shared" si="327"/>
        <v>0</v>
      </c>
      <c r="G696" s="52">
        <f t="shared" si="327"/>
        <v>0</v>
      </c>
      <c r="H696" s="52">
        <f t="shared" si="327"/>
        <v>0</v>
      </c>
      <c r="I696" s="52">
        <f t="shared" si="327"/>
        <v>0</v>
      </c>
      <c r="J696" s="52">
        <f t="shared" si="327"/>
        <v>0</v>
      </c>
      <c r="K696" s="52">
        <f t="shared" si="327"/>
        <v>0</v>
      </c>
      <c r="L696" s="52">
        <f t="shared" si="327"/>
        <v>0</v>
      </c>
      <c r="M696" s="52">
        <f t="shared" si="327"/>
        <v>0</v>
      </c>
      <c r="N696" s="52">
        <f t="shared" si="327"/>
        <v>0</v>
      </c>
      <c r="O696" s="30"/>
    </row>
    <row r="697" spans="1:15">
      <c r="B697" s="78" t="s">
        <v>121</v>
      </c>
      <c r="C697" s="77"/>
      <c r="D697" s="39">
        <f>SUM(D695:D696)</f>
        <v>0</v>
      </c>
      <c r="E697" s="39">
        <f t="shared" ref="E697:N697" si="328">SUM(E695:E696)</f>
        <v>0</v>
      </c>
      <c r="F697" s="39">
        <f t="shared" si="328"/>
        <v>0</v>
      </c>
      <c r="G697" s="39">
        <f t="shared" si="328"/>
        <v>0</v>
      </c>
      <c r="H697" s="39">
        <f t="shared" si="328"/>
        <v>0</v>
      </c>
      <c r="I697" s="39">
        <f t="shared" si="328"/>
        <v>0</v>
      </c>
      <c r="J697" s="39">
        <f t="shared" si="328"/>
        <v>0</v>
      </c>
      <c r="K697" s="39">
        <f t="shared" si="328"/>
        <v>0</v>
      </c>
      <c r="L697" s="39">
        <f t="shared" si="328"/>
        <v>0</v>
      </c>
      <c r="M697" s="39">
        <f t="shared" si="328"/>
        <v>0</v>
      </c>
      <c r="N697" s="39">
        <f t="shared" si="328"/>
        <v>0</v>
      </c>
      <c r="O697" s="30"/>
    </row>
    <row r="698" spans="1:15">
      <c r="B698" s="30"/>
      <c r="C698" s="30"/>
      <c r="D698" s="38"/>
      <c r="E698" s="31"/>
      <c r="F698" s="31"/>
      <c r="G698" s="31"/>
      <c r="H698" s="31"/>
      <c r="I698" s="31"/>
      <c r="J698" s="31"/>
      <c r="K698" s="31"/>
      <c r="L698" s="31"/>
      <c r="M698" s="31"/>
      <c r="N698" s="31"/>
      <c r="O698" s="30"/>
    </row>
    <row r="699" spans="1:15" ht="18.5">
      <c r="A699" s="41" t="s">
        <v>30</v>
      </c>
      <c r="C699" s="30"/>
      <c r="D699" s="2">
        <f>'Facility Detail'!$B$3082</f>
        <v>2011</v>
      </c>
      <c r="E699" s="2">
        <f t="shared" ref="E699:N699" si="329">D699+1</f>
        <v>2012</v>
      </c>
      <c r="F699" s="2">
        <f t="shared" si="329"/>
        <v>2013</v>
      </c>
      <c r="G699" s="2">
        <f t="shared" si="329"/>
        <v>2014</v>
      </c>
      <c r="H699" s="2">
        <f t="shared" si="329"/>
        <v>2015</v>
      </c>
      <c r="I699" s="2">
        <f t="shared" si="329"/>
        <v>2016</v>
      </c>
      <c r="J699" s="2">
        <f t="shared" si="329"/>
        <v>2017</v>
      </c>
      <c r="K699" s="2">
        <f t="shared" si="329"/>
        <v>2018</v>
      </c>
      <c r="L699" s="2">
        <f t="shared" si="329"/>
        <v>2019</v>
      </c>
      <c r="M699" s="2">
        <f t="shared" si="329"/>
        <v>2020</v>
      </c>
      <c r="N699" s="2">
        <f t="shared" si="329"/>
        <v>2021</v>
      </c>
      <c r="O699" s="30"/>
    </row>
    <row r="700" spans="1:15">
      <c r="B700" s="79" t="s">
        <v>47</v>
      </c>
      <c r="C700" s="71"/>
      <c r="D700" s="89"/>
      <c r="E700" s="90"/>
      <c r="F700" s="90"/>
      <c r="G700" s="90"/>
      <c r="H700" s="155"/>
      <c r="I700" s="155"/>
      <c r="J700" s="155"/>
      <c r="K700" s="90"/>
      <c r="L700" s="155"/>
      <c r="M700" s="140"/>
      <c r="N700" s="140"/>
      <c r="O700" s="30"/>
    </row>
    <row r="701" spans="1:15">
      <c r="B701" s="80" t="s">
        <v>23</v>
      </c>
      <c r="C701" s="175"/>
      <c r="D701" s="92"/>
      <c r="E701" s="93"/>
      <c r="F701" s="93"/>
      <c r="G701" s="156"/>
      <c r="H701" s="156"/>
      <c r="I701" s="156"/>
      <c r="J701" s="156"/>
      <c r="K701" s="93"/>
      <c r="L701" s="156"/>
      <c r="M701" s="141"/>
      <c r="N701" s="141"/>
      <c r="O701" s="30"/>
    </row>
    <row r="702" spans="1:15">
      <c r="B702" s="95" t="s">
        <v>89</v>
      </c>
      <c r="C702" s="173"/>
      <c r="D702" s="57"/>
      <c r="E702" s="58"/>
      <c r="F702" s="58"/>
      <c r="G702" s="157"/>
      <c r="H702" s="157"/>
      <c r="I702" s="157"/>
      <c r="J702" s="157"/>
      <c r="K702" s="58"/>
      <c r="L702" s="157"/>
      <c r="M702" s="142"/>
      <c r="N702" s="142"/>
      <c r="O702" s="30"/>
    </row>
    <row r="703" spans="1:15">
      <c r="B703" s="33" t="s">
        <v>90</v>
      </c>
      <c r="D703" s="7">
        <f t="shared" ref="D703:K703" si="330">SUM(D700:D702)</f>
        <v>0</v>
      </c>
      <c r="E703" s="7">
        <f t="shared" si="330"/>
        <v>0</v>
      </c>
      <c r="F703" s="7">
        <f t="shared" si="330"/>
        <v>0</v>
      </c>
      <c r="G703" s="7">
        <f t="shared" si="330"/>
        <v>0</v>
      </c>
      <c r="H703" s="7">
        <f t="shared" si="330"/>
        <v>0</v>
      </c>
      <c r="I703" s="7">
        <f t="shared" si="330"/>
        <v>0</v>
      </c>
      <c r="J703" s="7">
        <f t="shared" si="330"/>
        <v>0</v>
      </c>
      <c r="K703" s="7">
        <f t="shared" si="330"/>
        <v>0</v>
      </c>
      <c r="L703" s="7"/>
      <c r="M703" s="7"/>
      <c r="N703" s="7"/>
      <c r="O703" s="30"/>
    </row>
    <row r="704" spans="1:15">
      <c r="B704" s="6"/>
      <c r="D704" s="7"/>
      <c r="E704" s="7"/>
      <c r="F704" s="7"/>
      <c r="G704" s="7"/>
      <c r="H704" s="7"/>
      <c r="I704" s="7"/>
      <c r="J704" s="7"/>
      <c r="K704" s="7"/>
      <c r="L704" s="7"/>
      <c r="M704" s="7"/>
      <c r="N704" s="7"/>
      <c r="O704" s="30"/>
    </row>
    <row r="705" spans="1:15" ht="18.5">
      <c r="A705" s="9" t="s">
        <v>100</v>
      </c>
      <c r="D705" s="2">
        <f>'Facility Detail'!$B$3082</f>
        <v>2011</v>
      </c>
      <c r="E705" s="2">
        <f t="shared" ref="E705:N705" si="331">D705+1</f>
        <v>2012</v>
      </c>
      <c r="F705" s="2">
        <f t="shared" si="331"/>
        <v>2013</v>
      </c>
      <c r="G705" s="2">
        <f t="shared" si="331"/>
        <v>2014</v>
      </c>
      <c r="H705" s="2">
        <f t="shared" si="331"/>
        <v>2015</v>
      </c>
      <c r="I705" s="2">
        <f t="shared" si="331"/>
        <v>2016</v>
      </c>
      <c r="J705" s="2">
        <f t="shared" si="331"/>
        <v>2017</v>
      </c>
      <c r="K705" s="2">
        <f t="shared" si="331"/>
        <v>2018</v>
      </c>
      <c r="L705" s="2">
        <f t="shared" si="331"/>
        <v>2019</v>
      </c>
      <c r="M705" s="169">
        <f t="shared" si="331"/>
        <v>2020</v>
      </c>
      <c r="N705" s="2">
        <f t="shared" si="331"/>
        <v>2021</v>
      </c>
      <c r="O705" s="30"/>
    </row>
    <row r="706" spans="1:15">
      <c r="B706" s="79" t="s">
        <v>68</v>
      </c>
      <c r="C706" s="30"/>
      <c r="D706" s="3">
        <f>D692</f>
        <v>0</v>
      </c>
      <c r="E706" s="60">
        <f>D706</f>
        <v>0</v>
      </c>
      <c r="F706" s="131"/>
      <c r="G706" s="131"/>
      <c r="H706" s="131"/>
      <c r="I706" s="131"/>
      <c r="J706" s="131"/>
      <c r="K706" s="131"/>
      <c r="L706" s="131"/>
      <c r="M706" s="318"/>
      <c r="N706" s="61"/>
      <c r="O706" s="30"/>
    </row>
    <row r="707" spans="1:15">
      <c r="B707" s="79" t="s">
        <v>69</v>
      </c>
      <c r="C707" s="30"/>
      <c r="D707" s="164">
        <f>E707</f>
        <v>0</v>
      </c>
      <c r="E707" s="10"/>
      <c r="F707" s="74"/>
      <c r="G707" s="74"/>
      <c r="H707" s="74"/>
      <c r="I707" s="74"/>
      <c r="J707" s="74"/>
      <c r="K707" s="74"/>
      <c r="L707" s="74"/>
      <c r="M707" s="74"/>
      <c r="N707" s="165"/>
      <c r="O707" s="30"/>
    </row>
    <row r="708" spans="1:15">
      <c r="B708" s="79" t="s">
        <v>70</v>
      </c>
      <c r="C708" s="30"/>
      <c r="D708" s="62"/>
      <c r="E708" s="10">
        <f>E692</f>
        <v>0</v>
      </c>
      <c r="F708" s="70">
        <f>E708</f>
        <v>0</v>
      </c>
      <c r="G708" s="74"/>
      <c r="H708" s="74"/>
      <c r="I708" s="74"/>
      <c r="J708" s="74"/>
      <c r="K708" s="74"/>
      <c r="L708" s="74"/>
      <c r="M708" s="74"/>
      <c r="N708" s="165"/>
      <c r="O708" s="30"/>
    </row>
    <row r="709" spans="1:15">
      <c r="B709" s="79" t="s">
        <v>71</v>
      </c>
      <c r="C709" s="30"/>
      <c r="D709" s="62"/>
      <c r="E709" s="70">
        <f>F709</f>
        <v>0</v>
      </c>
      <c r="F709" s="163"/>
      <c r="G709" s="74"/>
      <c r="H709" s="74"/>
      <c r="I709" s="74"/>
      <c r="J709" s="74"/>
      <c r="K709" s="74"/>
      <c r="L709" s="74"/>
      <c r="M709" s="74"/>
      <c r="N709" s="165"/>
      <c r="O709" s="30"/>
    </row>
    <row r="710" spans="1:15">
      <c r="B710" s="79" t="s">
        <v>171</v>
      </c>
      <c r="C710" s="30"/>
      <c r="D710" s="62"/>
      <c r="E710" s="148"/>
      <c r="F710" s="10">
        <f>F692</f>
        <v>0</v>
      </c>
      <c r="G710" s="149">
        <f>F710</f>
        <v>0</v>
      </c>
      <c r="H710" s="74"/>
      <c r="I710" s="74"/>
      <c r="J710" s="74"/>
      <c r="K710" s="74"/>
      <c r="L710" s="74"/>
      <c r="M710" s="74"/>
      <c r="N710" s="165"/>
      <c r="O710" s="30"/>
    </row>
    <row r="711" spans="1:15">
      <c r="B711" s="79" t="s">
        <v>172</v>
      </c>
      <c r="C711" s="30"/>
      <c r="D711" s="62"/>
      <c r="E711" s="148"/>
      <c r="F711" s="70">
        <f>G711</f>
        <v>0</v>
      </c>
      <c r="G711" s="10"/>
      <c r="H711" s="74"/>
      <c r="I711" s="74"/>
      <c r="J711" s="74" t="s">
        <v>170</v>
      </c>
      <c r="K711" s="74"/>
      <c r="L711" s="74"/>
      <c r="M711" s="74"/>
      <c r="N711" s="165"/>
      <c r="O711" s="30"/>
    </row>
    <row r="712" spans="1:15">
      <c r="B712" s="79" t="s">
        <v>173</v>
      </c>
      <c r="C712" s="30"/>
      <c r="D712" s="62"/>
      <c r="E712" s="148"/>
      <c r="F712" s="148"/>
      <c r="G712" s="10"/>
      <c r="H712" s="149">
        <f>G712</f>
        <v>0</v>
      </c>
      <c r="I712" s="148"/>
      <c r="J712" s="74"/>
      <c r="K712" s="74"/>
      <c r="L712" s="74"/>
      <c r="M712" s="74"/>
      <c r="N712" s="152"/>
      <c r="O712" s="30"/>
    </row>
    <row r="713" spans="1:15">
      <c r="B713" s="79" t="s">
        <v>174</v>
      </c>
      <c r="C713" s="30"/>
      <c r="D713" s="62"/>
      <c r="E713" s="148"/>
      <c r="F713" s="148"/>
      <c r="G713" s="70"/>
      <c r="H713" s="10"/>
      <c r="I713" s="148"/>
      <c r="J713" s="74"/>
      <c r="K713" s="74"/>
      <c r="L713" s="74"/>
      <c r="M713" s="74"/>
      <c r="N713" s="152"/>
      <c r="O713" s="30"/>
    </row>
    <row r="714" spans="1:15">
      <c r="B714" s="79" t="s">
        <v>175</v>
      </c>
      <c r="C714" s="30"/>
      <c r="D714" s="62"/>
      <c r="E714" s="148"/>
      <c r="F714" s="148"/>
      <c r="G714" s="148"/>
      <c r="H714" s="10">
        <f>H692</f>
        <v>27359</v>
      </c>
      <c r="I714" s="149">
        <f>H714</f>
        <v>27359</v>
      </c>
      <c r="J714" s="74"/>
      <c r="K714" s="74"/>
      <c r="L714" s="74"/>
      <c r="M714" s="74"/>
      <c r="N714" s="152"/>
      <c r="O714" s="30"/>
    </row>
    <row r="715" spans="1:15">
      <c r="B715" s="79" t="s">
        <v>176</v>
      </c>
      <c r="C715" s="30"/>
      <c r="D715" s="62"/>
      <c r="E715" s="148"/>
      <c r="F715" s="148"/>
      <c r="G715" s="148"/>
      <c r="H715" s="70"/>
      <c r="I715" s="10"/>
      <c r="J715" s="74"/>
      <c r="K715" s="74"/>
      <c r="L715" s="74"/>
      <c r="M715" s="74"/>
      <c r="N715" s="152"/>
      <c r="O715" s="30"/>
    </row>
    <row r="716" spans="1:15">
      <c r="B716" s="79" t="s">
        <v>177</v>
      </c>
      <c r="C716" s="30"/>
      <c r="D716" s="62"/>
      <c r="E716" s="148"/>
      <c r="F716" s="148"/>
      <c r="G716" s="148"/>
      <c r="H716" s="148"/>
      <c r="I716" s="257">
        <v>0</v>
      </c>
      <c r="J716" s="258">
        <f>I716</f>
        <v>0</v>
      </c>
      <c r="K716" s="74"/>
      <c r="L716" s="74"/>
      <c r="M716" s="74"/>
      <c r="N716" s="152"/>
      <c r="O716" s="30"/>
    </row>
    <row r="717" spans="1:15">
      <c r="B717" s="79" t="s">
        <v>168</v>
      </c>
      <c r="C717" s="30"/>
      <c r="D717" s="62"/>
      <c r="E717" s="148"/>
      <c r="F717" s="148"/>
      <c r="G717" s="148"/>
      <c r="H717" s="148"/>
      <c r="I717" s="208"/>
      <c r="J717" s="151"/>
      <c r="K717" s="74"/>
      <c r="L717" s="74"/>
      <c r="M717" s="74"/>
      <c r="N717" s="152"/>
      <c r="O717" s="30"/>
    </row>
    <row r="718" spans="1:15">
      <c r="B718" s="79" t="s">
        <v>169</v>
      </c>
      <c r="C718" s="30"/>
      <c r="D718" s="62"/>
      <c r="E718" s="148"/>
      <c r="F718" s="148"/>
      <c r="G718" s="148"/>
      <c r="H718" s="148"/>
      <c r="I718" s="148"/>
      <c r="J718" s="151">
        <v>24513</v>
      </c>
      <c r="K718" s="150">
        <f>J718</f>
        <v>24513</v>
      </c>
      <c r="L718" s="74"/>
      <c r="M718" s="74"/>
      <c r="N718" s="152"/>
      <c r="O718" s="30"/>
    </row>
    <row r="719" spans="1:15">
      <c r="B719" s="79" t="s">
        <v>186</v>
      </c>
      <c r="C719" s="30"/>
      <c r="D719" s="62"/>
      <c r="E719" s="148"/>
      <c r="F719" s="148"/>
      <c r="G719" s="148"/>
      <c r="H719" s="148"/>
      <c r="I719" s="148"/>
      <c r="J719" s="228"/>
      <c r="K719" s="151"/>
      <c r="L719" s="74"/>
      <c r="M719" s="74"/>
      <c r="N719" s="152"/>
      <c r="O719" s="30"/>
    </row>
    <row r="720" spans="1:15">
      <c r="B720" s="79" t="s">
        <v>187</v>
      </c>
      <c r="C720" s="30"/>
      <c r="D720" s="62"/>
      <c r="E720" s="148"/>
      <c r="F720" s="148"/>
      <c r="G720" s="148"/>
      <c r="H720" s="148"/>
      <c r="I720" s="148"/>
      <c r="J720" s="148"/>
      <c r="K720" s="151">
        <v>0</v>
      </c>
      <c r="L720" s="150">
        <f>K720</f>
        <v>0</v>
      </c>
      <c r="M720" s="74"/>
      <c r="N720" s="152"/>
      <c r="O720" s="30"/>
    </row>
    <row r="721" spans="1:15">
      <c r="B721" s="79" t="s">
        <v>188</v>
      </c>
      <c r="C721" s="30"/>
      <c r="D721" s="62"/>
      <c r="E721" s="148"/>
      <c r="F721" s="148"/>
      <c r="G721" s="148"/>
      <c r="H721" s="148"/>
      <c r="I721" s="148"/>
      <c r="J721" s="148"/>
      <c r="K721" s="275"/>
      <c r="L721" s="151"/>
      <c r="M721" s="74"/>
      <c r="N721" s="233"/>
      <c r="O721" s="30"/>
    </row>
    <row r="722" spans="1:15">
      <c r="B722" s="79" t="s">
        <v>189</v>
      </c>
      <c r="C722" s="30"/>
      <c r="D722" s="62"/>
      <c r="E722" s="148"/>
      <c r="F722" s="148"/>
      <c r="G722" s="148"/>
      <c r="H722" s="148"/>
      <c r="I722" s="148"/>
      <c r="J722" s="148"/>
      <c r="K722" s="148"/>
      <c r="L722" s="151"/>
      <c r="M722" s="150">
        <f>K722</f>
        <v>0</v>
      </c>
      <c r="N722" s="178"/>
      <c r="O722" s="30"/>
    </row>
    <row r="723" spans="1:15">
      <c r="B723" s="79" t="s">
        <v>190</v>
      </c>
      <c r="C723" s="30"/>
      <c r="D723" s="62"/>
      <c r="E723" s="148"/>
      <c r="F723" s="148"/>
      <c r="G723" s="148"/>
      <c r="H723" s="148"/>
      <c r="I723" s="148"/>
      <c r="J723" s="148"/>
      <c r="K723" s="148"/>
      <c r="L723" s="275"/>
      <c r="M723" s="151"/>
      <c r="N723" s="178"/>
      <c r="O723" s="30"/>
    </row>
    <row r="724" spans="1:15">
      <c r="B724" s="79" t="s">
        <v>191</v>
      </c>
      <c r="C724" s="30"/>
      <c r="D724" s="62"/>
      <c r="E724" s="148"/>
      <c r="F724" s="148"/>
      <c r="G724" s="148"/>
      <c r="H724" s="148"/>
      <c r="I724" s="148"/>
      <c r="J724" s="148"/>
      <c r="K724" s="148"/>
      <c r="L724" s="148"/>
      <c r="M724" s="151"/>
      <c r="N724" s="150">
        <f>M724</f>
        <v>0</v>
      </c>
      <c r="O724" s="30"/>
    </row>
    <row r="725" spans="1:15">
      <c r="B725" s="79" t="s">
        <v>201</v>
      </c>
      <c r="C725" s="30"/>
      <c r="D725" s="62"/>
      <c r="E725" s="148"/>
      <c r="F725" s="148"/>
      <c r="G725" s="148"/>
      <c r="H725" s="148"/>
      <c r="I725" s="148"/>
      <c r="J725" s="148"/>
      <c r="K725" s="148"/>
      <c r="L725" s="148"/>
      <c r="M725" s="279"/>
      <c r="N725" s="151"/>
      <c r="O725" s="30"/>
    </row>
    <row r="726" spans="1:15">
      <c r="B726" s="79" t="s">
        <v>202</v>
      </c>
      <c r="C726" s="30"/>
      <c r="D726" s="63"/>
      <c r="E726" s="133"/>
      <c r="F726" s="133"/>
      <c r="G726" s="133"/>
      <c r="H726" s="133"/>
      <c r="I726" s="133"/>
      <c r="J726" s="133"/>
      <c r="K726" s="133"/>
      <c r="L726" s="133"/>
      <c r="M726" s="133"/>
      <c r="N726" s="153"/>
      <c r="O726" s="30"/>
    </row>
    <row r="727" spans="1:15">
      <c r="B727" s="33" t="s">
        <v>17</v>
      </c>
      <c r="D727" s="180">
        <f xml:space="preserve"> D712 - D711</f>
        <v>0</v>
      </c>
      <c r="E727" s="180">
        <f xml:space="preserve"> E711 + E714 - E713 - E712</f>
        <v>0</v>
      </c>
      <c r="F727" s="180">
        <v>0</v>
      </c>
      <c r="G727" s="180">
        <f>G710-G711-G712</f>
        <v>0</v>
      </c>
      <c r="H727" s="180">
        <f>H712-H713-H714</f>
        <v>-27359</v>
      </c>
      <c r="I727" s="28">
        <f>I714-I715-I716</f>
        <v>27359</v>
      </c>
      <c r="J727" s="28">
        <f>J716-J717-J718</f>
        <v>-24513</v>
      </c>
      <c r="K727" s="28">
        <f>K718-K719-K720</f>
        <v>24513</v>
      </c>
      <c r="L727" s="28">
        <f>L720-L721-L722</f>
        <v>0</v>
      </c>
      <c r="M727" s="28">
        <f>M725</f>
        <v>0</v>
      </c>
      <c r="N727" s="28">
        <f>N725*-1</f>
        <v>0</v>
      </c>
      <c r="O727" s="30"/>
    </row>
    <row r="728" spans="1:15">
      <c r="B728" s="6"/>
      <c r="D728" s="7"/>
      <c r="E728" s="7"/>
      <c r="F728" s="7"/>
      <c r="G728" s="7"/>
      <c r="H728" s="7"/>
      <c r="I728" s="231"/>
      <c r="J728" s="231"/>
      <c r="K728" s="231"/>
      <c r="L728" s="231"/>
      <c r="M728" s="231"/>
      <c r="N728" s="231"/>
      <c r="O728" s="30"/>
    </row>
    <row r="729" spans="1:15">
      <c r="B729" s="76" t="s">
        <v>12</v>
      </c>
      <c r="C729" s="71"/>
      <c r="D729" s="99"/>
      <c r="E729" s="100"/>
      <c r="F729" s="100"/>
      <c r="G729" s="159"/>
      <c r="H729" s="100"/>
      <c r="I729" s="100"/>
      <c r="J729" s="100"/>
      <c r="K729" s="100"/>
      <c r="L729" s="160"/>
      <c r="M729" s="101"/>
      <c r="N729" s="101"/>
      <c r="O729" s="30"/>
    </row>
    <row r="730" spans="1:15">
      <c r="B730" s="6"/>
      <c r="D730" s="7"/>
      <c r="E730" s="7"/>
      <c r="F730" s="7"/>
      <c r="G730" s="7"/>
      <c r="H730" s="7"/>
      <c r="I730" s="7"/>
      <c r="J730" s="7"/>
      <c r="K730" s="7"/>
      <c r="L730" s="7"/>
      <c r="M730" s="7"/>
      <c r="N730" s="7"/>
      <c r="O730" s="30"/>
    </row>
    <row r="731" spans="1:15" ht="18.5">
      <c r="A731" s="41" t="s">
        <v>26</v>
      </c>
      <c r="C731" s="71"/>
      <c r="D731" s="43">
        <f t="shared" ref="D731:N731" si="332" xml:space="preserve"> D692 + D697 - D703 + D727 + D729</f>
        <v>0</v>
      </c>
      <c r="E731" s="44">
        <f t="shared" si="332"/>
        <v>0</v>
      </c>
      <c r="F731" s="161">
        <f t="shared" si="332"/>
        <v>0</v>
      </c>
      <c r="G731" s="44">
        <f t="shared" si="332"/>
        <v>0</v>
      </c>
      <c r="H731" s="158">
        <f t="shared" si="332"/>
        <v>0</v>
      </c>
      <c r="I731" s="44">
        <f t="shared" si="332"/>
        <v>59100</v>
      </c>
      <c r="J731" s="44">
        <f t="shared" si="332"/>
        <v>899</v>
      </c>
      <c r="K731" s="44">
        <f t="shared" si="332"/>
        <v>55648</v>
      </c>
      <c r="L731" s="44">
        <f t="shared" si="332"/>
        <v>13999.872527158042</v>
      </c>
      <c r="M731" s="45">
        <f t="shared" si="332"/>
        <v>33884.41580086165</v>
      </c>
      <c r="N731" s="45">
        <f t="shared" si="332"/>
        <v>37560.23214361642</v>
      </c>
      <c r="O731" s="30"/>
    </row>
    <row r="732" spans="1:15">
      <c r="B732" s="6"/>
      <c r="D732" s="7"/>
      <c r="E732" s="7"/>
      <c r="F732" s="7"/>
      <c r="G732" s="28"/>
      <c r="H732" s="28"/>
      <c r="I732" s="28"/>
      <c r="J732" s="28"/>
      <c r="K732" s="28"/>
      <c r="L732" s="28"/>
      <c r="M732" s="28"/>
      <c r="N732" s="28"/>
      <c r="O732" s="30"/>
    </row>
    <row r="733" spans="1:15" ht="15" thickBot="1">
      <c r="O733" s="30"/>
    </row>
    <row r="734" spans="1:15">
      <c r="A734" s="8"/>
      <c r="B734" s="8"/>
      <c r="C734" s="8"/>
      <c r="D734" s="8"/>
      <c r="E734" s="8"/>
      <c r="F734" s="8"/>
      <c r="G734" s="8"/>
      <c r="H734" s="8"/>
      <c r="I734" s="8"/>
      <c r="J734" s="8"/>
      <c r="K734" s="8"/>
      <c r="L734" s="8"/>
      <c r="M734" s="8"/>
      <c r="N734" s="8"/>
      <c r="O734" s="30"/>
    </row>
    <row r="735" spans="1:15" ht="15" thickBot="1">
      <c r="B735" s="30"/>
      <c r="C735" s="30"/>
      <c r="D735" s="30"/>
      <c r="E735" s="30"/>
      <c r="F735" s="30"/>
      <c r="G735" s="30"/>
      <c r="H735" s="30"/>
      <c r="I735" s="30"/>
      <c r="J735" s="30"/>
      <c r="K735" s="30"/>
      <c r="L735" s="30"/>
      <c r="M735" s="30"/>
      <c r="N735" s="30"/>
      <c r="O735" s="30"/>
    </row>
    <row r="736" spans="1:15" ht="21.5" thickBot="1">
      <c r="A736" s="13" t="s">
        <v>4</v>
      </c>
      <c r="B736" s="13"/>
      <c r="C736" s="313" t="s">
        <v>215</v>
      </c>
      <c r="D736" s="310"/>
      <c r="E736" s="23"/>
      <c r="F736" s="23"/>
      <c r="O736" s="30"/>
    </row>
    <row r="737" spans="1:15">
      <c r="O737" s="30"/>
    </row>
    <row r="738" spans="1:15" ht="18.5">
      <c r="A738" s="9" t="s">
        <v>21</v>
      </c>
      <c r="B738" s="9"/>
      <c r="D738" s="2">
        <f>'Facility Detail'!$B$3082</f>
        <v>2011</v>
      </c>
      <c r="E738" s="2">
        <f t="shared" ref="E738:N738" si="333">D738+1</f>
        <v>2012</v>
      </c>
      <c r="F738" s="2">
        <f t="shared" si="333"/>
        <v>2013</v>
      </c>
      <c r="G738" s="2">
        <f t="shared" si="333"/>
        <v>2014</v>
      </c>
      <c r="H738" s="2">
        <f t="shared" si="333"/>
        <v>2015</v>
      </c>
      <c r="I738" s="2">
        <f t="shared" si="333"/>
        <v>2016</v>
      </c>
      <c r="J738" s="2">
        <f t="shared" si="333"/>
        <v>2017</v>
      </c>
      <c r="K738" s="2">
        <f t="shared" si="333"/>
        <v>2018</v>
      </c>
      <c r="L738" s="2">
        <f t="shared" si="333"/>
        <v>2019</v>
      </c>
      <c r="M738" s="2">
        <f t="shared" si="333"/>
        <v>2020</v>
      </c>
      <c r="N738" s="2">
        <f t="shared" si="333"/>
        <v>2021</v>
      </c>
      <c r="O738" s="30"/>
    </row>
    <row r="739" spans="1:15">
      <c r="B739" s="79" t="str">
        <f>"Total MWh Produced / Purchased from " &amp; C736</f>
        <v>Total MWh Produced / Purchased from Ekola Flats Wind</v>
      </c>
      <c r="C739" s="71"/>
      <c r="D739" s="3"/>
      <c r="E739" s="4"/>
      <c r="F739" s="4"/>
      <c r="G739" s="184"/>
      <c r="H739" s="4"/>
      <c r="I739" s="4"/>
      <c r="J739" s="230"/>
      <c r="K739" s="230"/>
      <c r="L739" s="225"/>
      <c r="M739" s="280"/>
      <c r="N739" s="280">
        <v>743053</v>
      </c>
      <c r="O739" s="30"/>
    </row>
    <row r="740" spans="1:15">
      <c r="B740" s="79" t="s">
        <v>25</v>
      </c>
      <c r="C740" s="71"/>
      <c r="D740" s="54"/>
      <c r="E740" s="55"/>
      <c r="F740" s="55"/>
      <c r="G740" s="186"/>
      <c r="H740" s="55"/>
      <c r="I740" s="55"/>
      <c r="J740" s="234"/>
      <c r="K740" s="234"/>
      <c r="L740" s="234"/>
      <c r="M740" s="287"/>
      <c r="N740" s="287">
        <v>1</v>
      </c>
      <c r="O740" s="30"/>
    </row>
    <row r="741" spans="1:15">
      <c r="B741" s="79" t="s">
        <v>20</v>
      </c>
      <c r="C741" s="71"/>
      <c r="D741" s="48"/>
      <c r="E741" s="49"/>
      <c r="F741" s="49"/>
      <c r="G741" s="182"/>
      <c r="H741" s="49"/>
      <c r="I741" s="49"/>
      <c r="J741" s="49"/>
      <c r="K741" s="49"/>
      <c r="L741" s="49"/>
      <c r="M741" s="243"/>
      <c r="N741" s="243">
        <f>N691</f>
        <v>8.0780946790754593E-2</v>
      </c>
      <c r="O741" s="30"/>
    </row>
    <row r="742" spans="1:15">
      <c r="B742" s="76" t="s">
        <v>22</v>
      </c>
      <c r="C742" s="77"/>
      <c r="D742" s="37">
        <f xml:space="preserve"> ROUND(D739 * D740 * D741,0)</f>
        <v>0</v>
      </c>
      <c r="E742" s="37">
        <f xml:space="preserve"> ROUND(E739 * E740 * E741,0)</f>
        <v>0</v>
      </c>
      <c r="F742" s="37">
        <f xml:space="preserve"> ROUND(F739 * F740 * F741,0)</f>
        <v>0</v>
      </c>
      <c r="G742" s="37">
        <f xml:space="preserve"> ROUND(G739 * G740 * G741,0)</f>
        <v>0</v>
      </c>
      <c r="H742" s="37">
        <f t="shared" ref="H742:K742" si="334">H739*H741</f>
        <v>0</v>
      </c>
      <c r="I742" s="37">
        <f t="shared" si="334"/>
        <v>0</v>
      </c>
      <c r="J742" s="37">
        <f t="shared" si="334"/>
        <v>0</v>
      </c>
      <c r="K742" s="37">
        <f t="shared" si="334"/>
        <v>0</v>
      </c>
      <c r="L742" s="37">
        <f>L739*L741</f>
        <v>0</v>
      </c>
      <c r="M742" s="37">
        <f>M739*M741</f>
        <v>0</v>
      </c>
      <c r="N742" s="37">
        <f>N739*N741</f>
        <v>60024.524855710573</v>
      </c>
      <c r="O742" s="30"/>
    </row>
    <row r="743" spans="1:15">
      <c r="B743" s="23"/>
      <c r="C743" s="30"/>
      <c r="D743" s="36"/>
      <c r="E743" s="36"/>
      <c r="F743" s="36"/>
      <c r="G743" s="36"/>
      <c r="H743" s="36"/>
      <c r="I743" s="36"/>
      <c r="J743" s="36"/>
      <c r="K743" s="36"/>
      <c r="L743" s="36"/>
      <c r="M743" s="36"/>
      <c r="N743" s="36"/>
      <c r="O743" s="30"/>
    </row>
    <row r="744" spans="1:15" ht="18.5">
      <c r="A744" s="42" t="s">
        <v>119</v>
      </c>
      <c r="C744" s="30"/>
      <c r="D744" s="2">
        <f>'Facility Detail'!$B$3082</f>
        <v>2011</v>
      </c>
      <c r="E744" s="2">
        <f t="shared" ref="E744:N744" si="335">D744+1</f>
        <v>2012</v>
      </c>
      <c r="F744" s="2">
        <f t="shared" si="335"/>
        <v>2013</v>
      </c>
      <c r="G744" s="2">
        <f t="shared" si="335"/>
        <v>2014</v>
      </c>
      <c r="H744" s="2">
        <f t="shared" si="335"/>
        <v>2015</v>
      </c>
      <c r="I744" s="2">
        <f t="shared" si="335"/>
        <v>2016</v>
      </c>
      <c r="J744" s="2">
        <f t="shared" si="335"/>
        <v>2017</v>
      </c>
      <c r="K744" s="2">
        <f t="shared" si="335"/>
        <v>2018</v>
      </c>
      <c r="L744" s="2">
        <f t="shared" si="335"/>
        <v>2019</v>
      </c>
      <c r="M744" s="2">
        <f t="shared" si="335"/>
        <v>2020</v>
      </c>
      <c r="N744" s="2">
        <f t="shared" si="335"/>
        <v>2021</v>
      </c>
      <c r="O744" s="30"/>
    </row>
    <row r="745" spans="1:15">
      <c r="B745" s="79" t="s">
        <v>10</v>
      </c>
      <c r="C745" s="71"/>
      <c r="D745" s="51">
        <f>IF($E16 = "Eligible", D742 * 'Facility Detail'!$B$3079, 0 )</f>
        <v>0</v>
      </c>
      <c r="E745" s="51">
        <f>IF($E16 = "Eligible", E742 * 'Facility Detail'!$B$3079, 0 )</f>
        <v>0</v>
      </c>
      <c r="F745" s="51">
        <f>IF($E16 = "Eligible", F742 * 'Facility Detail'!$B$3079, 0 )</f>
        <v>0</v>
      </c>
      <c r="G745" s="51">
        <f>IF($E16 = "Eligible", G742 * 'Facility Detail'!$B$3079, 0 )</f>
        <v>0</v>
      </c>
      <c r="H745" s="51">
        <f>IF($E16 = "Eligible", H742 * 'Facility Detail'!$B$3079, 0 )</f>
        <v>0</v>
      </c>
      <c r="I745" s="51">
        <f>IF($E16 = "Eligible", I742 * 'Facility Detail'!$B$3079, 0 )</f>
        <v>0</v>
      </c>
      <c r="J745" s="51">
        <f>IF($E16 = "Eligible", J742 * 'Facility Detail'!$B$3079, 0 )</f>
        <v>0</v>
      </c>
      <c r="K745" s="51">
        <f>IF($E16 = "Eligible", K742 * 'Facility Detail'!$B$3079, 0 )</f>
        <v>0</v>
      </c>
      <c r="L745" s="51">
        <f>IF($E16 = "Eligible", L742 * 'Facility Detail'!$B$3079, 0 )</f>
        <v>0</v>
      </c>
      <c r="M745" s="51">
        <f>IF($E16 = "Eligible", M742 * 'Facility Detail'!$B$3079, 0 )</f>
        <v>0</v>
      </c>
      <c r="N745" s="51">
        <f>IF($E16 = "Eligible", N742 * 'Facility Detail'!$B$3079, 0 )</f>
        <v>0</v>
      </c>
      <c r="O745" s="30"/>
    </row>
    <row r="746" spans="1:15">
      <c r="B746" s="79" t="s">
        <v>6</v>
      </c>
      <c r="C746" s="71"/>
      <c r="D746" s="52">
        <f t="shared" ref="D746:N746" si="336">IF($F16= "Eligible", D742, 0 )</f>
        <v>0</v>
      </c>
      <c r="E746" s="52">
        <f t="shared" si="336"/>
        <v>0</v>
      </c>
      <c r="F746" s="52">
        <f t="shared" si="336"/>
        <v>0</v>
      </c>
      <c r="G746" s="52">
        <f t="shared" si="336"/>
        <v>0</v>
      </c>
      <c r="H746" s="52">
        <f t="shared" si="336"/>
        <v>0</v>
      </c>
      <c r="I746" s="52">
        <f t="shared" si="336"/>
        <v>0</v>
      </c>
      <c r="J746" s="52">
        <f t="shared" si="336"/>
        <v>0</v>
      </c>
      <c r="K746" s="52">
        <f t="shared" si="336"/>
        <v>0</v>
      </c>
      <c r="L746" s="52">
        <f t="shared" si="336"/>
        <v>0</v>
      </c>
      <c r="M746" s="52">
        <f t="shared" si="336"/>
        <v>0</v>
      </c>
      <c r="N746" s="52">
        <f t="shared" si="336"/>
        <v>0</v>
      </c>
      <c r="O746" s="30"/>
    </row>
    <row r="747" spans="1:15">
      <c r="B747" s="78" t="s">
        <v>121</v>
      </c>
      <c r="C747" s="77"/>
      <c r="D747" s="39">
        <f>SUM(D745:D746)</f>
        <v>0</v>
      </c>
      <c r="E747" s="39">
        <f t="shared" ref="E747:N747" si="337">SUM(E745:E746)</f>
        <v>0</v>
      </c>
      <c r="F747" s="39">
        <f t="shared" si="337"/>
        <v>0</v>
      </c>
      <c r="G747" s="39">
        <f t="shared" si="337"/>
        <v>0</v>
      </c>
      <c r="H747" s="39">
        <f t="shared" si="337"/>
        <v>0</v>
      </c>
      <c r="I747" s="39">
        <f t="shared" si="337"/>
        <v>0</v>
      </c>
      <c r="J747" s="39">
        <f t="shared" si="337"/>
        <v>0</v>
      </c>
      <c r="K747" s="39">
        <f t="shared" si="337"/>
        <v>0</v>
      </c>
      <c r="L747" s="39">
        <f t="shared" si="337"/>
        <v>0</v>
      </c>
      <c r="M747" s="39">
        <f t="shared" si="337"/>
        <v>0</v>
      </c>
      <c r="N747" s="39">
        <f t="shared" si="337"/>
        <v>0</v>
      </c>
      <c r="O747" s="30"/>
    </row>
    <row r="748" spans="1:15">
      <c r="B748" s="30"/>
      <c r="C748" s="30"/>
      <c r="D748" s="38"/>
      <c r="E748" s="31"/>
      <c r="F748" s="31"/>
      <c r="G748" s="31"/>
      <c r="H748" s="31"/>
      <c r="I748" s="31"/>
      <c r="J748" s="31"/>
      <c r="K748" s="31"/>
      <c r="L748" s="31"/>
      <c r="M748" s="31"/>
      <c r="N748" s="31"/>
      <c r="O748" s="30"/>
    </row>
    <row r="749" spans="1:15" ht="18.5">
      <c r="A749" s="41" t="s">
        <v>30</v>
      </c>
      <c r="C749" s="30"/>
      <c r="D749" s="2">
        <f>'Facility Detail'!$B$3082</f>
        <v>2011</v>
      </c>
      <c r="E749" s="2">
        <f t="shared" ref="E749:N749" si="338">D749+1</f>
        <v>2012</v>
      </c>
      <c r="F749" s="2">
        <f t="shared" si="338"/>
        <v>2013</v>
      </c>
      <c r="G749" s="2">
        <f t="shared" si="338"/>
        <v>2014</v>
      </c>
      <c r="H749" s="2">
        <f t="shared" si="338"/>
        <v>2015</v>
      </c>
      <c r="I749" s="2">
        <f t="shared" si="338"/>
        <v>2016</v>
      </c>
      <c r="J749" s="2">
        <f t="shared" si="338"/>
        <v>2017</v>
      </c>
      <c r="K749" s="2">
        <f t="shared" si="338"/>
        <v>2018</v>
      </c>
      <c r="L749" s="2">
        <f t="shared" si="338"/>
        <v>2019</v>
      </c>
      <c r="M749" s="2">
        <f t="shared" si="338"/>
        <v>2020</v>
      </c>
      <c r="N749" s="2">
        <f t="shared" si="338"/>
        <v>2021</v>
      </c>
      <c r="O749" s="30"/>
    </row>
    <row r="750" spans="1:15">
      <c r="B750" s="79" t="s">
        <v>47</v>
      </c>
      <c r="C750" s="71"/>
      <c r="D750" s="89"/>
      <c r="E750" s="90"/>
      <c r="F750" s="90"/>
      <c r="G750" s="90"/>
      <c r="H750" s="155"/>
      <c r="I750" s="155"/>
      <c r="J750" s="155"/>
      <c r="K750" s="90"/>
      <c r="L750" s="155"/>
      <c r="M750" s="140"/>
      <c r="N750" s="140"/>
      <c r="O750" s="30"/>
    </row>
    <row r="751" spans="1:15">
      <c r="B751" s="80" t="s">
        <v>23</v>
      </c>
      <c r="C751" s="175"/>
      <c r="D751" s="92"/>
      <c r="E751" s="93"/>
      <c r="F751" s="93"/>
      <c r="G751" s="156"/>
      <c r="H751" s="156"/>
      <c r="I751" s="156"/>
      <c r="J751" s="156"/>
      <c r="K751" s="93"/>
      <c r="L751" s="156"/>
      <c r="M751" s="141"/>
      <c r="N751" s="141"/>
      <c r="O751" s="30"/>
    </row>
    <row r="752" spans="1:15">
      <c r="B752" s="95" t="s">
        <v>89</v>
      </c>
      <c r="C752" s="173"/>
      <c r="D752" s="57"/>
      <c r="E752" s="58"/>
      <c r="F752" s="58"/>
      <c r="G752" s="157"/>
      <c r="H752" s="157"/>
      <c r="I752" s="157"/>
      <c r="J752" s="157"/>
      <c r="K752" s="58"/>
      <c r="L752" s="157"/>
      <c r="M752" s="142"/>
      <c r="N752" s="142"/>
      <c r="O752" s="30"/>
    </row>
    <row r="753" spans="1:15">
      <c r="B753" s="33" t="s">
        <v>90</v>
      </c>
      <c r="D753" s="7">
        <f t="shared" ref="D753:K753" si="339">SUM(D750:D752)</f>
        <v>0</v>
      </c>
      <c r="E753" s="7">
        <f t="shared" si="339"/>
        <v>0</v>
      </c>
      <c r="F753" s="7">
        <f t="shared" si="339"/>
        <v>0</v>
      </c>
      <c r="G753" s="7">
        <f t="shared" si="339"/>
        <v>0</v>
      </c>
      <c r="H753" s="7">
        <f t="shared" si="339"/>
        <v>0</v>
      </c>
      <c r="I753" s="7">
        <f t="shared" si="339"/>
        <v>0</v>
      </c>
      <c r="J753" s="7">
        <f t="shared" si="339"/>
        <v>0</v>
      </c>
      <c r="K753" s="7">
        <f t="shared" si="339"/>
        <v>0</v>
      </c>
      <c r="L753" s="7"/>
      <c r="M753" s="7"/>
      <c r="N753" s="7"/>
      <c r="O753" s="30"/>
    </row>
    <row r="754" spans="1:15">
      <c r="B754" s="6"/>
      <c r="D754" s="7"/>
      <c r="E754" s="7"/>
      <c r="F754" s="7"/>
      <c r="G754" s="7"/>
      <c r="H754" s="7"/>
      <c r="I754" s="7"/>
      <c r="J754" s="7"/>
      <c r="K754" s="7"/>
      <c r="L754" s="7"/>
      <c r="M754" s="7"/>
      <c r="N754" s="7"/>
      <c r="O754" s="30"/>
    </row>
    <row r="755" spans="1:15" ht="18.5">
      <c r="A755" s="9" t="s">
        <v>100</v>
      </c>
      <c r="D755" s="2">
        <f>'Facility Detail'!$B$3082</f>
        <v>2011</v>
      </c>
      <c r="E755" s="2">
        <f t="shared" ref="E755:N755" si="340">D755+1</f>
        <v>2012</v>
      </c>
      <c r="F755" s="2">
        <f t="shared" si="340"/>
        <v>2013</v>
      </c>
      <c r="G755" s="2">
        <f t="shared" si="340"/>
        <v>2014</v>
      </c>
      <c r="H755" s="2">
        <f t="shared" si="340"/>
        <v>2015</v>
      </c>
      <c r="I755" s="2">
        <f t="shared" si="340"/>
        <v>2016</v>
      </c>
      <c r="J755" s="2">
        <f t="shared" si="340"/>
        <v>2017</v>
      </c>
      <c r="K755" s="2">
        <f t="shared" si="340"/>
        <v>2018</v>
      </c>
      <c r="L755" s="2">
        <f t="shared" si="340"/>
        <v>2019</v>
      </c>
      <c r="M755" s="2">
        <f t="shared" si="340"/>
        <v>2020</v>
      </c>
      <c r="N755" s="2">
        <f t="shared" si="340"/>
        <v>2021</v>
      </c>
      <c r="O755" s="30"/>
    </row>
    <row r="756" spans="1:15">
      <c r="B756" s="79" t="s">
        <v>68</v>
      </c>
      <c r="C756" s="30"/>
      <c r="D756" s="3">
        <f>D742</f>
        <v>0</v>
      </c>
      <c r="E756" s="60">
        <f>D756</f>
        <v>0</v>
      </c>
      <c r="F756" s="131"/>
      <c r="G756" s="131"/>
      <c r="H756" s="131"/>
      <c r="I756" s="131"/>
      <c r="J756" s="131"/>
      <c r="K756" s="131"/>
      <c r="L756" s="131"/>
      <c r="M756" s="131"/>
      <c r="N756" s="61"/>
      <c r="O756" s="30"/>
    </row>
    <row r="757" spans="1:15">
      <c r="B757" s="79" t="s">
        <v>69</v>
      </c>
      <c r="C757" s="30"/>
      <c r="D757" s="164">
        <f>E757</f>
        <v>0</v>
      </c>
      <c r="E757" s="10"/>
      <c r="F757" s="74"/>
      <c r="G757" s="74"/>
      <c r="H757" s="74"/>
      <c r="I757" s="74"/>
      <c r="J757" s="74"/>
      <c r="K757" s="74"/>
      <c r="L757" s="74"/>
      <c r="M757" s="74"/>
      <c r="N757" s="165"/>
      <c r="O757" s="30"/>
    </row>
    <row r="758" spans="1:15">
      <c r="B758" s="79" t="s">
        <v>70</v>
      </c>
      <c r="C758" s="30"/>
      <c r="D758" s="62"/>
      <c r="E758" s="10">
        <f>E742</f>
        <v>0</v>
      </c>
      <c r="F758" s="70">
        <f>E758</f>
        <v>0</v>
      </c>
      <c r="G758" s="74"/>
      <c r="H758" s="74"/>
      <c r="I758" s="74"/>
      <c r="J758" s="74"/>
      <c r="K758" s="74"/>
      <c r="L758" s="74"/>
      <c r="M758" s="74"/>
      <c r="N758" s="165"/>
      <c r="O758" s="30"/>
    </row>
    <row r="759" spans="1:15">
      <c r="B759" s="79" t="s">
        <v>71</v>
      </c>
      <c r="C759" s="30"/>
      <c r="D759" s="62"/>
      <c r="E759" s="70">
        <f>F759</f>
        <v>0</v>
      </c>
      <c r="F759" s="163"/>
      <c r="G759" s="74"/>
      <c r="H759" s="74"/>
      <c r="I759" s="74"/>
      <c r="J759" s="74"/>
      <c r="K759" s="74"/>
      <c r="L759" s="74"/>
      <c r="M759" s="74"/>
      <c r="N759" s="165"/>
      <c r="O759" s="30"/>
    </row>
    <row r="760" spans="1:15">
      <c r="B760" s="79" t="s">
        <v>171</v>
      </c>
      <c r="C760" s="30"/>
      <c r="D760" s="62"/>
      <c r="E760" s="148"/>
      <c r="F760" s="10">
        <f>F742</f>
        <v>0</v>
      </c>
      <c r="G760" s="149">
        <f>F760</f>
        <v>0</v>
      </c>
      <c r="H760" s="74"/>
      <c r="I760" s="74"/>
      <c r="J760" s="74"/>
      <c r="K760" s="74"/>
      <c r="L760" s="74"/>
      <c r="M760" s="74"/>
      <c r="N760" s="165"/>
      <c r="O760" s="30"/>
    </row>
    <row r="761" spans="1:15">
      <c r="B761" s="79" t="s">
        <v>172</v>
      </c>
      <c r="C761" s="30"/>
      <c r="D761" s="62"/>
      <c r="E761" s="148"/>
      <c r="F761" s="70">
        <f>G761</f>
        <v>0</v>
      </c>
      <c r="G761" s="10"/>
      <c r="H761" s="74"/>
      <c r="I761" s="74"/>
      <c r="J761" s="74" t="s">
        <v>170</v>
      </c>
      <c r="K761" s="74"/>
      <c r="L761" s="74"/>
      <c r="M761" s="74"/>
      <c r="N761" s="165"/>
      <c r="O761" s="30"/>
    </row>
    <row r="762" spans="1:15">
      <c r="B762" s="79" t="s">
        <v>173</v>
      </c>
      <c r="C762" s="30"/>
      <c r="D762" s="62"/>
      <c r="E762" s="148"/>
      <c r="F762" s="148"/>
      <c r="G762" s="10"/>
      <c r="H762" s="149">
        <f>G762</f>
        <v>0</v>
      </c>
      <c r="I762" s="148"/>
      <c r="J762" s="74"/>
      <c r="K762" s="74"/>
      <c r="L762" s="74"/>
      <c r="M762" s="74"/>
      <c r="N762" s="152"/>
      <c r="O762" s="30"/>
    </row>
    <row r="763" spans="1:15">
      <c r="B763" s="79" t="s">
        <v>174</v>
      </c>
      <c r="C763" s="30"/>
      <c r="D763" s="62"/>
      <c r="E763" s="148"/>
      <c r="F763" s="148"/>
      <c r="G763" s="70"/>
      <c r="H763" s="10"/>
      <c r="I763" s="148"/>
      <c r="J763" s="74"/>
      <c r="K763" s="74"/>
      <c r="L763" s="74"/>
      <c r="M763" s="74"/>
      <c r="N763" s="152"/>
      <c r="O763" s="30"/>
    </row>
    <row r="764" spans="1:15">
      <c r="B764" s="79" t="s">
        <v>175</v>
      </c>
      <c r="C764" s="30"/>
      <c r="D764" s="62"/>
      <c r="E764" s="148"/>
      <c r="F764" s="148"/>
      <c r="G764" s="148"/>
      <c r="H764" s="10">
        <f>H742</f>
        <v>0</v>
      </c>
      <c r="I764" s="149">
        <f>H764</f>
        <v>0</v>
      </c>
      <c r="J764" s="74"/>
      <c r="K764" s="74"/>
      <c r="L764" s="74"/>
      <c r="M764" s="74"/>
      <c r="N764" s="152"/>
      <c r="O764" s="30"/>
    </row>
    <row r="765" spans="1:15">
      <c r="B765" s="79" t="s">
        <v>176</v>
      </c>
      <c r="C765" s="30"/>
      <c r="D765" s="62"/>
      <c r="E765" s="148"/>
      <c r="F765" s="148"/>
      <c r="G765" s="148"/>
      <c r="H765" s="70"/>
      <c r="I765" s="10"/>
      <c r="J765" s="74"/>
      <c r="K765" s="74"/>
      <c r="L765" s="74"/>
      <c r="M765" s="74"/>
      <c r="N765" s="152"/>
      <c r="O765" s="30"/>
    </row>
    <row r="766" spans="1:15">
      <c r="B766" s="79" t="s">
        <v>177</v>
      </c>
      <c r="C766" s="30"/>
      <c r="D766" s="62"/>
      <c r="E766" s="148"/>
      <c r="F766" s="148"/>
      <c r="G766" s="148"/>
      <c r="H766" s="148"/>
      <c r="I766" s="257">
        <v>0</v>
      </c>
      <c r="J766" s="258">
        <f>I766</f>
        <v>0</v>
      </c>
      <c r="K766" s="74"/>
      <c r="L766" s="74"/>
      <c r="M766" s="74"/>
      <c r="N766" s="152"/>
      <c r="O766" s="30"/>
    </row>
    <row r="767" spans="1:15">
      <c r="B767" s="79" t="s">
        <v>168</v>
      </c>
      <c r="C767" s="30"/>
      <c r="D767" s="62"/>
      <c r="E767" s="148"/>
      <c r="F767" s="148"/>
      <c r="G767" s="148"/>
      <c r="H767" s="148"/>
      <c r="I767" s="208"/>
      <c r="J767" s="151"/>
      <c r="K767" s="74"/>
      <c r="L767" s="74"/>
      <c r="M767" s="74"/>
      <c r="N767" s="152"/>
      <c r="O767" s="30"/>
    </row>
    <row r="768" spans="1:15">
      <c r="B768" s="79" t="s">
        <v>169</v>
      </c>
      <c r="C768" s="30"/>
      <c r="D768" s="62"/>
      <c r="E768" s="148"/>
      <c r="F768" s="148"/>
      <c r="G768" s="148"/>
      <c r="H768" s="148"/>
      <c r="I768" s="148"/>
      <c r="J768" s="151"/>
      <c r="K768" s="150">
        <f>J768</f>
        <v>0</v>
      </c>
      <c r="L768" s="74"/>
      <c r="M768" s="74"/>
      <c r="N768" s="152"/>
      <c r="O768" s="30"/>
    </row>
    <row r="769" spans="1:15">
      <c r="B769" s="79" t="s">
        <v>186</v>
      </c>
      <c r="C769" s="30"/>
      <c r="D769" s="62"/>
      <c r="E769" s="148"/>
      <c r="F769" s="148"/>
      <c r="G769" s="148"/>
      <c r="H769" s="148"/>
      <c r="I769" s="148"/>
      <c r="J769" s="228"/>
      <c r="K769" s="151"/>
      <c r="L769" s="74"/>
      <c r="M769" s="74"/>
      <c r="N769" s="152"/>
      <c r="O769" s="30"/>
    </row>
    <row r="770" spans="1:15">
      <c r="B770" s="79" t="s">
        <v>187</v>
      </c>
      <c r="C770" s="30"/>
      <c r="D770" s="62"/>
      <c r="E770" s="148"/>
      <c r="F770" s="148"/>
      <c r="G770" s="148"/>
      <c r="H770" s="148"/>
      <c r="I770" s="148"/>
      <c r="J770" s="148"/>
      <c r="K770" s="151">
        <v>0</v>
      </c>
      <c r="L770" s="150">
        <f>K770</f>
        <v>0</v>
      </c>
      <c r="M770" s="74"/>
      <c r="N770" s="152"/>
      <c r="O770" s="30"/>
    </row>
    <row r="771" spans="1:15">
      <c r="B771" s="79" t="s">
        <v>188</v>
      </c>
      <c r="C771" s="30"/>
      <c r="D771" s="62"/>
      <c r="E771" s="148"/>
      <c r="F771" s="148"/>
      <c r="G771" s="148"/>
      <c r="H771" s="148"/>
      <c r="I771" s="148"/>
      <c r="J771" s="148"/>
      <c r="K771" s="275"/>
      <c r="L771" s="151"/>
      <c r="M771" s="74"/>
      <c r="N771" s="233"/>
      <c r="O771" s="30"/>
    </row>
    <row r="772" spans="1:15">
      <c r="B772" s="79" t="s">
        <v>189</v>
      </c>
      <c r="C772" s="30"/>
      <c r="D772" s="62"/>
      <c r="E772" s="148"/>
      <c r="F772" s="148"/>
      <c r="G772" s="148"/>
      <c r="H772" s="148"/>
      <c r="I772" s="148"/>
      <c r="J772" s="148"/>
      <c r="K772" s="148"/>
      <c r="L772" s="151"/>
      <c r="M772" s="150">
        <f>K772</f>
        <v>0</v>
      </c>
      <c r="N772" s="178"/>
      <c r="O772" s="30"/>
    </row>
    <row r="773" spans="1:15">
      <c r="B773" s="79" t="s">
        <v>190</v>
      </c>
      <c r="C773" s="30"/>
      <c r="D773" s="62"/>
      <c r="E773" s="148"/>
      <c r="F773" s="148"/>
      <c r="G773" s="148"/>
      <c r="H773" s="148"/>
      <c r="I773" s="148"/>
      <c r="J773" s="148"/>
      <c r="K773" s="148"/>
      <c r="L773" s="275"/>
      <c r="M773" s="151"/>
      <c r="N773" s="178"/>
      <c r="O773" s="30"/>
    </row>
    <row r="774" spans="1:15">
      <c r="B774" s="79" t="s">
        <v>191</v>
      </c>
      <c r="C774" s="30"/>
      <c r="D774" s="62"/>
      <c r="E774" s="148"/>
      <c r="F774" s="148"/>
      <c r="G774" s="148"/>
      <c r="H774" s="148"/>
      <c r="I774" s="148"/>
      <c r="J774" s="148"/>
      <c r="K774" s="148"/>
      <c r="L774" s="148"/>
      <c r="M774" s="151"/>
      <c r="N774" s="150">
        <f>M774</f>
        <v>0</v>
      </c>
      <c r="O774" s="30"/>
    </row>
    <row r="775" spans="1:15">
      <c r="B775" s="79" t="s">
        <v>201</v>
      </c>
      <c r="C775" s="30"/>
      <c r="D775" s="62"/>
      <c r="E775" s="148"/>
      <c r="F775" s="148"/>
      <c r="G775" s="148"/>
      <c r="H775" s="148"/>
      <c r="I775" s="148"/>
      <c r="J775" s="148"/>
      <c r="K775" s="148"/>
      <c r="L775" s="148"/>
      <c r="M775" s="279"/>
      <c r="N775" s="151"/>
      <c r="O775" s="30"/>
    </row>
    <row r="776" spans="1:15">
      <c r="B776" s="79" t="s">
        <v>202</v>
      </c>
      <c r="C776" s="30"/>
      <c r="D776" s="63"/>
      <c r="E776" s="133"/>
      <c r="F776" s="133"/>
      <c r="G776" s="133"/>
      <c r="H776" s="133"/>
      <c r="I776" s="133"/>
      <c r="J776" s="133"/>
      <c r="K776" s="133"/>
      <c r="L776" s="133"/>
      <c r="M776" s="133"/>
      <c r="N776" s="153"/>
      <c r="O776" s="30"/>
    </row>
    <row r="777" spans="1:15">
      <c r="B777" s="33" t="s">
        <v>17</v>
      </c>
      <c r="D777" s="180">
        <f xml:space="preserve"> D762 - D761</f>
        <v>0</v>
      </c>
      <c r="E777" s="180">
        <f xml:space="preserve"> E761 + E764 - E763 - E762</f>
        <v>0</v>
      </c>
      <c r="F777" s="180">
        <v>0</v>
      </c>
      <c r="G777" s="180">
        <f>G760-G761-G762</f>
        <v>0</v>
      </c>
      <c r="H777" s="180">
        <f>H762-H763-H764</f>
        <v>0</v>
      </c>
      <c r="I777" s="28">
        <f>I764-I765-I766</f>
        <v>0</v>
      </c>
      <c r="J777" s="28">
        <f>J766-J767-J768</f>
        <v>0</v>
      </c>
      <c r="K777" s="28">
        <f>K768-K769-K770</f>
        <v>0</v>
      </c>
      <c r="L777" s="28">
        <f>L770-L771-L772</f>
        <v>0</v>
      </c>
      <c r="M777" s="28">
        <f>M775</f>
        <v>0</v>
      </c>
      <c r="N777" s="28">
        <f>N775*-1</f>
        <v>0</v>
      </c>
      <c r="O777" s="30"/>
    </row>
    <row r="778" spans="1:15">
      <c r="B778" s="6"/>
      <c r="D778" s="7"/>
      <c r="E778" s="7"/>
      <c r="F778" s="7"/>
      <c r="G778" s="7"/>
      <c r="H778" s="7"/>
      <c r="I778" s="231"/>
      <c r="J778" s="231"/>
      <c r="K778" s="231"/>
      <c r="L778" s="231"/>
      <c r="M778" s="231"/>
      <c r="N778" s="231"/>
      <c r="O778" s="30"/>
    </row>
    <row r="779" spans="1:15">
      <c r="B779" s="76" t="s">
        <v>12</v>
      </c>
      <c r="C779" s="71"/>
      <c r="D779" s="99"/>
      <c r="E779" s="100"/>
      <c r="F779" s="100"/>
      <c r="G779" s="159"/>
      <c r="H779" s="100"/>
      <c r="I779" s="100"/>
      <c r="J779" s="100"/>
      <c r="K779" s="100"/>
      <c r="L779" s="160"/>
      <c r="M779" s="101"/>
      <c r="N779" s="101"/>
      <c r="O779" s="30"/>
    </row>
    <row r="780" spans="1:15">
      <c r="B780" s="6"/>
      <c r="D780" s="7"/>
      <c r="E780" s="7"/>
      <c r="F780" s="7"/>
      <c r="G780" s="7"/>
      <c r="H780" s="7"/>
      <c r="I780" s="7"/>
      <c r="J780" s="7"/>
      <c r="K780" s="7"/>
      <c r="L780" s="7"/>
      <c r="M780" s="7"/>
      <c r="N780" s="7"/>
      <c r="O780" s="30"/>
    </row>
    <row r="781" spans="1:15" ht="18.5">
      <c r="A781" s="41" t="s">
        <v>26</v>
      </c>
      <c r="C781" s="71"/>
      <c r="D781" s="43">
        <f t="shared" ref="D781:N781" si="341" xml:space="preserve"> D742 + D747 - D753 + D777 + D779</f>
        <v>0</v>
      </c>
      <c r="E781" s="44">
        <f t="shared" si="341"/>
        <v>0</v>
      </c>
      <c r="F781" s="161">
        <f t="shared" si="341"/>
        <v>0</v>
      </c>
      <c r="G781" s="44">
        <f t="shared" si="341"/>
        <v>0</v>
      </c>
      <c r="H781" s="158">
        <f t="shared" si="341"/>
        <v>0</v>
      </c>
      <c r="I781" s="44">
        <f t="shared" si="341"/>
        <v>0</v>
      </c>
      <c r="J781" s="44">
        <f t="shared" si="341"/>
        <v>0</v>
      </c>
      <c r="K781" s="44">
        <f t="shared" si="341"/>
        <v>0</v>
      </c>
      <c r="L781" s="44">
        <f t="shared" si="341"/>
        <v>0</v>
      </c>
      <c r="M781" s="45">
        <f t="shared" si="341"/>
        <v>0</v>
      </c>
      <c r="N781" s="45">
        <f t="shared" si="341"/>
        <v>60024.524855710573</v>
      </c>
      <c r="O781" s="30"/>
    </row>
    <row r="782" spans="1:15">
      <c r="B782" s="6"/>
      <c r="D782" s="7"/>
      <c r="E782" s="7"/>
      <c r="F782" s="7"/>
      <c r="G782" s="28"/>
      <c r="H782" s="28"/>
      <c r="I782" s="28"/>
      <c r="J782" s="28"/>
      <c r="K782" s="28"/>
      <c r="L782" s="28"/>
      <c r="M782" s="28"/>
      <c r="N782" s="28"/>
      <c r="O782" s="30"/>
    </row>
    <row r="783" spans="1:15" ht="15" thickBot="1">
      <c r="O783" s="30"/>
    </row>
    <row r="784" spans="1:15" ht="15" thickBot="1">
      <c r="A784" s="8"/>
      <c r="B784" s="8"/>
      <c r="C784" s="8"/>
      <c r="D784" s="8"/>
      <c r="E784" s="8"/>
      <c r="F784" s="8"/>
      <c r="G784" s="8"/>
      <c r="H784" s="8"/>
      <c r="I784" s="8"/>
      <c r="J784" s="8"/>
      <c r="K784" s="8"/>
      <c r="L784" s="8"/>
      <c r="M784" s="8"/>
      <c r="N784" s="8"/>
    </row>
    <row r="785" spans="1:14" ht="21.5" thickBot="1">
      <c r="A785" s="13" t="s">
        <v>4</v>
      </c>
      <c r="B785" s="13"/>
      <c r="C785" s="313" t="s">
        <v>181</v>
      </c>
      <c r="D785" s="316"/>
      <c r="E785" s="315"/>
      <c r="F785" s="315"/>
    </row>
    <row r="787" spans="1:14" ht="18.5">
      <c r="A787" s="9" t="s">
        <v>21</v>
      </c>
      <c r="B787" s="9"/>
      <c r="D787" s="2">
        <v>2011</v>
      </c>
      <c r="E787" s="2">
        <f>D787+1</f>
        <v>2012</v>
      </c>
      <c r="F787" s="2">
        <f t="shared" ref="F787:N787" si="342">E787+1</f>
        <v>2013</v>
      </c>
      <c r="G787" s="2">
        <f t="shared" si="342"/>
        <v>2014</v>
      </c>
      <c r="H787" s="2">
        <f t="shared" si="342"/>
        <v>2015</v>
      </c>
      <c r="I787" s="2">
        <f t="shared" si="342"/>
        <v>2016</v>
      </c>
      <c r="J787" s="2">
        <f t="shared" si="342"/>
        <v>2017</v>
      </c>
      <c r="K787" s="2">
        <f t="shared" si="342"/>
        <v>2018</v>
      </c>
      <c r="L787" s="2">
        <f t="shared" si="342"/>
        <v>2019</v>
      </c>
      <c r="M787" s="2">
        <f t="shared" si="342"/>
        <v>2020</v>
      </c>
      <c r="N787" s="2">
        <f t="shared" si="342"/>
        <v>2021</v>
      </c>
    </row>
    <row r="788" spans="1:14">
      <c r="B788" s="79" t="str">
        <f>"Total MWh Produced / Purchased from " &amp; C785</f>
        <v>Total MWh Produced / Purchased from Elbe Solar</v>
      </c>
      <c r="C788" s="71"/>
      <c r="D788" s="3"/>
      <c r="E788" s="4"/>
      <c r="F788" s="4"/>
      <c r="G788" s="4"/>
      <c r="H788" s="4"/>
      <c r="I788" s="4">
        <v>0</v>
      </c>
      <c r="J788" s="4">
        <v>0</v>
      </c>
      <c r="K788" s="4">
        <v>10627.973</v>
      </c>
      <c r="L788" s="4">
        <v>20746</v>
      </c>
      <c r="M788" s="230">
        <v>22933</v>
      </c>
      <c r="N788" s="4">
        <v>21164</v>
      </c>
    </row>
    <row r="789" spans="1:14">
      <c r="B789" s="79" t="s">
        <v>25</v>
      </c>
      <c r="C789" s="71"/>
      <c r="D789" s="54"/>
      <c r="E789" s="55"/>
      <c r="F789" s="55"/>
      <c r="G789" s="55"/>
      <c r="H789" s="55"/>
      <c r="I789" s="55"/>
      <c r="J789" s="55"/>
      <c r="K789" s="55">
        <v>1</v>
      </c>
      <c r="L789" s="55">
        <v>1</v>
      </c>
      <c r="M789" s="234">
        <v>1</v>
      </c>
      <c r="N789" s="55">
        <v>1</v>
      </c>
    </row>
    <row r="790" spans="1:14">
      <c r="B790" s="79" t="s">
        <v>20</v>
      </c>
      <c r="C790" s="71"/>
      <c r="D790" s="48"/>
      <c r="E790" s="49"/>
      <c r="F790" s="49"/>
      <c r="G790" s="49"/>
      <c r="H790" s="49"/>
      <c r="I790" s="49">
        <v>0</v>
      </c>
      <c r="J790" s="49">
        <v>0</v>
      </c>
      <c r="K790" s="49">
        <f>K75</f>
        <v>0.22007817037432531</v>
      </c>
      <c r="L790" s="49">
        <f>L75</f>
        <v>0.2223660721260575</v>
      </c>
      <c r="M790" s="49">
        <f>M364</f>
        <v>0.22351563443464154</v>
      </c>
      <c r="N790" s="49">
        <f>N364</f>
        <v>0.22326821036945171</v>
      </c>
    </row>
    <row r="791" spans="1:14">
      <c r="B791" s="76" t="s">
        <v>22</v>
      </c>
      <c r="C791" s="77"/>
      <c r="D791" s="37">
        <v>0</v>
      </c>
      <c r="E791" s="37">
        <v>0</v>
      </c>
      <c r="F791" s="37">
        <v>0</v>
      </c>
      <c r="G791" s="37">
        <v>0</v>
      </c>
      <c r="H791" s="37">
        <v>0</v>
      </c>
      <c r="I791" s="37">
        <v>0</v>
      </c>
      <c r="J791" s="37">
        <v>0</v>
      </c>
      <c r="K791" s="37">
        <v>648</v>
      </c>
      <c r="L791" s="37">
        <f>L788*L790</f>
        <v>4613.2065323271891</v>
      </c>
      <c r="M791" s="37">
        <f>M788*M790</f>
        <v>5125.8840444896341</v>
      </c>
      <c r="N791" s="37">
        <f>N788*N790</f>
        <v>4725.2484042590759</v>
      </c>
    </row>
    <row r="792" spans="1:14">
      <c r="B792" s="23"/>
      <c r="C792" s="30"/>
      <c r="D792" s="36"/>
      <c r="E792" s="36"/>
      <c r="F792" s="36"/>
      <c r="G792" s="36"/>
      <c r="H792" s="36"/>
      <c r="I792" s="36"/>
      <c r="J792" s="36"/>
      <c r="K792" s="36"/>
      <c r="L792" s="36"/>
      <c r="M792" s="36"/>
      <c r="N792" s="36"/>
    </row>
    <row r="793" spans="1:14" ht="18.5">
      <c r="A793" s="42" t="s">
        <v>119</v>
      </c>
      <c r="C793" s="30"/>
      <c r="D793" s="2">
        <v>2011</v>
      </c>
      <c r="E793" s="2">
        <f>D793+1</f>
        <v>2012</v>
      </c>
      <c r="F793" s="2">
        <f t="shared" ref="F793:N793" si="343">E793+1</f>
        <v>2013</v>
      </c>
      <c r="G793" s="2">
        <f t="shared" si="343"/>
        <v>2014</v>
      </c>
      <c r="H793" s="2">
        <f t="shared" si="343"/>
        <v>2015</v>
      </c>
      <c r="I793" s="2">
        <f t="shared" si="343"/>
        <v>2016</v>
      </c>
      <c r="J793" s="2">
        <f t="shared" si="343"/>
        <v>2017</v>
      </c>
      <c r="K793" s="2">
        <f t="shared" si="343"/>
        <v>2018</v>
      </c>
      <c r="L793" s="2">
        <f t="shared" si="343"/>
        <v>2019</v>
      </c>
      <c r="M793" s="2">
        <f t="shared" si="343"/>
        <v>2020</v>
      </c>
      <c r="N793" s="2">
        <f t="shared" si="343"/>
        <v>2021</v>
      </c>
    </row>
    <row r="794" spans="1:14">
      <c r="B794" s="79" t="s">
        <v>10</v>
      </c>
      <c r="C794" s="71"/>
      <c r="D794" s="51">
        <f>IF($E17 = "Eligible", D791 * 'Facility Detail'!$B$3079, 0 )</f>
        <v>0</v>
      </c>
      <c r="E794" s="51">
        <f>IF($E17 = "Eligible", E791 * 'Facility Detail'!$B$3079, 0 )</f>
        <v>0</v>
      </c>
      <c r="F794" s="51">
        <f>IF($E17 = "Eligible", F791 * 'Facility Detail'!$B$3079, 0 )</f>
        <v>0</v>
      </c>
      <c r="G794" s="51">
        <f>IF($E17 = "Eligible", G791 * 'Facility Detail'!$B$3079, 0 )</f>
        <v>0</v>
      </c>
      <c r="H794" s="51">
        <f>IF($E17 = "Eligible", H791 * 'Facility Detail'!$B$3079, 0 )</f>
        <v>0</v>
      </c>
      <c r="I794" s="51">
        <f>IF($E17 = "Eligible", I791 * 'Facility Detail'!$B$3079, 0 )</f>
        <v>0</v>
      </c>
      <c r="J794" s="51">
        <f>IF($E17 = "Eligible", J791 * 'Facility Detail'!$B$3079, 0 )</f>
        <v>0</v>
      </c>
      <c r="K794" s="51">
        <f>IF($E17 = "Eligible", K791 * 'Facility Detail'!$B$3079, 0 )</f>
        <v>0</v>
      </c>
      <c r="L794" s="51">
        <f>IF($E17 = "Eligible", L791 * 'Facility Detail'!$B$3079, 0 )</f>
        <v>0</v>
      </c>
      <c r="M794" s="51">
        <f>IF($E17 = "Eligible", M791 * 'Facility Detail'!$B$3079, 0 )</f>
        <v>0</v>
      </c>
      <c r="N794" s="51">
        <f>IF($E17 = "Eligible", N791 * 'Facility Detail'!$B$3079, 0 )</f>
        <v>0</v>
      </c>
    </row>
    <row r="795" spans="1:14">
      <c r="B795" s="79" t="s">
        <v>6</v>
      </c>
      <c r="C795" s="71"/>
      <c r="D795" s="52">
        <f t="shared" ref="D795:N795" si="344">IF($F17= "Eligible", D791, 0 )</f>
        <v>0</v>
      </c>
      <c r="E795" s="52">
        <f t="shared" si="344"/>
        <v>0</v>
      </c>
      <c r="F795" s="52">
        <f t="shared" si="344"/>
        <v>0</v>
      </c>
      <c r="G795" s="52">
        <f t="shared" si="344"/>
        <v>0</v>
      </c>
      <c r="H795" s="52">
        <f t="shared" si="344"/>
        <v>0</v>
      </c>
      <c r="I795" s="52">
        <f t="shared" si="344"/>
        <v>0</v>
      </c>
      <c r="J795" s="52">
        <f t="shared" si="344"/>
        <v>0</v>
      </c>
      <c r="K795" s="52">
        <f t="shared" si="344"/>
        <v>0</v>
      </c>
      <c r="L795" s="52">
        <f t="shared" si="344"/>
        <v>0</v>
      </c>
      <c r="M795" s="52">
        <f t="shared" si="344"/>
        <v>0</v>
      </c>
      <c r="N795" s="52">
        <f t="shared" si="344"/>
        <v>0</v>
      </c>
    </row>
    <row r="796" spans="1:14">
      <c r="B796" s="78" t="s">
        <v>121</v>
      </c>
      <c r="C796" s="77"/>
      <c r="D796" s="39">
        <f>SUM(D794:D795)</f>
        <v>0</v>
      </c>
      <c r="E796" s="39">
        <f t="shared" ref="E796:N796" si="345">SUM(E794:E795)</f>
        <v>0</v>
      </c>
      <c r="F796" s="39">
        <f t="shared" si="345"/>
        <v>0</v>
      </c>
      <c r="G796" s="39">
        <f t="shared" si="345"/>
        <v>0</v>
      </c>
      <c r="H796" s="39">
        <f t="shared" si="345"/>
        <v>0</v>
      </c>
      <c r="I796" s="39">
        <f t="shared" si="345"/>
        <v>0</v>
      </c>
      <c r="J796" s="39">
        <f t="shared" si="345"/>
        <v>0</v>
      </c>
      <c r="K796" s="39">
        <f t="shared" si="345"/>
        <v>0</v>
      </c>
      <c r="L796" s="39">
        <f t="shared" si="345"/>
        <v>0</v>
      </c>
      <c r="M796" s="39">
        <f t="shared" si="345"/>
        <v>0</v>
      </c>
      <c r="N796" s="39">
        <f t="shared" si="345"/>
        <v>0</v>
      </c>
    </row>
    <row r="797" spans="1:14">
      <c r="B797" s="30"/>
      <c r="C797" s="30"/>
      <c r="D797" s="38"/>
      <c r="E797" s="31"/>
      <c r="F797" s="31"/>
      <c r="G797" s="31"/>
      <c r="H797" s="31"/>
      <c r="I797" s="31"/>
      <c r="J797" s="31"/>
      <c r="K797" s="31"/>
      <c r="L797" s="31"/>
      <c r="M797" s="31"/>
      <c r="N797" s="31"/>
    </row>
    <row r="798" spans="1:14" ht="18.5">
      <c r="A798" s="41" t="s">
        <v>30</v>
      </c>
      <c r="C798" s="30"/>
      <c r="D798" s="2">
        <v>2011</v>
      </c>
      <c r="E798" s="2">
        <f>D798+1</f>
        <v>2012</v>
      </c>
      <c r="F798" s="2">
        <f t="shared" ref="F798:N798" si="346">E798+1</f>
        <v>2013</v>
      </c>
      <c r="G798" s="2">
        <f t="shared" si="346"/>
        <v>2014</v>
      </c>
      <c r="H798" s="2">
        <f t="shared" si="346"/>
        <v>2015</v>
      </c>
      <c r="I798" s="2">
        <f t="shared" si="346"/>
        <v>2016</v>
      </c>
      <c r="J798" s="2">
        <f t="shared" si="346"/>
        <v>2017</v>
      </c>
      <c r="K798" s="2">
        <f t="shared" si="346"/>
        <v>2018</v>
      </c>
      <c r="L798" s="2">
        <f t="shared" si="346"/>
        <v>2019</v>
      </c>
      <c r="M798" s="2">
        <f t="shared" si="346"/>
        <v>2020</v>
      </c>
      <c r="N798" s="2">
        <f t="shared" si="346"/>
        <v>2021</v>
      </c>
    </row>
    <row r="799" spans="1:14">
      <c r="B799" s="79" t="s">
        <v>47</v>
      </c>
      <c r="C799" s="71"/>
      <c r="D799" s="89"/>
      <c r="E799" s="90"/>
      <c r="F799" s="90"/>
      <c r="G799" s="90"/>
      <c r="H799" s="90"/>
      <c r="I799" s="90"/>
      <c r="J799" s="90"/>
      <c r="K799" s="90"/>
      <c r="L799" s="90"/>
      <c r="M799" s="90"/>
      <c r="N799" s="90"/>
    </row>
    <row r="800" spans="1:14">
      <c r="B800" s="80" t="s">
        <v>23</v>
      </c>
      <c r="C800" s="175"/>
      <c r="D800" s="92"/>
      <c r="E800" s="93"/>
      <c r="F800" s="93"/>
      <c r="G800" s="93"/>
      <c r="H800" s="93"/>
      <c r="I800" s="93"/>
      <c r="J800" s="93"/>
      <c r="K800" s="93"/>
      <c r="L800" s="93"/>
      <c r="M800" s="93"/>
      <c r="N800" s="93"/>
    </row>
    <row r="801" spans="1:14">
      <c r="B801" s="95" t="s">
        <v>89</v>
      </c>
      <c r="C801" s="173"/>
      <c r="D801" s="57"/>
      <c r="E801" s="58"/>
      <c r="F801" s="58"/>
      <c r="G801" s="58"/>
      <c r="H801" s="58"/>
      <c r="I801" s="58"/>
      <c r="J801" s="58"/>
      <c r="K801" s="58"/>
      <c r="L801" s="58"/>
      <c r="M801" s="58"/>
      <c r="N801" s="58"/>
    </row>
    <row r="802" spans="1:14">
      <c r="B802" s="33" t="s">
        <v>90</v>
      </c>
      <c r="D802" s="7">
        <v>0</v>
      </c>
      <c r="E802" s="7">
        <v>0</v>
      </c>
      <c r="F802" s="7">
        <v>0</v>
      </c>
      <c r="G802" s="7">
        <v>0</v>
      </c>
      <c r="H802" s="7">
        <v>0</v>
      </c>
      <c r="I802" s="7">
        <v>0</v>
      </c>
      <c r="J802" s="7">
        <v>0</v>
      </c>
      <c r="K802" s="7">
        <v>0</v>
      </c>
      <c r="L802" s="7">
        <v>0</v>
      </c>
      <c r="M802" s="7">
        <v>0</v>
      </c>
      <c r="N802" s="7">
        <v>0</v>
      </c>
    </row>
    <row r="803" spans="1:14">
      <c r="B803" s="6"/>
      <c r="D803" s="7"/>
      <c r="E803" s="7"/>
      <c r="F803" s="7"/>
      <c r="G803" s="28"/>
      <c r="H803" s="28"/>
      <c r="I803" s="28"/>
      <c r="J803" s="28"/>
      <c r="K803" s="28"/>
      <c r="L803" s="28"/>
      <c r="M803" s="28"/>
      <c r="N803" s="28"/>
    </row>
    <row r="804" spans="1:14" ht="18.5">
      <c r="A804" s="9" t="s">
        <v>100</v>
      </c>
      <c r="D804" s="2">
        <f>'Facility Detail'!$B$3082</f>
        <v>2011</v>
      </c>
      <c r="E804" s="2">
        <f>D804+1</f>
        <v>2012</v>
      </c>
      <c r="F804" s="2">
        <f t="shared" ref="F804:N804" si="347">E804+1</f>
        <v>2013</v>
      </c>
      <c r="G804" s="2">
        <f t="shared" si="347"/>
        <v>2014</v>
      </c>
      <c r="H804" s="2">
        <f t="shared" si="347"/>
        <v>2015</v>
      </c>
      <c r="I804" s="2">
        <f t="shared" si="347"/>
        <v>2016</v>
      </c>
      <c r="J804" s="2">
        <f t="shared" si="347"/>
        <v>2017</v>
      </c>
      <c r="K804" s="2">
        <f t="shared" si="347"/>
        <v>2018</v>
      </c>
      <c r="L804" s="2">
        <f t="shared" si="347"/>
        <v>2019</v>
      </c>
      <c r="M804" s="2">
        <f t="shared" si="347"/>
        <v>2020</v>
      </c>
      <c r="N804" s="2">
        <f t="shared" si="347"/>
        <v>2021</v>
      </c>
    </row>
    <row r="805" spans="1:14">
      <c r="B805" s="79" t="s">
        <v>68</v>
      </c>
      <c r="C805" s="71"/>
      <c r="D805" s="3"/>
      <c r="E805" s="60">
        <f>D805</f>
        <v>0</v>
      </c>
      <c r="F805" s="131"/>
      <c r="G805" s="131"/>
      <c r="H805" s="131"/>
      <c r="I805" s="131"/>
      <c r="J805" s="131"/>
      <c r="K805" s="131"/>
      <c r="L805" s="131"/>
      <c r="M805" s="131"/>
      <c r="N805" s="61"/>
    </row>
    <row r="806" spans="1:14">
      <c r="B806" s="79" t="s">
        <v>69</v>
      </c>
      <c r="C806" s="71"/>
      <c r="D806" s="164">
        <f>E806</f>
        <v>0</v>
      </c>
      <c r="E806" s="10"/>
      <c r="F806" s="74"/>
      <c r="G806" s="74"/>
      <c r="H806" s="74"/>
      <c r="I806" s="74"/>
      <c r="J806" s="74"/>
      <c r="K806" s="74"/>
      <c r="L806" s="74"/>
      <c r="M806" s="74"/>
      <c r="N806" s="165"/>
    </row>
    <row r="807" spans="1:14">
      <c r="B807" s="79" t="s">
        <v>70</v>
      </c>
      <c r="C807" s="71"/>
      <c r="D807" s="62"/>
      <c r="E807" s="10">
        <f>E791</f>
        <v>0</v>
      </c>
      <c r="F807" s="70">
        <f>E807</f>
        <v>0</v>
      </c>
      <c r="G807" s="74"/>
      <c r="H807" s="74"/>
      <c r="I807" s="74"/>
      <c r="J807" s="74"/>
      <c r="K807" s="74"/>
      <c r="L807" s="74"/>
      <c r="M807" s="74"/>
      <c r="N807" s="165"/>
    </row>
    <row r="808" spans="1:14">
      <c r="B808" s="79" t="s">
        <v>71</v>
      </c>
      <c r="C808" s="71"/>
      <c r="D808" s="62"/>
      <c r="E808" s="70">
        <f>F808</f>
        <v>0</v>
      </c>
      <c r="F808" s="163"/>
      <c r="G808" s="74"/>
      <c r="H808" s="74"/>
      <c r="I808" s="74"/>
      <c r="J808" s="74"/>
      <c r="K808" s="74"/>
      <c r="L808" s="74"/>
      <c r="M808" s="74"/>
      <c r="N808" s="165"/>
    </row>
    <row r="809" spans="1:14">
      <c r="B809" s="79" t="s">
        <v>171</v>
      </c>
      <c r="C809" s="30"/>
      <c r="D809" s="62"/>
      <c r="E809" s="148"/>
      <c r="F809" s="10">
        <f>F791</f>
        <v>0</v>
      </c>
      <c r="G809" s="149">
        <f>F809</f>
        <v>0</v>
      </c>
      <c r="H809" s="74"/>
      <c r="I809" s="74"/>
      <c r="J809" s="74"/>
      <c r="K809" s="74"/>
      <c r="L809" s="74"/>
      <c r="M809" s="74"/>
      <c r="N809" s="165"/>
    </row>
    <row r="810" spans="1:14">
      <c r="B810" s="79" t="s">
        <v>172</v>
      </c>
      <c r="C810" s="30"/>
      <c r="D810" s="62"/>
      <c r="E810" s="148"/>
      <c r="F810" s="70">
        <f>G810</f>
        <v>0</v>
      </c>
      <c r="G810" s="10"/>
      <c r="H810" s="74"/>
      <c r="I810" s="74"/>
      <c r="J810" s="74"/>
      <c r="K810" s="74"/>
      <c r="L810" s="74"/>
      <c r="M810" s="74"/>
      <c r="N810" s="165"/>
    </row>
    <row r="811" spans="1:14">
      <c r="B811" s="79" t="s">
        <v>173</v>
      </c>
      <c r="C811" s="30"/>
      <c r="D811" s="62"/>
      <c r="E811" s="148"/>
      <c r="F811" s="148"/>
      <c r="G811" s="10">
        <f>G791</f>
        <v>0</v>
      </c>
      <c r="H811" s="149">
        <f>G811</f>
        <v>0</v>
      </c>
      <c r="I811" s="148"/>
      <c r="J811" s="74"/>
      <c r="K811" s="74"/>
      <c r="L811" s="74"/>
      <c r="M811" s="74"/>
      <c r="N811" s="152"/>
    </row>
    <row r="812" spans="1:14">
      <c r="B812" s="79" t="s">
        <v>174</v>
      </c>
      <c r="C812" s="30"/>
      <c r="D812" s="62"/>
      <c r="E812" s="148"/>
      <c r="F812" s="148"/>
      <c r="G812" s="70"/>
      <c r="H812" s="10"/>
      <c r="I812" s="148"/>
      <c r="J812" s="74"/>
      <c r="K812" s="74"/>
      <c r="L812" s="74"/>
      <c r="M812" s="74"/>
      <c r="N812" s="152"/>
    </row>
    <row r="813" spans="1:14">
      <c r="B813" s="79" t="s">
        <v>175</v>
      </c>
      <c r="C813" s="30"/>
      <c r="D813" s="62"/>
      <c r="E813" s="148"/>
      <c r="F813" s="148"/>
      <c r="G813" s="148"/>
      <c r="H813" s="10">
        <v>0</v>
      </c>
      <c r="I813" s="149">
        <f>H813</f>
        <v>0</v>
      </c>
      <c r="J813" s="74"/>
      <c r="K813" s="74"/>
      <c r="L813" s="74"/>
      <c r="M813" s="74"/>
      <c r="N813" s="152"/>
    </row>
    <row r="814" spans="1:14">
      <c r="B814" s="79" t="s">
        <v>176</v>
      </c>
      <c r="C814" s="30"/>
      <c r="D814" s="62"/>
      <c r="E814" s="148"/>
      <c r="F814" s="148"/>
      <c r="G814" s="148"/>
      <c r="H814" s="70"/>
      <c r="I814" s="10"/>
      <c r="J814" s="74"/>
      <c r="K814" s="74"/>
      <c r="L814" s="74"/>
      <c r="M814" s="74"/>
      <c r="N814" s="152"/>
    </row>
    <row r="815" spans="1:14">
      <c r="B815" s="79" t="s">
        <v>177</v>
      </c>
      <c r="C815" s="30"/>
      <c r="D815" s="62"/>
      <c r="E815" s="148"/>
      <c r="F815" s="148"/>
      <c r="G815" s="148"/>
      <c r="H815" s="148"/>
      <c r="I815" s="207">
        <f>I791</f>
        <v>0</v>
      </c>
      <c r="J815" s="150">
        <f>I815</f>
        <v>0</v>
      </c>
      <c r="K815" s="74"/>
      <c r="L815" s="74"/>
      <c r="M815" s="74"/>
      <c r="N815" s="152"/>
    </row>
    <row r="816" spans="1:14">
      <c r="B816" s="79" t="s">
        <v>168</v>
      </c>
      <c r="C816" s="30"/>
      <c r="D816" s="62"/>
      <c r="E816" s="148"/>
      <c r="F816" s="148"/>
      <c r="G816" s="148"/>
      <c r="H816" s="148"/>
      <c r="I816" s="208"/>
      <c r="J816" s="151"/>
      <c r="K816" s="74"/>
      <c r="L816" s="74"/>
      <c r="M816" s="74"/>
      <c r="N816" s="152"/>
    </row>
    <row r="817" spans="1:15">
      <c r="B817" s="79" t="s">
        <v>169</v>
      </c>
      <c r="C817" s="30"/>
      <c r="D817" s="62"/>
      <c r="E817" s="148"/>
      <c r="F817" s="148"/>
      <c r="G817" s="148"/>
      <c r="H817" s="148"/>
      <c r="I817" s="148"/>
      <c r="J817" s="151">
        <f>J791</f>
        <v>0</v>
      </c>
      <c r="K817" s="150">
        <f>J817</f>
        <v>0</v>
      </c>
      <c r="L817" s="74"/>
      <c r="M817" s="74"/>
      <c r="N817" s="152"/>
    </row>
    <row r="818" spans="1:15">
      <c r="B818" s="79" t="s">
        <v>186</v>
      </c>
      <c r="C818" s="30"/>
      <c r="D818" s="62"/>
      <c r="E818" s="148"/>
      <c r="F818" s="148"/>
      <c r="G818" s="148"/>
      <c r="H818" s="148"/>
      <c r="I818" s="148"/>
      <c r="J818" s="228"/>
      <c r="K818" s="151"/>
      <c r="L818" s="74"/>
      <c r="M818" s="74"/>
      <c r="N818" s="152"/>
    </row>
    <row r="819" spans="1:15">
      <c r="B819" s="79" t="s">
        <v>187</v>
      </c>
      <c r="C819" s="30"/>
      <c r="D819" s="62"/>
      <c r="E819" s="148"/>
      <c r="F819" s="148"/>
      <c r="G819" s="148"/>
      <c r="H819" s="148"/>
      <c r="I819" s="148"/>
      <c r="J819" s="148"/>
      <c r="K819" s="151">
        <f>K791</f>
        <v>648</v>
      </c>
      <c r="L819" s="150">
        <f>K819</f>
        <v>648</v>
      </c>
      <c r="M819" s="74"/>
      <c r="N819" s="152"/>
    </row>
    <row r="820" spans="1:15">
      <c r="B820" s="79" t="s">
        <v>188</v>
      </c>
      <c r="C820" s="30"/>
      <c r="D820" s="62"/>
      <c r="E820" s="148"/>
      <c r="F820" s="148"/>
      <c r="G820" s="148"/>
      <c r="H820" s="148"/>
      <c r="I820" s="148"/>
      <c r="J820" s="148"/>
      <c r="K820" s="150"/>
      <c r="L820" s="151"/>
      <c r="M820" s="74"/>
      <c r="N820" s="152"/>
    </row>
    <row r="821" spans="1:15">
      <c r="B821" s="79" t="s">
        <v>189</v>
      </c>
      <c r="C821" s="30"/>
      <c r="D821" s="62"/>
      <c r="E821" s="148"/>
      <c r="F821" s="148"/>
      <c r="G821" s="148"/>
      <c r="H821" s="148"/>
      <c r="I821" s="148"/>
      <c r="J821" s="148"/>
      <c r="K821" s="148"/>
      <c r="L821" s="151"/>
      <c r="M821" s="150"/>
      <c r="N821" s="152"/>
    </row>
    <row r="822" spans="1:15">
      <c r="B822" s="79" t="s">
        <v>190</v>
      </c>
      <c r="C822" s="30"/>
      <c r="D822" s="62"/>
      <c r="E822" s="148"/>
      <c r="F822" s="148"/>
      <c r="G822" s="148"/>
      <c r="H822" s="148"/>
      <c r="I822" s="148"/>
      <c r="J822" s="148"/>
      <c r="K822" s="148"/>
      <c r="L822" s="150">
        <v>3364</v>
      </c>
      <c r="M822" s="151">
        <v>3364</v>
      </c>
      <c r="N822" s="178"/>
      <c r="O822" s="30"/>
    </row>
    <row r="823" spans="1:15">
      <c r="B823" s="79" t="s">
        <v>191</v>
      </c>
      <c r="C823" s="30"/>
      <c r="D823" s="62"/>
      <c r="E823" s="148"/>
      <c r="F823" s="148"/>
      <c r="G823" s="148"/>
      <c r="H823" s="148"/>
      <c r="I823" s="148"/>
      <c r="J823" s="148"/>
      <c r="K823" s="148"/>
      <c r="L823" s="148"/>
      <c r="M823" s="151">
        <v>0</v>
      </c>
      <c r="N823" s="150">
        <f>M823</f>
        <v>0</v>
      </c>
      <c r="O823" s="30"/>
    </row>
    <row r="824" spans="1:15">
      <c r="B824" s="79" t="s">
        <v>201</v>
      </c>
      <c r="C824" s="30"/>
      <c r="D824" s="62"/>
      <c r="E824" s="148"/>
      <c r="F824" s="148"/>
      <c r="G824" s="148"/>
      <c r="H824" s="148"/>
      <c r="I824" s="148"/>
      <c r="J824" s="148"/>
      <c r="K824" s="148"/>
      <c r="L824" s="148"/>
      <c r="M824" s="228">
        <v>0</v>
      </c>
      <c r="N824" s="151"/>
      <c r="O824" s="30"/>
    </row>
    <row r="825" spans="1:15">
      <c r="B825" s="79" t="s">
        <v>202</v>
      </c>
      <c r="C825" s="30"/>
      <c r="D825" s="63"/>
      <c r="E825" s="133"/>
      <c r="F825" s="133"/>
      <c r="G825" s="133"/>
      <c r="H825" s="133"/>
      <c r="I825" s="133"/>
      <c r="J825" s="133"/>
      <c r="K825" s="133"/>
      <c r="L825" s="133"/>
      <c r="M825" s="133"/>
      <c r="N825" s="153">
        <v>0</v>
      </c>
      <c r="O825" s="30"/>
    </row>
    <row r="826" spans="1:15">
      <c r="B826" s="33" t="s">
        <v>17</v>
      </c>
      <c r="D826" s="218"/>
      <c r="E826" s="218"/>
      <c r="F826" s="218"/>
      <c r="G826" s="218"/>
      <c r="H826" s="218"/>
      <c r="I826" s="218"/>
      <c r="J826" s="218"/>
      <c r="K826" s="218">
        <f>K817-K818-K819</f>
        <v>-648</v>
      </c>
      <c r="L826" s="218">
        <f>L819-L821+L822</f>
        <v>4012</v>
      </c>
      <c r="M826" s="218">
        <f>M821</f>
        <v>0</v>
      </c>
      <c r="N826" s="218">
        <f>N821</f>
        <v>0</v>
      </c>
    </row>
    <row r="827" spans="1:15">
      <c r="B827" s="6"/>
      <c r="D827" s="218"/>
      <c r="E827" s="218"/>
      <c r="F827" s="218"/>
      <c r="G827" s="218"/>
      <c r="H827" s="218"/>
      <c r="I827" s="218"/>
      <c r="J827" s="218"/>
      <c r="K827" s="218"/>
      <c r="L827" s="218"/>
      <c r="M827" s="218"/>
      <c r="N827" s="218"/>
    </row>
    <row r="828" spans="1:15">
      <c r="B828" s="76" t="s">
        <v>12</v>
      </c>
      <c r="C828" s="71"/>
      <c r="D828" s="219"/>
      <c r="E828" s="220"/>
      <c r="F828" s="220"/>
      <c r="G828" s="220"/>
      <c r="H828" s="220"/>
      <c r="I828" s="220"/>
      <c r="J828" s="220"/>
      <c r="K828" s="220"/>
      <c r="L828" s="220"/>
      <c r="M828" s="220"/>
      <c r="N828" s="220"/>
    </row>
    <row r="829" spans="1:15">
      <c r="B829" s="6"/>
      <c r="D829" s="218"/>
      <c r="E829" s="218"/>
      <c r="F829" s="218"/>
      <c r="G829" s="218"/>
      <c r="H829" s="218"/>
      <c r="I829" s="218"/>
      <c r="J829" s="218"/>
      <c r="K829" s="218"/>
      <c r="L829" s="218"/>
      <c r="M829" s="218"/>
      <c r="N829" s="218"/>
    </row>
    <row r="830" spans="1:15" ht="18.5">
      <c r="A830" s="41" t="s">
        <v>26</v>
      </c>
      <c r="C830" s="71"/>
      <c r="D830" s="221">
        <f t="shared" ref="D830:L830" si="348" xml:space="preserve"> D791 + D796 - D802 + D826 + D828</f>
        <v>0</v>
      </c>
      <c r="E830" s="222">
        <f t="shared" si="348"/>
        <v>0</v>
      </c>
      <c r="F830" s="222">
        <f t="shared" si="348"/>
        <v>0</v>
      </c>
      <c r="G830" s="222">
        <f t="shared" si="348"/>
        <v>0</v>
      </c>
      <c r="H830" s="222">
        <f t="shared" si="348"/>
        <v>0</v>
      </c>
      <c r="I830" s="222">
        <f t="shared" si="348"/>
        <v>0</v>
      </c>
      <c r="J830" s="222">
        <f t="shared" si="348"/>
        <v>0</v>
      </c>
      <c r="K830" s="222">
        <f t="shared" si="348"/>
        <v>0</v>
      </c>
      <c r="L830" s="222">
        <f t="shared" si="348"/>
        <v>8625.2065323271891</v>
      </c>
      <c r="M830" s="222">
        <f xml:space="preserve"> M791 + M796 - M802 + M821-M822</f>
        <v>1761.8840444896341</v>
      </c>
      <c r="N830" s="222">
        <f xml:space="preserve"> N791 + N796 - N802 + N826 + N828</f>
        <v>4725.2484042590759</v>
      </c>
    </row>
    <row r="831" spans="1:15" ht="15" thickBot="1"/>
    <row r="832" spans="1:15">
      <c r="A832" s="8"/>
      <c r="B832" s="8"/>
      <c r="C832" s="8"/>
      <c r="D832" s="8"/>
      <c r="E832" s="8"/>
      <c r="F832" s="8"/>
      <c r="G832" s="8"/>
      <c r="H832" s="8"/>
      <c r="I832" s="8"/>
      <c r="J832" s="8"/>
      <c r="K832" s="8"/>
      <c r="L832" s="8"/>
      <c r="M832" s="8"/>
      <c r="N832" s="8"/>
    </row>
    <row r="833" spans="1:14" ht="15" thickBot="1"/>
    <row r="834" spans="1:14" ht="21.5" thickBot="1">
      <c r="A834" s="13" t="s">
        <v>4</v>
      </c>
      <c r="B834" s="13"/>
      <c r="C834" s="340" t="str">
        <f>B18</f>
        <v>Elkhorn Valley Wind - REC Only</v>
      </c>
      <c r="D834" s="341"/>
      <c r="E834" s="342"/>
    </row>
    <row r="836" spans="1:14" ht="18.5">
      <c r="A836" s="9" t="s">
        <v>21</v>
      </c>
      <c r="B836" s="9"/>
      <c r="D836" s="2">
        <f>'Facility Detail'!$B$3082</f>
        <v>2011</v>
      </c>
      <c r="E836" s="2">
        <f>D836+1</f>
        <v>2012</v>
      </c>
      <c r="F836" s="2">
        <f>E836+1</f>
        <v>2013</v>
      </c>
      <c r="G836" s="2">
        <f t="shared" ref="G836:N836" si="349">F836+1</f>
        <v>2014</v>
      </c>
      <c r="H836" s="2">
        <f t="shared" si="349"/>
        <v>2015</v>
      </c>
      <c r="I836" s="2">
        <f t="shared" si="349"/>
        <v>2016</v>
      </c>
      <c r="J836" s="2">
        <f t="shared" si="349"/>
        <v>2017</v>
      </c>
      <c r="K836" s="2">
        <f t="shared" si="349"/>
        <v>2018</v>
      </c>
      <c r="L836" s="2">
        <f t="shared" si="349"/>
        <v>2019</v>
      </c>
      <c r="M836" s="2">
        <f t="shared" si="349"/>
        <v>2020</v>
      </c>
      <c r="N836" s="2">
        <f t="shared" si="349"/>
        <v>2021</v>
      </c>
    </row>
    <row r="837" spans="1:14">
      <c r="B837" s="326" t="str">
        <f>"Total MWh Produced / Purchased from " &amp; C834</f>
        <v>Total MWh Produced / Purchased from Elkhorn Valley Wind - REC Only</v>
      </c>
      <c r="C837" s="71"/>
      <c r="D837" s="3"/>
      <c r="E837" s="4"/>
      <c r="F837" s="4"/>
      <c r="G837" s="4"/>
      <c r="H837" s="4">
        <v>4468</v>
      </c>
      <c r="I837" s="4"/>
      <c r="J837" s="4"/>
      <c r="K837" s="4"/>
      <c r="L837" s="4"/>
      <c r="M837" s="4"/>
      <c r="N837" s="4"/>
    </row>
    <row r="838" spans="1:14">
      <c r="B838" s="326" t="s">
        <v>25</v>
      </c>
      <c r="C838" s="71"/>
      <c r="D838" s="54"/>
      <c r="E838" s="55"/>
      <c r="F838" s="55"/>
      <c r="G838" s="55"/>
      <c r="H838" s="55">
        <v>1</v>
      </c>
      <c r="I838" s="55"/>
      <c r="J838" s="55"/>
      <c r="K838" s="55"/>
      <c r="L838" s="55"/>
      <c r="M838" s="55"/>
      <c r="N838" s="55"/>
    </row>
    <row r="839" spans="1:14">
      <c r="B839" s="326" t="s">
        <v>20</v>
      </c>
      <c r="C839" s="71"/>
      <c r="D839" s="48"/>
      <c r="E839" s="49"/>
      <c r="F839" s="49"/>
      <c r="G839" s="49"/>
      <c r="H839" s="49">
        <v>1</v>
      </c>
      <c r="I839" s="49"/>
      <c r="J839" s="49"/>
      <c r="K839" s="49"/>
      <c r="L839" s="49"/>
      <c r="M839" s="49"/>
      <c r="N839" s="49"/>
    </row>
    <row r="840" spans="1:14">
      <c r="B840" s="33" t="s">
        <v>22</v>
      </c>
      <c r="C840" s="6"/>
      <c r="D840" s="37">
        <f xml:space="preserve"> D837 * D838 * D839</f>
        <v>0</v>
      </c>
      <c r="E840" s="37">
        <f xml:space="preserve"> E837 * E838 * E839</f>
        <v>0</v>
      </c>
      <c r="F840" s="37">
        <f xml:space="preserve"> F837 * F838 * F839</f>
        <v>0</v>
      </c>
      <c r="G840" s="37">
        <f t="shared" ref="G840:N840" si="350" xml:space="preserve"> G837 * G838 * G839</f>
        <v>0</v>
      </c>
      <c r="H840" s="37">
        <v>4468</v>
      </c>
      <c r="I840" s="37">
        <f t="shared" si="350"/>
        <v>0</v>
      </c>
      <c r="J840" s="37">
        <f t="shared" si="350"/>
        <v>0</v>
      </c>
      <c r="K840" s="37">
        <f t="shared" si="350"/>
        <v>0</v>
      </c>
      <c r="L840" s="37">
        <f t="shared" si="350"/>
        <v>0</v>
      </c>
      <c r="M840" s="37">
        <f t="shared" si="350"/>
        <v>0</v>
      </c>
      <c r="N840" s="37">
        <f t="shared" si="350"/>
        <v>0</v>
      </c>
    </row>
    <row r="841" spans="1:14">
      <c r="D841" s="36"/>
      <c r="E841" s="36"/>
      <c r="F841" s="36"/>
      <c r="G841" s="36"/>
      <c r="H841" s="36"/>
      <c r="I841" s="36"/>
      <c r="J841" s="36"/>
      <c r="K841" s="36"/>
      <c r="L841" s="36"/>
      <c r="M841" s="36"/>
      <c r="N841" s="36"/>
    </row>
    <row r="842" spans="1:14" ht="18.5">
      <c r="A842" s="9" t="s">
        <v>119</v>
      </c>
      <c r="D842" s="2">
        <f>'Facility Detail'!$B$3082</f>
        <v>2011</v>
      </c>
      <c r="E842" s="2">
        <f>D842+1</f>
        <v>2012</v>
      </c>
      <c r="F842" s="2">
        <f>E842+1</f>
        <v>2013</v>
      </c>
      <c r="G842" s="2">
        <f t="shared" ref="G842:N842" si="351">F842+1</f>
        <v>2014</v>
      </c>
      <c r="H842" s="2">
        <f t="shared" si="351"/>
        <v>2015</v>
      </c>
      <c r="I842" s="2">
        <f t="shared" si="351"/>
        <v>2016</v>
      </c>
      <c r="J842" s="2">
        <f t="shared" si="351"/>
        <v>2017</v>
      </c>
      <c r="K842" s="2">
        <f t="shared" si="351"/>
        <v>2018</v>
      </c>
      <c r="L842" s="2">
        <f t="shared" si="351"/>
        <v>2019</v>
      </c>
      <c r="M842" s="2">
        <f t="shared" si="351"/>
        <v>2020</v>
      </c>
      <c r="N842" s="2">
        <f t="shared" si="351"/>
        <v>2021</v>
      </c>
    </row>
    <row r="843" spans="1:14">
      <c r="B843" s="326" t="s">
        <v>10</v>
      </c>
      <c r="C843" s="71"/>
      <c r="D843" s="51">
        <f>IF($E18 = "Eligible", D840 * 'Facility Detail'!$B$3079, 0 )</f>
        <v>0</v>
      </c>
      <c r="E843" s="51">
        <f>IF($E18 = "Eligible", E840 * 'Facility Detail'!$B$3079, 0 )</f>
        <v>0</v>
      </c>
      <c r="F843" s="51">
        <f>IF($E18 = "Eligible", F840 * 'Facility Detail'!$B$3079, 0 )</f>
        <v>0</v>
      </c>
      <c r="G843" s="51">
        <f>IF($E18 = "Eligible", G840 * 'Facility Detail'!$B$3079, 0 )</f>
        <v>0</v>
      </c>
      <c r="H843" s="51">
        <f>IF($E18 = "Eligible", H840 * 'Facility Detail'!$B$3079, 0 )</f>
        <v>0</v>
      </c>
      <c r="I843" s="51">
        <f>IF($E18 = "Eligible", I840 * 'Facility Detail'!$B$3079, 0 )</f>
        <v>0</v>
      </c>
      <c r="J843" s="51">
        <f>IF($E18 = "Eligible", J840 * 'Facility Detail'!$B$3079, 0 )</f>
        <v>0</v>
      </c>
      <c r="K843" s="51">
        <f>IF($E18 = "Eligible", K840 * 'Facility Detail'!$B$3079, 0 )</f>
        <v>0</v>
      </c>
      <c r="L843" s="51">
        <f>IF($E18 = "Eligible", L840 * 'Facility Detail'!$B$3079, 0 )</f>
        <v>0</v>
      </c>
      <c r="M843" s="51">
        <f>IF($E18 = "Eligible", M840 * 'Facility Detail'!$B$3079, 0 )</f>
        <v>0</v>
      </c>
      <c r="N843" s="51">
        <f>IF($E18 = "Eligible", N840 * 'Facility Detail'!$B$3079, 0 )</f>
        <v>0</v>
      </c>
    </row>
    <row r="844" spans="1:14">
      <c r="B844" s="326" t="s">
        <v>6</v>
      </c>
      <c r="C844" s="71"/>
      <c r="D844" s="52">
        <f t="shared" ref="D844:N844" si="352">IF($F18= "Eligible", D840, 0 )</f>
        <v>0</v>
      </c>
      <c r="E844" s="52">
        <f t="shared" si="352"/>
        <v>0</v>
      </c>
      <c r="F844" s="52">
        <f t="shared" si="352"/>
        <v>0</v>
      </c>
      <c r="G844" s="52">
        <f t="shared" si="352"/>
        <v>0</v>
      </c>
      <c r="H844" s="52">
        <f t="shared" si="352"/>
        <v>0</v>
      </c>
      <c r="I844" s="52">
        <f t="shared" si="352"/>
        <v>0</v>
      </c>
      <c r="J844" s="52">
        <f t="shared" si="352"/>
        <v>0</v>
      </c>
      <c r="K844" s="52">
        <f t="shared" si="352"/>
        <v>0</v>
      </c>
      <c r="L844" s="52">
        <f t="shared" si="352"/>
        <v>0</v>
      </c>
      <c r="M844" s="52">
        <f t="shared" si="352"/>
        <v>0</v>
      </c>
      <c r="N844" s="52">
        <f t="shared" si="352"/>
        <v>0</v>
      </c>
    </row>
    <row r="845" spans="1:14">
      <c r="B845" s="33" t="s">
        <v>121</v>
      </c>
      <c r="C845" s="6"/>
      <c r="D845" s="39">
        <f>SUM(D843:D844)</f>
        <v>0</v>
      </c>
      <c r="E845" s="40">
        <f>SUM(E843:E844)</f>
        <v>0</v>
      </c>
      <c r="F845" s="40">
        <f>SUM(F843:F844)</f>
        <v>0</v>
      </c>
      <c r="G845" s="40">
        <f t="shared" ref="G845:N845" si="353">SUM(G843:G844)</f>
        <v>0</v>
      </c>
      <c r="H845" s="40">
        <f t="shared" si="353"/>
        <v>0</v>
      </c>
      <c r="I845" s="40">
        <f t="shared" si="353"/>
        <v>0</v>
      </c>
      <c r="J845" s="40">
        <f t="shared" si="353"/>
        <v>0</v>
      </c>
      <c r="K845" s="40">
        <f t="shared" si="353"/>
        <v>0</v>
      </c>
      <c r="L845" s="40">
        <f t="shared" si="353"/>
        <v>0</v>
      </c>
      <c r="M845" s="40">
        <f t="shared" si="353"/>
        <v>0</v>
      </c>
      <c r="N845" s="40">
        <f t="shared" si="353"/>
        <v>0</v>
      </c>
    </row>
    <row r="846" spans="1:14">
      <c r="D846" s="38"/>
      <c r="E846" s="31"/>
      <c r="F846" s="31"/>
      <c r="G846" s="31"/>
      <c r="H846" s="31"/>
      <c r="I846" s="31"/>
      <c r="J846" s="31"/>
      <c r="K846" s="31"/>
      <c r="L846" s="31"/>
      <c r="M846" s="31"/>
      <c r="N846" s="31"/>
    </row>
    <row r="847" spans="1:14" ht="18.5">
      <c r="A847" s="9" t="s">
        <v>30</v>
      </c>
      <c r="D847" s="2">
        <f>'Facility Detail'!$B$3082</f>
        <v>2011</v>
      </c>
      <c r="E847" s="2">
        <f>D847+1</f>
        <v>2012</v>
      </c>
      <c r="F847" s="2">
        <f>E847+1</f>
        <v>2013</v>
      </c>
      <c r="G847" s="2">
        <f t="shared" ref="G847:N847" si="354">F847+1</f>
        <v>2014</v>
      </c>
      <c r="H847" s="2">
        <f t="shared" si="354"/>
        <v>2015</v>
      </c>
      <c r="I847" s="2">
        <f t="shared" si="354"/>
        <v>2016</v>
      </c>
      <c r="J847" s="2">
        <f t="shared" si="354"/>
        <v>2017</v>
      </c>
      <c r="K847" s="2">
        <f t="shared" si="354"/>
        <v>2018</v>
      </c>
      <c r="L847" s="2">
        <f t="shared" si="354"/>
        <v>2019</v>
      </c>
      <c r="M847" s="2">
        <f t="shared" si="354"/>
        <v>2020</v>
      </c>
      <c r="N847" s="2">
        <f t="shared" si="354"/>
        <v>2021</v>
      </c>
    </row>
    <row r="848" spans="1:14">
      <c r="B848" s="326" t="s">
        <v>47</v>
      </c>
      <c r="C848" s="71"/>
      <c r="D848" s="89"/>
      <c r="E848" s="90"/>
      <c r="F848" s="90"/>
      <c r="G848" s="90"/>
      <c r="H848" s="90"/>
      <c r="I848" s="90"/>
      <c r="J848" s="90"/>
      <c r="K848" s="90"/>
      <c r="L848" s="90"/>
      <c r="M848" s="90"/>
      <c r="N848" s="90"/>
    </row>
    <row r="849" spans="1:14">
      <c r="B849" s="330" t="s">
        <v>23</v>
      </c>
      <c r="C849" s="331"/>
      <c r="D849" s="92"/>
      <c r="E849" s="93"/>
      <c r="F849" s="93"/>
      <c r="G849" s="93"/>
      <c r="H849" s="93"/>
      <c r="I849" s="93"/>
      <c r="J849" s="93"/>
      <c r="K849" s="93"/>
      <c r="L849" s="93"/>
      <c r="M849" s="93"/>
      <c r="N849" s="93"/>
    </row>
    <row r="850" spans="1:14">
      <c r="B850" s="330" t="s">
        <v>89</v>
      </c>
      <c r="C850" s="332"/>
      <c r="D850" s="57"/>
      <c r="E850" s="58"/>
      <c r="F850" s="58"/>
      <c r="G850" s="58"/>
      <c r="H850" s="58"/>
      <c r="I850" s="58"/>
      <c r="J850" s="58"/>
      <c r="K850" s="58"/>
      <c r="L850" s="58"/>
      <c r="M850" s="58"/>
      <c r="N850" s="58"/>
    </row>
    <row r="851" spans="1:14">
      <c r="B851" s="33" t="s">
        <v>90</v>
      </c>
      <c r="D851" s="7">
        <f>SUM(D848:D850)</f>
        <v>0</v>
      </c>
      <c r="E851" s="7">
        <f>SUM(E848:E850)</f>
        <v>0</v>
      </c>
      <c r="F851" s="7">
        <f>SUM(F848:F850)</f>
        <v>0</v>
      </c>
      <c r="G851" s="7">
        <f t="shared" ref="G851:N851" si="355">SUM(G848:G850)</f>
        <v>0</v>
      </c>
      <c r="H851" s="7">
        <f t="shared" si="355"/>
        <v>0</v>
      </c>
      <c r="I851" s="7">
        <f t="shared" si="355"/>
        <v>0</v>
      </c>
      <c r="J851" s="7">
        <f t="shared" si="355"/>
        <v>0</v>
      </c>
      <c r="K851" s="7">
        <f t="shared" si="355"/>
        <v>0</v>
      </c>
      <c r="L851" s="7">
        <f t="shared" si="355"/>
        <v>0</v>
      </c>
      <c r="M851" s="7">
        <f t="shared" si="355"/>
        <v>0</v>
      </c>
      <c r="N851" s="7">
        <f t="shared" si="355"/>
        <v>0</v>
      </c>
    </row>
    <row r="852" spans="1:14">
      <c r="B852" s="6"/>
      <c r="D852" s="7"/>
      <c r="E852" s="7"/>
      <c r="F852" s="7"/>
      <c r="G852" s="7"/>
      <c r="H852" s="7"/>
      <c r="I852" s="7"/>
      <c r="J852" s="7"/>
      <c r="K852" s="7"/>
      <c r="L852" s="7"/>
      <c r="M852" s="7"/>
      <c r="N852" s="7"/>
    </row>
    <row r="853" spans="1:14" ht="18.5">
      <c r="A853" s="9" t="s">
        <v>100</v>
      </c>
      <c r="D853" s="2">
        <f>'Facility Detail'!$B$3082</f>
        <v>2011</v>
      </c>
      <c r="E853" s="2">
        <f>D853+1</f>
        <v>2012</v>
      </c>
      <c r="F853" s="2">
        <f>E853+1</f>
        <v>2013</v>
      </c>
      <c r="G853" s="2">
        <f t="shared" ref="G853:N853" si="356">F853+1</f>
        <v>2014</v>
      </c>
      <c r="H853" s="2">
        <f t="shared" si="356"/>
        <v>2015</v>
      </c>
      <c r="I853" s="2">
        <f t="shared" si="356"/>
        <v>2016</v>
      </c>
      <c r="J853" s="2">
        <f t="shared" si="356"/>
        <v>2017</v>
      </c>
      <c r="K853" s="2">
        <f t="shared" si="356"/>
        <v>2018</v>
      </c>
      <c r="L853" s="2">
        <f t="shared" si="356"/>
        <v>2019</v>
      </c>
      <c r="M853" s="2">
        <f t="shared" si="356"/>
        <v>2020</v>
      </c>
      <c r="N853" s="2">
        <f t="shared" si="356"/>
        <v>2021</v>
      </c>
    </row>
    <row r="854" spans="1:14">
      <c r="B854" s="326" t="s">
        <v>68</v>
      </c>
      <c r="C854" s="71"/>
      <c r="D854" s="3"/>
      <c r="E854" s="60">
        <f>D854</f>
        <v>0</v>
      </c>
      <c r="F854" s="131"/>
      <c r="G854" s="131"/>
      <c r="H854" s="131"/>
      <c r="I854" s="131"/>
      <c r="J854" s="131"/>
      <c r="K854" s="131"/>
      <c r="L854" s="131"/>
      <c r="M854" s="131"/>
      <c r="N854" s="131"/>
    </row>
    <row r="855" spans="1:14">
      <c r="B855" s="326" t="s">
        <v>69</v>
      </c>
      <c r="C855" s="71"/>
      <c r="D855" s="164">
        <f>E855</f>
        <v>0</v>
      </c>
      <c r="E855" s="10"/>
      <c r="F855" s="74"/>
      <c r="G855" s="74"/>
      <c r="H855" s="74"/>
      <c r="I855" s="74"/>
      <c r="J855" s="74"/>
      <c r="K855" s="74"/>
      <c r="L855" s="74"/>
      <c r="M855" s="74"/>
      <c r="N855" s="74"/>
    </row>
    <row r="856" spans="1:14">
      <c r="B856" s="326" t="s">
        <v>70</v>
      </c>
      <c r="C856" s="71"/>
      <c r="D856" s="62"/>
      <c r="E856" s="10">
        <f>E840</f>
        <v>0</v>
      </c>
      <c r="F856" s="70">
        <f>E856</f>
        <v>0</v>
      </c>
      <c r="G856" s="74"/>
      <c r="H856" s="74"/>
      <c r="I856" s="74"/>
      <c r="J856" s="74"/>
      <c r="K856" s="74"/>
      <c r="L856" s="74"/>
      <c r="M856" s="74"/>
      <c r="N856" s="74"/>
    </row>
    <row r="857" spans="1:14">
      <c r="B857" s="326" t="s">
        <v>71</v>
      </c>
      <c r="C857" s="71"/>
      <c r="D857" s="62"/>
      <c r="E857" s="70">
        <f>F857</f>
        <v>0</v>
      </c>
      <c r="F857" s="163"/>
      <c r="G857" s="74"/>
      <c r="H857" s="74"/>
      <c r="I857" s="74"/>
      <c r="J857" s="74"/>
      <c r="K857" s="74"/>
      <c r="L857" s="74"/>
      <c r="M857" s="74"/>
      <c r="N857" s="74"/>
    </row>
    <row r="858" spans="1:14">
      <c r="B858" s="326" t="s">
        <v>171</v>
      </c>
      <c r="D858" s="62"/>
      <c r="E858" s="148"/>
      <c r="F858" s="10">
        <f>F840</f>
        <v>0</v>
      </c>
      <c r="G858" s="149">
        <f>F858</f>
        <v>0</v>
      </c>
      <c r="H858" s="74"/>
      <c r="I858" s="74"/>
      <c r="J858" s="74"/>
      <c r="K858" s="74"/>
      <c r="L858" s="74"/>
      <c r="M858" s="74"/>
      <c r="N858" s="74"/>
    </row>
    <row r="859" spans="1:14">
      <c r="B859" s="326" t="s">
        <v>172</v>
      </c>
      <c r="D859" s="62"/>
      <c r="E859" s="148"/>
      <c r="F859" s="70">
        <f>G859</f>
        <v>0</v>
      </c>
      <c r="G859" s="10"/>
      <c r="H859" s="74"/>
      <c r="I859" s="74"/>
      <c r="J859" s="74"/>
      <c r="K859" s="74"/>
      <c r="L859" s="74"/>
      <c r="M859" s="74"/>
      <c r="N859" s="74"/>
    </row>
    <row r="860" spans="1:14">
      <c r="B860" s="326" t="s">
        <v>173</v>
      </c>
      <c r="D860" s="62"/>
      <c r="E860" s="148"/>
      <c r="F860" s="148"/>
      <c r="G860" s="10">
        <f>G840</f>
        <v>0</v>
      </c>
      <c r="H860" s="149">
        <f>G860</f>
        <v>0</v>
      </c>
      <c r="I860" s="148">
        <f>H860</f>
        <v>0</v>
      </c>
      <c r="J860" s="148"/>
      <c r="K860" s="148"/>
      <c r="L860" s="148"/>
      <c r="M860" s="148"/>
      <c r="N860" s="148"/>
    </row>
    <row r="861" spans="1:14">
      <c r="B861" s="326" t="s">
        <v>174</v>
      </c>
      <c r="D861" s="62"/>
      <c r="E861" s="148"/>
      <c r="F861" s="148"/>
      <c r="G861" s="150"/>
      <c r="H861" s="151"/>
      <c r="I861" s="148"/>
      <c r="J861" s="148"/>
      <c r="K861" s="148"/>
      <c r="L861" s="148"/>
      <c r="M861" s="148"/>
      <c r="N861" s="148"/>
    </row>
    <row r="862" spans="1:14">
      <c r="B862" s="326" t="s">
        <v>175</v>
      </c>
      <c r="D862" s="62"/>
      <c r="E862" s="148"/>
      <c r="F862" s="148"/>
      <c r="G862" s="148"/>
      <c r="H862" s="151">
        <f>H840</f>
        <v>4468</v>
      </c>
      <c r="I862" s="149">
        <f>H862</f>
        <v>4468</v>
      </c>
      <c r="J862" s="149"/>
      <c r="K862" s="149"/>
      <c r="L862" s="149"/>
      <c r="M862" s="149"/>
      <c r="N862" s="149"/>
    </row>
    <row r="863" spans="1:14">
      <c r="B863" s="326" t="s">
        <v>176</v>
      </c>
      <c r="D863" s="62"/>
      <c r="E863" s="148"/>
      <c r="F863" s="148"/>
      <c r="G863" s="148"/>
      <c r="H863" s="70"/>
      <c r="I863" s="151"/>
      <c r="J863" s="151"/>
      <c r="K863" s="151"/>
      <c r="L863" s="151"/>
      <c r="M863" s="151"/>
      <c r="N863" s="151"/>
    </row>
    <row r="864" spans="1:14">
      <c r="B864" s="326" t="s">
        <v>177</v>
      </c>
      <c r="D864" s="62"/>
      <c r="E864" s="148"/>
      <c r="F864" s="148"/>
      <c r="G864" s="148"/>
      <c r="H864" s="148"/>
      <c r="I864" s="151">
        <f>I840</f>
        <v>0</v>
      </c>
      <c r="J864" s="151">
        <f>I864</f>
        <v>0</v>
      </c>
      <c r="K864" s="151"/>
      <c r="L864" s="151"/>
      <c r="M864" s="151"/>
      <c r="N864" s="151"/>
    </row>
    <row r="865" spans="1:14">
      <c r="B865" s="326" t="s">
        <v>168</v>
      </c>
      <c r="D865" s="62"/>
      <c r="E865" s="148"/>
      <c r="F865" s="148"/>
      <c r="G865" s="148"/>
      <c r="H865" s="148"/>
      <c r="I865" s="70"/>
      <c r="J865" s="70"/>
      <c r="K865" s="70"/>
      <c r="L865" s="70"/>
      <c r="M865" s="70"/>
      <c r="N865" s="70"/>
    </row>
    <row r="866" spans="1:14">
      <c r="B866" s="326" t="s">
        <v>169</v>
      </c>
      <c r="D866" s="63"/>
      <c r="E866" s="133"/>
      <c r="F866" s="133"/>
      <c r="G866" s="133"/>
      <c r="H866" s="133"/>
      <c r="I866" s="133"/>
      <c r="J866" s="133"/>
      <c r="K866" s="133"/>
      <c r="L866" s="133"/>
      <c r="M866" s="133"/>
      <c r="N866" s="133"/>
    </row>
    <row r="867" spans="1:14">
      <c r="B867" s="33" t="s">
        <v>17</v>
      </c>
      <c r="D867" s="7">
        <f xml:space="preserve"> D855 - D854</f>
        <v>0</v>
      </c>
      <c r="E867" s="7">
        <f xml:space="preserve"> E854 + E857 - E856 - E855</f>
        <v>0</v>
      </c>
      <c r="F867" s="7">
        <f>F856 - F857</f>
        <v>0</v>
      </c>
      <c r="G867" s="7">
        <f t="shared" ref="G867" si="357">G856 - G857</f>
        <v>0</v>
      </c>
      <c r="H867" s="7">
        <f>H860-H861-H862</f>
        <v>-4468</v>
      </c>
      <c r="I867" s="7">
        <f>I862-I863-I864</f>
        <v>4468</v>
      </c>
      <c r="J867" s="7">
        <f>J864-J865-J866</f>
        <v>0</v>
      </c>
      <c r="K867" s="7">
        <f>K866</f>
        <v>0</v>
      </c>
      <c r="L867" s="7">
        <f t="shared" ref="L867:N867" si="358">L866</f>
        <v>0</v>
      </c>
      <c r="M867" s="7">
        <f t="shared" si="358"/>
        <v>0</v>
      </c>
      <c r="N867" s="7">
        <f t="shared" si="358"/>
        <v>0</v>
      </c>
    </row>
    <row r="868" spans="1:14">
      <c r="B868" s="6"/>
      <c r="D868" s="7"/>
      <c r="E868" s="7"/>
      <c r="F868" s="7"/>
      <c r="G868" s="7"/>
      <c r="H868" s="7"/>
      <c r="I868" s="7"/>
      <c r="J868" s="7"/>
      <c r="K868" s="7"/>
      <c r="L868" s="7"/>
      <c r="M868" s="7"/>
      <c r="N868" s="7"/>
    </row>
    <row r="869" spans="1:14">
      <c r="B869" s="33" t="s">
        <v>12</v>
      </c>
      <c r="C869" s="71"/>
      <c r="D869" s="99"/>
      <c r="E869" s="100"/>
      <c r="F869" s="100"/>
      <c r="G869" s="100"/>
      <c r="H869" s="100"/>
      <c r="I869" s="100"/>
      <c r="J869" s="100"/>
      <c r="K869" s="100"/>
      <c r="L869" s="100"/>
      <c r="M869" s="100"/>
      <c r="N869" s="100"/>
    </row>
    <row r="870" spans="1:14">
      <c r="B870" s="6"/>
      <c r="D870" s="7"/>
      <c r="E870" s="7"/>
      <c r="F870" s="7"/>
      <c r="G870" s="7"/>
      <c r="H870" s="7"/>
      <c r="I870" s="7"/>
      <c r="J870" s="7"/>
      <c r="K870" s="7"/>
      <c r="L870" s="7"/>
      <c r="M870" s="7"/>
      <c r="N870" s="7"/>
    </row>
    <row r="871" spans="1:14" ht="18.5">
      <c r="A871" s="9" t="s">
        <v>26</v>
      </c>
      <c r="C871" s="71"/>
      <c r="D871" s="43">
        <f t="shared" ref="D871:N871" si="359" xml:space="preserve"> D840 + D845 - D851 + D867 + D869</f>
        <v>0</v>
      </c>
      <c r="E871" s="44">
        <f t="shared" si="359"/>
        <v>0</v>
      </c>
      <c r="F871" s="44">
        <f t="shared" si="359"/>
        <v>0</v>
      </c>
      <c r="G871" s="44">
        <f t="shared" si="359"/>
        <v>0</v>
      </c>
      <c r="H871" s="44">
        <f t="shared" si="359"/>
        <v>0</v>
      </c>
      <c r="I871" s="44">
        <f t="shared" si="359"/>
        <v>4468</v>
      </c>
      <c r="J871" s="44">
        <f t="shared" si="359"/>
        <v>0</v>
      </c>
      <c r="K871" s="44">
        <f t="shared" si="359"/>
        <v>0</v>
      </c>
      <c r="L871" s="44">
        <f t="shared" si="359"/>
        <v>0</v>
      </c>
      <c r="M871" s="44">
        <f t="shared" si="359"/>
        <v>0</v>
      </c>
      <c r="N871" s="44">
        <f t="shared" si="359"/>
        <v>0</v>
      </c>
    </row>
    <row r="872" spans="1:14">
      <c r="B872" s="6"/>
      <c r="D872" s="7"/>
      <c r="E872" s="7"/>
      <c r="F872" s="7"/>
      <c r="G872" s="28"/>
      <c r="H872" s="28"/>
      <c r="I872" s="28"/>
      <c r="J872" s="28"/>
      <c r="K872" s="28"/>
      <c r="L872" s="28"/>
      <c r="M872" s="28"/>
      <c r="N872" s="28"/>
    </row>
    <row r="873" spans="1:14" ht="15" thickBot="1"/>
    <row r="874" spans="1:14" ht="15" thickBot="1">
      <c r="A874" s="8"/>
      <c r="B874" s="8"/>
      <c r="C874" s="8"/>
      <c r="D874" s="8"/>
      <c r="E874" s="8"/>
      <c r="F874" s="8"/>
      <c r="G874" s="8"/>
      <c r="H874" s="8"/>
      <c r="I874" s="8"/>
      <c r="J874" s="8"/>
      <c r="K874" s="8"/>
      <c r="L874" s="8"/>
      <c r="M874" s="8"/>
      <c r="N874" s="8"/>
    </row>
    <row r="875" spans="1:14" ht="21.5" thickBot="1">
      <c r="A875" s="13" t="s">
        <v>4</v>
      </c>
      <c r="B875" s="13"/>
      <c r="C875" s="313" t="s">
        <v>182</v>
      </c>
      <c r="D875" s="310"/>
      <c r="E875" s="23"/>
      <c r="F875" s="23"/>
    </row>
    <row r="877" spans="1:14" ht="18.5">
      <c r="A877" s="9" t="s">
        <v>21</v>
      </c>
      <c r="B877" s="9"/>
      <c r="D877" s="2">
        <v>2011</v>
      </c>
      <c r="E877" s="2">
        <f>D877+1</f>
        <v>2012</v>
      </c>
      <c r="F877" s="2">
        <f t="shared" ref="F877:N877" si="360">E877+1</f>
        <v>2013</v>
      </c>
      <c r="G877" s="2">
        <f t="shared" si="360"/>
        <v>2014</v>
      </c>
      <c r="H877" s="2">
        <f t="shared" si="360"/>
        <v>2015</v>
      </c>
      <c r="I877" s="2">
        <f t="shared" si="360"/>
        <v>2016</v>
      </c>
      <c r="J877" s="2">
        <f t="shared" si="360"/>
        <v>2017</v>
      </c>
      <c r="K877" s="2">
        <f t="shared" si="360"/>
        <v>2018</v>
      </c>
      <c r="L877" s="2">
        <f t="shared" si="360"/>
        <v>2019</v>
      </c>
      <c r="M877" s="2">
        <f t="shared" si="360"/>
        <v>2020</v>
      </c>
      <c r="N877" s="2">
        <f t="shared" si="360"/>
        <v>2021</v>
      </c>
    </row>
    <row r="878" spans="1:14">
      <c r="B878" s="79" t="str">
        <f>"Total MWh Produced / Purchased from " &amp; C875</f>
        <v>Total MWh Produced / Purchased from Enterprise Solar</v>
      </c>
      <c r="C878" s="71"/>
      <c r="D878" s="3"/>
      <c r="E878" s="4"/>
      <c r="F878" s="4"/>
      <c r="G878" s="4"/>
      <c r="H878" s="4"/>
      <c r="I878" s="4">
        <v>84577</v>
      </c>
      <c r="J878" s="4">
        <v>224267</v>
      </c>
      <c r="K878" s="4">
        <v>225336</v>
      </c>
      <c r="L878" s="4">
        <v>220052</v>
      </c>
      <c r="M878" s="230">
        <v>234941</v>
      </c>
      <c r="N878" s="230">
        <v>217773</v>
      </c>
    </row>
    <row r="879" spans="1:14">
      <c r="B879" s="79" t="s">
        <v>25</v>
      </c>
      <c r="C879" s="71"/>
      <c r="D879" s="54"/>
      <c r="E879" s="55"/>
      <c r="F879" s="55"/>
      <c r="G879" s="55"/>
      <c r="H879" s="55"/>
      <c r="I879" s="55">
        <v>1</v>
      </c>
      <c r="J879" s="55">
        <v>1</v>
      </c>
      <c r="K879" s="55">
        <v>1</v>
      </c>
      <c r="L879" s="55">
        <v>1</v>
      </c>
      <c r="M879" s="234">
        <v>1</v>
      </c>
      <c r="N879" s="234">
        <v>1</v>
      </c>
    </row>
    <row r="880" spans="1:14">
      <c r="B880" s="79" t="s">
        <v>20</v>
      </c>
      <c r="C880" s="71"/>
      <c r="D880" s="48"/>
      <c r="E880" s="49"/>
      <c r="F880" s="49"/>
      <c r="G880" s="49"/>
      <c r="H880" s="49"/>
      <c r="I880" s="49">
        <v>0.22741888098063476</v>
      </c>
      <c r="J880" s="49">
        <v>0.22498369104255439</v>
      </c>
      <c r="K880" s="49">
        <f>K75</f>
        <v>0.22007817037432531</v>
      </c>
      <c r="L880" s="49">
        <f>L75</f>
        <v>0.2223660721260575</v>
      </c>
      <c r="M880" s="243">
        <f>M75</f>
        <v>0.22351563443464154</v>
      </c>
      <c r="N880" s="243">
        <f>N75</f>
        <v>0.22326821036945171</v>
      </c>
    </row>
    <row r="881" spans="1:14">
      <c r="B881" s="76" t="s">
        <v>22</v>
      </c>
      <c r="C881" s="77"/>
      <c r="D881" s="37">
        <v>0</v>
      </c>
      <c r="E881" s="37">
        <v>0</v>
      </c>
      <c r="F881" s="37">
        <v>0</v>
      </c>
      <c r="G881" s="37">
        <v>0</v>
      </c>
      <c r="H881" s="37">
        <v>0</v>
      </c>
      <c r="I881" s="37">
        <v>19234.406696699145</v>
      </c>
      <c r="J881" s="37">
        <v>50456</v>
      </c>
      <c r="K881" s="37">
        <v>49593</v>
      </c>
      <c r="L881" s="37">
        <f>L878*L880</f>
        <v>48932.098903483202</v>
      </c>
      <c r="M881" s="37">
        <f>M878*M880</f>
        <v>52512.98666970912</v>
      </c>
      <c r="N881" s="37">
        <f>N878*N880</f>
        <v>48621.787976786611</v>
      </c>
    </row>
    <row r="882" spans="1:14">
      <c r="B882" s="23"/>
      <c r="C882" s="30"/>
      <c r="D882" s="36"/>
      <c r="E882" s="36"/>
      <c r="F882" s="36"/>
      <c r="G882" s="36"/>
      <c r="H882" s="36"/>
      <c r="I882" s="36"/>
      <c r="J882" s="36"/>
      <c r="K882" s="36"/>
      <c r="L882" s="36"/>
      <c r="M882" s="36"/>
      <c r="N882" s="36"/>
    </row>
    <row r="883" spans="1:14" ht="18.5">
      <c r="A883" s="42" t="s">
        <v>119</v>
      </c>
      <c r="C883" s="30"/>
      <c r="D883" s="2">
        <v>2011</v>
      </c>
      <c r="E883" s="2">
        <f>D883+1</f>
        <v>2012</v>
      </c>
      <c r="F883" s="2">
        <f t="shared" ref="F883:N883" si="361">E883+1</f>
        <v>2013</v>
      </c>
      <c r="G883" s="2">
        <f t="shared" si="361"/>
        <v>2014</v>
      </c>
      <c r="H883" s="2">
        <f t="shared" si="361"/>
        <v>2015</v>
      </c>
      <c r="I883" s="2">
        <f t="shared" si="361"/>
        <v>2016</v>
      </c>
      <c r="J883" s="2">
        <f t="shared" si="361"/>
        <v>2017</v>
      </c>
      <c r="K883" s="2">
        <f t="shared" si="361"/>
        <v>2018</v>
      </c>
      <c r="L883" s="2">
        <f t="shared" si="361"/>
        <v>2019</v>
      </c>
      <c r="M883" s="2">
        <f t="shared" si="361"/>
        <v>2020</v>
      </c>
      <c r="N883" s="2">
        <f t="shared" si="361"/>
        <v>2021</v>
      </c>
    </row>
    <row r="884" spans="1:14">
      <c r="B884" s="79" t="s">
        <v>10</v>
      </c>
      <c r="C884" s="71"/>
      <c r="D884" s="51">
        <f>IF($E19 = "Eligible", D881 * 'Facility Detail'!$B$3079, 0 )</f>
        <v>0</v>
      </c>
      <c r="E884" s="51">
        <f>IF($E19 = "Eligible", E881 * 'Facility Detail'!$B$3079, 0 )</f>
        <v>0</v>
      </c>
      <c r="F884" s="51">
        <f>IF($E19 = "Eligible", F881 * 'Facility Detail'!$B$3079, 0 )</f>
        <v>0</v>
      </c>
      <c r="G884" s="51">
        <f>IF($E19 = "Eligible", G881 * 'Facility Detail'!$B$3079, 0 )</f>
        <v>0</v>
      </c>
      <c r="H884" s="51">
        <f>IF($E19 = "Eligible", H881 * 'Facility Detail'!$B$3079, 0 )</f>
        <v>0</v>
      </c>
      <c r="I884" s="51">
        <f>IF($E19 = "Eligible", I881 * 'Facility Detail'!$B$3079, 0 )</f>
        <v>0</v>
      </c>
      <c r="J884" s="51">
        <f>IF($E19 = "Eligible", J881 * 'Facility Detail'!$B$3079, 0 )</f>
        <v>0</v>
      </c>
      <c r="K884" s="51">
        <f>IF($E19 = "Eligible", K881 * 'Facility Detail'!$B$3079, 0 )</f>
        <v>0</v>
      </c>
      <c r="L884" s="51">
        <f>IF($E19 = "Eligible", L881 * 'Facility Detail'!$B$3079, 0 )</f>
        <v>0</v>
      </c>
      <c r="M884" s="51">
        <f>IF($E19 = "Eligible", M881 * 'Facility Detail'!$B$3079, 0 )</f>
        <v>0</v>
      </c>
      <c r="N884" s="51">
        <f>IF($E19 = "Eligible", N881 * 'Facility Detail'!$B$3079, 0 )</f>
        <v>0</v>
      </c>
    </row>
    <row r="885" spans="1:14">
      <c r="B885" s="79" t="s">
        <v>6</v>
      </c>
      <c r="C885" s="71"/>
      <c r="D885" s="52">
        <f t="shared" ref="D885:N885" si="362">IF($F19= "Eligible", D881, 0 )</f>
        <v>0</v>
      </c>
      <c r="E885" s="52">
        <f t="shared" si="362"/>
        <v>0</v>
      </c>
      <c r="F885" s="52">
        <f t="shared" si="362"/>
        <v>0</v>
      </c>
      <c r="G885" s="52">
        <f t="shared" si="362"/>
        <v>0</v>
      </c>
      <c r="H885" s="52">
        <f t="shared" si="362"/>
        <v>0</v>
      </c>
      <c r="I885" s="52">
        <f t="shared" si="362"/>
        <v>0</v>
      </c>
      <c r="J885" s="52">
        <f t="shared" si="362"/>
        <v>0</v>
      </c>
      <c r="K885" s="52">
        <f t="shared" si="362"/>
        <v>0</v>
      </c>
      <c r="L885" s="52">
        <f t="shared" si="362"/>
        <v>0</v>
      </c>
      <c r="M885" s="52">
        <f t="shared" si="362"/>
        <v>0</v>
      </c>
      <c r="N885" s="52">
        <f t="shared" si="362"/>
        <v>0</v>
      </c>
    </row>
    <row r="886" spans="1:14">
      <c r="B886" s="78" t="s">
        <v>121</v>
      </c>
      <c r="C886" s="77"/>
      <c r="D886" s="39">
        <f>SUM(D884:D885)</f>
        <v>0</v>
      </c>
      <c r="E886" s="39">
        <f t="shared" ref="E886:N886" si="363">SUM(E884:E885)</f>
        <v>0</v>
      </c>
      <c r="F886" s="39">
        <f t="shared" si="363"/>
        <v>0</v>
      </c>
      <c r="G886" s="39">
        <f t="shared" si="363"/>
        <v>0</v>
      </c>
      <c r="H886" s="39">
        <f t="shared" si="363"/>
        <v>0</v>
      </c>
      <c r="I886" s="39">
        <f t="shared" si="363"/>
        <v>0</v>
      </c>
      <c r="J886" s="39">
        <f t="shared" si="363"/>
        <v>0</v>
      </c>
      <c r="K886" s="39">
        <f t="shared" si="363"/>
        <v>0</v>
      </c>
      <c r="L886" s="39">
        <f t="shared" si="363"/>
        <v>0</v>
      </c>
      <c r="M886" s="39">
        <f t="shared" si="363"/>
        <v>0</v>
      </c>
      <c r="N886" s="39">
        <f t="shared" si="363"/>
        <v>0</v>
      </c>
    </row>
    <row r="887" spans="1:14">
      <c r="B887" s="30"/>
      <c r="C887" s="30"/>
      <c r="D887" s="38"/>
      <c r="E887" s="31"/>
      <c r="F887" s="31"/>
      <c r="G887" s="31"/>
      <c r="H887" s="31"/>
      <c r="I887" s="31"/>
      <c r="J887" s="31"/>
      <c r="K887" s="31"/>
      <c r="L887" s="31"/>
      <c r="M887" s="31"/>
      <c r="N887" s="31"/>
    </row>
    <row r="888" spans="1:14" ht="18.5">
      <c r="A888" s="41" t="s">
        <v>30</v>
      </c>
      <c r="C888" s="30"/>
      <c r="D888" s="2">
        <v>2011</v>
      </c>
      <c r="E888" s="2">
        <f>D888+1</f>
        <v>2012</v>
      </c>
      <c r="F888" s="2">
        <f t="shared" ref="F888:N888" si="364">E888+1</f>
        <v>2013</v>
      </c>
      <c r="G888" s="2">
        <f t="shared" si="364"/>
        <v>2014</v>
      </c>
      <c r="H888" s="2">
        <f t="shared" si="364"/>
        <v>2015</v>
      </c>
      <c r="I888" s="2">
        <f t="shared" si="364"/>
        <v>2016</v>
      </c>
      <c r="J888" s="2">
        <f t="shared" si="364"/>
        <v>2017</v>
      </c>
      <c r="K888" s="2">
        <f t="shared" si="364"/>
        <v>2018</v>
      </c>
      <c r="L888" s="2">
        <f t="shared" si="364"/>
        <v>2019</v>
      </c>
      <c r="M888" s="2">
        <f t="shared" si="364"/>
        <v>2020</v>
      </c>
      <c r="N888" s="2">
        <f t="shared" si="364"/>
        <v>2021</v>
      </c>
    </row>
    <row r="889" spans="1:14">
      <c r="B889" s="79" t="s">
        <v>47</v>
      </c>
      <c r="C889" s="71"/>
      <c r="D889" s="89"/>
      <c r="E889" s="90"/>
      <c r="F889" s="90"/>
      <c r="G889" s="90"/>
      <c r="H889" s="90"/>
      <c r="I889" s="90"/>
      <c r="J889" s="90"/>
      <c r="K889" s="90"/>
      <c r="L889" s="90"/>
      <c r="M889" s="90"/>
      <c r="N889" s="90"/>
    </row>
    <row r="890" spans="1:14">
      <c r="B890" s="80" t="s">
        <v>23</v>
      </c>
      <c r="C890" s="175"/>
      <c r="D890" s="92"/>
      <c r="E890" s="93"/>
      <c r="F890" s="93"/>
      <c r="G890" s="93"/>
      <c r="H890" s="93"/>
      <c r="I890" s="93"/>
      <c r="J890" s="93"/>
      <c r="K890" s="93"/>
      <c r="L890" s="93"/>
      <c r="M890" s="93"/>
      <c r="N890" s="93"/>
    </row>
    <row r="891" spans="1:14">
      <c r="B891" s="95" t="s">
        <v>89</v>
      </c>
      <c r="C891" s="173"/>
      <c r="D891" s="57"/>
      <c r="E891" s="58"/>
      <c r="F891" s="58"/>
      <c r="G891" s="58"/>
      <c r="H891" s="58"/>
      <c r="I891" s="58"/>
      <c r="J891" s="58"/>
      <c r="K891" s="58"/>
      <c r="L891" s="58"/>
      <c r="M891" s="58"/>
      <c r="N891" s="58"/>
    </row>
    <row r="892" spans="1:14">
      <c r="B892" s="33" t="s">
        <v>90</v>
      </c>
      <c r="D892" s="7">
        <v>0</v>
      </c>
      <c r="E892" s="7">
        <v>0</v>
      </c>
      <c r="F892" s="7">
        <v>0</v>
      </c>
      <c r="G892" s="7">
        <v>0</v>
      </c>
      <c r="H892" s="7">
        <v>0</v>
      </c>
      <c r="I892" s="7">
        <v>0</v>
      </c>
      <c r="J892" s="7">
        <v>0</v>
      </c>
      <c r="K892" s="7">
        <v>0</v>
      </c>
      <c r="L892" s="7">
        <v>0</v>
      </c>
      <c r="M892" s="7">
        <v>0</v>
      </c>
      <c r="N892" s="7">
        <v>0</v>
      </c>
    </row>
    <row r="893" spans="1:14">
      <c r="B893" s="6"/>
      <c r="D893" s="7"/>
      <c r="E893" s="7"/>
      <c r="F893" s="7"/>
      <c r="G893" s="28"/>
      <c r="H893" s="28"/>
      <c r="I893" s="28"/>
      <c r="J893" s="28"/>
      <c r="K893" s="28"/>
      <c r="L893" s="28"/>
      <c r="M893" s="28"/>
      <c r="N893" s="28"/>
    </row>
    <row r="894" spans="1:14" ht="18.5">
      <c r="A894" s="9" t="s">
        <v>100</v>
      </c>
      <c r="D894" s="2">
        <f>'Facility Detail'!$B$3082</f>
        <v>2011</v>
      </c>
      <c r="E894" s="2">
        <f>D894+1</f>
        <v>2012</v>
      </c>
      <c r="F894" s="2">
        <f t="shared" ref="F894:N894" si="365">E894+1</f>
        <v>2013</v>
      </c>
      <c r="G894" s="2">
        <f t="shared" si="365"/>
        <v>2014</v>
      </c>
      <c r="H894" s="2">
        <f t="shared" si="365"/>
        <v>2015</v>
      </c>
      <c r="I894" s="2">
        <f t="shared" si="365"/>
        <v>2016</v>
      </c>
      <c r="J894" s="2">
        <f t="shared" si="365"/>
        <v>2017</v>
      </c>
      <c r="K894" s="2">
        <f t="shared" si="365"/>
        <v>2018</v>
      </c>
      <c r="L894" s="2">
        <f t="shared" si="365"/>
        <v>2019</v>
      </c>
      <c r="M894" s="2">
        <f t="shared" si="365"/>
        <v>2020</v>
      </c>
      <c r="N894" s="2">
        <f t="shared" si="365"/>
        <v>2021</v>
      </c>
    </row>
    <row r="895" spans="1:14">
      <c r="B895" s="79" t="s">
        <v>68</v>
      </c>
      <c r="C895" s="71"/>
      <c r="D895" s="3"/>
      <c r="E895" s="60">
        <f>D895</f>
        <v>0</v>
      </c>
      <c r="F895" s="131"/>
      <c r="G895" s="131"/>
      <c r="H895" s="131"/>
      <c r="I895" s="131"/>
      <c r="J895" s="131"/>
      <c r="K895" s="131"/>
      <c r="L895" s="131"/>
      <c r="M895" s="131"/>
      <c r="N895" s="61"/>
    </row>
    <row r="896" spans="1:14">
      <c r="B896" s="79" t="s">
        <v>69</v>
      </c>
      <c r="C896" s="71"/>
      <c r="D896" s="164">
        <f>E896</f>
        <v>0</v>
      </c>
      <c r="E896" s="10"/>
      <c r="F896" s="74"/>
      <c r="G896" s="74"/>
      <c r="H896" s="74"/>
      <c r="I896" s="74"/>
      <c r="J896" s="74"/>
      <c r="K896" s="74"/>
      <c r="L896" s="74"/>
      <c r="M896" s="74"/>
      <c r="N896" s="165"/>
    </row>
    <row r="897" spans="2:14">
      <c r="B897" s="79" t="s">
        <v>70</v>
      </c>
      <c r="C897" s="71"/>
      <c r="D897" s="62"/>
      <c r="E897" s="10">
        <f>E881</f>
        <v>0</v>
      </c>
      <c r="F897" s="70">
        <f>E897</f>
        <v>0</v>
      </c>
      <c r="G897" s="74"/>
      <c r="H897" s="74"/>
      <c r="I897" s="74"/>
      <c r="J897" s="74"/>
      <c r="K897" s="74"/>
      <c r="L897" s="74"/>
      <c r="M897" s="74"/>
      <c r="N897" s="165"/>
    </row>
    <row r="898" spans="2:14">
      <c r="B898" s="79" t="s">
        <v>71</v>
      </c>
      <c r="C898" s="71"/>
      <c r="D898" s="62"/>
      <c r="E898" s="70">
        <f>F898</f>
        <v>0</v>
      </c>
      <c r="F898" s="163"/>
      <c r="G898" s="74"/>
      <c r="H898" s="74"/>
      <c r="I898" s="74"/>
      <c r="J898" s="74"/>
      <c r="K898" s="74"/>
      <c r="L898" s="74"/>
      <c r="M898" s="74"/>
      <c r="N898" s="165"/>
    </row>
    <row r="899" spans="2:14">
      <c r="B899" s="79" t="s">
        <v>171</v>
      </c>
      <c r="C899" s="30"/>
      <c r="D899" s="62"/>
      <c r="E899" s="148"/>
      <c r="F899" s="10">
        <f>F881</f>
        <v>0</v>
      </c>
      <c r="G899" s="149">
        <f>F899</f>
        <v>0</v>
      </c>
      <c r="H899" s="74"/>
      <c r="I899" s="74"/>
      <c r="J899" s="74"/>
      <c r="K899" s="74"/>
      <c r="L899" s="74"/>
      <c r="M899" s="74"/>
      <c r="N899" s="165"/>
    </row>
    <row r="900" spans="2:14">
      <c r="B900" s="79" t="s">
        <v>172</v>
      </c>
      <c r="C900" s="30"/>
      <c r="D900" s="62"/>
      <c r="E900" s="148"/>
      <c r="F900" s="70">
        <f>G900</f>
        <v>0</v>
      </c>
      <c r="G900" s="10"/>
      <c r="H900" s="74"/>
      <c r="I900" s="74"/>
      <c r="J900" s="74"/>
      <c r="K900" s="74"/>
      <c r="L900" s="74"/>
      <c r="M900" s="74"/>
      <c r="N900" s="165"/>
    </row>
    <row r="901" spans="2:14">
      <c r="B901" s="79" t="s">
        <v>173</v>
      </c>
      <c r="C901" s="30"/>
      <c r="D901" s="62"/>
      <c r="E901" s="148"/>
      <c r="F901" s="148"/>
      <c r="G901" s="10">
        <f>G881</f>
        <v>0</v>
      </c>
      <c r="H901" s="149">
        <f>G901</f>
        <v>0</v>
      </c>
      <c r="I901" s="148"/>
      <c r="J901" s="74"/>
      <c r="K901" s="74"/>
      <c r="L901" s="74"/>
      <c r="M901" s="74"/>
      <c r="N901" s="152"/>
    </row>
    <row r="902" spans="2:14">
      <c r="B902" s="79" t="s">
        <v>174</v>
      </c>
      <c r="C902" s="30"/>
      <c r="D902" s="62"/>
      <c r="E902" s="148"/>
      <c r="F902" s="148"/>
      <c r="G902" s="70"/>
      <c r="H902" s="10"/>
      <c r="I902" s="148"/>
      <c r="J902" s="74"/>
      <c r="K902" s="74"/>
      <c r="L902" s="74"/>
      <c r="M902" s="74"/>
      <c r="N902" s="152"/>
    </row>
    <row r="903" spans="2:14">
      <c r="B903" s="79" t="s">
        <v>175</v>
      </c>
      <c r="C903" s="30"/>
      <c r="D903" s="62"/>
      <c r="E903" s="148"/>
      <c r="F903" s="148"/>
      <c r="G903" s="148"/>
      <c r="H903" s="10">
        <v>0</v>
      </c>
      <c r="I903" s="149">
        <f>H903</f>
        <v>0</v>
      </c>
      <c r="J903" s="74"/>
      <c r="K903" s="74"/>
      <c r="L903" s="74"/>
      <c r="M903" s="74"/>
      <c r="N903" s="152"/>
    </row>
    <row r="904" spans="2:14">
      <c r="B904" s="79" t="s">
        <v>176</v>
      </c>
      <c r="C904" s="30"/>
      <c r="D904" s="62"/>
      <c r="E904" s="148"/>
      <c r="F904" s="148"/>
      <c r="G904" s="148"/>
      <c r="H904" s="70"/>
      <c r="I904" s="10"/>
      <c r="J904" s="74"/>
      <c r="K904" s="74"/>
      <c r="L904" s="74"/>
      <c r="M904" s="74"/>
      <c r="N904" s="152"/>
    </row>
    <row r="905" spans="2:14">
      <c r="B905" s="79" t="s">
        <v>177</v>
      </c>
      <c r="C905" s="30"/>
      <c r="D905" s="62"/>
      <c r="E905" s="148"/>
      <c r="F905" s="148"/>
      <c r="G905" s="148"/>
      <c r="H905" s="148"/>
      <c r="I905" s="207">
        <f>I881</f>
        <v>19234.406696699145</v>
      </c>
      <c r="J905" s="150">
        <f>I905</f>
        <v>19234.406696699145</v>
      </c>
      <c r="K905" s="74"/>
      <c r="L905" s="74"/>
      <c r="M905" s="74"/>
      <c r="N905" s="152"/>
    </row>
    <row r="906" spans="2:14">
      <c r="B906" s="79" t="s">
        <v>168</v>
      </c>
      <c r="C906" s="30"/>
      <c r="D906" s="62"/>
      <c r="E906" s="148"/>
      <c r="F906" s="148"/>
      <c r="G906" s="148"/>
      <c r="H906" s="148"/>
      <c r="I906" s="208"/>
      <c r="J906" s="151"/>
      <c r="K906" s="74"/>
      <c r="L906" s="74"/>
      <c r="M906" s="74"/>
      <c r="N906" s="152"/>
    </row>
    <row r="907" spans="2:14">
      <c r="B907" s="79" t="s">
        <v>169</v>
      </c>
      <c r="C907" s="30"/>
      <c r="D907" s="62"/>
      <c r="E907" s="148"/>
      <c r="F907" s="148"/>
      <c r="G907" s="148"/>
      <c r="H907" s="148"/>
      <c r="I907" s="148"/>
      <c r="J907" s="151">
        <f>J881</f>
        <v>50456</v>
      </c>
      <c r="K907" s="150">
        <f>J907</f>
        <v>50456</v>
      </c>
      <c r="L907" s="74"/>
      <c r="M907" s="74"/>
      <c r="N907" s="152"/>
    </row>
    <row r="908" spans="2:14">
      <c r="B908" s="79" t="s">
        <v>186</v>
      </c>
      <c r="C908" s="30"/>
      <c r="D908" s="62"/>
      <c r="E908" s="148"/>
      <c r="F908" s="148"/>
      <c r="G908" s="148"/>
      <c r="H908" s="148"/>
      <c r="I908" s="148"/>
      <c r="J908" s="228"/>
      <c r="K908" s="151"/>
      <c r="L908" s="74"/>
      <c r="M908" s="74"/>
      <c r="N908" s="152"/>
    </row>
    <row r="909" spans="2:14">
      <c r="B909" s="79" t="s">
        <v>187</v>
      </c>
      <c r="C909" s="30"/>
      <c r="D909" s="62"/>
      <c r="E909" s="148"/>
      <c r="F909" s="148"/>
      <c r="G909" s="148"/>
      <c r="H909" s="148"/>
      <c r="I909" s="148"/>
      <c r="J909" s="148"/>
      <c r="K909" s="151">
        <v>35344</v>
      </c>
      <c r="L909" s="150">
        <f>K909</f>
        <v>35344</v>
      </c>
      <c r="M909" s="74"/>
      <c r="N909" s="152"/>
    </row>
    <row r="910" spans="2:14">
      <c r="B910" s="79" t="s">
        <v>188</v>
      </c>
      <c r="C910" s="30"/>
      <c r="D910" s="62"/>
      <c r="E910" s="148"/>
      <c r="F910" s="148"/>
      <c r="G910" s="148"/>
      <c r="H910" s="148"/>
      <c r="I910" s="148"/>
      <c r="J910" s="148"/>
      <c r="K910" s="145"/>
      <c r="L910" s="151"/>
      <c r="M910" s="74"/>
      <c r="N910" s="152"/>
    </row>
    <row r="911" spans="2:14">
      <c r="B911" s="79" t="s">
        <v>189</v>
      </c>
      <c r="C911" s="30"/>
      <c r="D911" s="62"/>
      <c r="E911" s="148"/>
      <c r="F911" s="148"/>
      <c r="G911" s="148"/>
      <c r="H911" s="148"/>
      <c r="I911" s="148"/>
      <c r="J911" s="148"/>
      <c r="K911" s="148"/>
      <c r="L911" s="151"/>
      <c r="M911" s="150">
        <f>L911</f>
        <v>0</v>
      </c>
      <c r="N911" s="152"/>
    </row>
    <row r="912" spans="2:14">
      <c r="B912" s="79" t="s">
        <v>190</v>
      </c>
      <c r="C912" s="30"/>
      <c r="D912" s="62"/>
      <c r="E912" s="148"/>
      <c r="F912" s="148"/>
      <c r="G912" s="148"/>
      <c r="H912" s="148"/>
      <c r="I912" s="148"/>
      <c r="J912" s="148"/>
      <c r="K912" s="148"/>
      <c r="L912" s="145">
        <v>33198</v>
      </c>
      <c r="M912" s="151">
        <f>L912</f>
        <v>33198</v>
      </c>
      <c r="N912" s="152"/>
    </row>
    <row r="913" spans="1:15">
      <c r="B913" s="79" t="s">
        <v>191</v>
      </c>
      <c r="C913" s="30"/>
      <c r="D913" s="62"/>
      <c r="E913" s="148"/>
      <c r="F913" s="148"/>
      <c r="G913" s="148"/>
      <c r="H913" s="148"/>
      <c r="I913" s="148"/>
      <c r="J913" s="148"/>
      <c r="K913" s="148"/>
      <c r="L913" s="148"/>
      <c r="M913" s="151"/>
      <c r="N913" s="150">
        <f>M913</f>
        <v>0</v>
      </c>
    </row>
    <row r="914" spans="1:15">
      <c r="B914" s="79" t="s">
        <v>201</v>
      </c>
      <c r="C914" s="30"/>
      <c r="D914" s="62"/>
      <c r="E914" s="148"/>
      <c r="F914" s="148"/>
      <c r="G914" s="148"/>
      <c r="H914" s="148"/>
      <c r="I914" s="148"/>
      <c r="J914" s="148"/>
      <c r="K914" s="148"/>
      <c r="L914" s="148"/>
      <c r="M914" s="145"/>
      <c r="N914" s="151"/>
    </row>
    <row r="915" spans="1:15">
      <c r="B915" s="79" t="s">
        <v>202</v>
      </c>
      <c r="C915" s="30"/>
      <c r="D915" s="63"/>
      <c r="E915" s="133"/>
      <c r="F915" s="133"/>
      <c r="G915" s="133"/>
      <c r="H915" s="133"/>
      <c r="I915" s="133"/>
      <c r="J915" s="133"/>
      <c r="K915" s="133"/>
      <c r="L915" s="133"/>
      <c r="M915" s="133"/>
      <c r="N915" s="153"/>
    </row>
    <row r="916" spans="1:15">
      <c r="B916" s="33" t="s">
        <v>17</v>
      </c>
      <c r="D916" s="218">
        <f xml:space="preserve"> D901 - D900</f>
        <v>0</v>
      </c>
      <c r="E916" s="218">
        <f xml:space="preserve"> E900 + E903 - E902 - E901</f>
        <v>0</v>
      </c>
      <c r="F916" s="218">
        <f>F902 - F903</f>
        <v>0</v>
      </c>
      <c r="G916" s="218">
        <f>G902 - G903</f>
        <v>0</v>
      </c>
      <c r="H916" s="218">
        <f>H901-H902-H903</f>
        <v>0</v>
      </c>
      <c r="I916" s="218">
        <f>I903-I904-I905</f>
        <v>-19234.406696699145</v>
      </c>
      <c r="J916" s="218">
        <f>J905-J906-J907</f>
        <v>-31221.593303300855</v>
      </c>
      <c r="K916" s="218">
        <f>K907-K908-K909</f>
        <v>15112</v>
      </c>
      <c r="L916" s="218">
        <f>L909+L912-L911-L910</f>
        <v>68542</v>
      </c>
      <c r="M916" s="218">
        <f>M911-M912+M914</f>
        <v>-33198</v>
      </c>
      <c r="N916" s="218">
        <f>N913-N914-N915</f>
        <v>0</v>
      </c>
    </row>
    <row r="917" spans="1:15">
      <c r="B917" s="6"/>
      <c r="D917" s="218"/>
      <c r="E917" s="218"/>
      <c r="F917" s="218"/>
      <c r="G917" s="218"/>
      <c r="H917" s="218"/>
      <c r="I917" s="218"/>
      <c r="J917" s="218"/>
      <c r="K917" s="218"/>
      <c r="L917" s="218"/>
      <c r="M917" s="218"/>
      <c r="N917" s="218"/>
    </row>
    <row r="918" spans="1:15">
      <c r="B918" s="76" t="s">
        <v>12</v>
      </c>
      <c r="C918" s="71"/>
      <c r="D918" s="219"/>
      <c r="E918" s="220"/>
      <c r="F918" s="220"/>
      <c r="G918" s="220"/>
      <c r="H918" s="220"/>
      <c r="I918" s="220"/>
      <c r="J918" s="220"/>
      <c r="K918" s="220"/>
      <c r="L918" s="220"/>
      <c r="M918" s="220"/>
      <c r="N918" s="220"/>
    </row>
    <row r="919" spans="1:15">
      <c r="B919" s="6"/>
      <c r="D919" s="218"/>
      <c r="E919" s="218"/>
      <c r="F919" s="218"/>
      <c r="G919" s="218"/>
      <c r="H919" s="218"/>
      <c r="I919" s="218"/>
      <c r="J919" s="218"/>
      <c r="K919" s="218"/>
      <c r="L919" s="218"/>
      <c r="M919" s="218"/>
      <c r="N919" s="218"/>
    </row>
    <row r="920" spans="1:15" ht="18.5">
      <c r="A920" s="41" t="s">
        <v>26</v>
      </c>
      <c r="C920" s="71"/>
      <c r="D920" s="221">
        <f t="shared" ref="D920:N920" si="366" xml:space="preserve"> D881 + D886 - D892 + D916 + D918</f>
        <v>0</v>
      </c>
      <c r="E920" s="222">
        <f t="shared" si="366"/>
        <v>0</v>
      </c>
      <c r="F920" s="222">
        <f t="shared" si="366"/>
        <v>0</v>
      </c>
      <c r="G920" s="222">
        <f t="shared" si="366"/>
        <v>0</v>
      </c>
      <c r="H920" s="222">
        <f t="shared" si="366"/>
        <v>0</v>
      </c>
      <c r="I920" s="222">
        <f t="shared" si="366"/>
        <v>0</v>
      </c>
      <c r="J920" s="222">
        <f t="shared" si="366"/>
        <v>19234.406696699145</v>
      </c>
      <c r="K920" s="222">
        <f t="shared" si="366"/>
        <v>64705</v>
      </c>
      <c r="L920" s="222">
        <f t="shared" si="366"/>
        <v>117474.0989034832</v>
      </c>
      <c r="M920" s="222">
        <f t="shared" si="366"/>
        <v>19314.98666970912</v>
      </c>
      <c r="N920" s="222">
        <f t="shared" si="366"/>
        <v>48621.787976786611</v>
      </c>
      <c r="O920" s="276"/>
    </row>
    <row r="921" spans="1:15" ht="15" thickBot="1"/>
    <row r="922" spans="1:15">
      <c r="A922" s="8"/>
      <c r="B922" s="8"/>
      <c r="C922" s="8"/>
      <c r="D922" s="8"/>
      <c r="E922" s="8"/>
      <c r="F922" s="8"/>
      <c r="G922" s="8"/>
      <c r="H922" s="8"/>
      <c r="I922" s="8"/>
      <c r="J922" s="8"/>
      <c r="K922" s="8"/>
      <c r="L922" s="8"/>
      <c r="M922" s="8"/>
      <c r="N922" s="8"/>
    </row>
    <row r="923" spans="1:15" ht="15" thickBot="1"/>
    <row r="924" spans="1:15" ht="21.5" thickBot="1">
      <c r="A924" s="13" t="s">
        <v>4</v>
      </c>
      <c r="B924" s="13"/>
      <c r="C924" s="343" t="str">
        <f>B20</f>
        <v>Fighting Creek - REC Only</v>
      </c>
      <c r="D924" s="344"/>
    </row>
    <row r="926" spans="1:15" ht="18.5">
      <c r="A926" s="9" t="s">
        <v>21</v>
      </c>
      <c r="B926" s="9"/>
      <c r="D926" s="2">
        <f>'Facility Detail'!$B$3082</f>
        <v>2011</v>
      </c>
      <c r="E926" s="2">
        <f>D926+1</f>
        <v>2012</v>
      </c>
      <c r="F926" s="2">
        <f>E926+1</f>
        <v>2013</v>
      </c>
      <c r="G926" s="2">
        <f t="shared" ref="G926:N926" si="367">F926+1</f>
        <v>2014</v>
      </c>
      <c r="H926" s="2">
        <f t="shared" si="367"/>
        <v>2015</v>
      </c>
      <c r="I926" s="2">
        <f t="shared" si="367"/>
        <v>2016</v>
      </c>
      <c r="J926" s="2">
        <f t="shared" si="367"/>
        <v>2017</v>
      </c>
      <c r="K926" s="2">
        <f t="shared" si="367"/>
        <v>2018</v>
      </c>
      <c r="L926" s="2">
        <f t="shared" si="367"/>
        <v>2019</v>
      </c>
      <c r="M926" s="2">
        <f t="shared" si="367"/>
        <v>2020</v>
      </c>
      <c r="N926" s="2">
        <f t="shared" si="367"/>
        <v>2021</v>
      </c>
    </row>
    <row r="927" spans="1:15">
      <c r="B927" s="326" t="str">
        <f>"Total MWh Produced / Purchased from " &amp; C924</f>
        <v>Total MWh Produced / Purchased from Fighting Creek - REC Only</v>
      </c>
      <c r="C927" s="71"/>
      <c r="D927" s="3"/>
      <c r="E927" s="4"/>
      <c r="F927" s="4"/>
      <c r="G927" s="4"/>
      <c r="H927" s="4">
        <v>730</v>
      </c>
      <c r="I927" s="4"/>
      <c r="J927" s="4"/>
      <c r="K927" s="4"/>
      <c r="L927" s="4"/>
      <c r="M927" s="4"/>
      <c r="N927" s="4"/>
    </row>
    <row r="928" spans="1:15">
      <c r="B928" s="326" t="s">
        <v>25</v>
      </c>
      <c r="C928" s="71"/>
      <c r="D928" s="54"/>
      <c r="E928" s="55"/>
      <c r="F928" s="55"/>
      <c r="G928" s="55"/>
      <c r="H928" s="55">
        <v>1</v>
      </c>
      <c r="I928" s="55"/>
      <c r="J928" s="55"/>
      <c r="K928" s="55"/>
      <c r="L928" s="55"/>
      <c r="M928" s="55"/>
      <c r="N928" s="55"/>
    </row>
    <row r="929" spans="1:14">
      <c r="B929" s="326" t="s">
        <v>20</v>
      </c>
      <c r="C929" s="71"/>
      <c r="D929" s="48"/>
      <c r="E929" s="49"/>
      <c r="F929" s="49"/>
      <c r="G929" s="49"/>
      <c r="H929" s="49">
        <v>1</v>
      </c>
      <c r="I929" s="49"/>
      <c r="J929" s="49"/>
      <c r="K929" s="49"/>
      <c r="L929" s="49"/>
      <c r="M929" s="49"/>
      <c r="N929" s="49"/>
    </row>
    <row r="930" spans="1:14">
      <c r="B930" s="33" t="s">
        <v>22</v>
      </c>
      <c r="C930" s="6"/>
      <c r="D930" s="37">
        <f xml:space="preserve"> D927 * D928 * D929</f>
        <v>0</v>
      </c>
      <c r="E930" s="37">
        <f xml:space="preserve"> E927 * E928 * E929</f>
        <v>0</v>
      </c>
      <c r="F930" s="37">
        <f xml:space="preserve"> F927 * F928 * F929</f>
        <v>0</v>
      </c>
      <c r="G930" s="37">
        <f t="shared" ref="G930:N930" si="368" xml:space="preserve"> G927 * G928 * G929</f>
        <v>0</v>
      </c>
      <c r="H930" s="37">
        <v>730</v>
      </c>
      <c r="I930" s="37">
        <f t="shared" si="368"/>
        <v>0</v>
      </c>
      <c r="J930" s="37">
        <f t="shared" si="368"/>
        <v>0</v>
      </c>
      <c r="K930" s="37">
        <f t="shared" si="368"/>
        <v>0</v>
      </c>
      <c r="L930" s="37">
        <f t="shared" si="368"/>
        <v>0</v>
      </c>
      <c r="M930" s="37">
        <f t="shared" si="368"/>
        <v>0</v>
      </c>
      <c r="N930" s="37">
        <f t="shared" si="368"/>
        <v>0</v>
      </c>
    </row>
    <row r="931" spans="1:14">
      <c r="D931" s="36"/>
      <c r="E931" s="36"/>
      <c r="F931" s="36"/>
      <c r="G931" s="36"/>
      <c r="H931" s="36"/>
      <c r="I931" s="36"/>
      <c r="J931" s="36"/>
      <c r="K931" s="36"/>
      <c r="L931" s="36"/>
      <c r="M931" s="36"/>
      <c r="N931" s="36"/>
    </row>
    <row r="932" spans="1:14" ht="18.5">
      <c r="A932" s="9" t="s">
        <v>119</v>
      </c>
      <c r="D932" s="2">
        <f>'Facility Detail'!$B$3082</f>
        <v>2011</v>
      </c>
      <c r="E932" s="2">
        <f>D932+1</f>
        <v>2012</v>
      </c>
      <c r="F932" s="2">
        <f>E932+1</f>
        <v>2013</v>
      </c>
      <c r="G932" s="2">
        <f t="shared" ref="G932:N932" si="369">F932+1</f>
        <v>2014</v>
      </c>
      <c r="H932" s="2">
        <f t="shared" si="369"/>
        <v>2015</v>
      </c>
      <c r="I932" s="2">
        <f t="shared" si="369"/>
        <v>2016</v>
      </c>
      <c r="J932" s="2">
        <f t="shared" si="369"/>
        <v>2017</v>
      </c>
      <c r="K932" s="2">
        <f t="shared" si="369"/>
        <v>2018</v>
      </c>
      <c r="L932" s="2">
        <f t="shared" si="369"/>
        <v>2019</v>
      </c>
      <c r="M932" s="2">
        <f t="shared" si="369"/>
        <v>2020</v>
      </c>
      <c r="N932" s="2">
        <f t="shared" si="369"/>
        <v>2021</v>
      </c>
    </row>
    <row r="933" spans="1:14">
      <c r="B933" s="326" t="s">
        <v>10</v>
      </c>
      <c r="C933" s="71"/>
      <c r="D933" s="51">
        <f>IF($E20 = "Eligible", D930 * 'Facility Detail'!$B$3079, 0 )</f>
        <v>0</v>
      </c>
      <c r="E933" s="51">
        <f>IF($E20 = "Eligible", E930 * 'Facility Detail'!$B$3079, 0 )</f>
        <v>0</v>
      </c>
      <c r="F933" s="51">
        <f>IF($E20 = "Eligible", F930 * 'Facility Detail'!$B$3079, 0 )</f>
        <v>0</v>
      </c>
      <c r="G933" s="51">
        <f>IF($E20 = "Eligible", G930 * 'Facility Detail'!$B$3079, 0 )</f>
        <v>0</v>
      </c>
      <c r="H933" s="51">
        <f>IF($E20 = "Eligible", H930 * 'Facility Detail'!$B$3079, 0 )</f>
        <v>0</v>
      </c>
      <c r="I933" s="51">
        <f>IF($E20 = "Eligible", I930 * 'Facility Detail'!$B$3079, 0 )</f>
        <v>0</v>
      </c>
      <c r="J933" s="51">
        <f>IF($E20 = "Eligible", J930 * 'Facility Detail'!$B$3079, 0 )</f>
        <v>0</v>
      </c>
      <c r="K933" s="51">
        <f>IF($E20 = "Eligible", K930 * 'Facility Detail'!$B$3079, 0 )</f>
        <v>0</v>
      </c>
      <c r="L933" s="51">
        <f>IF($E20 = "Eligible", L930 * 'Facility Detail'!$B$3079, 0 )</f>
        <v>0</v>
      </c>
      <c r="M933" s="51">
        <f>IF($E20 = "Eligible", M930 * 'Facility Detail'!$B$3079, 0 )</f>
        <v>0</v>
      </c>
      <c r="N933" s="51">
        <f>IF($E20 = "Eligible", N930 * 'Facility Detail'!$B$3079, 0 )</f>
        <v>0</v>
      </c>
    </row>
    <row r="934" spans="1:14">
      <c r="B934" s="326" t="s">
        <v>6</v>
      </c>
      <c r="C934" s="71"/>
      <c r="D934" s="52">
        <f t="shared" ref="D934:N934" si="370">IF($F20= "Eligible", D930, 0 )</f>
        <v>0</v>
      </c>
      <c r="E934" s="52">
        <f t="shared" si="370"/>
        <v>0</v>
      </c>
      <c r="F934" s="52">
        <f t="shared" si="370"/>
        <v>0</v>
      </c>
      <c r="G934" s="52">
        <f t="shared" si="370"/>
        <v>0</v>
      </c>
      <c r="H934" s="52">
        <f t="shared" si="370"/>
        <v>0</v>
      </c>
      <c r="I934" s="52">
        <f t="shared" si="370"/>
        <v>0</v>
      </c>
      <c r="J934" s="52">
        <f t="shared" si="370"/>
        <v>0</v>
      </c>
      <c r="K934" s="52">
        <f t="shared" si="370"/>
        <v>0</v>
      </c>
      <c r="L934" s="52">
        <f t="shared" si="370"/>
        <v>0</v>
      </c>
      <c r="M934" s="52">
        <f t="shared" si="370"/>
        <v>0</v>
      </c>
      <c r="N934" s="52">
        <f t="shared" si="370"/>
        <v>0</v>
      </c>
    </row>
    <row r="935" spans="1:14">
      <c r="B935" s="33" t="s">
        <v>121</v>
      </c>
      <c r="C935" s="6"/>
      <c r="D935" s="39">
        <f>SUM(D933:D934)</f>
        <v>0</v>
      </c>
      <c r="E935" s="40">
        <f>SUM(E933:E934)</f>
        <v>0</v>
      </c>
      <c r="F935" s="40">
        <f>SUM(F933:F934)</f>
        <v>0</v>
      </c>
      <c r="G935" s="40">
        <f t="shared" ref="G935:N935" si="371">SUM(G933:G934)</f>
        <v>0</v>
      </c>
      <c r="H935" s="40">
        <f t="shared" si="371"/>
        <v>0</v>
      </c>
      <c r="I935" s="40">
        <f t="shared" si="371"/>
        <v>0</v>
      </c>
      <c r="J935" s="40">
        <f t="shared" si="371"/>
        <v>0</v>
      </c>
      <c r="K935" s="40">
        <f t="shared" si="371"/>
        <v>0</v>
      </c>
      <c r="L935" s="40">
        <f t="shared" si="371"/>
        <v>0</v>
      </c>
      <c r="M935" s="40">
        <f t="shared" si="371"/>
        <v>0</v>
      </c>
      <c r="N935" s="40">
        <f t="shared" si="371"/>
        <v>0</v>
      </c>
    </row>
    <row r="936" spans="1:14">
      <c r="D936" s="38"/>
      <c r="E936" s="31"/>
      <c r="F936" s="31"/>
      <c r="G936" s="31"/>
      <c r="H936" s="31"/>
      <c r="I936" s="31"/>
      <c r="J936" s="31"/>
      <c r="K936" s="31"/>
      <c r="L936" s="31"/>
      <c r="M936" s="31"/>
      <c r="N936" s="31"/>
    </row>
    <row r="937" spans="1:14" ht="18.5">
      <c r="A937" s="9" t="s">
        <v>30</v>
      </c>
      <c r="D937" s="2">
        <f>'Facility Detail'!$B$3082</f>
        <v>2011</v>
      </c>
      <c r="E937" s="2">
        <f>D937+1</f>
        <v>2012</v>
      </c>
      <c r="F937" s="2">
        <f>E937+1</f>
        <v>2013</v>
      </c>
      <c r="G937" s="2">
        <f t="shared" ref="G937:N937" si="372">F937+1</f>
        <v>2014</v>
      </c>
      <c r="H937" s="2">
        <f t="shared" si="372"/>
        <v>2015</v>
      </c>
      <c r="I937" s="2">
        <f t="shared" si="372"/>
        <v>2016</v>
      </c>
      <c r="J937" s="2">
        <f t="shared" si="372"/>
        <v>2017</v>
      </c>
      <c r="K937" s="2">
        <f t="shared" si="372"/>
        <v>2018</v>
      </c>
      <c r="L937" s="2">
        <f t="shared" si="372"/>
        <v>2019</v>
      </c>
      <c r="M937" s="2">
        <f t="shared" si="372"/>
        <v>2020</v>
      </c>
      <c r="N937" s="2">
        <f t="shared" si="372"/>
        <v>2021</v>
      </c>
    </row>
    <row r="938" spans="1:14">
      <c r="B938" s="326" t="s">
        <v>47</v>
      </c>
      <c r="C938" s="71"/>
      <c r="D938" s="89"/>
      <c r="E938" s="90"/>
      <c r="F938" s="90"/>
      <c r="G938" s="90"/>
      <c r="H938" s="90"/>
      <c r="I938" s="90"/>
      <c r="J938" s="90"/>
      <c r="K938" s="90"/>
      <c r="L938" s="90"/>
      <c r="M938" s="90"/>
      <c r="N938" s="90"/>
    </row>
    <row r="939" spans="1:14">
      <c r="B939" s="330" t="s">
        <v>23</v>
      </c>
      <c r="C939" s="331"/>
      <c r="D939" s="92"/>
      <c r="E939" s="93"/>
      <c r="F939" s="93"/>
      <c r="G939" s="93"/>
      <c r="H939" s="93"/>
      <c r="I939" s="93"/>
      <c r="J939" s="93"/>
      <c r="K939" s="93"/>
      <c r="L939" s="93"/>
      <c r="M939" s="93"/>
      <c r="N939" s="93"/>
    </row>
    <row r="940" spans="1:14">
      <c r="B940" s="330" t="s">
        <v>89</v>
      </c>
      <c r="C940" s="332"/>
      <c r="D940" s="57"/>
      <c r="E940" s="58"/>
      <c r="F940" s="58"/>
      <c r="G940" s="58"/>
      <c r="H940" s="58"/>
      <c r="I940" s="58"/>
      <c r="J940" s="58"/>
      <c r="K940" s="58"/>
      <c r="L940" s="58"/>
      <c r="M940" s="58"/>
      <c r="N940" s="58"/>
    </row>
    <row r="941" spans="1:14">
      <c r="B941" s="33" t="s">
        <v>90</v>
      </c>
      <c r="D941" s="7">
        <f>SUM(D938:D940)</f>
        <v>0</v>
      </c>
      <c r="E941" s="7">
        <f>SUM(E938:E940)</f>
        <v>0</v>
      </c>
      <c r="F941" s="7">
        <f>SUM(F938:F940)</f>
        <v>0</v>
      </c>
      <c r="G941" s="7">
        <f t="shared" ref="G941:N941" si="373">SUM(G938:G940)</f>
        <v>0</v>
      </c>
      <c r="H941" s="7">
        <f t="shared" si="373"/>
        <v>0</v>
      </c>
      <c r="I941" s="7">
        <f t="shared" si="373"/>
        <v>0</v>
      </c>
      <c r="J941" s="7">
        <f t="shared" si="373"/>
        <v>0</v>
      </c>
      <c r="K941" s="7">
        <f t="shared" si="373"/>
        <v>0</v>
      </c>
      <c r="L941" s="7">
        <f t="shared" si="373"/>
        <v>0</v>
      </c>
      <c r="M941" s="7">
        <f t="shared" si="373"/>
        <v>0</v>
      </c>
      <c r="N941" s="7">
        <f t="shared" si="373"/>
        <v>0</v>
      </c>
    </row>
    <row r="942" spans="1:14">
      <c r="B942" s="6"/>
      <c r="D942" s="7"/>
      <c r="E942" s="7"/>
      <c r="F942" s="7"/>
      <c r="G942" s="7"/>
      <c r="H942" s="7"/>
      <c r="I942" s="7"/>
      <c r="J942" s="7"/>
      <c r="K942" s="7"/>
      <c r="L942" s="7"/>
      <c r="M942" s="7"/>
      <c r="N942" s="7"/>
    </row>
    <row r="943" spans="1:14" ht="18.5">
      <c r="A943" s="9" t="s">
        <v>100</v>
      </c>
      <c r="D943" s="2">
        <f>'Facility Detail'!$B$3082</f>
        <v>2011</v>
      </c>
      <c r="E943" s="2">
        <f>D943+1</f>
        <v>2012</v>
      </c>
      <c r="F943" s="2">
        <f>E943+1</f>
        <v>2013</v>
      </c>
      <c r="G943" s="2">
        <f t="shared" ref="G943:N943" si="374">F943+1</f>
        <v>2014</v>
      </c>
      <c r="H943" s="2">
        <f t="shared" si="374"/>
        <v>2015</v>
      </c>
      <c r="I943" s="2">
        <f t="shared" si="374"/>
        <v>2016</v>
      </c>
      <c r="J943" s="2">
        <f t="shared" si="374"/>
        <v>2017</v>
      </c>
      <c r="K943" s="2">
        <f t="shared" si="374"/>
        <v>2018</v>
      </c>
      <c r="L943" s="2">
        <f t="shared" si="374"/>
        <v>2019</v>
      </c>
      <c r="M943" s="2">
        <f t="shared" si="374"/>
        <v>2020</v>
      </c>
      <c r="N943" s="2">
        <f t="shared" si="374"/>
        <v>2021</v>
      </c>
    </row>
    <row r="944" spans="1:14">
      <c r="B944" s="326" t="s">
        <v>68</v>
      </c>
      <c r="C944" s="71"/>
      <c r="D944" s="3"/>
      <c r="E944" s="60">
        <f>D944</f>
        <v>0</v>
      </c>
      <c r="F944" s="131"/>
      <c r="G944" s="131"/>
      <c r="H944" s="131"/>
      <c r="I944" s="131"/>
      <c r="J944" s="131"/>
      <c r="K944" s="131"/>
      <c r="L944" s="131"/>
      <c r="M944" s="131"/>
      <c r="N944" s="131"/>
    </row>
    <row r="945" spans="2:14">
      <c r="B945" s="326" t="s">
        <v>69</v>
      </c>
      <c r="C945" s="71"/>
      <c r="D945" s="164">
        <f>E945</f>
        <v>0</v>
      </c>
      <c r="E945" s="10"/>
      <c r="F945" s="74"/>
      <c r="G945" s="74"/>
      <c r="H945" s="74"/>
      <c r="I945" s="74"/>
      <c r="J945" s="74"/>
      <c r="K945" s="74"/>
      <c r="L945" s="74"/>
      <c r="M945" s="74"/>
      <c r="N945" s="74"/>
    </row>
    <row r="946" spans="2:14">
      <c r="B946" s="326" t="s">
        <v>70</v>
      </c>
      <c r="C946" s="71"/>
      <c r="D946" s="62"/>
      <c r="E946" s="10">
        <f>E930</f>
        <v>0</v>
      </c>
      <c r="F946" s="70">
        <f>E946</f>
        <v>0</v>
      </c>
      <c r="G946" s="74"/>
      <c r="H946" s="74"/>
      <c r="I946" s="74"/>
      <c r="J946" s="74"/>
      <c r="K946" s="74"/>
      <c r="L946" s="74"/>
      <c r="M946" s="74"/>
      <c r="N946" s="74"/>
    </row>
    <row r="947" spans="2:14">
      <c r="B947" s="326" t="s">
        <v>71</v>
      </c>
      <c r="C947" s="71"/>
      <c r="D947" s="62"/>
      <c r="E947" s="70">
        <f>F947</f>
        <v>0</v>
      </c>
      <c r="F947" s="163"/>
      <c r="G947" s="74"/>
      <c r="H947" s="74"/>
      <c r="I947" s="74"/>
      <c r="J947" s="74"/>
      <c r="K947" s="74"/>
      <c r="L947" s="74"/>
      <c r="M947" s="74"/>
      <c r="N947" s="74"/>
    </row>
    <row r="948" spans="2:14">
      <c r="B948" s="326" t="s">
        <v>171</v>
      </c>
      <c r="C948" s="71"/>
      <c r="D948" s="62"/>
      <c r="E948" s="148"/>
      <c r="F948" s="10">
        <f>F930</f>
        <v>0</v>
      </c>
      <c r="G948" s="149">
        <f>F948</f>
        <v>0</v>
      </c>
      <c r="H948" s="74"/>
      <c r="I948" s="74"/>
      <c r="J948" s="74"/>
      <c r="K948" s="74"/>
      <c r="L948" s="74"/>
      <c r="M948" s="74"/>
      <c r="N948" s="74"/>
    </row>
    <row r="949" spans="2:14">
      <c r="B949" s="326" t="s">
        <v>172</v>
      </c>
      <c r="C949" s="71"/>
      <c r="D949" s="62"/>
      <c r="E949" s="148"/>
      <c r="F949" s="70">
        <f>G949</f>
        <v>0</v>
      </c>
      <c r="G949" s="10"/>
      <c r="H949" s="74"/>
      <c r="I949" s="74"/>
      <c r="J949" s="74"/>
      <c r="K949" s="74"/>
      <c r="L949" s="74"/>
      <c r="M949" s="74"/>
      <c r="N949" s="74"/>
    </row>
    <row r="950" spans="2:14">
      <c r="B950" s="326" t="s">
        <v>173</v>
      </c>
      <c r="C950" s="71"/>
      <c r="D950" s="62"/>
      <c r="E950" s="148"/>
      <c r="F950" s="148"/>
      <c r="G950" s="10">
        <f>G930</f>
        <v>0</v>
      </c>
      <c r="H950" s="149">
        <f>G950</f>
        <v>0</v>
      </c>
      <c r="I950" s="148"/>
      <c r="J950" s="148"/>
      <c r="K950" s="148"/>
      <c r="L950" s="148"/>
      <c r="M950" s="148"/>
      <c r="N950" s="148"/>
    </row>
    <row r="951" spans="2:14">
      <c r="B951" s="326" t="s">
        <v>174</v>
      </c>
      <c r="C951" s="71"/>
      <c r="D951" s="62"/>
      <c r="E951" s="148"/>
      <c r="F951" s="148"/>
      <c r="G951" s="150">
        <f>H951</f>
        <v>0</v>
      </c>
      <c r="H951" s="151"/>
      <c r="I951" s="148"/>
      <c r="J951" s="148"/>
      <c r="K951" s="148"/>
      <c r="L951" s="148"/>
      <c r="M951" s="148"/>
      <c r="N951" s="148"/>
    </row>
    <row r="952" spans="2:14">
      <c r="B952" s="326" t="s">
        <v>175</v>
      </c>
      <c r="C952" s="71"/>
      <c r="D952" s="62"/>
      <c r="E952" s="148"/>
      <c r="F952" s="148"/>
      <c r="G952" s="148"/>
      <c r="H952" s="151">
        <f>H930</f>
        <v>730</v>
      </c>
      <c r="I952" s="149">
        <f>H952</f>
        <v>730</v>
      </c>
      <c r="J952" s="149"/>
      <c r="K952" s="149"/>
      <c r="L952" s="149"/>
      <c r="M952" s="149"/>
      <c r="N952" s="149"/>
    </row>
    <row r="953" spans="2:14">
      <c r="B953" s="326" t="s">
        <v>176</v>
      </c>
      <c r="D953" s="62"/>
      <c r="E953" s="148"/>
      <c r="F953" s="148"/>
      <c r="G953" s="148"/>
      <c r="H953" s="70">
        <f>I953</f>
        <v>0</v>
      </c>
      <c r="I953" s="151"/>
      <c r="J953" s="151"/>
      <c r="K953" s="151"/>
      <c r="L953" s="151"/>
      <c r="M953" s="151"/>
      <c r="N953" s="151"/>
    </row>
    <row r="954" spans="2:14">
      <c r="B954" s="326" t="s">
        <v>177</v>
      </c>
      <c r="D954" s="62"/>
      <c r="E954" s="148"/>
      <c r="F954" s="148"/>
      <c r="G954" s="148"/>
      <c r="H954" s="148"/>
      <c r="I954" s="151">
        <f>I930</f>
        <v>0</v>
      </c>
      <c r="J954" s="151">
        <f>I954</f>
        <v>0</v>
      </c>
      <c r="K954" s="151">
        <f>J954</f>
        <v>0</v>
      </c>
      <c r="L954" s="151">
        <f t="shared" ref="L954" si="375">K954</f>
        <v>0</v>
      </c>
      <c r="M954" s="151">
        <f>K954</f>
        <v>0</v>
      </c>
      <c r="N954" s="151">
        <f>L954</f>
        <v>0</v>
      </c>
    </row>
    <row r="955" spans="2:14">
      <c r="B955" s="326" t="s">
        <v>168</v>
      </c>
      <c r="D955" s="62"/>
      <c r="E955" s="148"/>
      <c r="F955" s="148"/>
      <c r="G955" s="148"/>
      <c r="H955" s="148"/>
      <c r="I955" s="209"/>
      <c r="J955" s="209"/>
      <c r="K955" s="209"/>
      <c r="L955" s="209"/>
      <c r="M955" s="209"/>
      <c r="N955" s="209"/>
    </row>
    <row r="956" spans="2:14">
      <c r="B956" s="326" t="s">
        <v>169</v>
      </c>
      <c r="D956" s="63"/>
      <c r="E956" s="133"/>
      <c r="F956" s="133"/>
      <c r="G956" s="133"/>
      <c r="H956" s="133"/>
      <c r="I956" s="133"/>
      <c r="J956" s="133"/>
      <c r="K956" s="133"/>
      <c r="L956" s="133"/>
      <c r="M956" s="133"/>
      <c r="N956" s="133"/>
    </row>
    <row r="957" spans="2:14">
      <c r="B957" s="33" t="s">
        <v>17</v>
      </c>
      <c r="D957" s="180">
        <f xml:space="preserve"> D950 - D949</f>
        <v>0</v>
      </c>
      <c r="E957" s="180">
        <f xml:space="preserve"> E949 + E952 - E951 - E950</f>
        <v>0</v>
      </c>
      <c r="F957" s="180">
        <f>F946-F947-F948</f>
        <v>0</v>
      </c>
      <c r="G957" s="180">
        <f>G948-G949-G950</f>
        <v>0</v>
      </c>
      <c r="H957" s="180">
        <f>H950-H951-H952</f>
        <v>-730</v>
      </c>
      <c r="I957" s="180">
        <f>I952-I953-I954</f>
        <v>730</v>
      </c>
      <c r="J957" s="180">
        <f>J954</f>
        <v>0</v>
      </c>
      <c r="K957" s="180">
        <f>K954</f>
        <v>0</v>
      </c>
      <c r="L957" s="180">
        <f t="shared" ref="L957:N957" si="376">L954</f>
        <v>0</v>
      </c>
      <c r="M957" s="180">
        <f t="shared" si="376"/>
        <v>0</v>
      </c>
      <c r="N957" s="180">
        <f t="shared" si="376"/>
        <v>0</v>
      </c>
    </row>
    <row r="958" spans="2:14">
      <c r="B958" s="6"/>
      <c r="D958" s="7"/>
      <c r="E958" s="7"/>
      <c r="F958" s="7"/>
      <c r="G958" s="7"/>
      <c r="H958" s="7"/>
      <c r="I958" s="7"/>
      <c r="J958" s="7"/>
      <c r="K958" s="7"/>
      <c r="L958" s="7"/>
      <c r="M958" s="7"/>
      <c r="N958" s="7"/>
    </row>
    <row r="959" spans="2:14">
      <c r="B959" s="33" t="s">
        <v>12</v>
      </c>
      <c r="C959" s="71"/>
      <c r="D959" s="99"/>
      <c r="E959" s="100"/>
      <c r="F959" s="100"/>
      <c r="G959" s="100"/>
      <c r="H959" s="100"/>
      <c r="I959" s="100"/>
      <c r="J959" s="100"/>
      <c r="K959" s="100"/>
      <c r="L959" s="100"/>
      <c r="M959" s="100"/>
      <c r="N959" s="100"/>
    </row>
    <row r="960" spans="2:14">
      <c r="B960" s="6"/>
      <c r="D960" s="7"/>
      <c r="E960" s="7"/>
      <c r="F960" s="7"/>
      <c r="G960" s="7"/>
      <c r="H960" s="7"/>
      <c r="I960" s="7"/>
      <c r="J960" s="7"/>
      <c r="K960" s="7"/>
      <c r="L960" s="7"/>
      <c r="M960" s="7"/>
      <c r="N960" s="7"/>
    </row>
    <row r="961" spans="1:14" ht="18.5">
      <c r="A961" s="9" t="s">
        <v>26</v>
      </c>
      <c r="C961" s="71"/>
      <c r="D961" s="43">
        <f xml:space="preserve"> D930 + D935 - D941 + D957 + D959</f>
        <v>0</v>
      </c>
      <c r="E961" s="44">
        <f xml:space="preserve"> E930 + E935 - E941 + E957 + E959</f>
        <v>0</v>
      </c>
      <c r="F961" s="44">
        <f t="shared" ref="F961:N961" si="377" xml:space="preserve"> F930 + F935 - F941 + F957 + F959</f>
        <v>0</v>
      </c>
      <c r="G961" s="44">
        <f t="shared" si="377"/>
        <v>0</v>
      </c>
      <c r="H961" s="44">
        <f t="shared" si="377"/>
        <v>0</v>
      </c>
      <c r="I961" s="44">
        <f t="shared" si="377"/>
        <v>730</v>
      </c>
      <c r="J961" s="44">
        <f t="shared" si="377"/>
        <v>0</v>
      </c>
      <c r="K961" s="44">
        <f t="shared" si="377"/>
        <v>0</v>
      </c>
      <c r="L961" s="44">
        <f t="shared" si="377"/>
        <v>0</v>
      </c>
      <c r="M961" s="44">
        <f t="shared" si="377"/>
        <v>0</v>
      </c>
      <c r="N961" s="44">
        <f t="shared" si="377"/>
        <v>0</v>
      </c>
    </row>
    <row r="962" spans="1:14">
      <c r="B962" s="6"/>
      <c r="D962" s="7"/>
      <c r="E962" s="7"/>
      <c r="F962" s="7"/>
      <c r="G962" s="28"/>
      <c r="H962" s="28"/>
      <c r="I962" s="28"/>
      <c r="J962" s="28"/>
      <c r="K962" s="28"/>
      <c r="L962" s="28"/>
      <c r="M962" s="28"/>
      <c r="N962" s="28"/>
    </row>
    <row r="963" spans="1:14" ht="15" thickBot="1"/>
    <row r="964" spans="1:14" ht="15" thickBot="1">
      <c r="A964" s="8"/>
      <c r="B964" s="8"/>
      <c r="C964" s="8"/>
      <c r="D964" s="8"/>
      <c r="E964" s="8"/>
      <c r="F964" s="8"/>
      <c r="G964" s="8"/>
      <c r="H964" s="8"/>
      <c r="I964" s="8"/>
      <c r="J964" s="8"/>
      <c r="K964" s="8"/>
      <c r="L964" s="8"/>
      <c r="M964" s="8"/>
      <c r="N964" s="8"/>
    </row>
    <row r="965" spans="1:14" ht="21.5" thickBot="1">
      <c r="A965" s="13" t="s">
        <v>4</v>
      </c>
      <c r="B965" s="13"/>
      <c r="C965" s="313" t="s">
        <v>217</v>
      </c>
      <c r="D965" s="310"/>
      <c r="E965" s="23"/>
      <c r="F965" s="23"/>
    </row>
    <row r="967" spans="1:14" ht="18.5">
      <c r="A967" s="9" t="s">
        <v>21</v>
      </c>
      <c r="B967" s="9"/>
      <c r="D967" s="2">
        <v>2011</v>
      </c>
      <c r="E967" s="2">
        <f>D967+1</f>
        <v>2012</v>
      </c>
      <c r="F967" s="2">
        <f t="shared" ref="F967" si="378">E967+1</f>
        <v>2013</v>
      </c>
      <c r="G967" s="2">
        <f t="shared" ref="G967" si="379">F967+1</f>
        <v>2014</v>
      </c>
      <c r="H967" s="2">
        <f t="shared" ref="H967" si="380">G967+1</f>
        <v>2015</v>
      </c>
      <c r="I967" s="2">
        <f t="shared" ref="I967" si="381">H967+1</f>
        <v>2016</v>
      </c>
      <c r="J967" s="2">
        <f t="shared" ref="J967" si="382">I967+1</f>
        <v>2017</v>
      </c>
      <c r="K967" s="2">
        <f t="shared" ref="K967" si="383">J967+1</f>
        <v>2018</v>
      </c>
      <c r="L967" s="2">
        <f t="shared" ref="L967" si="384">K967+1</f>
        <v>2019</v>
      </c>
      <c r="M967" s="2">
        <f t="shared" ref="M967" si="385">L967+1</f>
        <v>2020</v>
      </c>
      <c r="N967" s="2">
        <f t="shared" ref="N967" si="386">M967+1</f>
        <v>2021</v>
      </c>
    </row>
    <row r="968" spans="1:14">
      <c r="B968" s="79" t="str">
        <f>"Total MWh Produced / Purchased from " &amp; C965</f>
        <v>Total MWh Produced / Purchased from Foote Creek I</v>
      </c>
      <c r="C968" s="71"/>
      <c r="D968" s="3"/>
      <c r="E968" s="4"/>
      <c r="F968" s="4"/>
      <c r="G968" s="4"/>
      <c r="H968" s="4"/>
      <c r="I968" s="4"/>
      <c r="J968" s="4"/>
      <c r="K968" s="4"/>
      <c r="L968" s="4"/>
      <c r="M968" s="230"/>
      <c r="N968" s="230">
        <v>102552</v>
      </c>
    </row>
    <row r="969" spans="1:14">
      <c r="B969" s="79" t="s">
        <v>25</v>
      </c>
      <c r="C969" s="71"/>
      <c r="D969" s="54"/>
      <c r="E969" s="55"/>
      <c r="F969" s="55"/>
      <c r="G969" s="55"/>
      <c r="H969" s="55"/>
      <c r="I969" s="55"/>
      <c r="J969" s="55"/>
      <c r="K969" s="55"/>
      <c r="L969" s="55"/>
      <c r="M969" s="234"/>
      <c r="N969" s="234">
        <v>1</v>
      </c>
    </row>
    <row r="970" spans="1:14">
      <c r="B970" s="79" t="s">
        <v>20</v>
      </c>
      <c r="C970" s="71"/>
      <c r="D970" s="48"/>
      <c r="E970" s="49"/>
      <c r="F970" s="49"/>
      <c r="G970" s="49"/>
      <c r="H970" s="49"/>
      <c r="I970" s="49"/>
      <c r="J970" s="49"/>
      <c r="K970" s="49"/>
      <c r="L970" s="49"/>
      <c r="M970" s="243"/>
      <c r="N970" s="243">
        <f>N741</f>
        <v>8.0780946790754593E-2</v>
      </c>
    </row>
    <row r="971" spans="1:14">
      <c r="B971" s="76" t="s">
        <v>22</v>
      </c>
      <c r="C971" s="77"/>
      <c r="D971" s="37">
        <v>0</v>
      </c>
      <c r="E971" s="37">
        <v>0</v>
      </c>
      <c r="F971" s="37">
        <v>0</v>
      </c>
      <c r="G971" s="37">
        <v>0</v>
      </c>
      <c r="H971" s="37">
        <v>0</v>
      </c>
      <c r="I971" s="37">
        <v>0</v>
      </c>
      <c r="J971" s="37">
        <v>0</v>
      </c>
      <c r="K971" s="37">
        <v>0</v>
      </c>
      <c r="L971" s="37">
        <f>L968*L970</f>
        <v>0</v>
      </c>
      <c r="M971" s="37">
        <f>M968*M970</f>
        <v>0</v>
      </c>
      <c r="N971" s="37">
        <f>N968*N970</f>
        <v>8284.2476552854641</v>
      </c>
    </row>
    <row r="972" spans="1:14">
      <c r="B972" s="23"/>
      <c r="C972" s="30"/>
      <c r="D972" s="36"/>
      <c r="E972" s="36"/>
      <c r="F972" s="36"/>
      <c r="G972" s="36"/>
      <c r="H972" s="36"/>
      <c r="I972" s="36"/>
      <c r="J972" s="36"/>
      <c r="K972" s="36"/>
      <c r="L972" s="36"/>
      <c r="M972" s="36"/>
      <c r="N972" s="36"/>
    </row>
    <row r="973" spans="1:14" ht="18.5">
      <c r="A973" s="42" t="s">
        <v>119</v>
      </c>
      <c r="C973" s="30"/>
      <c r="D973" s="2">
        <v>2011</v>
      </c>
      <c r="E973" s="2">
        <f>D973+1</f>
        <v>2012</v>
      </c>
      <c r="F973" s="2">
        <f t="shared" ref="F973" si="387">E973+1</f>
        <v>2013</v>
      </c>
      <c r="G973" s="2">
        <f t="shared" ref="G973" si="388">F973+1</f>
        <v>2014</v>
      </c>
      <c r="H973" s="2">
        <f t="shared" ref="H973" si="389">G973+1</f>
        <v>2015</v>
      </c>
      <c r="I973" s="2">
        <f t="shared" ref="I973" si="390">H973+1</f>
        <v>2016</v>
      </c>
      <c r="J973" s="2">
        <f t="shared" ref="J973" si="391">I973+1</f>
        <v>2017</v>
      </c>
      <c r="K973" s="2">
        <f t="shared" ref="K973" si="392">J973+1</f>
        <v>2018</v>
      </c>
      <c r="L973" s="2">
        <f t="shared" ref="L973" si="393">K973+1</f>
        <v>2019</v>
      </c>
      <c r="M973" s="2">
        <f t="shared" ref="M973" si="394">L973+1</f>
        <v>2020</v>
      </c>
      <c r="N973" s="2">
        <f t="shared" ref="N973" si="395">M973+1</f>
        <v>2021</v>
      </c>
    </row>
    <row r="974" spans="1:14">
      <c r="B974" s="79" t="s">
        <v>10</v>
      </c>
      <c r="C974" s="71"/>
      <c r="D974" s="51">
        <f>IF($E21 = "Eligible", D971 * 'Facility Detail'!$B$3079, 0 )</f>
        <v>0</v>
      </c>
      <c r="E974" s="51">
        <f>IF($E21 = "Eligible", E971 * 'Facility Detail'!$B$3079, 0 )</f>
        <v>0</v>
      </c>
      <c r="F974" s="51">
        <f>IF($E21 = "Eligible", F971 * 'Facility Detail'!$B$3079, 0 )</f>
        <v>0</v>
      </c>
      <c r="G974" s="51">
        <f>IF($E21 = "Eligible", G971 * 'Facility Detail'!$B$3079, 0 )</f>
        <v>0</v>
      </c>
      <c r="H974" s="51">
        <f>IF($E21 = "Eligible", H971 * 'Facility Detail'!$B$3079, 0 )</f>
        <v>0</v>
      </c>
      <c r="I974" s="51">
        <f>IF($E21 = "Eligible", I971 * 'Facility Detail'!$B$3079, 0 )</f>
        <v>0</v>
      </c>
      <c r="J974" s="51">
        <f>IF($E21 = "Eligible", J971 * 'Facility Detail'!$B$3079, 0 )</f>
        <v>0</v>
      </c>
      <c r="K974" s="51">
        <f>IF($E21 = "Eligible", K971 * 'Facility Detail'!$B$3079, 0 )</f>
        <v>0</v>
      </c>
      <c r="L974" s="51">
        <f>IF($E21 = "Eligible", L971 * 'Facility Detail'!$B$3079, 0 )</f>
        <v>0</v>
      </c>
      <c r="M974" s="51">
        <f>IF($E21 = "Eligible", M971 * 'Facility Detail'!$B$3079, 0 )</f>
        <v>0</v>
      </c>
      <c r="N974" s="51">
        <f>IF($E21 = "Eligible", N971 * 'Facility Detail'!$B$3079, 0 )</f>
        <v>0</v>
      </c>
    </row>
    <row r="975" spans="1:14">
      <c r="B975" s="79" t="s">
        <v>6</v>
      </c>
      <c r="C975" s="71"/>
      <c r="D975" s="52">
        <f t="shared" ref="D975:N975" si="396">IF($F21= "Eligible", D971, 0 )</f>
        <v>0</v>
      </c>
      <c r="E975" s="52">
        <f t="shared" si="396"/>
        <v>0</v>
      </c>
      <c r="F975" s="52">
        <f t="shared" si="396"/>
        <v>0</v>
      </c>
      <c r="G975" s="52">
        <f t="shared" si="396"/>
        <v>0</v>
      </c>
      <c r="H975" s="52">
        <f t="shared" si="396"/>
        <v>0</v>
      </c>
      <c r="I975" s="52">
        <f t="shared" si="396"/>
        <v>0</v>
      </c>
      <c r="J975" s="52">
        <f t="shared" si="396"/>
        <v>0</v>
      </c>
      <c r="K975" s="52">
        <f t="shared" si="396"/>
        <v>0</v>
      </c>
      <c r="L975" s="52">
        <f t="shared" si="396"/>
        <v>0</v>
      </c>
      <c r="M975" s="52">
        <f t="shared" si="396"/>
        <v>0</v>
      </c>
      <c r="N975" s="52">
        <f t="shared" si="396"/>
        <v>0</v>
      </c>
    </row>
    <row r="976" spans="1:14">
      <c r="B976" s="78" t="s">
        <v>121</v>
      </c>
      <c r="C976" s="77"/>
      <c r="D976" s="39">
        <f>SUM(D974:D975)</f>
        <v>0</v>
      </c>
      <c r="E976" s="39">
        <f t="shared" ref="E976:N976" si="397">SUM(E974:E975)</f>
        <v>0</v>
      </c>
      <c r="F976" s="39">
        <f t="shared" si="397"/>
        <v>0</v>
      </c>
      <c r="G976" s="39">
        <f t="shared" si="397"/>
        <v>0</v>
      </c>
      <c r="H976" s="39">
        <f t="shared" si="397"/>
        <v>0</v>
      </c>
      <c r="I976" s="39">
        <f t="shared" si="397"/>
        <v>0</v>
      </c>
      <c r="J976" s="39">
        <f t="shared" si="397"/>
        <v>0</v>
      </c>
      <c r="K976" s="39">
        <f t="shared" si="397"/>
        <v>0</v>
      </c>
      <c r="L976" s="39">
        <f t="shared" si="397"/>
        <v>0</v>
      </c>
      <c r="M976" s="39">
        <f t="shared" si="397"/>
        <v>0</v>
      </c>
      <c r="N976" s="39">
        <f t="shared" si="397"/>
        <v>0</v>
      </c>
    </row>
    <row r="977" spans="1:14">
      <c r="B977" s="30"/>
      <c r="C977" s="30"/>
      <c r="D977" s="38"/>
      <c r="E977" s="31"/>
      <c r="F977" s="31"/>
      <c r="G977" s="31"/>
      <c r="H977" s="31"/>
      <c r="I977" s="31"/>
      <c r="J977" s="31"/>
      <c r="K977" s="31"/>
      <c r="L977" s="31"/>
      <c r="M977" s="31"/>
      <c r="N977" s="31"/>
    </row>
    <row r="978" spans="1:14" ht="18.5">
      <c r="A978" s="41" t="s">
        <v>30</v>
      </c>
      <c r="C978" s="30"/>
      <c r="D978" s="2">
        <v>2011</v>
      </c>
      <c r="E978" s="2">
        <f>D978+1</f>
        <v>2012</v>
      </c>
      <c r="F978" s="2">
        <f t="shared" ref="F978" si="398">E978+1</f>
        <v>2013</v>
      </c>
      <c r="G978" s="2">
        <f t="shared" ref="G978" si="399">F978+1</f>
        <v>2014</v>
      </c>
      <c r="H978" s="2">
        <f t="shared" ref="H978" si="400">G978+1</f>
        <v>2015</v>
      </c>
      <c r="I978" s="2">
        <f t="shared" ref="I978" si="401">H978+1</f>
        <v>2016</v>
      </c>
      <c r="J978" s="2">
        <f t="shared" ref="J978" si="402">I978+1</f>
        <v>2017</v>
      </c>
      <c r="K978" s="2">
        <f t="shared" ref="K978" si="403">J978+1</f>
        <v>2018</v>
      </c>
      <c r="L978" s="2">
        <f t="shared" ref="L978" si="404">K978+1</f>
        <v>2019</v>
      </c>
      <c r="M978" s="2">
        <f t="shared" ref="M978" si="405">L978+1</f>
        <v>2020</v>
      </c>
      <c r="N978" s="2">
        <f t="shared" ref="N978" si="406">M978+1</f>
        <v>2021</v>
      </c>
    </row>
    <row r="979" spans="1:14">
      <c r="B979" s="79" t="s">
        <v>47</v>
      </c>
      <c r="C979" s="71"/>
      <c r="D979" s="89"/>
      <c r="E979" s="90"/>
      <c r="F979" s="90"/>
      <c r="G979" s="90"/>
      <c r="H979" s="90"/>
      <c r="I979" s="90"/>
      <c r="J979" s="90"/>
      <c r="K979" s="90"/>
      <c r="L979" s="90"/>
      <c r="M979" s="90"/>
      <c r="N979" s="90"/>
    </row>
    <row r="980" spans="1:14">
      <c r="B980" s="80" t="s">
        <v>23</v>
      </c>
      <c r="C980" s="175"/>
      <c r="D980" s="92"/>
      <c r="E980" s="93"/>
      <c r="F980" s="93"/>
      <c r="G980" s="93"/>
      <c r="H980" s="93"/>
      <c r="I980" s="93"/>
      <c r="J980" s="93"/>
      <c r="K980" s="93"/>
      <c r="L980" s="93"/>
      <c r="M980" s="93"/>
      <c r="N980" s="93"/>
    </row>
    <row r="981" spans="1:14">
      <c r="B981" s="95" t="s">
        <v>89</v>
      </c>
      <c r="C981" s="173"/>
      <c r="D981" s="57"/>
      <c r="E981" s="58"/>
      <c r="F981" s="58"/>
      <c r="G981" s="58"/>
      <c r="H981" s="58"/>
      <c r="I981" s="58"/>
      <c r="J981" s="58"/>
      <c r="K981" s="58"/>
      <c r="L981" s="58"/>
      <c r="M981" s="58"/>
      <c r="N981" s="58"/>
    </row>
    <row r="982" spans="1:14">
      <c r="B982" s="33" t="s">
        <v>90</v>
      </c>
      <c r="D982" s="7">
        <v>0</v>
      </c>
      <c r="E982" s="7">
        <v>0</v>
      </c>
      <c r="F982" s="7">
        <v>0</v>
      </c>
      <c r="G982" s="7">
        <v>0</v>
      </c>
      <c r="H982" s="7">
        <v>0</v>
      </c>
      <c r="I982" s="7">
        <v>0</v>
      </c>
      <c r="J982" s="7">
        <v>0</v>
      </c>
      <c r="K982" s="7">
        <v>0</v>
      </c>
      <c r="L982" s="7">
        <v>0</v>
      </c>
      <c r="M982" s="7">
        <v>0</v>
      </c>
      <c r="N982" s="7">
        <v>0</v>
      </c>
    </row>
    <row r="983" spans="1:14">
      <c r="B983" s="6"/>
      <c r="D983" s="7"/>
      <c r="E983" s="7"/>
      <c r="F983" s="7"/>
      <c r="G983" s="28"/>
      <c r="H983" s="28"/>
      <c r="I983" s="28"/>
      <c r="J983" s="28"/>
      <c r="K983" s="28"/>
      <c r="L983" s="28"/>
      <c r="M983" s="28"/>
      <c r="N983" s="28"/>
    </row>
    <row r="984" spans="1:14" ht="18.5">
      <c r="A984" s="9" t="s">
        <v>100</v>
      </c>
      <c r="D984" s="2">
        <f>'Facility Detail'!$B$3082</f>
        <v>2011</v>
      </c>
      <c r="E984" s="2">
        <f>D984+1</f>
        <v>2012</v>
      </c>
      <c r="F984" s="2">
        <f t="shared" ref="F984" si="407">E984+1</f>
        <v>2013</v>
      </c>
      <c r="G984" s="2">
        <f t="shared" ref="G984" si="408">F984+1</f>
        <v>2014</v>
      </c>
      <c r="H984" s="2">
        <f t="shared" ref="H984" si="409">G984+1</f>
        <v>2015</v>
      </c>
      <c r="I984" s="2">
        <f t="shared" ref="I984" si="410">H984+1</f>
        <v>2016</v>
      </c>
      <c r="J984" s="2">
        <f t="shared" ref="J984" si="411">I984+1</f>
        <v>2017</v>
      </c>
      <c r="K984" s="2">
        <f t="shared" ref="K984" si="412">J984+1</f>
        <v>2018</v>
      </c>
      <c r="L984" s="2">
        <f t="shared" ref="L984" si="413">K984+1</f>
        <v>2019</v>
      </c>
      <c r="M984" s="2">
        <f t="shared" ref="M984" si="414">L984+1</f>
        <v>2020</v>
      </c>
      <c r="N984" s="2">
        <f t="shared" ref="N984" si="415">M984+1</f>
        <v>2021</v>
      </c>
    </row>
    <row r="985" spans="1:14">
      <c r="B985" s="79" t="s">
        <v>68</v>
      </c>
      <c r="C985" s="71"/>
      <c r="D985" s="3"/>
      <c r="E985" s="60">
        <f>D985</f>
        <v>0</v>
      </c>
      <c r="F985" s="131"/>
      <c r="G985" s="131"/>
      <c r="H985" s="131"/>
      <c r="I985" s="131"/>
      <c r="J985" s="131"/>
      <c r="K985" s="131"/>
      <c r="L985" s="131"/>
      <c r="M985" s="131"/>
      <c r="N985" s="61"/>
    </row>
    <row r="986" spans="1:14">
      <c r="B986" s="79" t="s">
        <v>69</v>
      </c>
      <c r="C986" s="71"/>
      <c r="D986" s="164">
        <f>E986</f>
        <v>0</v>
      </c>
      <c r="E986" s="10"/>
      <c r="F986" s="74"/>
      <c r="G986" s="74"/>
      <c r="H986" s="74"/>
      <c r="I986" s="74"/>
      <c r="J986" s="74"/>
      <c r="K986" s="74"/>
      <c r="L986" s="74"/>
      <c r="M986" s="74"/>
      <c r="N986" s="165"/>
    </row>
    <row r="987" spans="1:14">
      <c r="B987" s="79" t="s">
        <v>70</v>
      </c>
      <c r="C987" s="71"/>
      <c r="D987" s="62"/>
      <c r="E987" s="10">
        <f>E971</f>
        <v>0</v>
      </c>
      <c r="F987" s="70">
        <f>E987</f>
        <v>0</v>
      </c>
      <c r="G987" s="74"/>
      <c r="H987" s="74"/>
      <c r="I987" s="74"/>
      <c r="J987" s="74"/>
      <c r="K987" s="74"/>
      <c r="L987" s="74"/>
      <c r="M987" s="74"/>
      <c r="N987" s="165"/>
    </row>
    <row r="988" spans="1:14">
      <c r="B988" s="79" t="s">
        <v>71</v>
      </c>
      <c r="C988" s="71"/>
      <c r="D988" s="62"/>
      <c r="E988" s="70">
        <f>F988</f>
        <v>0</v>
      </c>
      <c r="F988" s="163"/>
      <c r="G988" s="74"/>
      <c r="H988" s="74"/>
      <c r="I988" s="74"/>
      <c r="J988" s="74"/>
      <c r="K988" s="74"/>
      <c r="L988" s="74"/>
      <c r="M988" s="74"/>
      <c r="N988" s="165"/>
    </row>
    <row r="989" spans="1:14">
      <c r="B989" s="79" t="s">
        <v>171</v>
      </c>
      <c r="C989" s="30"/>
      <c r="D989" s="62"/>
      <c r="E989" s="148"/>
      <c r="F989" s="10">
        <f>F971</f>
        <v>0</v>
      </c>
      <c r="G989" s="149">
        <f>F989</f>
        <v>0</v>
      </c>
      <c r="H989" s="74"/>
      <c r="I989" s="74"/>
      <c r="J989" s="74"/>
      <c r="K989" s="74"/>
      <c r="L989" s="74"/>
      <c r="M989" s="74"/>
      <c r="N989" s="165"/>
    </row>
    <row r="990" spans="1:14">
      <c r="B990" s="79" t="s">
        <v>172</v>
      </c>
      <c r="C990" s="30"/>
      <c r="D990" s="62"/>
      <c r="E990" s="148"/>
      <c r="F990" s="70">
        <f>G990</f>
        <v>0</v>
      </c>
      <c r="G990" s="10"/>
      <c r="H990" s="74"/>
      <c r="I990" s="74"/>
      <c r="J990" s="74"/>
      <c r="K990" s="74"/>
      <c r="L990" s="74"/>
      <c r="M990" s="74"/>
      <c r="N990" s="165"/>
    </row>
    <row r="991" spans="1:14">
      <c r="B991" s="79" t="s">
        <v>173</v>
      </c>
      <c r="C991" s="30"/>
      <c r="D991" s="62"/>
      <c r="E991" s="148"/>
      <c r="F991" s="148"/>
      <c r="G991" s="10">
        <f>G971</f>
        <v>0</v>
      </c>
      <c r="H991" s="149">
        <f>G991</f>
        <v>0</v>
      </c>
      <c r="I991" s="148"/>
      <c r="J991" s="74"/>
      <c r="K991" s="74"/>
      <c r="L991" s="74"/>
      <c r="M991" s="74"/>
      <c r="N991" s="152"/>
    </row>
    <row r="992" spans="1:14">
      <c r="B992" s="79" t="s">
        <v>174</v>
      </c>
      <c r="C992" s="30"/>
      <c r="D992" s="62"/>
      <c r="E992" s="148"/>
      <c r="F992" s="148"/>
      <c r="G992" s="70"/>
      <c r="H992" s="10"/>
      <c r="I992" s="148"/>
      <c r="J992" s="74"/>
      <c r="K992" s="74"/>
      <c r="L992" s="74"/>
      <c r="M992" s="74"/>
      <c r="N992" s="152"/>
    </row>
    <row r="993" spans="2:14">
      <c r="B993" s="79" t="s">
        <v>175</v>
      </c>
      <c r="C993" s="30"/>
      <c r="D993" s="62"/>
      <c r="E993" s="148"/>
      <c r="F993" s="148"/>
      <c r="G993" s="148"/>
      <c r="H993" s="10">
        <v>0</v>
      </c>
      <c r="I993" s="149">
        <f>H993</f>
        <v>0</v>
      </c>
      <c r="J993" s="74"/>
      <c r="K993" s="74"/>
      <c r="L993" s="74"/>
      <c r="M993" s="74"/>
      <c r="N993" s="152"/>
    </row>
    <row r="994" spans="2:14">
      <c r="B994" s="79" t="s">
        <v>176</v>
      </c>
      <c r="C994" s="30"/>
      <c r="D994" s="62"/>
      <c r="E994" s="148"/>
      <c r="F994" s="148"/>
      <c r="G994" s="148"/>
      <c r="H994" s="70"/>
      <c r="I994" s="10"/>
      <c r="J994" s="74"/>
      <c r="K994" s="74"/>
      <c r="L994" s="74"/>
      <c r="M994" s="74"/>
      <c r="N994" s="152"/>
    </row>
    <row r="995" spans="2:14">
      <c r="B995" s="79" t="s">
        <v>177</v>
      </c>
      <c r="C995" s="30"/>
      <c r="D995" s="62"/>
      <c r="E995" s="148"/>
      <c r="F995" s="148"/>
      <c r="G995" s="148"/>
      <c r="H995" s="148"/>
      <c r="I995" s="207">
        <f>I971</f>
        <v>0</v>
      </c>
      <c r="J995" s="150">
        <f>I995</f>
        <v>0</v>
      </c>
      <c r="K995" s="74"/>
      <c r="L995" s="74"/>
      <c r="M995" s="74"/>
      <c r="N995" s="152"/>
    </row>
    <row r="996" spans="2:14">
      <c r="B996" s="79" t="s">
        <v>168</v>
      </c>
      <c r="C996" s="30"/>
      <c r="D996" s="62"/>
      <c r="E996" s="148"/>
      <c r="F996" s="148"/>
      <c r="G996" s="148"/>
      <c r="H996" s="148"/>
      <c r="I996" s="208"/>
      <c r="J996" s="151"/>
      <c r="K996" s="74"/>
      <c r="L996" s="74"/>
      <c r="M996" s="74"/>
      <c r="N996" s="152"/>
    </row>
    <row r="997" spans="2:14">
      <c r="B997" s="79" t="s">
        <v>169</v>
      </c>
      <c r="C997" s="30"/>
      <c r="D997" s="62"/>
      <c r="E997" s="148"/>
      <c r="F997" s="148"/>
      <c r="G997" s="148"/>
      <c r="H997" s="148"/>
      <c r="I997" s="148"/>
      <c r="J997" s="151">
        <f>J971</f>
        <v>0</v>
      </c>
      <c r="K997" s="150">
        <f>J997</f>
        <v>0</v>
      </c>
      <c r="L997" s="74"/>
      <c r="M997" s="74"/>
      <c r="N997" s="152"/>
    </row>
    <row r="998" spans="2:14">
      <c r="B998" s="79" t="s">
        <v>186</v>
      </c>
      <c r="C998" s="30"/>
      <c r="D998" s="62"/>
      <c r="E998" s="148"/>
      <c r="F998" s="148"/>
      <c r="G998" s="148"/>
      <c r="H998" s="148"/>
      <c r="I998" s="148"/>
      <c r="J998" s="228"/>
      <c r="K998" s="151"/>
      <c r="L998" s="74"/>
      <c r="M998" s="74"/>
      <c r="N998" s="152"/>
    </row>
    <row r="999" spans="2:14">
      <c r="B999" s="79" t="s">
        <v>187</v>
      </c>
      <c r="C999" s="30"/>
      <c r="D999" s="62"/>
      <c r="E999" s="148"/>
      <c r="F999" s="148"/>
      <c r="G999" s="148"/>
      <c r="H999" s="148"/>
      <c r="I999" s="148"/>
      <c r="J999" s="148"/>
      <c r="K999" s="151"/>
      <c r="L999" s="150">
        <f>K999</f>
        <v>0</v>
      </c>
      <c r="M999" s="74"/>
      <c r="N999" s="152"/>
    </row>
    <row r="1000" spans="2:14">
      <c r="B1000" s="79" t="s">
        <v>188</v>
      </c>
      <c r="C1000" s="30"/>
      <c r="D1000" s="62"/>
      <c r="E1000" s="148"/>
      <c r="F1000" s="148"/>
      <c r="G1000" s="148"/>
      <c r="H1000" s="148"/>
      <c r="I1000" s="148"/>
      <c r="J1000" s="148"/>
      <c r="K1000" s="145"/>
      <c r="L1000" s="151"/>
      <c r="M1000" s="74"/>
      <c r="N1000" s="152"/>
    </row>
    <row r="1001" spans="2:14">
      <c r="B1001" s="79" t="s">
        <v>189</v>
      </c>
      <c r="C1001" s="30"/>
      <c r="D1001" s="62"/>
      <c r="E1001" s="148"/>
      <c r="F1001" s="148"/>
      <c r="G1001" s="148"/>
      <c r="H1001" s="148"/>
      <c r="I1001" s="148"/>
      <c r="J1001" s="148"/>
      <c r="K1001" s="148"/>
      <c r="L1001" s="151"/>
      <c r="M1001" s="150">
        <f>L1001</f>
        <v>0</v>
      </c>
      <c r="N1001" s="152"/>
    </row>
    <row r="1002" spans="2:14">
      <c r="B1002" s="79" t="s">
        <v>190</v>
      </c>
      <c r="C1002" s="30"/>
      <c r="D1002" s="62"/>
      <c r="E1002" s="148"/>
      <c r="F1002" s="148"/>
      <c r="G1002" s="148"/>
      <c r="H1002" s="148"/>
      <c r="I1002" s="148"/>
      <c r="J1002" s="148"/>
      <c r="K1002" s="148"/>
      <c r="L1002" s="145">
        <f>M971</f>
        <v>0</v>
      </c>
      <c r="M1002" s="151">
        <f>L1002</f>
        <v>0</v>
      </c>
      <c r="N1002" s="152"/>
    </row>
    <row r="1003" spans="2:14">
      <c r="B1003" s="79" t="s">
        <v>191</v>
      </c>
      <c r="C1003" s="30"/>
      <c r="D1003" s="62"/>
      <c r="E1003" s="148"/>
      <c r="F1003" s="148"/>
      <c r="G1003" s="148"/>
      <c r="H1003" s="148"/>
      <c r="I1003" s="148"/>
      <c r="J1003" s="148"/>
      <c r="K1003" s="148"/>
      <c r="L1003" s="148"/>
      <c r="M1003" s="151"/>
      <c r="N1003" s="150">
        <f>M1003</f>
        <v>0</v>
      </c>
    </row>
    <row r="1004" spans="2:14">
      <c r="B1004" s="79" t="s">
        <v>201</v>
      </c>
      <c r="C1004" s="30"/>
      <c r="D1004" s="62"/>
      <c r="E1004" s="148"/>
      <c r="F1004" s="148"/>
      <c r="G1004" s="148"/>
      <c r="H1004" s="148"/>
      <c r="I1004" s="148"/>
      <c r="J1004" s="148"/>
      <c r="K1004" s="148"/>
      <c r="L1004" s="148"/>
      <c r="M1004" s="145"/>
      <c r="N1004" s="151"/>
    </row>
    <row r="1005" spans="2:14">
      <c r="B1005" s="79" t="s">
        <v>202</v>
      </c>
      <c r="C1005" s="30"/>
      <c r="D1005" s="63"/>
      <c r="E1005" s="133"/>
      <c r="F1005" s="133"/>
      <c r="G1005" s="133"/>
      <c r="H1005" s="133"/>
      <c r="I1005" s="133"/>
      <c r="J1005" s="133"/>
      <c r="K1005" s="133"/>
      <c r="L1005" s="133"/>
      <c r="M1005" s="133"/>
      <c r="N1005" s="153"/>
    </row>
    <row r="1006" spans="2:14">
      <c r="B1006" s="33" t="s">
        <v>17</v>
      </c>
      <c r="D1006" s="218">
        <f xml:space="preserve"> D991 - D990</f>
        <v>0</v>
      </c>
      <c r="E1006" s="218">
        <f xml:space="preserve"> E990 + E993 - E992 - E991</f>
        <v>0</v>
      </c>
      <c r="F1006" s="218">
        <f>F992 - F993</f>
        <v>0</v>
      </c>
      <c r="G1006" s="218">
        <f>G992 - G993</f>
        <v>0</v>
      </c>
      <c r="H1006" s="218">
        <f>H991-H992-H993</f>
        <v>0</v>
      </c>
      <c r="I1006" s="218">
        <f>I993-I994-I995</f>
        <v>0</v>
      </c>
      <c r="J1006" s="218">
        <f>J995-J996-J997</f>
        <v>0</v>
      </c>
      <c r="K1006" s="218">
        <f>K997-K998-K999</f>
        <v>0</v>
      </c>
      <c r="L1006" s="218">
        <f>L999+L1002-L1001-L1000</f>
        <v>0</v>
      </c>
      <c r="M1006" s="218">
        <f>M1001-M1002+M1004</f>
        <v>0</v>
      </c>
      <c r="N1006" s="218">
        <f>N1003-N1004-N1005</f>
        <v>0</v>
      </c>
    </row>
    <row r="1007" spans="2:14">
      <c r="B1007" s="6"/>
      <c r="D1007" s="218"/>
      <c r="E1007" s="218"/>
      <c r="F1007" s="218"/>
      <c r="G1007" s="218"/>
      <c r="H1007" s="218"/>
      <c r="I1007" s="218"/>
      <c r="J1007" s="218"/>
      <c r="K1007" s="218"/>
      <c r="L1007" s="218"/>
      <c r="M1007" s="218"/>
      <c r="N1007" s="218"/>
    </row>
    <row r="1008" spans="2:14">
      <c r="B1008" s="76" t="s">
        <v>12</v>
      </c>
      <c r="C1008" s="71"/>
      <c r="D1008" s="219"/>
      <c r="E1008" s="220"/>
      <c r="F1008" s="220"/>
      <c r="G1008" s="220"/>
      <c r="H1008" s="220"/>
      <c r="I1008" s="220"/>
      <c r="J1008" s="220"/>
      <c r="K1008" s="220"/>
      <c r="L1008" s="220"/>
      <c r="M1008" s="220"/>
      <c r="N1008" s="220"/>
    </row>
    <row r="1009" spans="1:15">
      <c r="B1009" s="6"/>
      <c r="D1009" s="218"/>
      <c r="E1009" s="218"/>
      <c r="F1009" s="218"/>
      <c r="G1009" s="218"/>
      <c r="H1009" s="218"/>
      <c r="I1009" s="218"/>
      <c r="J1009" s="218"/>
      <c r="K1009" s="218"/>
      <c r="L1009" s="218"/>
      <c r="M1009" s="218"/>
      <c r="N1009" s="218"/>
    </row>
    <row r="1010" spans="1:15" ht="18.5">
      <c r="A1010" s="41" t="s">
        <v>26</v>
      </c>
      <c r="C1010" s="71"/>
      <c r="D1010" s="221">
        <f t="shared" ref="D1010:N1010" si="416" xml:space="preserve"> D971 + D976 - D982 + D1006 + D1008</f>
        <v>0</v>
      </c>
      <c r="E1010" s="222">
        <f t="shared" si="416"/>
        <v>0</v>
      </c>
      <c r="F1010" s="222">
        <f t="shared" si="416"/>
        <v>0</v>
      </c>
      <c r="G1010" s="222">
        <f t="shared" si="416"/>
        <v>0</v>
      </c>
      <c r="H1010" s="222">
        <f t="shared" si="416"/>
        <v>0</v>
      </c>
      <c r="I1010" s="222">
        <f t="shared" si="416"/>
        <v>0</v>
      </c>
      <c r="J1010" s="222">
        <f t="shared" si="416"/>
        <v>0</v>
      </c>
      <c r="K1010" s="222">
        <f t="shared" si="416"/>
        <v>0</v>
      </c>
      <c r="L1010" s="222">
        <f t="shared" si="416"/>
        <v>0</v>
      </c>
      <c r="M1010" s="222">
        <f t="shared" si="416"/>
        <v>0</v>
      </c>
      <c r="N1010" s="222">
        <f t="shared" si="416"/>
        <v>8284.2476552854641</v>
      </c>
      <c r="O1010" s="276"/>
    </row>
    <row r="1011" spans="1:15" ht="15" thickBot="1"/>
    <row r="1012" spans="1:15">
      <c r="A1012" s="8"/>
      <c r="B1012" s="8"/>
      <c r="C1012" s="8"/>
      <c r="D1012" s="8"/>
      <c r="E1012" s="8"/>
      <c r="F1012" s="8"/>
      <c r="G1012" s="8"/>
      <c r="H1012" s="8"/>
      <c r="I1012" s="8"/>
      <c r="J1012" s="8"/>
      <c r="K1012" s="8"/>
      <c r="L1012" s="8"/>
      <c r="M1012" s="8"/>
      <c r="N1012" s="8"/>
      <c r="O1012" s="30"/>
    </row>
    <row r="1013" spans="1:15" ht="15" thickBot="1">
      <c r="B1013" s="30"/>
      <c r="C1013" s="30"/>
      <c r="D1013" s="30"/>
      <c r="E1013" s="30"/>
      <c r="F1013" s="30"/>
      <c r="G1013" s="30"/>
      <c r="H1013" s="30"/>
      <c r="I1013" s="30"/>
      <c r="J1013" s="30"/>
      <c r="K1013" s="30"/>
      <c r="L1013" s="30"/>
      <c r="M1013" s="30"/>
      <c r="N1013" s="30"/>
      <c r="O1013" s="30"/>
    </row>
    <row r="1014" spans="1:15" ht="21.5" thickBot="1">
      <c r="A1014" s="13" t="s">
        <v>4</v>
      </c>
      <c r="B1014" s="13"/>
      <c r="C1014" s="313" t="s">
        <v>161</v>
      </c>
      <c r="D1014" s="310"/>
      <c r="E1014" s="23"/>
      <c r="F1014" s="23"/>
      <c r="O1014" s="30"/>
    </row>
    <row r="1015" spans="1:15">
      <c r="O1015" s="30"/>
    </row>
    <row r="1016" spans="1:15" ht="18.5">
      <c r="A1016" s="9" t="s">
        <v>21</v>
      </c>
      <c r="B1016" s="9"/>
      <c r="D1016" s="2">
        <f>'Facility Detail'!$B$3082</f>
        <v>2011</v>
      </c>
      <c r="E1016" s="2">
        <f>D1016+1</f>
        <v>2012</v>
      </c>
      <c r="F1016" s="2">
        <f>E1016+1</f>
        <v>2013</v>
      </c>
      <c r="G1016" s="2">
        <f t="shared" ref="G1016:K1016" si="417">F1016+1</f>
        <v>2014</v>
      </c>
      <c r="H1016" s="2">
        <f t="shared" si="417"/>
        <v>2015</v>
      </c>
      <c r="I1016" s="2">
        <f t="shared" si="417"/>
        <v>2016</v>
      </c>
      <c r="J1016" s="2">
        <f t="shared" si="417"/>
        <v>2017</v>
      </c>
      <c r="K1016" s="2">
        <f t="shared" si="417"/>
        <v>2018</v>
      </c>
      <c r="L1016" s="2">
        <f t="shared" ref="L1016" si="418">K1016+1</f>
        <v>2019</v>
      </c>
      <c r="M1016" s="2">
        <f t="shared" ref="M1016" si="419">L1016+1</f>
        <v>2020</v>
      </c>
      <c r="N1016" s="2">
        <f t="shared" ref="N1016" si="420">M1016+1</f>
        <v>2021</v>
      </c>
      <c r="O1016" s="30"/>
    </row>
    <row r="1017" spans="1:15">
      <c r="B1017" s="79" t="str">
        <f>"Total MWh Produced / Purchased from " &amp; C1014</f>
        <v>Total MWh Produced / Purchased from Glenrock Wind I</v>
      </c>
      <c r="C1017" s="71"/>
      <c r="D1017" s="3"/>
      <c r="E1017" s="4"/>
      <c r="F1017" s="4"/>
      <c r="G1017" s="174"/>
      <c r="H1017" s="4">
        <v>289386</v>
      </c>
      <c r="I1017" s="4">
        <v>311607</v>
      </c>
      <c r="J1017" s="4">
        <v>268269</v>
      </c>
      <c r="K1017" s="4">
        <v>303865</v>
      </c>
      <c r="L1017" s="4">
        <v>143370</v>
      </c>
      <c r="M1017" s="288">
        <v>402765</v>
      </c>
      <c r="N1017" s="288">
        <v>367220</v>
      </c>
      <c r="O1017" s="30"/>
    </row>
    <row r="1018" spans="1:15">
      <c r="B1018" s="79" t="s">
        <v>25</v>
      </c>
      <c r="C1018" s="71"/>
      <c r="D1018" s="54"/>
      <c r="E1018" s="55"/>
      <c r="F1018" s="55"/>
      <c r="G1018" s="55"/>
      <c r="H1018" s="181">
        <v>1</v>
      </c>
      <c r="I1018" s="181">
        <v>1</v>
      </c>
      <c r="J1018" s="181">
        <v>1</v>
      </c>
      <c r="K1018" s="181">
        <v>1</v>
      </c>
      <c r="L1018" s="181">
        <v>1</v>
      </c>
      <c r="M1018" s="289">
        <v>1</v>
      </c>
      <c r="N1018" s="289">
        <v>1</v>
      </c>
      <c r="O1018" s="30"/>
    </row>
    <row r="1019" spans="1:15">
      <c r="B1019" s="79" t="s">
        <v>20</v>
      </c>
      <c r="C1019" s="71"/>
      <c r="D1019" s="48"/>
      <c r="E1019" s="49"/>
      <c r="F1019" s="49"/>
      <c r="G1019" s="49"/>
      <c r="H1019" s="49">
        <v>8.0535999999999996E-2</v>
      </c>
      <c r="I1019" s="49">
        <v>8.1698151927344531E-2</v>
      </c>
      <c r="J1019" s="49">
        <v>8.0833713568703974E-2</v>
      </c>
      <c r="K1019" s="49">
        <v>7.9451999999999995E-2</v>
      </c>
      <c r="L1019" s="49">
        <v>7.6724662968274293E-2</v>
      </c>
      <c r="M1019" s="243">
        <f>M691</f>
        <v>8.1268700519883177E-2</v>
      </c>
      <c r="N1019" s="243">
        <f>N691</f>
        <v>8.0780946790754593E-2</v>
      </c>
      <c r="O1019" s="30"/>
    </row>
    <row r="1020" spans="1:15">
      <c r="B1020" s="76" t="s">
        <v>22</v>
      </c>
      <c r="C1020" s="77"/>
      <c r="D1020" s="37">
        <f>ROUND(D1017 * D1018 * D1019,0)</f>
        <v>0</v>
      </c>
      <c r="E1020" s="37">
        <f t="shared" ref="E1020:G1020" si="421">ROUND(E1017 * E1018 * E1019,0)</f>
        <v>0</v>
      </c>
      <c r="F1020" s="37">
        <f t="shared" si="421"/>
        <v>0</v>
      </c>
      <c r="G1020" s="37">
        <f t="shared" si="421"/>
        <v>0</v>
      </c>
      <c r="H1020" s="37">
        <v>23306</v>
      </c>
      <c r="I1020" s="37">
        <v>25457</v>
      </c>
      <c r="J1020" s="37">
        <v>21686</v>
      </c>
      <c r="K1020" s="37">
        <v>24143</v>
      </c>
      <c r="L1020" s="37">
        <f>L1017*L1019</f>
        <v>11000.014929761486</v>
      </c>
      <c r="M1020" s="37">
        <f>M1017*M1019</f>
        <v>32732.188164890747</v>
      </c>
      <c r="N1020" s="37">
        <f>N1017*N1019</f>
        <v>29664.379280500903</v>
      </c>
      <c r="O1020" s="30"/>
    </row>
    <row r="1021" spans="1:15">
      <c r="B1021" s="23"/>
      <c r="C1021" s="30"/>
      <c r="D1021" s="36"/>
      <c r="E1021" s="36"/>
      <c r="F1021" s="36"/>
      <c r="G1021" s="36"/>
      <c r="H1021" s="36"/>
      <c r="I1021" s="36"/>
      <c r="J1021" s="36"/>
      <c r="K1021" s="36"/>
      <c r="L1021" s="36"/>
      <c r="M1021" s="36"/>
      <c r="N1021" s="36"/>
      <c r="O1021" s="30"/>
    </row>
    <row r="1022" spans="1:15" ht="18.5">
      <c r="A1022" s="42" t="s">
        <v>119</v>
      </c>
      <c r="C1022" s="30"/>
      <c r="D1022" s="2">
        <f>'Facility Detail'!$B$3082</f>
        <v>2011</v>
      </c>
      <c r="E1022" s="2">
        <f>D1022+1</f>
        <v>2012</v>
      </c>
      <c r="F1022" s="2">
        <f>E1022+1</f>
        <v>2013</v>
      </c>
      <c r="G1022" s="2">
        <f t="shared" ref="G1022:I1022" si="422">F1022+1</f>
        <v>2014</v>
      </c>
      <c r="H1022" s="2">
        <f t="shared" si="422"/>
        <v>2015</v>
      </c>
      <c r="I1022" s="2">
        <f t="shared" si="422"/>
        <v>2016</v>
      </c>
      <c r="J1022" s="2">
        <f t="shared" ref="J1022" si="423">I1022+1</f>
        <v>2017</v>
      </c>
      <c r="K1022" s="2">
        <f t="shared" ref="K1022" si="424">J1022+1</f>
        <v>2018</v>
      </c>
      <c r="L1022" s="2">
        <f t="shared" ref="L1022" si="425">K1022+1</f>
        <v>2019</v>
      </c>
      <c r="M1022" s="2">
        <f t="shared" ref="M1022" si="426">L1022+1</f>
        <v>2020</v>
      </c>
      <c r="N1022" s="2">
        <f t="shared" ref="N1022" si="427">M1022+1</f>
        <v>2021</v>
      </c>
      <c r="O1022" s="30"/>
    </row>
    <row r="1023" spans="1:15">
      <c r="B1023" s="79" t="s">
        <v>10</v>
      </c>
      <c r="C1023" s="71"/>
      <c r="D1023" s="51">
        <f>IF($E22 = "Eligible", D1020 * 'Facility Detail'!$B$3079, 0 )</f>
        <v>0</v>
      </c>
      <c r="E1023" s="51">
        <f>IF($E22 = "Eligible", E1020 * 'Facility Detail'!$B$3079, 0 )</f>
        <v>0</v>
      </c>
      <c r="F1023" s="51">
        <f>IF($E22 = "Eligible", F1020 * 'Facility Detail'!$B$3079, 0 )</f>
        <v>0</v>
      </c>
      <c r="G1023" s="51">
        <f>IF($E22 = "Eligible", G1020 * 'Facility Detail'!$B$3079, 0 )</f>
        <v>0</v>
      </c>
      <c r="H1023" s="51">
        <f>IF($E22 = "Eligible", H1020 * 'Facility Detail'!$B$3079, 0 )</f>
        <v>0</v>
      </c>
      <c r="I1023" s="51">
        <f>IF($E22 = "Eligible", I1020 * 'Facility Detail'!$B$3079, 0 )</f>
        <v>0</v>
      </c>
      <c r="J1023" s="51">
        <f>IF($E22 = "Eligible", J1020 * 'Facility Detail'!$B$3079, 0 )</f>
        <v>0</v>
      </c>
      <c r="K1023" s="51">
        <f>IF($E22 = "Eligible", K1020 * 'Facility Detail'!$B$3079, 0 )</f>
        <v>0</v>
      </c>
      <c r="L1023" s="51">
        <f>IF($E22 = "Eligible", L1020 * 'Facility Detail'!$B$3079, 0 )</f>
        <v>0</v>
      </c>
      <c r="M1023" s="51">
        <f>IF($E22 = "Eligible", M1020 * 'Facility Detail'!$B$3079, 0 )</f>
        <v>0</v>
      </c>
      <c r="N1023" s="51">
        <f>IF($E22 = "Eligible", N1020 * 'Facility Detail'!$B$3079, 0 )</f>
        <v>0</v>
      </c>
      <c r="O1023" s="30"/>
    </row>
    <row r="1024" spans="1:15">
      <c r="B1024" s="79" t="s">
        <v>6</v>
      </c>
      <c r="C1024" s="71"/>
      <c r="D1024" s="52">
        <f t="shared" ref="D1024:N1024" si="428">IF($F22= "Eligible", D1020, 0 )</f>
        <v>0</v>
      </c>
      <c r="E1024" s="52">
        <f t="shared" si="428"/>
        <v>0</v>
      </c>
      <c r="F1024" s="52">
        <f t="shared" si="428"/>
        <v>0</v>
      </c>
      <c r="G1024" s="52">
        <f t="shared" si="428"/>
        <v>0</v>
      </c>
      <c r="H1024" s="52">
        <f t="shared" si="428"/>
        <v>0</v>
      </c>
      <c r="I1024" s="52">
        <f t="shared" si="428"/>
        <v>0</v>
      </c>
      <c r="J1024" s="52">
        <f t="shared" si="428"/>
        <v>0</v>
      </c>
      <c r="K1024" s="52">
        <f t="shared" si="428"/>
        <v>0</v>
      </c>
      <c r="L1024" s="52">
        <f t="shared" si="428"/>
        <v>0</v>
      </c>
      <c r="M1024" s="52">
        <f t="shared" si="428"/>
        <v>0</v>
      </c>
      <c r="N1024" s="52">
        <f t="shared" si="428"/>
        <v>0</v>
      </c>
      <c r="O1024" s="30"/>
    </row>
    <row r="1025" spans="1:15">
      <c r="B1025" s="78" t="s">
        <v>121</v>
      </c>
      <c r="C1025" s="77"/>
      <c r="D1025" s="39">
        <f>SUM(D1023:D1024)</f>
        <v>0</v>
      </c>
      <c r="E1025" s="39">
        <f t="shared" ref="E1025:N1025" si="429">SUM(E1023:E1024)</f>
        <v>0</v>
      </c>
      <c r="F1025" s="39">
        <f t="shared" si="429"/>
        <v>0</v>
      </c>
      <c r="G1025" s="39">
        <f t="shared" si="429"/>
        <v>0</v>
      </c>
      <c r="H1025" s="39">
        <f t="shared" si="429"/>
        <v>0</v>
      </c>
      <c r="I1025" s="39">
        <f t="shared" si="429"/>
        <v>0</v>
      </c>
      <c r="J1025" s="39">
        <f t="shared" si="429"/>
        <v>0</v>
      </c>
      <c r="K1025" s="39">
        <f t="shared" si="429"/>
        <v>0</v>
      </c>
      <c r="L1025" s="39">
        <f t="shared" si="429"/>
        <v>0</v>
      </c>
      <c r="M1025" s="39">
        <f t="shared" si="429"/>
        <v>0</v>
      </c>
      <c r="N1025" s="39">
        <f t="shared" si="429"/>
        <v>0</v>
      </c>
      <c r="O1025" s="30"/>
    </row>
    <row r="1026" spans="1:15">
      <c r="B1026" s="30"/>
      <c r="C1026" s="30"/>
      <c r="D1026" s="38"/>
      <c r="E1026" s="31"/>
      <c r="F1026" s="31"/>
      <c r="G1026" s="31"/>
      <c r="H1026" s="31"/>
      <c r="I1026" s="31"/>
      <c r="J1026" s="31"/>
      <c r="K1026" s="31"/>
      <c r="L1026" s="31"/>
      <c r="M1026" s="31"/>
      <c r="N1026" s="31"/>
      <c r="O1026" s="30"/>
    </row>
    <row r="1027" spans="1:15" ht="18.5">
      <c r="A1027" s="41" t="s">
        <v>30</v>
      </c>
      <c r="C1027" s="30"/>
      <c r="D1027" s="2">
        <f>'Facility Detail'!$B$3082</f>
        <v>2011</v>
      </c>
      <c r="E1027" s="2">
        <f>D1027+1</f>
        <v>2012</v>
      </c>
      <c r="F1027" s="2">
        <f>E1027+1</f>
        <v>2013</v>
      </c>
      <c r="G1027" s="2">
        <f t="shared" ref="G1027:I1027" si="430">F1027+1</f>
        <v>2014</v>
      </c>
      <c r="H1027" s="2">
        <f t="shared" si="430"/>
        <v>2015</v>
      </c>
      <c r="I1027" s="2">
        <f t="shared" si="430"/>
        <v>2016</v>
      </c>
      <c r="J1027" s="2">
        <f t="shared" ref="J1027" si="431">I1027+1</f>
        <v>2017</v>
      </c>
      <c r="K1027" s="2">
        <f t="shared" ref="K1027" si="432">J1027+1</f>
        <v>2018</v>
      </c>
      <c r="L1027" s="2">
        <f t="shared" ref="L1027" si="433">K1027+1</f>
        <v>2019</v>
      </c>
      <c r="M1027" s="2">
        <f t="shared" ref="M1027" si="434">L1027+1</f>
        <v>2020</v>
      </c>
      <c r="N1027" s="2">
        <f t="shared" ref="N1027" si="435">M1027+1</f>
        <v>2021</v>
      </c>
      <c r="O1027" s="30"/>
    </row>
    <row r="1028" spans="1:15">
      <c r="B1028" s="79" t="s">
        <v>47</v>
      </c>
      <c r="C1028" s="71"/>
      <c r="D1028" s="89"/>
      <c r="E1028" s="90"/>
      <c r="F1028" s="90"/>
      <c r="G1028" s="155"/>
      <c r="H1028" s="155"/>
      <c r="I1028" s="90"/>
      <c r="J1028" s="90"/>
      <c r="K1028" s="90"/>
      <c r="L1028" s="90"/>
      <c r="M1028" s="91"/>
      <c r="N1028" s="91"/>
      <c r="O1028" s="30"/>
    </row>
    <row r="1029" spans="1:15">
      <c r="B1029" s="80" t="s">
        <v>23</v>
      </c>
      <c r="C1029" s="175"/>
      <c r="D1029" s="92"/>
      <c r="E1029" s="93"/>
      <c r="F1029" s="93"/>
      <c r="G1029" s="156"/>
      <c r="H1029" s="156"/>
      <c r="I1029" s="93"/>
      <c r="J1029" s="93"/>
      <c r="K1029" s="93"/>
      <c r="L1029" s="93"/>
      <c r="M1029" s="94"/>
      <c r="N1029" s="94"/>
      <c r="O1029" s="30"/>
    </row>
    <row r="1030" spans="1:15">
      <c r="B1030" s="95" t="s">
        <v>89</v>
      </c>
      <c r="C1030" s="173"/>
      <c r="D1030" s="57"/>
      <c r="E1030" s="58"/>
      <c r="F1030" s="58"/>
      <c r="G1030" s="157"/>
      <c r="H1030" s="157"/>
      <c r="I1030" s="58"/>
      <c r="J1030" s="58"/>
      <c r="K1030" s="58"/>
      <c r="L1030" s="58"/>
      <c r="M1030" s="59"/>
      <c r="N1030" s="59"/>
      <c r="O1030" s="30"/>
    </row>
    <row r="1031" spans="1:15">
      <c r="B1031" s="33" t="s">
        <v>90</v>
      </c>
      <c r="D1031" s="7">
        <f>SUM(D1028:D1030)</f>
        <v>0</v>
      </c>
      <c r="E1031" s="7">
        <f>SUM(E1028:E1030)</f>
        <v>0</v>
      </c>
      <c r="F1031" s="7">
        <f>SUM(F1028:F1030)</f>
        <v>0</v>
      </c>
      <c r="G1031" s="7">
        <f t="shared" ref="G1031:I1031" si="436">SUM(G1028:G1030)</f>
        <v>0</v>
      </c>
      <c r="H1031" s="7">
        <f t="shared" si="436"/>
        <v>0</v>
      </c>
      <c r="I1031" s="7">
        <f t="shared" si="436"/>
        <v>0</v>
      </c>
      <c r="J1031" s="7">
        <f t="shared" ref="J1031:L1031" si="437">SUM(J1028:J1030)</f>
        <v>0</v>
      </c>
      <c r="K1031" s="7">
        <f t="shared" si="437"/>
        <v>0</v>
      </c>
      <c r="L1031" s="7">
        <f t="shared" si="437"/>
        <v>0</v>
      </c>
      <c r="M1031" s="7">
        <f t="shared" ref="M1031:N1031" si="438">SUM(M1028:M1030)</f>
        <v>0</v>
      </c>
      <c r="N1031" s="7">
        <f t="shared" si="438"/>
        <v>0</v>
      </c>
      <c r="O1031" s="30"/>
    </row>
    <row r="1032" spans="1:15">
      <c r="B1032" s="6"/>
      <c r="D1032" s="7"/>
      <c r="E1032" s="7"/>
      <c r="F1032" s="7"/>
      <c r="G1032" s="7"/>
      <c r="H1032" s="7"/>
      <c r="I1032" s="7"/>
      <c r="J1032" s="7"/>
      <c r="K1032" s="7"/>
      <c r="L1032" s="7"/>
      <c r="M1032" s="7"/>
      <c r="N1032" s="7"/>
      <c r="O1032" s="30"/>
    </row>
    <row r="1033" spans="1:15" ht="18.5">
      <c r="A1033" s="9" t="s">
        <v>100</v>
      </c>
      <c r="D1033" s="2">
        <f>'Facility Detail'!$B$3082</f>
        <v>2011</v>
      </c>
      <c r="E1033" s="2">
        <f>D1033+1</f>
        <v>2012</v>
      </c>
      <c r="F1033" s="2">
        <f>E1033+1</f>
        <v>2013</v>
      </c>
      <c r="G1033" s="2">
        <f t="shared" ref="G1033:K1033" si="439">F1033+1</f>
        <v>2014</v>
      </c>
      <c r="H1033" s="2">
        <f t="shared" si="439"/>
        <v>2015</v>
      </c>
      <c r="I1033" s="2">
        <f t="shared" si="439"/>
        <v>2016</v>
      </c>
      <c r="J1033" s="2">
        <f t="shared" si="439"/>
        <v>2017</v>
      </c>
      <c r="K1033" s="2">
        <f t="shared" si="439"/>
        <v>2018</v>
      </c>
      <c r="L1033" s="2">
        <f t="shared" ref="L1033" si="440">K1033+1</f>
        <v>2019</v>
      </c>
      <c r="M1033" s="2">
        <f t="shared" ref="M1033" si="441">L1033+1</f>
        <v>2020</v>
      </c>
      <c r="N1033" s="2">
        <f t="shared" ref="N1033" si="442">M1033+1</f>
        <v>2021</v>
      </c>
      <c r="O1033" s="30"/>
    </row>
    <row r="1034" spans="1:15">
      <c r="B1034" s="79" t="s">
        <v>68</v>
      </c>
      <c r="C1034" s="30"/>
      <c r="D1034" s="3"/>
      <c r="E1034" s="60">
        <f>D1034</f>
        <v>0</v>
      </c>
      <c r="F1034" s="131"/>
      <c r="G1034" s="131"/>
      <c r="H1034" s="131"/>
      <c r="I1034" s="131"/>
      <c r="J1034" s="131"/>
      <c r="K1034" s="131"/>
      <c r="L1034" s="131"/>
      <c r="M1034" s="131"/>
      <c r="N1034" s="61"/>
      <c r="O1034" s="30"/>
    </row>
    <row r="1035" spans="1:15">
      <c r="B1035" s="79" t="s">
        <v>69</v>
      </c>
      <c r="C1035" s="30"/>
      <c r="D1035" s="164">
        <f>E1035</f>
        <v>0</v>
      </c>
      <c r="E1035" s="10"/>
      <c r="F1035" s="74"/>
      <c r="G1035" s="74"/>
      <c r="H1035" s="74"/>
      <c r="I1035" s="74"/>
      <c r="J1035" s="74"/>
      <c r="K1035" s="74"/>
      <c r="L1035" s="74"/>
      <c r="M1035" s="74"/>
      <c r="N1035" s="165"/>
      <c r="O1035" s="30"/>
    </row>
    <row r="1036" spans="1:15">
      <c r="B1036" s="79" t="s">
        <v>70</v>
      </c>
      <c r="C1036" s="30"/>
      <c r="D1036" s="62"/>
      <c r="E1036" s="10">
        <f>E1020</f>
        <v>0</v>
      </c>
      <c r="F1036" s="70">
        <f>E1036</f>
        <v>0</v>
      </c>
      <c r="G1036" s="74"/>
      <c r="H1036" s="74"/>
      <c r="I1036" s="74"/>
      <c r="J1036" s="74"/>
      <c r="K1036" s="74"/>
      <c r="L1036" s="74"/>
      <c r="M1036" s="74"/>
      <c r="N1036" s="165"/>
      <c r="O1036" s="30"/>
    </row>
    <row r="1037" spans="1:15">
      <c r="B1037" s="79" t="s">
        <v>71</v>
      </c>
      <c r="C1037" s="30"/>
      <c r="D1037" s="62"/>
      <c r="E1037" s="70">
        <f>F1037</f>
        <v>0</v>
      </c>
      <c r="F1037" s="163"/>
      <c r="G1037" s="74"/>
      <c r="H1037" s="74"/>
      <c r="I1037" s="74"/>
      <c r="J1037" s="74"/>
      <c r="K1037" s="74"/>
      <c r="L1037" s="74"/>
      <c r="M1037" s="74"/>
      <c r="N1037" s="165"/>
      <c r="O1037" s="30"/>
    </row>
    <row r="1038" spans="1:15">
      <c r="B1038" s="79" t="s">
        <v>171</v>
      </c>
      <c r="C1038" s="30"/>
      <c r="D1038" s="62"/>
      <c r="E1038" s="148"/>
      <c r="F1038" s="10">
        <f>F1020</f>
        <v>0</v>
      </c>
      <c r="G1038" s="149">
        <f>F1038</f>
        <v>0</v>
      </c>
      <c r="H1038" s="74"/>
      <c r="I1038" s="74"/>
      <c r="J1038" s="74"/>
      <c r="K1038" s="74"/>
      <c r="L1038" s="74"/>
      <c r="M1038" s="74"/>
      <c r="N1038" s="165"/>
      <c r="O1038" s="30"/>
    </row>
    <row r="1039" spans="1:15">
      <c r="B1039" s="79" t="s">
        <v>172</v>
      </c>
      <c r="C1039" s="30"/>
      <c r="D1039" s="62"/>
      <c r="E1039" s="148"/>
      <c r="F1039" s="70">
        <f>G1039</f>
        <v>0</v>
      </c>
      <c r="G1039" s="10"/>
      <c r="H1039" s="74"/>
      <c r="I1039" s="74"/>
      <c r="J1039" s="74" t="s">
        <v>170</v>
      </c>
      <c r="K1039" s="74"/>
      <c r="L1039" s="74"/>
      <c r="M1039" s="74"/>
      <c r="N1039" s="165"/>
      <c r="O1039" s="30"/>
    </row>
    <row r="1040" spans="1:15">
      <c r="B1040" s="79" t="s">
        <v>173</v>
      </c>
      <c r="C1040" s="30"/>
      <c r="D1040" s="62"/>
      <c r="E1040" s="148"/>
      <c r="F1040" s="148"/>
      <c r="G1040" s="10"/>
      <c r="H1040" s="149">
        <f>G1040</f>
        <v>0</v>
      </c>
      <c r="I1040" s="148">
        <f>H1040</f>
        <v>0</v>
      </c>
      <c r="J1040" s="74"/>
      <c r="K1040" s="74"/>
      <c r="L1040" s="74"/>
      <c r="M1040" s="74"/>
      <c r="N1040" s="152"/>
      <c r="O1040" s="30"/>
    </row>
    <row r="1041" spans="2:15">
      <c r="B1041" s="79" t="s">
        <v>174</v>
      </c>
      <c r="C1041" s="30"/>
      <c r="D1041" s="62"/>
      <c r="E1041" s="148"/>
      <c r="F1041" s="148"/>
      <c r="G1041" s="70">
        <f>H1041</f>
        <v>0</v>
      </c>
      <c r="H1041" s="10"/>
      <c r="I1041" s="148"/>
      <c r="J1041" s="74"/>
      <c r="K1041" s="74"/>
      <c r="L1041" s="74"/>
      <c r="M1041" s="74"/>
      <c r="N1041" s="152"/>
      <c r="O1041" s="30"/>
    </row>
    <row r="1042" spans="2:15">
      <c r="B1042" s="79" t="s">
        <v>175</v>
      </c>
      <c r="C1042" s="30"/>
      <c r="D1042" s="62"/>
      <c r="E1042" s="148"/>
      <c r="F1042" s="148"/>
      <c r="G1042" s="148"/>
      <c r="H1042" s="10">
        <f>H1020</f>
        <v>23306</v>
      </c>
      <c r="I1042" s="149">
        <f>H1042</f>
        <v>23306</v>
      </c>
      <c r="J1042" s="74"/>
      <c r="K1042" s="74"/>
      <c r="L1042" s="74"/>
      <c r="M1042" s="74"/>
      <c r="N1042" s="152"/>
      <c r="O1042" s="30"/>
    </row>
    <row r="1043" spans="2:15">
      <c r="B1043" s="79" t="s">
        <v>176</v>
      </c>
      <c r="C1043" s="30"/>
      <c r="D1043" s="62"/>
      <c r="E1043" s="148"/>
      <c r="F1043" s="148"/>
      <c r="G1043" s="148"/>
      <c r="H1043" s="70"/>
      <c r="I1043" s="10"/>
      <c r="J1043" s="74"/>
      <c r="K1043" s="74"/>
      <c r="L1043" s="74"/>
      <c r="M1043" s="74"/>
      <c r="N1043" s="152"/>
      <c r="O1043" s="30"/>
    </row>
    <row r="1044" spans="2:15">
      <c r="B1044" s="79" t="s">
        <v>177</v>
      </c>
      <c r="C1044" s="30"/>
      <c r="D1044" s="62"/>
      <c r="E1044" s="148"/>
      <c r="F1044" s="148"/>
      <c r="G1044" s="148"/>
      <c r="H1044" s="148"/>
      <c r="I1044" s="257">
        <v>13886</v>
      </c>
      <c r="J1044" s="258">
        <f>I1044</f>
        <v>13886</v>
      </c>
      <c r="K1044" s="74"/>
      <c r="L1044" s="74"/>
      <c r="M1044" s="74"/>
      <c r="N1044" s="152"/>
      <c r="O1044" s="30"/>
    </row>
    <row r="1045" spans="2:15">
      <c r="B1045" s="79" t="s">
        <v>168</v>
      </c>
      <c r="C1045" s="30"/>
      <c r="D1045" s="62"/>
      <c r="E1045" s="148"/>
      <c r="F1045" s="148"/>
      <c r="G1045" s="148"/>
      <c r="H1045" s="148"/>
      <c r="I1045" s="208"/>
      <c r="J1045" s="151"/>
      <c r="K1045" s="74"/>
      <c r="L1045" s="74"/>
      <c r="M1045" s="74"/>
      <c r="N1045" s="152"/>
      <c r="O1045" s="30"/>
    </row>
    <row r="1046" spans="2:15">
      <c r="B1046" s="79" t="s">
        <v>169</v>
      </c>
      <c r="C1046" s="30"/>
      <c r="D1046" s="62"/>
      <c r="E1046" s="148"/>
      <c r="F1046" s="148"/>
      <c r="G1046" s="148"/>
      <c r="H1046" s="148"/>
      <c r="I1046" s="148"/>
      <c r="J1046" s="151">
        <v>0</v>
      </c>
      <c r="K1046" s="258">
        <f>J1046</f>
        <v>0</v>
      </c>
      <c r="L1046" s="74"/>
      <c r="M1046" s="74"/>
      <c r="N1046" s="152"/>
      <c r="O1046" s="30"/>
    </row>
    <row r="1047" spans="2:15">
      <c r="B1047" s="79" t="s">
        <v>186</v>
      </c>
      <c r="C1047" s="30"/>
      <c r="D1047" s="62"/>
      <c r="E1047" s="148"/>
      <c r="F1047" s="148"/>
      <c r="G1047" s="148"/>
      <c r="H1047" s="148"/>
      <c r="I1047" s="148"/>
      <c r="J1047" s="228"/>
      <c r="K1047" s="151"/>
      <c r="L1047" s="74"/>
      <c r="M1047" s="74"/>
      <c r="N1047" s="152"/>
      <c r="O1047" s="30"/>
    </row>
    <row r="1048" spans="2:15">
      <c r="B1048" s="79" t="s">
        <v>187</v>
      </c>
      <c r="C1048" s="30"/>
      <c r="D1048" s="62"/>
      <c r="E1048" s="148"/>
      <c r="F1048" s="148"/>
      <c r="G1048" s="148"/>
      <c r="H1048" s="148"/>
      <c r="I1048" s="148"/>
      <c r="J1048" s="148"/>
      <c r="K1048" s="151">
        <v>0</v>
      </c>
      <c r="L1048" s="258">
        <f>K1048</f>
        <v>0</v>
      </c>
      <c r="M1048" s="74"/>
      <c r="N1048" s="152"/>
      <c r="O1048" s="30"/>
    </row>
    <row r="1049" spans="2:15">
      <c r="B1049" s="79" t="s">
        <v>188</v>
      </c>
      <c r="C1049" s="30"/>
      <c r="D1049" s="62"/>
      <c r="E1049" s="148"/>
      <c r="F1049" s="148"/>
      <c r="G1049" s="148"/>
      <c r="H1049" s="148"/>
      <c r="I1049" s="148"/>
      <c r="J1049" s="148"/>
      <c r="K1049" s="228"/>
      <c r="L1049" s="151"/>
      <c r="M1049" s="74"/>
      <c r="N1049" s="152"/>
      <c r="O1049" s="30"/>
    </row>
    <row r="1050" spans="2:15">
      <c r="B1050" s="79" t="s">
        <v>189</v>
      </c>
      <c r="C1050" s="30"/>
      <c r="D1050" s="62"/>
      <c r="E1050" s="148"/>
      <c r="F1050" s="148"/>
      <c r="G1050" s="148"/>
      <c r="H1050" s="148"/>
      <c r="I1050" s="148"/>
      <c r="J1050" s="148"/>
      <c r="K1050" s="148"/>
      <c r="L1050" s="151">
        <v>0</v>
      </c>
      <c r="M1050" s="258">
        <f>L1050</f>
        <v>0</v>
      </c>
      <c r="N1050" s="152"/>
      <c r="O1050" s="30"/>
    </row>
    <row r="1051" spans="2:15">
      <c r="B1051" s="79" t="s">
        <v>190</v>
      </c>
      <c r="C1051" s="30"/>
      <c r="D1051" s="62"/>
      <c r="E1051" s="148"/>
      <c r="F1051" s="148"/>
      <c r="G1051" s="148"/>
      <c r="H1051" s="148"/>
      <c r="I1051" s="148"/>
      <c r="J1051" s="148"/>
      <c r="K1051" s="148"/>
      <c r="L1051" s="228"/>
      <c r="M1051" s="151"/>
      <c r="N1051" s="178"/>
      <c r="O1051" s="30"/>
    </row>
    <row r="1052" spans="2:15">
      <c r="B1052" s="79" t="s">
        <v>191</v>
      </c>
      <c r="C1052" s="30"/>
      <c r="D1052" s="62"/>
      <c r="E1052" s="148"/>
      <c r="F1052" s="148"/>
      <c r="G1052" s="148"/>
      <c r="H1052" s="148"/>
      <c r="I1052" s="148"/>
      <c r="J1052" s="148"/>
      <c r="K1052" s="148"/>
      <c r="L1052" s="148"/>
      <c r="M1052" s="151">
        <v>0</v>
      </c>
      <c r="N1052" s="150">
        <f>M1052</f>
        <v>0</v>
      </c>
      <c r="O1052" s="30"/>
    </row>
    <row r="1053" spans="2:15">
      <c r="B1053" s="79" t="s">
        <v>201</v>
      </c>
      <c r="C1053" s="30"/>
      <c r="D1053" s="62"/>
      <c r="E1053" s="148"/>
      <c r="F1053" s="148"/>
      <c r="G1053" s="148"/>
      <c r="H1053" s="148"/>
      <c r="I1053" s="148"/>
      <c r="J1053" s="148"/>
      <c r="K1053" s="148"/>
      <c r="L1053" s="148"/>
      <c r="M1053" s="150">
        <f>N1053</f>
        <v>20000</v>
      </c>
      <c r="N1053" s="151">
        <v>20000</v>
      </c>
      <c r="O1053" s="30"/>
    </row>
    <row r="1054" spans="2:15">
      <c r="B1054" s="79" t="s">
        <v>202</v>
      </c>
      <c r="C1054" s="30"/>
      <c r="D1054" s="63"/>
      <c r="E1054" s="133"/>
      <c r="F1054" s="133"/>
      <c r="G1054" s="133"/>
      <c r="H1054" s="133"/>
      <c r="I1054" s="133"/>
      <c r="J1054" s="133"/>
      <c r="K1054" s="133"/>
      <c r="L1054" s="133"/>
      <c r="M1054" s="325"/>
      <c r="N1054" s="153">
        <v>0</v>
      </c>
      <c r="O1054" s="30"/>
    </row>
    <row r="1055" spans="2:15">
      <c r="B1055" s="33" t="s">
        <v>17</v>
      </c>
      <c r="D1055" s="180">
        <f xml:space="preserve"> D1038 - D1034</f>
        <v>0</v>
      </c>
      <c r="E1055" s="180">
        <f xml:space="preserve"> E1034 + E1042 - E1039 - E1038</f>
        <v>0</v>
      </c>
      <c r="F1055" s="180">
        <f>F1039 - F1042</f>
        <v>0</v>
      </c>
      <c r="G1055" s="180">
        <f>G1039 - G1042</f>
        <v>0</v>
      </c>
      <c r="H1055" s="180">
        <f>H1040-H1041-H1042</f>
        <v>-23306</v>
      </c>
      <c r="I1055" s="180">
        <f>I1042-I1043-I1044</f>
        <v>9420</v>
      </c>
      <c r="J1055" s="180">
        <f>J1044-J1045-J1046</f>
        <v>13886</v>
      </c>
      <c r="K1055" s="180">
        <f>K1046-K1047-K1048</f>
        <v>0</v>
      </c>
      <c r="L1055" s="180">
        <f>L1048-L1049-L1050</f>
        <v>0</v>
      </c>
      <c r="M1055" s="180">
        <f>M1053</f>
        <v>20000</v>
      </c>
      <c r="N1055" s="180">
        <f>N1053*-1</f>
        <v>-20000</v>
      </c>
      <c r="O1055" s="30"/>
    </row>
    <row r="1056" spans="2:15">
      <c r="B1056" s="6"/>
      <c r="D1056" s="7"/>
      <c r="E1056" s="7"/>
      <c r="F1056" s="7"/>
      <c r="G1056" s="7"/>
      <c r="H1056" s="7"/>
      <c r="I1056" s="7"/>
      <c r="J1056" s="7"/>
      <c r="K1056" s="7"/>
      <c r="L1056" s="7"/>
      <c r="M1056" s="7"/>
      <c r="N1056" s="7"/>
      <c r="O1056" s="30"/>
    </row>
    <row r="1057" spans="1:15">
      <c r="B1057" s="76" t="s">
        <v>12</v>
      </c>
      <c r="C1057" s="71"/>
      <c r="D1057" s="99"/>
      <c r="E1057" s="100"/>
      <c r="F1057" s="160"/>
      <c r="G1057" s="100"/>
      <c r="H1057" s="159"/>
      <c r="I1057" s="100"/>
      <c r="J1057" s="100"/>
      <c r="K1057" s="100"/>
      <c r="L1057" s="100"/>
      <c r="M1057" s="101"/>
      <c r="N1057" s="101"/>
      <c r="O1057" s="30"/>
    </row>
    <row r="1058" spans="1:15">
      <c r="B1058" s="6"/>
      <c r="D1058" s="7"/>
      <c r="E1058" s="7"/>
      <c r="F1058" s="7"/>
      <c r="G1058" s="7"/>
      <c r="H1058" s="7"/>
      <c r="I1058" s="7"/>
      <c r="J1058" s="7"/>
      <c r="K1058" s="7"/>
      <c r="L1058" s="7"/>
      <c r="M1058" s="7"/>
      <c r="N1058" s="7"/>
      <c r="O1058" s="30"/>
    </row>
    <row r="1059" spans="1:15" ht="18.5">
      <c r="A1059" s="41" t="s">
        <v>26</v>
      </c>
      <c r="C1059" s="71"/>
      <c r="D1059" s="43">
        <f t="shared" ref="D1059:N1059" si="443" xml:space="preserve"> D1020 + D1025 - D1031 + D1055 + D1057</f>
        <v>0</v>
      </c>
      <c r="E1059" s="44">
        <f t="shared" si="443"/>
        <v>0</v>
      </c>
      <c r="F1059" s="161">
        <f t="shared" si="443"/>
        <v>0</v>
      </c>
      <c r="G1059" s="44">
        <f t="shared" si="443"/>
        <v>0</v>
      </c>
      <c r="H1059" s="183">
        <f t="shared" si="443"/>
        <v>0</v>
      </c>
      <c r="I1059" s="183">
        <f t="shared" si="443"/>
        <v>34877</v>
      </c>
      <c r="J1059" s="183">
        <f t="shared" si="443"/>
        <v>35572</v>
      </c>
      <c r="K1059" s="183">
        <f t="shared" si="443"/>
        <v>24143</v>
      </c>
      <c r="L1059" s="183">
        <f t="shared" si="443"/>
        <v>11000.014929761486</v>
      </c>
      <c r="M1059" s="183">
        <f t="shared" si="443"/>
        <v>52732.188164890744</v>
      </c>
      <c r="N1059" s="183">
        <f t="shared" si="443"/>
        <v>9664.3792805009034</v>
      </c>
      <c r="O1059" s="30"/>
    </row>
    <row r="1060" spans="1:15">
      <c r="B1060" s="6"/>
      <c r="D1060" s="7"/>
      <c r="E1060" s="7"/>
      <c r="F1060" s="7"/>
      <c r="G1060" s="28"/>
      <c r="H1060" s="28"/>
      <c r="I1060" s="28"/>
      <c r="J1060" s="28"/>
      <c r="K1060" s="28"/>
      <c r="L1060" s="28"/>
      <c r="M1060" s="28"/>
      <c r="N1060" s="28"/>
      <c r="O1060" s="30"/>
    </row>
    <row r="1061" spans="1:15" ht="15" thickBot="1">
      <c r="O1061" s="30"/>
    </row>
    <row r="1062" spans="1:15" ht="15" thickBot="1">
      <c r="A1062" s="8"/>
      <c r="B1062" s="8"/>
      <c r="C1062" s="8"/>
      <c r="D1062" s="8"/>
      <c r="E1062" s="8"/>
      <c r="F1062" s="8"/>
      <c r="G1062" s="8"/>
      <c r="H1062" s="8"/>
      <c r="I1062" s="8"/>
      <c r="J1062" s="8"/>
      <c r="K1062" s="8"/>
      <c r="L1062" s="8"/>
      <c r="M1062" s="8"/>
      <c r="N1062" s="8"/>
    </row>
    <row r="1063" spans="1:15" ht="21.5" thickBot="1">
      <c r="A1063" s="13" t="s">
        <v>4</v>
      </c>
      <c r="B1063" s="13"/>
      <c r="C1063" s="313" t="s">
        <v>219</v>
      </c>
      <c r="D1063" s="310"/>
      <c r="E1063" s="23"/>
      <c r="F1063" s="23"/>
    </row>
    <row r="1065" spans="1:15" ht="18.5">
      <c r="A1065" s="9" t="s">
        <v>21</v>
      </c>
      <c r="B1065" s="9"/>
      <c r="D1065" s="2">
        <v>2011</v>
      </c>
      <c r="E1065" s="2">
        <f>D1065+1</f>
        <v>2012</v>
      </c>
      <c r="F1065" s="2">
        <f t="shared" ref="F1065" si="444">E1065+1</f>
        <v>2013</v>
      </c>
      <c r="G1065" s="2">
        <f t="shared" ref="G1065" si="445">F1065+1</f>
        <v>2014</v>
      </c>
      <c r="H1065" s="2">
        <f t="shared" ref="H1065" si="446">G1065+1</f>
        <v>2015</v>
      </c>
      <c r="I1065" s="2">
        <f t="shared" ref="I1065" si="447">H1065+1</f>
        <v>2016</v>
      </c>
      <c r="J1065" s="2">
        <f t="shared" ref="J1065" si="448">I1065+1</f>
        <v>2017</v>
      </c>
      <c r="K1065" s="2">
        <f t="shared" ref="K1065" si="449">J1065+1</f>
        <v>2018</v>
      </c>
      <c r="L1065" s="2">
        <f t="shared" ref="L1065" si="450">K1065+1</f>
        <v>2019</v>
      </c>
      <c r="M1065" s="2">
        <f t="shared" ref="M1065" si="451">L1065+1</f>
        <v>2020</v>
      </c>
      <c r="N1065" s="2">
        <f t="shared" ref="N1065" si="452">M1065+1</f>
        <v>2021</v>
      </c>
    </row>
    <row r="1066" spans="1:15">
      <c r="B1066" s="79" t="str">
        <f>"Total MWh Produced / Purchased from " &amp; C1063</f>
        <v>Total MWh Produced / Purchased from Glenrock III</v>
      </c>
      <c r="C1066" s="71"/>
      <c r="D1066" s="3"/>
      <c r="E1066" s="4"/>
      <c r="F1066" s="4"/>
      <c r="G1066" s="4"/>
      <c r="H1066" s="4"/>
      <c r="I1066" s="4"/>
      <c r="J1066" s="4"/>
      <c r="K1066" s="4"/>
      <c r="L1066" s="4"/>
      <c r="M1066" s="230"/>
      <c r="N1066" s="230">
        <v>139452</v>
      </c>
    </row>
    <row r="1067" spans="1:15">
      <c r="B1067" s="79" t="s">
        <v>25</v>
      </c>
      <c r="C1067" s="71"/>
      <c r="D1067" s="54"/>
      <c r="E1067" s="55"/>
      <c r="F1067" s="55"/>
      <c r="G1067" s="55"/>
      <c r="H1067" s="55"/>
      <c r="I1067" s="55"/>
      <c r="J1067" s="55"/>
      <c r="K1067" s="55"/>
      <c r="L1067" s="55"/>
      <c r="M1067" s="234"/>
      <c r="N1067" s="234">
        <v>1</v>
      </c>
    </row>
    <row r="1068" spans="1:15">
      <c r="B1068" s="79" t="s">
        <v>20</v>
      </c>
      <c r="C1068" s="71"/>
      <c r="D1068" s="48"/>
      <c r="E1068" s="49"/>
      <c r="F1068" s="49"/>
      <c r="G1068" s="49"/>
      <c r="H1068" s="49"/>
      <c r="I1068" s="49"/>
      <c r="J1068" s="49"/>
      <c r="K1068" s="49"/>
      <c r="L1068" s="49"/>
      <c r="M1068" s="243"/>
      <c r="N1068" s="243">
        <f>N1019</f>
        <v>8.0780946790754593E-2</v>
      </c>
    </row>
    <row r="1069" spans="1:15">
      <c r="B1069" s="76" t="s">
        <v>22</v>
      </c>
      <c r="C1069" s="77"/>
      <c r="D1069" s="37">
        <v>0</v>
      </c>
      <c r="E1069" s="37">
        <v>0</v>
      </c>
      <c r="F1069" s="37">
        <v>0</v>
      </c>
      <c r="G1069" s="37">
        <v>0</v>
      </c>
      <c r="H1069" s="37">
        <v>0</v>
      </c>
      <c r="I1069" s="37">
        <v>0</v>
      </c>
      <c r="J1069" s="37">
        <v>0</v>
      </c>
      <c r="K1069" s="37">
        <v>0</v>
      </c>
      <c r="L1069" s="37">
        <f>L1066*L1068</f>
        <v>0</v>
      </c>
      <c r="M1069" s="37">
        <f>M1066*M1068</f>
        <v>0</v>
      </c>
      <c r="N1069" s="37">
        <f>N1066*N1068</f>
        <v>11265.064591864309</v>
      </c>
    </row>
    <row r="1070" spans="1:15">
      <c r="B1070" s="23"/>
      <c r="C1070" s="30"/>
      <c r="D1070" s="36"/>
      <c r="E1070" s="36"/>
      <c r="F1070" s="36"/>
      <c r="G1070" s="36"/>
      <c r="H1070" s="36"/>
      <c r="I1070" s="36"/>
      <c r="J1070" s="36"/>
      <c r="K1070" s="36"/>
      <c r="L1070" s="36"/>
      <c r="M1070" s="36"/>
      <c r="N1070" s="36"/>
    </row>
    <row r="1071" spans="1:15" ht="18.5">
      <c r="A1071" s="42" t="s">
        <v>119</v>
      </c>
      <c r="C1071" s="30"/>
      <c r="D1071" s="2">
        <v>2011</v>
      </c>
      <c r="E1071" s="2">
        <f>D1071+1</f>
        <v>2012</v>
      </c>
      <c r="F1071" s="2">
        <f t="shared" ref="F1071" si="453">E1071+1</f>
        <v>2013</v>
      </c>
      <c r="G1071" s="2">
        <f t="shared" ref="G1071" si="454">F1071+1</f>
        <v>2014</v>
      </c>
      <c r="H1071" s="2">
        <f t="shared" ref="H1071" si="455">G1071+1</f>
        <v>2015</v>
      </c>
      <c r="I1071" s="2">
        <f t="shared" ref="I1071" si="456">H1071+1</f>
        <v>2016</v>
      </c>
      <c r="J1071" s="2">
        <f t="shared" ref="J1071" si="457">I1071+1</f>
        <v>2017</v>
      </c>
      <c r="K1071" s="2">
        <f t="shared" ref="K1071" si="458">J1071+1</f>
        <v>2018</v>
      </c>
      <c r="L1071" s="2">
        <f t="shared" ref="L1071" si="459">K1071+1</f>
        <v>2019</v>
      </c>
      <c r="M1071" s="2">
        <f t="shared" ref="M1071" si="460">L1071+1</f>
        <v>2020</v>
      </c>
      <c r="N1071" s="2">
        <f t="shared" ref="N1071" si="461">M1071+1</f>
        <v>2021</v>
      </c>
    </row>
    <row r="1072" spans="1:15">
      <c r="B1072" s="79" t="s">
        <v>10</v>
      </c>
      <c r="C1072" s="71"/>
      <c r="D1072" s="51">
        <f>IF($E23 = "Eligible", D1069 * 'Facility Detail'!$B$3079, 0 )</f>
        <v>0</v>
      </c>
      <c r="E1072" s="51">
        <f>IF($E23 = "Eligible", E1069 * 'Facility Detail'!$B$3079, 0 )</f>
        <v>0</v>
      </c>
      <c r="F1072" s="51">
        <f>IF($E23 = "Eligible", F1069 * 'Facility Detail'!$B$3079, 0 )</f>
        <v>0</v>
      </c>
      <c r="G1072" s="51">
        <f>IF($E23 = "Eligible", G1069 * 'Facility Detail'!$B$3079, 0 )</f>
        <v>0</v>
      </c>
      <c r="H1072" s="51">
        <f>IF($E23 = "Eligible", H1069 * 'Facility Detail'!$B$3079, 0 )</f>
        <v>0</v>
      </c>
      <c r="I1072" s="51">
        <f>IF($E23 = "Eligible", I1069 * 'Facility Detail'!$B$3079, 0 )</f>
        <v>0</v>
      </c>
      <c r="J1072" s="51">
        <f>IF($E23 = "Eligible", J1069 * 'Facility Detail'!$B$3079, 0 )</f>
        <v>0</v>
      </c>
      <c r="K1072" s="51">
        <f>IF($E23 = "Eligible", K1069 * 'Facility Detail'!$B$3079, 0 )</f>
        <v>0</v>
      </c>
      <c r="L1072" s="51">
        <f>IF($E23 = "Eligible", L1069 * 'Facility Detail'!$B$3079, 0 )</f>
        <v>0</v>
      </c>
      <c r="M1072" s="51">
        <f>IF($E23 = "Eligible", M1069 * 'Facility Detail'!$B$3079, 0 )</f>
        <v>0</v>
      </c>
      <c r="N1072" s="51">
        <f>IF($E23 = "Eligible", N1069 * 'Facility Detail'!$B$3079, 0 )</f>
        <v>0</v>
      </c>
    </row>
    <row r="1073" spans="1:14">
      <c r="B1073" s="79" t="s">
        <v>6</v>
      </c>
      <c r="C1073" s="71"/>
      <c r="D1073" s="52">
        <f t="shared" ref="D1073:N1073" si="462">IF($F23= "Eligible", D1069, 0 )</f>
        <v>0</v>
      </c>
      <c r="E1073" s="52">
        <f t="shared" si="462"/>
        <v>0</v>
      </c>
      <c r="F1073" s="52">
        <f t="shared" si="462"/>
        <v>0</v>
      </c>
      <c r="G1073" s="52">
        <f t="shared" si="462"/>
        <v>0</v>
      </c>
      <c r="H1073" s="52">
        <f t="shared" si="462"/>
        <v>0</v>
      </c>
      <c r="I1073" s="52">
        <f t="shared" si="462"/>
        <v>0</v>
      </c>
      <c r="J1073" s="52">
        <f t="shared" si="462"/>
        <v>0</v>
      </c>
      <c r="K1073" s="52">
        <f t="shared" si="462"/>
        <v>0</v>
      </c>
      <c r="L1073" s="52">
        <f t="shared" si="462"/>
        <v>0</v>
      </c>
      <c r="M1073" s="52">
        <f t="shared" si="462"/>
        <v>0</v>
      </c>
      <c r="N1073" s="52">
        <f t="shared" si="462"/>
        <v>0</v>
      </c>
    </row>
    <row r="1074" spans="1:14">
      <c r="B1074" s="78" t="s">
        <v>121</v>
      </c>
      <c r="C1074" s="77"/>
      <c r="D1074" s="39">
        <f>SUM(D1072:D1073)</f>
        <v>0</v>
      </c>
      <c r="E1074" s="39">
        <f t="shared" ref="E1074:N1074" si="463">SUM(E1072:E1073)</f>
        <v>0</v>
      </c>
      <c r="F1074" s="39">
        <f t="shared" si="463"/>
        <v>0</v>
      </c>
      <c r="G1074" s="39">
        <f t="shared" si="463"/>
        <v>0</v>
      </c>
      <c r="H1074" s="39">
        <f t="shared" si="463"/>
        <v>0</v>
      </c>
      <c r="I1074" s="39">
        <f t="shared" si="463"/>
        <v>0</v>
      </c>
      <c r="J1074" s="39">
        <f t="shared" si="463"/>
        <v>0</v>
      </c>
      <c r="K1074" s="39">
        <f t="shared" si="463"/>
        <v>0</v>
      </c>
      <c r="L1074" s="39">
        <f t="shared" si="463"/>
        <v>0</v>
      </c>
      <c r="M1074" s="39">
        <f t="shared" si="463"/>
        <v>0</v>
      </c>
      <c r="N1074" s="39">
        <f t="shared" si="463"/>
        <v>0</v>
      </c>
    </row>
    <row r="1075" spans="1:14">
      <c r="B1075" s="30"/>
      <c r="C1075" s="30"/>
      <c r="D1075" s="38"/>
      <c r="E1075" s="31"/>
      <c r="F1075" s="31"/>
      <c r="G1075" s="31"/>
      <c r="H1075" s="31"/>
      <c r="I1075" s="31"/>
      <c r="J1075" s="31"/>
      <c r="K1075" s="31"/>
      <c r="L1075" s="31"/>
      <c r="M1075" s="31"/>
      <c r="N1075" s="31"/>
    </row>
    <row r="1076" spans="1:14" ht="18.5">
      <c r="A1076" s="41" t="s">
        <v>30</v>
      </c>
      <c r="C1076" s="30"/>
      <c r="D1076" s="2">
        <v>2011</v>
      </c>
      <c r="E1076" s="2">
        <f>D1076+1</f>
        <v>2012</v>
      </c>
      <c r="F1076" s="2">
        <f t="shared" ref="F1076" si="464">E1076+1</f>
        <v>2013</v>
      </c>
      <c r="G1076" s="2">
        <f t="shared" ref="G1076" si="465">F1076+1</f>
        <v>2014</v>
      </c>
      <c r="H1076" s="2">
        <f t="shared" ref="H1076" si="466">G1076+1</f>
        <v>2015</v>
      </c>
      <c r="I1076" s="2">
        <f t="shared" ref="I1076" si="467">H1076+1</f>
        <v>2016</v>
      </c>
      <c r="J1076" s="2">
        <f t="shared" ref="J1076" si="468">I1076+1</f>
        <v>2017</v>
      </c>
      <c r="K1076" s="2">
        <f t="shared" ref="K1076" si="469">J1076+1</f>
        <v>2018</v>
      </c>
      <c r="L1076" s="2">
        <f t="shared" ref="L1076" si="470">K1076+1</f>
        <v>2019</v>
      </c>
      <c r="M1076" s="2">
        <f t="shared" ref="M1076" si="471">L1076+1</f>
        <v>2020</v>
      </c>
      <c r="N1076" s="2">
        <f t="shared" ref="N1076" si="472">M1076+1</f>
        <v>2021</v>
      </c>
    </row>
    <row r="1077" spans="1:14">
      <c r="B1077" s="79" t="s">
        <v>47</v>
      </c>
      <c r="C1077" s="71"/>
      <c r="D1077" s="89"/>
      <c r="E1077" s="90"/>
      <c r="F1077" s="90"/>
      <c r="G1077" s="90"/>
      <c r="H1077" s="90"/>
      <c r="I1077" s="90"/>
      <c r="J1077" s="90"/>
      <c r="K1077" s="90"/>
      <c r="L1077" s="90"/>
      <c r="M1077" s="90"/>
      <c r="N1077" s="90"/>
    </row>
    <row r="1078" spans="1:14">
      <c r="B1078" s="80" t="s">
        <v>23</v>
      </c>
      <c r="C1078" s="175"/>
      <c r="D1078" s="92"/>
      <c r="E1078" s="93"/>
      <c r="F1078" s="93"/>
      <c r="G1078" s="93"/>
      <c r="H1078" s="93"/>
      <c r="I1078" s="93"/>
      <c r="J1078" s="93"/>
      <c r="K1078" s="93"/>
      <c r="L1078" s="93"/>
      <c r="M1078" s="93"/>
      <c r="N1078" s="93"/>
    </row>
    <row r="1079" spans="1:14">
      <c r="B1079" s="95" t="s">
        <v>89</v>
      </c>
      <c r="C1079" s="173"/>
      <c r="D1079" s="57"/>
      <c r="E1079" s="58"/>
      <c r="F1079" s="58"/>
      <c r="G1079" s="58"/>
      <c r="H1079" s="58"/>
      <c r="I1079" s="58"/>
      <c r="J1079" s="58"/>
      <c r="K1079" s="58"/>
      <c r="L1079" s="58"/>
      <c r="M1079" s="58"/>
      <c r="N1079" s="58"/>
    </row>
    <row r="1080" spans="1:14">
      <c r="B1080" s="33" t="s">
        <v>90</v>
      </c>
      <c r="D1080" s="7">
        <v>0</v>
      </c>
      <c r="E1080" s="7">
        <v>0</v>
      </c>
      <c r="F1080" s="7">
        <v>0</v>
      </c>
      <c r="G1080" s="7">
        <v>0</v>
      </c>
      <c r="H1080" s="7">
        <v>0</v>
      </c>
      <c r="I1080" s="7">
        <v>0</v>
      </c>
      <c r="J1080" s="7">
        <v>0</v>
      </c>
      <c r="K1080" s="7">
        <v>0</v>
      </c>
      <c r="L1080" s="7">
        <v>0</v>
      </c>
      <c r="M1080" s="7">
        <v>0</v>
      </c>
      <c r="N1080" s="7">
        <v>0</v>
      </c>
    </row>
    <row r="1081" spans="1:14">
      <c r="B1081" s="6"/>
      <c r="D1081" s="7"/>
      <c r="E1081" s="7"/>
      <c r="F1081" s="7"/>
      <c r="G1081" s="28"/>
      <c r="H1081" s="28"/>
      <c r="I1081" s="28"/>
      <c r="J1081" s="28"/>
      <c r="K1081" s="28"/>
      <c r="L1081" s="28"/>
      <c r="M1081" s="28"/>
      <c r="N1081" s="28"/>
    </row>
    <row r="1082" spans="1:14" ht="18.5">
      <c r="A1082" s="9" t="s">
        <v>100</v>
      </c>
      <c r="D1082" s="2">
        <f>'Facility Detail'!$B$3082</f>
        <v>2011</v>
      </c>
      <c r="E1082" s="2">
        <f>D1082+1</f>
        <v>2012</v>
      </c>
      <c r="F1082" s="2">
        <f t="shared" ref="F1082" si="473">E1082+1</f>
        <v>2013</v>
      </c>
      <c r="G1082" s="2">
        <f t="shared" ref="G1082" si="474">F1082+1</f>
        <v>2014</v>
      </c>
      <c r="H1082" s="2">
        <f t="shared" ref="H1082" si="475">G1082+1</f>
        <v>2015</v>
      </c>
      <c r="I1082" s="2">
        <f t="shared" ref="I1082" si="476">H1082+1</f>
        <v>2016</v>
      </c>
      <c r="J1082" s="2">
        <f t="shared" ref="J1082" si="477">I1082+1</f>
        <v>2017</v>
      </c>
      <c r="K1082" s="2">
        <f t="shared" ref="K1082" si="478">J1082+1</f>
        <v>2018</v>
      </c>
      <c r="L1082" s="2">
        <f t="shared" ref="L1082" si="479">K1082+1</f>
        <v>2019</v>
      </c>
      <c r="M1082" s="2">
        <f t="shared" ref="M1082" si="480">L1082+1</f>
        <v>2020</v>
      </c>
      <c r="N1082" s="2">
        <f t="shared" ref="N1082" si="481">M1082+1</f>
        <v>2021</v>
      </c>
    </row>
    <row r="1083" spans="1:14">
      <c r="B1083" s="79" t="s">
        <v>68</v>
      </c>
      <c r="C1083" s="71"/>
      <c r="D1083" s="3"/>
      <c r="E1083" s="60">
        <f>D1083</f>
        <v>0</v>
      </c>
      <c r="F1083" s="131"/>
      <c r="G1083" s="131"/>
      <c r="H1083" s="131"/>
      <c r="I1083" s="131"/>
      <c r="J1083" s="131"/>
      <c r="K1083" s="131"/>
      <c r="L1083" s="131"/>
      <c r="M1083" s="131"/>
      <c r="N1083" s="61"/>
    </row>
    <row r="1084" spans="1:14">
      <c r="B1084" s="79" t="s">
        <v>69</v>
      </c>
      <c r="C1084" s="71"/>
      <c r="D1084" s="164">
        <f>E1084</f>
        <v>0</v>
      </c>
      <c r="E1084" s="10"/>
      <c r="F1084" s="74"/>
      <c r="G1084" s="74"/>
      <c r="H1084" s="74"/>
      <c r="I1084" s="74"/>
      <c r="J1084" s="74"/>
      <c r="K1084" s="74"/>
      <c r="L1084" s="74"/>
      <c r="M1084" s="74"/>
      <c r="N1084" s="165"/>
    </row>
    <row r="1085" spans="1:14">
      <c r="B1085" s="79" t="s">
        <v>70</v>
      </c>
      <c r="C1085" s="71"/>
      <c r="D1085" s="62"/>
      <c r="E1085" s="10">
        <f>E1069</f>
        <v>0</v>
      </c>
      <c r="F1085" s="70">
        <f>E1085</f>
        <v>0</v>
      </c>
      <c r="G1085" s="74"/>
      <c r="H1085" s="74"/>
      <c r="I1085" s="74"/>
      <c r="J1085" s="74"/>
      <c r="K1085" s="74"/>
      <c r="L1085" s="74"/>
      <c r="M1085" s="74"/>
      <c r="N1085" s="165"/>
    </row>
    <row r="1086" spans="1:14">
      <c r="B1086" s="79" t="s">
        <v>71</v>
      </c>
      <c r="C1086" s="71"/>
      <c r="D1086" s="62"/>
      <c r="E1086" s="70">
        <f>F1086</f>
        <v>0</v>
      </c>
      <c r="F1086" s="163"/>
      <c r="G1086" s="74"/>
      <c r="H1086" s="74"/>
      <c r="I1086" s="74"/>
      <c r="J1086" s="74"/>
      <c r="K1086" s="74"/>
      <c r="L1086" s="74"/>
      <c r="M1086" s="74"/>
      <c r="N1086" s="165"/>
    </row>
    <row r="1087" spans="1:14">
      <c r="B1087" s="79" t="s">
        <v>171</v>
      </c>
      <c r="C1087" s="30"/>
      <c r="D1087" s="62"/>
      <c r="E1087" s="148"/>
      <c r="F1087" s="10">
        <f>F1069</f>
        <v>0</v>
      </c>
      <c r="G1087" s="149">
        <f>F1087</f>
        <v>0</v>
      </c>
      <c r="H1087" s="74"/>
      <c r="I1087" s="74"/>
      <c r="J1087" s="74"/>
      <c r="K1087" s="74"/>
      <c r="L1087" s="74"/>
      <c r="M1087" s="74"/>
      <c r="N1087" s="165"/>
    </row>
    <row r="1088" spans="1:14">
      <c r="B1088" s="79" t="s">
        <v>172</v>
      </c>
      <c r="C1088" s="30"/>
      <c r="D1088" s="62"/>
      <c r="E1088" s="148"/>
      <c r="F1088" s="70">
        <f>G1088</f>
        <v>0</v>
      </c>
      <c r="G1088" s="10"/>
      <c r="H1088" s="74"/>
      <c r="I1088" s="74"/>
      <c r="J1088" s="74"/>
      <c r="K1088" s="74"/>
      <c r="L1088" s="74"/>
      <c r="M1088" s="74"/>
      <c r="N1088" s="165"/>
    </row>
    <row r="1089" spans="2:14">
      <c r="B1089" s="79" t="s">
        <v>173</v>
      </c>
      <c r="C1089" s="30"/>
      <c r="D1089" s="62"/>
      <c r="E1089" s="148"/>
      <c r="F1089" s="148"/>
      <c r="G1089" s="10">
        <f>G1069</f>
        <v>0</v>
      </c>
      <c r="H1089" s="149">
        <f>G1089</f>
        <v>0</v>
      </c>
      <c r="I1089" s="148"/>
      <c r="J1089" s="74"/>
      <c r="K1089" s="74"/>
      <c r="L1089" s="74"/>
      <c r="M1089" s="74"/>
      <c r="N1089" s="152"/>
    </row>
    <row r="1090" spans="2:14">
      <c r="B1090" s="79" t="s">
        <v>174</v>
      </c>
      <c r="C1090" s="30"/>
      <c r="D1090" s="62"/>
      <c r="E1090" s="148"/>
      <c r="F1090" s="148"/>
      <c r="G1090" s="70"/>
      <c r="H1090" s="10"/>
      <c r="I1090" s="148"/>
      <c r="J1090" s="74"/>
      <c r="K1090" s="74"/>
      <c r="L1090" s="74"/>
      <c r="M1090" s="74"/>
      <c r="N1090" s="152"/>
    </row>
    <row r="1091" spans="2:14">
      <c r="B1091" s="79" t="s">
        <v>175</v>
      </c>
      <c r="C1091" s="30"/>
      <c r="D1091" s="62"/>
      <c r="E1091" s="148"/>
      <c r="F1091" s="148"/>
      <c r="G1091" s="148"/>
      <c r="H1091" s="10">
        <v>0</v>
      </c>
      <c r="I1091" s="149">
        <f>H1091</f>
        <v>0</v>
      </c>
      <c r="J1091" s="74"/>
      <c r="K1091" s="74"/>
      <c r="L1091" s="74"/>
      <c r="M1091" s="74"/>
      <c r="N1091" s="152"/>
    </row>
    <row r="1092" spans="2:14">
      <c r="B1092" s="79" t="s">
        <v>176</v>
      </c>
      <c r="C1092" s="30"/>
      <c r="D1092" s="62"/>
      <c r="E1092" s="148"/>
      <c r="F1092" s="148"/>
      <c r="G1092" s="148"/>
      <c r="H1092" s="70"/>
      <c r="I1092" s="10"/>
      <c r="J1092" s="74"/>
      <c r="K1092" s="74"/>
      <c r="L1092" s="74"/>
      <c r="M1092" s="74"/>
      <c r="N1092" s="152"/>
    </row>
    <row r="1093" spans="2:14">
      <c r="B1093" s="79" t="s">
        <v>177</v>
      </c>
      <c r="C1093" s="30"/>
      <c r="D1093" s="62"/>
      <c r="E1093" s="148"/>
      <c r="F1093" s="148"/>
      <c r="G1093" s="148"/>
      <c r="H1093" s="148"/>
      <c r="I1093" s="207">
        <f>I1069</f>
        <v>0</v>
      </c>
      <c r="J1093" s="150">
        <f>I1093</f>
        <v>0</v>
      </c>
      <c r="K1093" s="74"/>
      <c r="L1093" s="74"/>
      <c r="M1093" s="74"/>
      <c r="N1093" s="152"/>
    </row>
    <row r="1094" spans="2:14">
      <c r="B1094" s="79" t="s">
        <v>168</v>
      </c>
      <c r="C1094" s="30"/>
      <c r="D1094" s="62"/>
      <c r="E1094" s="148"/>
      <c r="F1094" s="148"/>
      <c r="G1094" s="148"/>
      <c r="H1094" s="148"/>
      <c r="I1094" s="208"/>
      <c r="J1094" s="151"/>
      <c r="K1094" s="74"/>
      <c r="L1094" s="74"/>
      <c r="M1094" s="74"/>
      <c r="N1094" s="152"/>
    </row>
    <row r="1095" spans="2:14">
      <c r="B1095" s="79" t="s">
        <v>169</v>
      </c>
      <c r="C1095" s="30"/>
      <c r="D1095" s="62"/>
      <c r="E1095" s="148"/>
      <c r="F1095" s="148"/>
      <c r="G1095" s="148"/>
      <c r="H1095" s="148"/>
      <c r="I1095" s="148"/>
      <c r="J1095" s="151">
        <f>J1069</f>
        <v>0</v>
      </c>
      <c r="K1095" s="150">
        <f>J1095</f>
        <v>0</v>
      </c>
      <c r="L1095" s="74"/>
      <c r="M1095" s="74"/>
      <c r="N1095" s="152"/>
    </row>
    <row r="1096" spans="2:14">
      <c r="B1096" s="79" t="s">
        <v>186</v>
      </c>
      <c r="C1096" s="30"/>
      <c r="D1096" s="62"/>
      <c r="E1096" s="148"/>
      <c r="F1096" s="148"/>
      <c r="G1096" s="148"/>
      <c r="H1096" s="148"/>
      <c r="I1096" s="148"/>
      <c r="J1096" s="228"/>
      <c r="K1096" s="151"/>
      <c r="L1096" s="74"/>
      <c r="M1096" s="74"/>
      <c r="N1096" s="152"/>
    </row>
    <row r="1097" spans="2:14">
      <c r="B1097" s="79" t="s">
        <v>187</v>
      </c>
      <c r="C1097" s="30"/>
      <c r="D1097" s="62"/>
      <c r="E1097" s="148"/>
      <c r="F1097" s="148"/>
      <c r="G1097" s="148"/>
      <c r="H1097" s="148"/>
      <c r="I1097" s="148"/>
      <c r="J1097" s="148"/>
      <c r="K1097" s="151"/>
      <c r="L1097" s="150">
        <f>K1097</f>
        <v>0</v>
      </c>
      <c r="M1097" s="74"/>
      <c r="N1097" s="152"/>
    </row>
    <row r="1098" spans="2:14">
      <c r="B1098" s="79" t="s">
        <v>188</v>
      </c>
      <c r="C1098" s="30"/>
      <c r="D1098" s="62"/>
      <c r="E1098" s="148"/>
      <c r="F1098" s="148"/>
      <c r="G1098" s="148"/>
      <c r="H1098" s="148"/>
      <c r="I1098" s="148"/>
      <c r="J1098" s="148"/>
      <c r="K1098" s="145"/>
      <c r="L1098" s="151"/>
      <c r="M1098" s="74"/>
      <c r="N1098" s="152"/>
    </row>
    <row r="1099" spans="2:14">
      <c r="B1099" s="79" t="s">
        <v>189</v>
      </c>
      <c r="C1099" s="30"/>
      <c r="D1099" s="62"/>
      <c r="E1099" s="148"/>
      <c r="F1099" s="148"/>
      <c r="G1099" s="148"/>
      <c r="H1099" s="148"/>
      <c r="I1099" s="148"/>
      <c r="J1099" s="148"/>
      <c r="K1099" s="148"/>
      <c r="L1099" s="151"/>
      <c r="M1099" s="150">
        <f>L1099</f>
        <v>0</v>
      </c>
      <c r="N1099" s="152"/>
    </row>
    <row r="1100" spans="2:14">
      <c r="B1100" s="79" t="s">
        <v>190</v>
      </c>
      <c r="C1100" s="30"/>
      <c r="D1100" s="62"/>
      <c r="E1100" s="148"/>
      <c r="F1100" s="148"/>
      <c r="G1100" s="148"/>
      <c r="H1100" s="148"/>
      <c r="I1100" s="148"/>
      <c r="J1100" s="148"/>
      <c r="K1100" s="148"/>
      <c r="L1100" s="145">
        <f>M1069</f>
        <v>0</v>
      </c>
      <c r="M1100" s="151">
        <f>L1100</f>
        <v>0</v>
      </c>
      <c r="N1100" s="152"/>
    </row>
    <row r="1101" spans="2:14">
      <c r="B1101" s="79" t="s">
        <v>191</v>
      </c>
      <c r="C1101" s="30"/>
      <c r="D1101" s="62"/>
      <c r="E1101" s="148"/>
      <c r="F1101" s="148"/>
      <c r="G1101" s="148"/>
      <c r="H1101" s="148"/>
      <c r="I1101" s="148"/>
      <c r="J1101" s="148"/>
      <c r="K1101" s="148"/>
      <c r="L1101" s="148"/>
      <c r="M1101" s="151"/>
      <c r="N1101" s="150">
        <f>M1101</f>
        <v>0</v>
      </c>
    </row>
    <row r="1102" spans="2:14">
      <c r="B1102" s="79" t="s">
        <v>201</v>
      </c>
      <c r="C1102" s="30"/>
      <c r="D1102" s="62"/>
      <c r="E1102" s="148"/>
      <c r="F1102" s="148"/>
      <c r="G1102" s="148"/>
      <c r="H1102" s="148"/>
      <c r="I1102" s="148"/>
      <c r="J1102" s="148"/>
      <c r="K1102" s="148"/>
      <c r="L1102" s="148"/>
      <c r="M1102" s="145"/>
      <c r="N1102" s="151"/>
    </row>
    <row r="1103" spans="2:14">
      <c r="B1103" s="79" t="s">
        <v>202</v>
      </c>
      <c r="C1103" s="30"/>
      <c r="D1103" s="63"/>
      <c r="E1103" s="133"/>
      <c r="F1103" s="133"/>
      <c r="G1103" s="133"/>
      <c r="H1103" s="133"/>
      <c r="I1103" s="133"/>
      <c r="J1103" s="133"/>
      <c r="K1103" s="133"/>
      <c r="L1103" s="133"/>
      <c r="M1103" s="133"/>
      <c r="N1103" s="153"/>
    </row>
    <row r="1104" spans="2:14">
      <c r="B1104" s="33" t="s">
        <v>17</v>
      </c>
      <c r="D1104" s="218">
        <f xml:space="preserve"> D1089 - D1088</f>
        <v>0</v>
      </c>
      <c r="E1104" s="218">
        <f xml:space="preserve"> E1088 + E1091 - E1090 - E1089</f>
        <v>0</v>
      </c>
      <c r="F1104" s="218">
        <f>F1090 - F1091</f>
        <v>0</v>
      </c>
      <c r="G1104" s="218">
        <f>G1090 - G1091</f>
        <v>0</v>
      </c>
      <c r="H1104" s="218">
        <f>H1089-H1090-H1091</f>
        <v>0</v>
      </c>
      <c r="I1104" s="218">
        <f>I1091-I1092-I1093</f>
        <v>0</v>
      </c>
      <c r="J1104" s="218">
        <f>J1093-J1094-J1095</f>
        <v>0</v>
      </c>
      <c r="K1104" s="218">
        <f>K1095-K1096-K1097</f>
        <v>0</v>
      </c>
      <c r="L1104" s="218">
        <f>L1097+L1100-L1099-L1098</f>
        <v>0</v>
      </c>
      <c r="M1104" s="218">
        <f>M1099-M1100+M1102</f>
        <v>0</v>
      </c>
      <c r="N1104" s="218">
        <f>N1101-N1102-N1103</f>
        <v>0</v>
      </c>
    </row>
    <row r="1105" spans="1:15">
      <c r="B1105" s="6"/>
      <c r="D1105" s="218"/>
      <c r="E1105" s="218"/>
      <c r="F1105" s="218"/>
      <c r="G1105" s="218"/>
      <c r="H1105" s="218"/>
      <c r="I1105" s="218"/>
      <c r="J1105" s="218"/>
      <c r="K1105" s="218"/>
      <c r="L1105" s="218"/>
      <c r="M1105" s="218"/>
      <c r="N1105" s="218"/>
    </row>
    <row r="1106" spans="1:15">
      <c r="B1106" s="76" t="s">
        <v>12</v>
      </c>
      <c r="C1106" s="71"/>
      <c r="D1106" s="219"/>
      <c r="E1106" s="220"/>
      <c r="F1106" s="220"/>
      <c r="G1106" s="220"/>
      <c r="H1106" s="220"/>
      <c r="I1106" s="220"/>
      <c r="J1106" s="220"/>
      <c r="K1106" s="220"/>
      <c r="L1106" s="220"/>
      <c r="M1106" s="220"/>
      <c r="N1106" s="220"/>
    </row>
    <row r="1107" spans="1:15">
      <c r="B1107" s="6"/>
      <c r="D1107" s="218"/>
      <c r="E1107" s="218"/>
      <c r="F1107" s="218"/>
      <c r="G1107" s="218"/>
      <c r="H1107" s="218"/>
      <c r="I1107" s="218"/>
      <c r="J1107" s="218"/>
      <c r="K1107" s="218"/>
      <c r="L1107" s="218"/>
      <c r="M1107" s="218"/>
      <c r="N1107" s="218"/>
    </row>
    <row r="1108" spans="1:15" ht="18.5">
      <c r="A1108" s="41" t="s">
        <v>26</v>
      </c>
      <c r="C1108" s="71"/>
      <c r="D1108" s="221">
        <f t="shared" ref="D1108:N1108" si="482" xml:space="preserve"> D1069 + D1074 - D1080 + D1104 + D1106</f>
        <v>0</v>
      </c>
      <c r="E1108" s="222">
        <f t="shared" si="482"/>
        <v>0</v>
      </c>
      <c r="F1108" s="222">
        <f t="shared" si="482"/>
        <v>0</v>
      </c>
      <c r="G1108" s="222">
        <f t="shared" si="482"/>
        <v>0</v>
      </c>
      <c r="H1108" s="222">
        <f t="shared" si="482"/>
        <v>0</v>
      </c>
      <c r="I1108" s="222">
        <f t="shared" si="482"/>
        <v>0</v>
      </c>
      <c r="J1108" s="222">
        <f t="shared" si="482"/>
        <v>0</v>
      </c>
      <c r="K1108" s="222">
        <f t="shared" si="482"/>
        <v>0</v>
      </c>
      <c r="L1108" s="222">
        <f t="shared" si="482"/>
        <v>0</v>
      </c>
      <c r="M1108" s="222">
        <f t="shared" si="482"/>
        <v>0</v>
      </c>
      <c r="N1108" s="222">
        <f t="shared" si="482"/>
        <v>11265.064591864309</v>
      </c>
      <c r="O1108" s="276"/>
    </row>
    <row r="1109" spans="1:15" ht="15" thickBot="1"/>
    <row r="1110" spans="1:15">
      <c r="A1110" s="8"/>
      <c r="B1110" s="8"/>
      <c r="C1110" s="8"/>
      <c r="D1110" s="8"/>
      <c r="E1110" s="8"/>
      <c r="F1110" s="8"/>
      <c r="G1110" s="8"/>
      <c r="H1110" s="8"/>
      <c r="I1110" s="8"/>
      <c r="J1110" s="30"/>
      <c r="K1110" s="30"/>
      <c r="L1110" s="30"/>
      <c r="M1110" s="30"/>
      <c r="N1110" s="30"/>
      <c r="O1110" s="30"/>
    </row>
    <row r="1111" spans="1:15" ht="15" thickBot="1">
      <c r="O1111" s="30"/>
    </row>
    <row r="1112" spans="1:15" ht="21.5" thickBot="1">
      <c r="A1112" s="13" t="s">
        <v>4</v>
      </c>
      <c r="C1112" s="297" t="s">
        <v>128</v>
      </c>
      <c r="D1112" s="310"/>
      <c r="E1112" s="23"/>
      <c r="F1112" s="23"/>
      <c r="O1112" s="30"/>
    </row>
    <row r="1113" spans="1:15">
      <c r="O1113" s="30"/>
    </row>
    <row r="1114" spans="1:15" ht="18.5">
      <c r="A1114" s="9" t="s">
        <v>21</v>
      </c>
      <c r="D1114" s="2">
        <f>'Facility Detail'!$B$3082</f>
        <v>2011</v>
      </c>
      <c r="E1114" s="2">
        <f t="shared" ref="E1114" si="483">D1114+1</f>
        <v>2012</v>
      </c>
      <c r="F1114" s="2">
        <f t="shared" ref="F1114" si="484">E1114+1</f>
        <v>2013</v>
      </c>
      <c r="G1114" s="2">
        <f t="shared" ref="G1114" si="485">F1114+1</f>
        <v>2014</v>
      </c>
      <c r="H1114" s="2">
        <f t="shared" ref="H1114" si="486">G1114+1</f>
        <v>2015</v>
      </c>
      <c r="I1114" s="2">
        <f t="shared" ref="I1114" si="487">H1114+1</f>
        <v>2016</v>
      </c>
      <c r="J1114" s="2">
        <f t="shared" ref="J1114" si="488">I1114+1</f>
        <v>2017</v>
      </c>
      <c r="K1114" s="2">
        <f t="shared" ref="K1114" si="489">J1114+1</f>
        <v>2018</v>
      </c>
      <c r="L1114" s="2">
        <f t="shared" ref="L1114" si="490">K1114+1</f>
        <v>2019</v>
      </c>
      <c r="M1114" s="2">
        <f t="shared" ref="M1114" si="491">L1114+1</f>
        <v>2020</v>
      </c>
      <c r="N1114" s="2">
        <f t="shared" ref="N1114" si="492">M1114+1</f>
        <v>2021</v>
      </c>
      <c r="O1114" s="30"/>
    </row>
    <row r="1115" spans="1:15">
      <c r="B1115" s="79" t="str">
        <f>"Total MWh Produced / Purchased from " &amp; C1112</f>
        <v>Total MWh Produced / Purchased from Goodnoe Hills</v>
      </c>
      <c r="C1115" s="71"/>
      <c r="D1115" s="89">
        <v>239431</v>
      </c>
      <c r="E1115" s="90">
        <v>221156</v>
      </c>
      <c r="F1115" s="90">
        <v>227258</v>
      </c>
      <c r="G1115" s="90">
        <v>216762</v>
      </c>
      <c r="H1115" s="90">
        <v>186746</v>
      </c>
      <c r="I1115" s="90">
        <v>223899</v>
      </c>
      <c r="J1115" s="225">
        <v>191917</v>
      </c>
      <c r="K1115" s="225">
        <v>230513</v>
      </c>
      <c r="L1115" s="225">
        <v>57616</v>
      </c>
      <c r="M1115" s="280">
        <v>326836</v>
      </c>
      <c r="N1115" s="280">
        <v>256134</v>
      </c>
      <c r="O1115" s="30"/>
    </row>
    <row r="1116" spans="1:15">
      <c r="B1116" s="79" t="s">
        <v>25</v>
      </c>
      <c r="C1116" s="71"/>
      <c r="D1116" s="210">
        <v>1</v>
      </c>
      <c r="E1116" s="211">
        <v>1</v>
      </c>
      <c r="F1116" s="212">
        <v>1</v>
      </c>
      <c r="G1116" s="211">
        <v>1</v>
      </c>
      <c r="H1116" s="211">
        <v>1</v>
      </c>
      <c r="I1116" s="211">
        <v>1</v>
      </c>
      <c r="J1116" s="211">
        <v>1</v>
      </c>
      <c r="K1116" s="211">
        <v>1</v>
      </c>
      <c r="L1116" s="211">
        <v>1</v>
      </c>
      <c r="M1116" s="281">
        <v>1</v>
      </c>
      <c r="N1116" s="281">
        <v>1</v>
      </c>
      <c r="O1116" s="30"/>
    </row>
    <row r="1117" spans="1:15">
      <c r="B1117" s="79" t="s">
        <v>20</v>
      </c>
      <c r="C1117" s="71"/>
      <c r="D1117" s="213">
        <v>7.8921000000000005E-2</v>
      </c>
      <c r="E1117" s="214">
        <v>7.9619999999999996E-2</v>
      </c>
      <c r="F1117" s="214">
        <v>7.8747999999999999E-2</v>
      </c>
      <c r="G1117" s="214">
        <v>8.0235000000000001E-2</v>
      </c>
      <c r="H1117" s="214">
        <v>8.0535999999999996E-2</v>
      </c>
      <c r="I1117" s="214">
        <v>8.1698151927344531E-2</v>
      </c>
      <c r="J1117" s="214">
        <v>8.0833713568703974E-2</v>
      </c>
      <c r="K1117" s="214">
        <v>7.9451999999999995E-2</v>
      </c>
      <c r="L1117" s="214">
        <v>7.6724662968274293E-2</v>
      </c>
      <c r="M1117" s="282">
        <f>M1019</f>
        <v>8.1268700519883177E-2</v>
      </c>
      <c r="N1117" s="282">
        <f>N1019</f>
        <v>8.0780946790754593E-2</v>
      </c>
      <c r="O1117" s="30"/>
    </row>
    <row r="1118" spans="1:15">
      <c r="B1118" s="76" t="s">
        <v>22</v>
      </c>
      <c r="C1118" s="77"/>
      <c r="D1118" s="251">
        <v>18896</v>
      </c>
      <c r="E1118" s="251">
        <v>17608</v>
      </c>
      <c r="F1118" s="251">
        <v>17896</v>
      </c>
      <c r="G1118" s="251">
        <v>17392</v>
      </c>
      <c r="H1118" s="251">
        <v>15039</v>
      </c>
      <c r="I1118" s="251">
        <v>18292</v>
      </c>
      <c r="J1118" s="252">
        <v>15514</v>
      </c>
      <c r="K1118" s="252">
        <v>18315</v>
      </c>
      <c r="L1118" s="252">
        <f t="shared" ref="L1118:N1118" si="493">L1115 * L1116 * L1117</f>
        <v>4420.5681815800917</v>
      </c>
      <c r="M1118" s="252">
        <f t="shared" si="493"/>
        <v>26561.537003116537</v>
      </c>
      <c r="N1118" s="252">
        <f t="shared" si="493"/>
        <v>20690.747025303135</v>
      </c>
      <c r="O1118" s="30"/>
    </row>
    <row r="1119" spans="1:15">
      <c r="B1119" s="23"/>
      <c r="C1119" s="30"/>
      <c r="D1119" s="36"/>
      <c r="E1119" s="36"/>
      <c r="F1119" s="36"/>
      <c r="G1119" s="24"/>
      <c r="H1119" s="24"/>
      <c r="I1119" s="24"/>
      <c r="J1119" s="24"/>
      <c r="K1119" s="24"/>
      <c r="L1119" s="263"/>
      <c r="M1119" s="24"/>
      <c r="N1119" s="24"/>
      <c r="O1119" s="30"/>
    </row>
    <row r="1120" spans="1:15" ht="18.5">
      <c r="A1120" s="42" t="s">
        <v>119</v>
      </c>
      <c r="C1120" s="30"/>
      <c r="D1120" s="2">
        <f t="shared" ref="D1120:N1120" si="494">D1114</f>
        <v>2011</v>
      </c>
      <c r="E1120" s="2">
        <f t="shared" si="494"/>
        <v>2012</v>
      </c>
      <c r="F1120" s="2">
        <f t="shared" si="494"/>
        <v>2013</v>
      </c>
      <c r="G1120" s="2">
        <f t="shared" si="494"/>
        <v>2014</v>
      </c>
      <c r="H1120" s="2">
        <f t="shared" si="494"/>
        <v>2015</v>
      </c>
      <c r="I1120" s="2">
        <f t="shared" si="494"/>
        <v>2016</v>
      </c>
      <c r="J1120" s="2">
        <f t="shared" si="494"/>
        <v>2017</v>
      </c>
      <c r="K1120" s="2">
        <f t="shared" si="494"/>
        <v>2018</v>
      </c>
      <c r="L1120" s="2">
        <f t="shared" si="494"/>
        <v>2019</v>
      </c>
      <c r="M1120" s="2">
        <f t="shared" si="494"/>
        <v>2020</v>
      </c>
      <c r="N1120" s="2">
        <f t="shared" si="494"/>
        <v>2021</v>
      </c>
      <c r="O1120" s="30"/>
    </row>
    <row r="1121" spans="1:15">
      <c r="B1121" s="79" t="s">
        <v>10</v>
      </c>
      <c r="C1121" s="71"/>
      <c r="D1121" s="51">
        <f>IF($E24 = "Eligible", D1118 * 'Facility Detail'!$B$3079, 0 )</f>
        <v>0</v>
      </c>
      <c r="E1121" s="51">
        <f>IF($E24 = "Eligible", E1118 * 'Facility Detail'!$B$3079, 0 )</f>
        <v>0</v>
      </c>
      <c r="F1121" s="51">
        <f>IF($E24 = "Eligible", F1118 * 'Facility Detail'!$B$3079, 0 )</f>
        <v>0</v>
      </c>
      <c r="G1121" s="51">
        <f>IF($E24 = "Eligible", G1118 * 'Facility Detail'!$B$3079, 0 )</f>
        <v>0</v>
      </c>
      <c r="H1121" s="51">
        <f>IF($E24 = "Eligible", H1118 * 'Facility Detail'!$B$3079, 0 )</f>
        <v>0</v>
      </c>
      <c r="I1121" s="51">
        <f>IF($E24 = "Eligible", I1118 * 'Facility Detail'!$B$3079, 0 )</f>
        <v>0</v>
      </c>
      <c r="J1121" s="51">
        <f>IF($E24 = "Eligible", J1118 * 'Facility Detail'!$B$3079, 0 )</f>
        <v>0</v>
      </c>
      <c r="K1121" s="51">
        <f>IF($E24 = "Eligible", K1118 * 'Facility Detail'!$B$3079, 0 )</f>
        <v>0</v>
      </c>
      <c r="L1121" s="51">
        <f>IF($E24 = "Eligible", L1118 * 'Facility Detail'!$B$3079, 0 )</f>
        <v>0</v>
      </c>
      <c r="M1121" s="51">
        <f>IF($E24 = "Eligible", M1118 * 'Facility Detail'!$B$3079, 0 )</f>
        <v>0</v>
      </c>
      <c r="N1121" s="51">
        <f>IF($E24 = "Eligible", N1118 * 'Facility Detail'!$B$3079, 0 )</f>
        <v>0</v>
      </c>
      <c r="O1121" s="30"/>
    </row>
    <row r="1122" spans="1:15">
      <c r="B1122" s="79" t="s">
        <v>6</v>
      </c>
      <c r="C1122" s="71"/>
      <c r="D1122" s="52">
        <f t="shared" ref="D1122:N1122" si="495">IF($F24= "Eligible", D1118, 0 )</f>
        <v>0</v>
      </c>
      <c r="E1122" s="52">
        <f t="shared" si="495"/>
        <v>0</v>
      </c>
      <c r="F1122" s="52">
        <f t="shared" si="495"/>
        <v>0</v>
      </c>
      <c r="G1122" s="52">
        <f t="shared" si="495"/>
        <v>0</v>
      </c>
      <c r="H1122" s="52">
        <f t="shared" si="495"/>
        <v>0</v>
      </c>
      <c r="I1122" s="52">
        <f t="shared" si="495"/>
        <v>0</v>
      </c>
      <c r="J1122" s="52">
        <f t="shared" si="495"/>
        <v>0</v>
      </c>
      <c r="K1122" s="52">
        <f t="shared" si="495"/>
        <v>0</v>
      </c>
      <c r="L1122" s="52">
        <f t="shared" si="495"/>
        <v>0</v>
      </c>
      <c r="M1122" s="52">
        <f t="shared" si="495"/>
        <v>0</v>
      </c>
      <c r="N1122" s="52">
        <f t="shared" si="495"/>
        <v>0</v>
      </c>
      <c r="O1122" s="30"/>
    </row>
    <row r="1123" spans="1:15">
      <c r="B1123" s="78" t="s">
        <v>121</v>
      </c>
      <c r="C1123" s="77"/>
      <c r="D1123" s="39">
        <f>SUM(D1121:D1122)</f>
        <v>0</v>
      </c>
      <c r="E1123" s="39">
        <f t="shared" ref="E1123:N1123" si="496">SUM(E1121:E1122)</f>
        <v>0</v>
      </c>
      <c r="F1123" s="39">
        <f t="shared" si="496"/>
        <v>0</v>
      </c>
      <c r="G1123" s="39">
        <f t="shared" si="496"/>
        <v>0</v>
      </c>
      <c r="H1123" s="39">
        <f t="shared" si="496"/>
        <v>0</v>
      </c>
      <c r="I1123" s="39">
        <f t="shared" si="496"/>
        <v>0</v>
      </c>
      <c r="J1123" s="39">
        <f t="shared" si="496"/>
        <v>0</v>
      </c>
      <c r="K1123" s="39">
        <f t="shared" si="496"/>
        <v>0</v>
      </c>
      <c r="L1123" s="39">
        <f t="shared" si="496"/>
        <v>0</v>
      </c>
      <c r="M1123" s="39">
        <f t="shared" si="496"/>
        <v>0</v>
      </c>
      <c r="N1123" s="39">
        <f t="shared" si="496"/>
        <v>0</v>
      </c>
      <c r="O1123" s="30"/>
    </row>
    <row r="1124" spans="1:15">
      <c r="B1124" s="30"/>
      <c r="C1124" s="30"/>
      <c r="D1124" s="38"/>
      <c r="E1124" s="31"/>
      <c r="F1124" s="31"/>
      <c r="G1124" s="24"/>
      <c r="H1124" s="24"/>
      <c r="I1124" s="24"/>
      <c r="J1124" s="24"/>
      <c r="K1124" s="24"/>
      <c r="L1124" s="24"/>
      <c r="M1124" s="24"/>
      <c r="N1124" s="24"/>
      <c r="O1124" s="30"/>
    </row>
    <row r="1125" spans="1:15" ht="18.5">
      <c r="A1125" s="41" t="s">
        <v>30</v>
      </c>
      <c r="C1125" s="30"/>
      <c r="D1125" s="2">
        <f t="shared" ref="D1125:N1125" si="497">D1114</f>
        <v>2011</v>
      </c>
      <c r="E1125" s="2">
        <f t="shared" si="497"/>
        <v>2012</v>
      </c>
      <c r="F1125" s="2">
        <f t="shared" si="497"/>
        <v>2013</v>
      </c>
      <c r="G1125" s="2">
        <f t="shared" si="497"/>
        <v>2014</v>
      </c>
      <c r="H1125" s="2">
        <f t="shared" si="497"/>
        <v>2015</v>
      </c>
      <c r="I1125" s="168">
        <f t="shared" si="497"/>
        <v>2016</v>
      </c>
      <c r="J1125" s="168">
        <f t="shared" si="497"/>
        <v>2017</v>
      </c>
      <c r="K1125" s="168">
        <f t="shared" si="497"/>
        <v>2018</v>
      </c>
      <c r="L1125" s="168">
        <f t="shared" si="497"/>
        <v>2019</v>
      </c>
      <c r="M1125" s="168">
        <f t="shared" si="497"/>
        <v>2020</v>
      </c>
      <c r="N1125" s="168">
        <f t="shared" si="497"/>
        <v>2021</v>
      </c>
      <c r="O1125" s="30"/>
    </row>
    <row r="1126" spans="1:15">
      <c r="B1126" s="79" t="s">
        <v>47</v>
      </c>
      <c r="C1126" s="30"/>
      <c r="D1126" s="89"/>
      <c r="E1126" s="90"/>
      <c r="F1126" s="90"/>
      <c r="G1126" s="90"/>
      <c r="H1126" s="90"/>
      <c r="I1126" s="90"/>
      <c r="J1126" s="90"/>
      <c r="K1126" s="90"/>
      <c r="L1126" s="90"/>
      <c r="M1126" s="91"/>
      <c r="N1126" s="91"/>
      <c r="O1126" s="30"/>
    </row>
    <row r="1127" spans="1:15">
      <c r="B1127" s="80" t="s">
        <v>23</v>
      </c>
      <c r="C1127" s="173"/>
      <c r="D1127" s="92"/>
      <c r="E1127" s="93"/>
      <c r="F1127" s="93"/>
      <c r="G1127" s="93"/>
      <c r="H1127" s="93"/>
      <c r="I1127" s="93"/>
      <c r="J1127" s="93"/>
      <c r="K1127" s="93"/>
      <c r="L1127" s="93"/>
      <c r="M1127" s="94"/>
      <c r="N1127" s="94"/>
      <c r="O1127" s="30"/>
    </row>
    <row r="1128" spans="1:15">
      <c r="B1128" s="95" t="s">
        <v>89</v>
      </c>
      <c r="C1128" s="173"/>
      <c r="D1128" s="57"/>
      <c r="E1128" s="58"/>
      <c r="F1128" s="58"/>
      <c r="G1128" s="58"/>
      <c r="H1128" s="58"/>
      <c r="I1128" s="58"/>
      <c r="J1128" s="58"/>
      <c r="K1128" s="58"/>
      <c r="L1128" s="58"/>
      <c r="M1128" s="59"/>
      <c r="N1128" s="59"/>
      <c r="O1128" s="30"/>
    </row>
    <row r="1129" spans="1:15">
      <c r="B1129" s="33" t="s">
        <v>90</v>
      </c>
      <c r="D1129" s="7">
        <f t="shared" ref="D1129:N1129" si="498">SUM(D1126:D1128)</f>
        <v>0</v>
      </c>
      <c r="E1129" s="7">
        <f t="shared" si="498"/>
        <v>0</v>
      </c>
      <c r="F1129" s="7">
        <f t="shared" si="498"/>
        <v>0</v>
      </c>
      <c r="G1129" s="7">
        <f t="shared" si="498"/>
        <v>0</v>
      </c>
      <c r="H1129" s="7">
        <f t="shared" si="498"/>
        <v>0</v>
      </c>
      <c r="I1129" s="180">
        <f t="shared" si="498"/>
        <v>0</v>
      </c>
      <c r="J1129" s="180">
        <f t="shared" si="498"/>
        <v>0</v>
      </c>
      <c r="K1129" s="180">
        <f t="shared" si="498"/>
        <v>0</v>
      </c>
      <c r="L1129" s="180">
        <f t="shared" si="498"/>
        <v>0</v>
      </c>
      <c r="M1129" s="180">
        <f t="shared" si="498"/>
        <v>0</v>
      </c>
      <c r="N1129" s="180">
        <f t="shared" si="498"/>
        <v>0</v>
      </c>
      <c r="O1129" s="30"/>
    </row>
    <row r="1130" spans="1:15">
      <c r="B1130" s="6"/>
      <c r="D1130" s="7"/>
      <c r="E1130" s="7"/>
      <c r="F1130" s="7"/>
      <c r="G1130" s="28"/>
      <c r="H1130" s="28"/>
      <c r="I1130" s="28"/>
      <c r="J1130" s="28"/>
      <c r="K1130" s="28"/>
      <c r="L1130" s="28"/>
      <c r="M1130" s="28"/>
      <c r="N1130" s="28"/>
      <c r="O1130" s="30"/>
    </row>
    <row r="1131" spans="1:15" ht="18.5">
      <c r="A1131" s="9" t="s">
        <v>100</v>
      </c>
      <c r="D1131" s="169">
        <f>'Facility Detail'!$B$3082</f>
        <v>2011</v>
      </c>
      <c r="E1131" s="169">
        <f t="shared" ref="E1131" si="499">D1131+1</f>
        <v>2012</v>
      </c>
      <c r="F1131" s="169">
        <f t="shared" ref="F1131" si="500">E1131+1</f>
        <v>2013</v>
      </c>
      <c r="G1131" s="169">
        <f t="shared" ref="G1131" si="501">F1131+1</f>
        <v>2014</v>
      </c>
      <c r="H1131" s="169">
        <f t="shared" ref="H1131" si="502">G1131+1</f>
        <v>2015</v>
      </c>
      <c r="I1131" s="169">
        <f t="shared" ref="I1131" si="503">H1131+1</f>
        <v>2016</v>
      </c>
      <c r="J1131" s="169">
        <f t="shared" ref="J1131" si="504">I1131+1</f>
        <v>2017</v>
      </c>
      <c r="K1131" s="169">
        <f t="shared" ref="K1131" si="505">J1131+1</f>
        <v>2018</v>
      </c>
      <c r="L1131" s="169">
        <f t="shared" ref="L1131" si="506">K1131+1</f>
        <v>2019</v>
      </c>
      <c r="M1131" s="169">
        <f t="shared" ref="M1131" si="507">L1131+1</f>
        <v>2020</v>
      </c>
      <c r="N1131" s="169">
        <f t="shared" ref="N1131" si="508">M1131+1</f>
        <v>2021</v>
      </c>
      <c r="O1131" s="30"/>
    </row>
    <row r="1132" spans="1:15">
      <c r="B1132" s="79" t="str">
        <f xml:space="preserve"> 'Facility Detail'!$B$3082 &amp; " Surplus Applied to " &amp; ( 'Facility Detail'!$B$3082 + 1 )</f>
        <v>2011 Surplus Applied to 2012</v>
      </c>
      <c r="C1132" s="30"/>
      <c r="D1132" s="3">
        <f>D1118</f>
        <v>18896</v>
      </c>
      <c r="E1132" s="60">
        <f>D1132</f>
        <v>18896</v>
      </c>
      <c r="F1132" s="131"/>
      <c r="G1132" s="131"/>
      <c r="H1132" s="131"/>
      <c r="I1132" s="131"/>
      <c r="J1132" s="131"/>
      <c r="K1132" s="131"/>
      <c r="L1132" s="131"/>
      <c r="M1132" s="131"/>
      <c r="N1132" s="61"/>
      <c r="O1132" s="30"/>
    </row>
    <row r="1133" spans="1:15">
      <c r="B1133" s="79" t="str">
        <f xml:space="preserve"> ( 'Facility Detail'!$B$3082 + 1 ) &amp; " Surplus Applied to " &amp; ( 'Facility Detail'!$B$3082 )</f>
        <v>2012 Surplus Applied to 2011</v>
      </c>
      <c r="C1133" s="30"/>
      <c r="D1133" s="164">
        <f>E1133</f>
        <v>0</v>
      </c>
      <c r="E1133" s="10"/>
      <c r="F1133" s="74"/>
      <c r="G1133" s="74"/>
      <c r="H1133" s="74"/>
      <c r="I1133" s="74"/>
      <c r="J1133" s="74"/>
      <c r="K1133" s="74"/>
      <c r="L1133" s="74"/>
      <c r="M1133" s="74"/>
      <c r="N1133" s="165"/>
      <c r="O1133" s="30"/>
    </row>
    <row r="1134" spans="1:15">
      <c r="B1134" s="79" t="str">
        <f xml:space="preserve"> ( 'Facility Detail'!$B$3082 + 1 ) &amp; " Surplus Applied to " &amp; ( 'Facility Detail'!$B$3082 + 2 )</f>
        <v>2012 Surplus Applied to 2013</v>
      </c>
      <c r="C1134" s="30"/>
      <c r="D1134" s="62"/>
      <c r="E1134" s="10">
        <f>E1118</f>
        <v>17608</v>
      </c>
      <c r="F1134" s="70">
        <f>E1134</f>
        <v>17608</v>
      </c>
      <c r="G1134" s="74"/>
      <c r="H1134" s="74"/>
      <c r="I1134" s="74"/>
      <c r="J1134" s="74"/>
      <c r="K1134" s="74"/>
      <c r="L1134" s="74"/>
      <c r="M1134" s="74"/>
      <c r="N1134" s="165"/>
      <c r="O1134" s="30"/>
    </row>
    <row r="1135" spans="1:15">
      <c r="B1135" s="79" t="str">
        <f xml:space="preserve"> ( 'Facility Detail'!$B$3082 + 2 ) &amp; " Surplus Applied to " &amp; ( 'Facility Detail'!$B$3082 + 1 )</f>
        <v>2013 Surplus Applied to 2012</v>
      </c>
      <c r="C1135" s="30"/>
      <c r="D1135" s="62"/>
      <c r="E1135" s="70">
        <f>F1135</f>
        <v>0</v>
      </c>
      <c r="F1135" s="163"/>
      <c r="G1135" s="74"/>
      <c r="H1135" s="74"/>
      <c r="I1135" s="74"/>
      <c r="J1135" s="74"/>
      <c r="K1135" s="74"/>
      <c r="L1135" s="74"/>
      <c r="M1135" s="74"/>
      <c r="N1135" s="165"/>
      <c r="O1135" s="30"/>
    </row>
    <row r="1136" spans="1:15">
      <c r="B1136" s="79" t="str">
        <f xml:space="preserve"> ( 'Facility Detail'!$B$3082 + 2 ) &amp; " Surplus Applied to " &amp; ( 'Facility Detail'!$B$3082 + 3 )</f>
        <v>2013 Surplus Applied to 2014</v>
      </c>
      <c r="C1136" s="30"/>
      <c r="D1136" s="62"/>
      <c r="E1136" s="148"/>
      <c r="F1136" s="10">
        <f>F1118</f>
        <v>17896</v>
      </c>
      <c r="G1136" s="149">
        <f>F1136</f>
        <v>17896</v>
      </c>
      <c r="H1136" s="74"/>
      <c r="I1136" s="74"/>
      <c r="J1136" s="74"/>
      <c r="K1136" s="74"/>
      <c r="L1136" s="74"/>
      <c r="M1136" s="74"/>
      <c r="N1136" s="165"/>
      <c r="O1136" s="30"/>
    </row>
    <row r="1137" spans="2:15">
      <c r="B1137" s="79" t="str">
        <f xml:space="preserve"> ( 'Facility Detail'!$B$3082 + 3 ) &amp; " Surplus Applied to " &amp; ( 'Facility Detail'!$B$3082 + 2 )</f>
        <v>2014 Surplus Applied to 2013</v>
      </c>
      <c r="C1137" s="30"/>
      <c r="D1137" s="62"/>
      <c r="E1137" s="148"/>
      <c r="F1137" s="70">
        <f>G1137</f>
        <v>0</v>
      </c>
      <c r="G1137" s="10"/>
      <c r="H1137" s="74"/>
      <c r="I1137" s="74"/>
      <c r="J1137" s="74"/>
      <c r="K1137" s="74"/>
      <c r="L1137" s="74"/>
      <c r="M1137" s="74"/>
      <c r="N1137" s="165"/>
      <c r="O1137" s="30"/>
    </row>
    <row r="1138" spans="2:15">
      <c r="B1138" s="79" t="str">
        <f xml:space="preserve"> ( 'Facility Detail'!$B$3082 + 3 ) &amp; " Surplus Applied to " &amp; ( 'Facility Detail'!$B$3082 + 4 )</f>
        <v>2014 Surplus Applied to 2015</v>
      </c>
      <c r="C1138" s="30"/>
      <c r="D1138" s="62"/>
      <c r="E1138" s="148"/>
      <c r="F1138" s="148"/>
      <c r="G1138" s="10">
        <f>G1118-6158</f>
        <v>11234</v>
      </c>
      <c r="H1138" s="149">
        <f>G1138</f>
        <v>11234</v>
      </c>
      <c r="I1138" s="148"/>
      <c r="J1138" s="74"/>
      <c r="K1138" s="74"/>
      <c r="L1138" s="74"/>
      <c r="M1138" s="74"/>
      <c r="N1138" s="152"/>
      <c r="O1138" s="30"/>
    </row>
    <row r="1139" spans="2:15">
      <c r="B1139" s="79" t="str">
        <f xml:space="preserve"> ( 'Facility Detail'!$B$3082 + 4 ) &amp; " Surplus Applied to " &amp; ( 'Facility Detail'!$B$3082 + 3 )</f>
        <v>2015 Surplus Applied to 2014</v>
      </c>
      <c r="C1139" s="30"/>
      <c r="D1139" s="62"/>
      <c r="E1139" s="148"/>
      <c r="F1139" s="148"/>
      <c r="G1139" s="70">
        <f>H1139</f>
        <v>0</v>
      </c>
      <c r="H1139" s="10"/>
      <c r="I1139" s="148"/>
      <c r="J1139" s="74"/>
      <c r="K1139" s="74"/>
      <c r="L1139" s="74"/>
      <c r="M1139" s="74"/>
      <c r="N1139" s="152"/>
      <c r="O1139" s="30"/>
    </row>
    <row r="1140" spans="2:15">
      <c r="B1140" s="79" t="str">
        <f xml:space="preserve"> ( 'Facility Detail'!$B$3082 + 4 ) &amp; " Surplus Applied to " &amp; ( 'Facility Detail'!$B$3082 + 5 )</f>
        <v>2015 Surplus Applied to 2016</v>
      </c>
      <c r="C1140" s="30"/>
      <c r="D1140" s="62"/>
      <c r="E1140" s="148"/>
      <c r="F1140" s="148"/>
      <c r="G1140" s="148"/>
      <c r="H1140" s="10">
        <v>5383</v>
      </c>
      <c r="I1140" s="149">
        <f>H1140</f>
        <v>5383</v>
      </c>
      <c r="J1140" s="74"/>
      <c r="K1140" s="74"/>
      <c r="L1140" s="74"/>
      <c r="M1140" s="74"/>
      <c r="N1140" s="152"/>
      <c r="O1140" s="30"/>
    </row>
    <row r="1141" spans="2:15">
      <c r="B1141" s="79" t="str">
        <f xml:space="preserve"> ( 'Facility Detail'!$B$3082 + 5 ) &amp; " Surplus Applied to " &amp; ( 'Facility Detail'!$B$3082 + 4 )</f>
        <v>2016 Surplus Applied to 2015</v>
      </c>
      <c r="C1141" s="30"/>
      <c r="D1141" s="62"/>
      <c r="E1141" s="148"/>
      <c r="F1141" s="148"/>
      <c r="G1141" s="148"/>
      <c r="H1141" s="70">
        <f>I1141</f>
        <v>0</v>
      </c>
      <c r="I1141" s="10"/>
      <c r="J1141" s="74"/>
      <c r="K1141" s="74"/>
      <c r="L1141" s="74"/>
      <c r="M1141" s="74"/>
      <c r="N1141" s="152"/>
      <c r="O1141" s="30"/>
    </row>
    <row r="1142" spans="2:15">
      <c r="B1142" s="79" t="str">
        <f xml:space="preserve"> ( 'Facility Detail'!$B$3082 + 5 ) &amp; " Surplus Applied to " &amp; ( 'Facility Detail'!$B$3082 + 6 )</f>
        <v>2016 Surplus Applied to 2017</v>
      </c>
      <c r="C1142" s="30"/>
      <c r="D1142" s="62"/>
      <c r="E1142" s="148"/>
      <c r="F1142" s="148"/>
      <c r="G1142" s="148"/>
      <c r="H1142" s="148"/>
      <c r="I1142" s="207"/>
      <c r="J1142" s="150">
        <f>I1142</f>
        <v>0</v>
      </c>
      <c r="K1142" s="74"/>
      <c r="L1142" s="74"/>
      <c r="M1142" s="74"/>
      <c r="N1142" s="152"/>
      <c r="O1142" s="30"/>
    </row>
    <row r="1143" spans="2:15">
      <c r="B1143" s="79" t="s">
        <v>168</v>
      </c>
      <c r="C1143" s="30"/>
      <c r="D1143" s="62"/>
      <c r="E1143" s="148"/>
      <c r="F1143" s="148"/>
      <c r="G1143" s="148"/>
      <c r="H1143" s="148"/>
      <c r="I1143" s="208">
        <f>J1143</f>
        <v>0</v>
      </c>
      <c r="J1143" s="151"/>
      <c r="K1143" s="74"/>
      <c r="L1143" s="74"/>
      <c r="M1143" s="74"/>
      <c r="N1143" s="152"/>
      <c r="O1143" s="30"/>
    </row>
    <row r="1144" spans="2:15">
      <c r="B1144" s="79" t="s">
        <v>169</v>
      </c>
      <c r="C1144" s="30"/>
      <c r="D1144" s="62"/>
      <c r="E1144" s="148"/>
      <c r="F1144" s="148"/>
      <c r="G1144" s="148"/>
      <c r="H1144" s="148"/>
      <c r="I1144" s="148"/>
      <c r="J1144" s="151"/>
      <c r="K1144" s="150">
        <f>J1144</f>
        <v>0</v>
      </c>
      <c r="L1144" s="74"/>
      <c r="M1144" s="74"/>
      <c r="N1144" s="152"/>
      <c r="O1144" s="30"/>
    </row>
    <row r="1145" spans="2:15">
      <c r="B1145" s="79" t="s">
        <v>186</v>
      </c>
      <c r="C1145" s="30"/>
      <c r="D1145" s="62"/>
      <c r="E1145" s="148"/>
      <c r="F1145" s="148"/>
      <c r="G1145" s="148"/>
      <c r="H1145" s="148"/>
      <c r="I1145" s="148"/>
      <c r="J1145" s="228">
        <f>K1145</f>
        <v>0</v>
      </c>
      <c r="K1145" s="151"/>
      <c r="L1145" s="74"/>
      <c r="M1145" s="74"/>
      <c r="N1145" s="152"/>
      <c r="O1145" s="30"/>
    </row>
    <row r="1146" spans="2:15">
      <c r="B1146" s="79" t="s">
        <v>187</v>
      </c>
      <c r="C1146" s="30"/>
      <c r="D1146" s="62"/>
      <c r="E1146" s="148"/>
      <c r="F1146" s="148"/>
      <c r="G1146" s="148"/>
      <c r="H1146" s="148"/>
      <c r="I1146" s="148"/>
      <c r="J1146" s="148"/>
      <c r="K1146" s="151"/>
      <c r="L1146" s="150">
        <f>K1146</f>
        <v>0</v>
      </c>
      <c r="M1146" s="74"/>
      <c r="N1146" s="152"/>
      <c r="O1146" s="30"/>
    </row>
    <row r="1147" spans="2:15">
      <c r="B1147" s="79" t="s">
        <v>188</v>
      </c>
      <c r="C1147" s="30"/>
      <c r="D1147" s="62"/>
      <c r="E1147" s="148"/>
      <c r="F1147" s="148"/>
      <c r="G1147" s="148"/>
      <c r="H1147" s="148"/>
      <c r="I1147" s="148"/>
      <c r="J1147" s="148"/>
      <c r="K1147" s="228">
        <f>L1147</f>
        <v>0</v>
      </c>
      <c r="L1147" s="151"/>
      <c r="M1147" s="74"/>
      <c r="N1147" s="152"/>
      <c r="O1147" s="30"/>
    </row>
    <row r="1148" spans="2:15">
      <c r="B1148" s="79" t="s">
        <v>189</v>
      </c>
      <c r="C1148" s="30"/>
      <c r="D1148" s="62"/>
      <c r="E1148" s="148"/>
      <c r="F1148" s="148"/>
      <c r="G1148" s="148"/>
      <c r="H1148" s="148"/>
      <c r="I1148" s="148"/>
      <c r="J1148" s="148"/>
      <c r="K1148" s="148"/>
      <c r="L1148" s="151"/>
      <c r="M1148" s="150">
        <f>L1148</f>
        <v>0</v>
      </c>
      <c r="N1148" s="148"/>
      <c r="O1148" s="30"/>
    </row>
    <row r="1149" spans="2:15">
      <c r="B1149" s="79" t="s">
        <v>190</v>
      </c>
      <c r="C1149" s="30"/>
      <c r="D1149" s="62"/>
      <c r="E1149" s="148"/>
      <c r="F1149" s="148"/>
      <c r="G1149" s="148"/>
      <c r="H1149" s="148"/>
      <c r="I1149" s="148"/>
      <c r="J1149" s="148"/>
      <c r="K1149" s="148"/>
      <c r="L1149" s="228">
        <f>M1149</f>
        <v>0</v>
      </c>
      <c r="M1149" s="151"/>
      <c r="N1149" s="148"/>
      <c r="O1149" s="30"/>
    </row>
    <row r="1150" spans="2:15">
      <c r="B1150" s="79" t="s">
        <v>191</v>
      </c>
      <c r="C1150" s="30"/>
      <c r="D1150" s="62"/>
      <c r="E1150" s="148"/>
      <c r="F1150" s="148"/>
      <c r="G1150" s="148"/>
      <c r="H1150" s="148"/>
      <c r="I1150" s="148"/>
      <c r="J1150" s="148"/>
      <c r="K1150" s="148"/>
      <c r="L1150" s="148"/>
      <c r="M1150" s="151"/>
      <c r="N1150" s="150">
        <f>M1150</f>
        <v>0</v>
      </c>
      <c r="O1150" s="30"/>
    </row>
    <row r="1151" spans="2:15">
      <c r="B1151" s="79" t="s">
        <v>201</v>
      </c>
      <c r="C1151" s="30"/>
      <c r="D1151" s="62"/>
      <c r="E1151" s="148"/>
      <c r="F1151" s="148"/>
      <c r="G1151" s="148"/>
      <c r="H1151" s="148"/>
      <c r="I1151" s="148"/>
      <c r="J1151" s="148"/>
      <c r="K1151" s="148"/>
      <c r="L1151" s="148"/>
      <c r="M1151" s="150">
        <v>10000</v>
      </c>
      <c r="N1151" s="151">
        <v>10000</v>
      </c>
      <c r="O1151" s="30"/>
    </row>
    <row r="1152" spans="2:15">
      <c r="B1152" s="79" t="s">
        <v>202</v>
      </c>
      <c r="C1152" s="30"/>
      <c r="D1152" s="63"/>
      <c r="E1152" s="133"/>
      <c r="F1152" s="133"/>
      <c r="G1152" s="133"/>
      <c r="H1152" s="133"/>
      <c r="I1152" s="133"/>
      <c r="J1152" s="133"/>
      <c r="K1152" s="133"/>
      <c r="L1152" s="133"/>
      <c r="M1152" s="133"/>
      <c r="N1152" s="153"/>
      <c r="O1152" s="30"/>
    </row>
    <row r="1153" spans="1:15">
      <c r="B1153" s="33" t="s">
        <v>17</v>
      </c>
      <c r="D1153" s="180">
        <f xml:space="preserve"> D1133 - D1132</f>
        <v>-18896</v>
      </c>
      <c r="E1153" s="180">
        <f xml:space="preserve"> E1132 + E1135 - E1134 - E1133</f>
        <v>1288</v>
      </c>
      <c r="F1153" s="180">
        <f>F1134 - F1135 - F1136</f>
        <v>-288</v>
      </c>
      <c r="G1153" s="180">
        <f>G1136-G1137-G1138</f>
        <v>6662</v>
      </c>
      <c r="H1153" s="180">
        <f>H1138-H1139-H1140</f>
        <v>5851</v>
      </c>
      <c r="I1153" s="180">
        <f>I1140-I1141-I1142</f>
        <v>5383</v>
      </c>
      <c r="J1153" s="180">
        <f>J1142-J1143-J1144</f>
        <v>0</v>
      </c>
      <c r="K1153" s="180">
        <f>K1144-K1145-K1146</f>
        <v>0</v>
      </c>
      <c r="L1153" s="180">
        <f>L1146-L1147-L1148</f>
        <v>0</v>
      </c>
      <c r="M1153" s="180">
        <f>M1151</f>
        <v>10000</v>
      </c>
      <c r="N1153" s="180">
        <f>N1151*-1</f>
        <v>-10000</v>
      </c>
      <c r="O1153" s="30"/>
    </row>
    <row r="1154" spans="1:15">
      <c r="B1154" s="6"/>
      <c r="D1154" s="7"/>
      <c r="E1154" s="7"/>
      <c r="F1154" s="7"/>
      <c r="G1154" s="7"/>
      <c r="H1154" s="7"/>
      <c r="I1154" s="7"/>
      <c r="J1154" s="7"/>
      <c r="K1154" s="7"/>
      <c r="L1154" s="7"/>
      <c r="M1154" s="7"/>
      <c r="N1154" s="7"/>
      <c r="O1154" s="30"/>
    </row>
    <row r="1155" spans="1:15">
      <c r="B1155" s="76" t="s">
        <v>12</v>
      </c>
      <c r="C1155" s="71"/>
      <c r="D1155" s="99"/>
      <c r="E1155" s="100"/>
      <c r="F1155" s="100"/>
      <c r="G1155" s="100"/>
      <c r="H1155" s="100"/>
      <c r="I1155" s="100"/>
      <c r="J1155" s="100"/>
      <c r="K1155" s="100"/>
      <c r="L1155" s="100"/>
      <c r="M1155" s="101"/>
      <c r="N1155" s="101"/>
      <c r="O1155" s="30"/>
    </row>
    <row r="1156" spans="1:15">
      <c r="B1156" s="6"/>
      <c r="D1156" s="7"/>
      <c r="E1156" s="7"/>
      <c r="F1156" s="7"/>
      <c r="G1156" s="7"/>
      <c r="H1156" s="7"/>
      <c r="I1156" s="7"/>
      <c r="J1156" s="7"/>
      <c r="K1156" s="7"/>
      <c r="L1156" s="7"/>
      <c r="M1156" s="7"/>
      <c r="N1156" s="7"/>
      <c r="O1156" s="30"/>
    </row>
    <row r="1157" spans="1:15" ht="18.5">
      <c r="A1157" s="41" t="s">
        <v>26</v>
      </c>
      <c r="C1157" s="71"/>
      <c r="D1157" s="43">
        <f t="shared" ref="D1157:M1157" si="509" xml:space="preserve"> D1118 + D1123 - D1129 + D1153 + D1155</f>
        <v>0</v>
      </c>
      <c r="E1157" s="44">
        <f t="shared" si="509"/>
        <v>18896</v>
      </c>
      <c r="F1157" s="44">
        <f t="shared" si="509"/>
        <v>17608</v>
      </c>
      <c r="G1157" s="44">
        <f t="shared" si="509"/>
        <v>24054</v>
      </c>
      <c r="H1157" s="44">
        <f t="shared" si="509"/>
        <v>20890</v>
      </c>
      <c r="I1157" s="44">
        <f t="shared" si="509"/>
        <v>23675</v>
      </c>
      <c r="J1157" s="44">
        <f t="shared" si="509"/>
        <v>15514</v>
      </c>
      <c r="K1157" s="44">
        <f t="shared" si="509"/>
        <v>18315</v>
      </c>
      <c r="L1157" s="44">
        <f t="shared" si="509"/>
        <v>4420.5681815800917</v>
      </c>
      <c r="M1157" s="143">
        <f t="shared" si="509"/>
        <v>36561.537003116537</v>
      </c>
      <c r="N1157" s="143">
        <f>N1118-N1151</f>
        <v>10690.747025303135</v>
      </c>
      <c r="O1157" s="30"/>
    </row>
    <row r="1158" spans="1:15">
      <c r="B1158" s="6"/>
      <c r="D1158" s="7"/>
      <c r="E1158" s="7"/>
      <c r="F1158" s="7"/>
      <c r="G1158" s="28"/>
      <c r="H1158" s="28"/>
      <c r="I1158" s="28"/>
      <c r="J1158" s="28"/>
      <c r="K1158" s="28"/>
      <c r="L1158" s="28"/>
      <c r="M1158" s="28"/>
      <c r="N1158" s="28"/>
      <c r="O1158" s="30"/>
    </row>
    <row r="1159" spans="1:15" ht="15" thickBot="1">
      <c r="O1159" s="30"/>
    </row>
    <row r="1160" spans="1:15" ht="15" thickBot="1">
      <c r="A1160" s="8"/>
      <c r="B1160" s="8"/>
      <c r="C1160" s="8"/>
      <c r="D1160" s="8"/>
      <c r="E1160" s="8"/>
      <c r="F1160" s="8"/>
      <c r="G1160" s="8"/>
      <c r="H1160" s="8"/>
      <c r="I1160" s="8"/>
      <c r="J1160" s="8"/>
      <c r="K1160" s="8"/>
      <c r="L1160" s="8"/>
      <c r="M1160" s="8"/>
      <c r="N1160" s="8"/>
    </row>
    <row r="1161" spans="1:15" ht="21.5" thickBot="1">
      <c r="A1161" s="13" t="s">
        <v>4</v>
      </c>
      <c r="B1161" s="13"/>
      <c r="C1161" s="313" t="s">
        <v>199</v>
      </c>
      <c r="D1161" s="310"/>
      <c r="E1161" s="23"/>
      <c r="F1161" s="23"/>
    </row>
    <row r="1163" spans="1:15" ht="18.5">
      <c r="A1163" s="9" t="s">
        <v>21</v>
      </c>
      <c r="B1163" s="9"/>
      <c r="D1163" s="2">
        <f>'Facility Detail'!$B$3082</f>
        <v>2011</v>
      </c>
      <c r="E1163" s="2">
        <f>D1163+1</f>
        <v>2012</v>
      </c>
      <c r="F1163" s="2">
        <f t="shared" ref="F1163:N1163" si="510">E1163+1</f>
        <v>2013</v>
      </c>
      <c r="G1163" s="2">
        <f t="shared" si="510"/>
        <v>2014</v>
      </c>
      <c r="H1163" s="2">
        <f t="shared" si="510"/>
        <v>2015</v>
      </c>
      <c r="I1163" s="2">
        <f t="shared" si="510"/>
        <v>2016</v>
      </c>
      <c r="J1163" s="2">
        <f t="shared" si="510"/>
        <v>2017</v>
      </c>
      <c r="K1163" s="2">
        <f t="shared" si="510"/>
        <v>2018</v>
      </c>
      <c r="L1163" s="2">
        <f t="shared" si="510"/>
        <v>2019</v>
      </c>
      <c r="M1163" s="2">
        <f t="shared" si="510"/>
        <v>2020</v>
      </c>
      <c r="N1163" s="2">
        <f t="shared" si="510"/>
        <v>2021</v>
      </c>
    </row>
    <row r="1164" spans="1:15">
      <c r="B1164" s="79" t="str">
        <f>"Total MWh Produced / Purchased from " &amp; C1161</f>
        <v>Total MWh Produced / Purchased from Granite Mountain East</v>
      </c>
      <c r="C1164" s="71"/>
      <c r="D1164" s="3"/>
      <c r="E1164" s="4"/>
      <c r="F1164" s="4"/>
      <c r="G1164" s="4"/>
      <c r="H1164" s="4"/>
      <c r="I1164" s="4"/>
      <c r="J1164" s="230"/>
      <c r="K1164" s="230"/>
      <c r="L1164" s="230"/>
      <c r="M1164" s="230">
        <v>75000</v>
      </c>
      <c r="N1164" s="230"/>
    </row>
    <row r="1165" spans="1:15">
      <c r="B1165" s="79" t="s">
        <v>25</v>
      </c>
      <c r="C1165" s="71"/>
      <c r="D1165" s="54"/>
      <c r="E1165" s="55"/>
      <c r="F1165" s="55"/>
      <c r="G1165" s="55"/>
      <c r="H1165" s="55"/>
      <c r="I1165" s="55"/>
      <c r="J1165" s="55"/>
      <c r="K1165" s="55"/>
      <c r="L1165" s="55"/>
      <c r="M1165" s="55">
        <v>1</v>
      </c>
      <c r="N1165" s="55"/>
    </row>
    <row r="1166" spans="1:15">
      <c r="B1166" s="79" t="s">
        <v>20</v>
      </c>
      <c r="C1166" s="71"/>
      <c r="D1166" s="48"/>
      <c r="E1166" s="49"/>
      <c r="F1166" s="49"/>
      <c r="G1166" s="49"/>
      <c r="H1166" s="49"/>
      <c r="I1166" s="49"/>
      <c r="J1166" s="49"/>
      <c r="K1166" s="49"/>
      <c r="L1166" s="49"/>
      <c r="M1166" s="49">
        <v>1</v>
      </c>
      <c r="N1166" s="49"/>
    </row>
    <row r="1167" spans="1:15">
      <c r="B1167" s="76" t="s">
        <v>22</v>
      </c>
      <c r="C1167" s="77"/>
      <c r="D1167" s="37">
        <v>0</v>
      </c>
      <c r="E1167" s="37">
        <v>0</v>
      </c>
      <c r="F1167" s="37">
        <v>0</v>
      </c>
      <c r="G1167" s="37">
        <v>0</v>
      </c>
      <c r="H1167" s="37">
        <v>0</v>
      </c>
      <c r="I1167" s="229">
        <v>0</v>
      </c>
      <c r="J1167" s="229">
        <v>0</v>
      </c>
      <c r="K1167" s="229">
        <v>0</v>
      </c>
      <c r="L1167" s="229">
        <v>0</v>
      </c>
      <c r="M1167" s="229">
        <f>M1164*M1166</f>
        <v>75000</v>
      </c>
      <c r="N1167" s="229">
        <v>0</v>
      </c>
    </row>
    <row r="1168" spans="1:15">
      <c r="B1168" s="23"/>
      <c r="C1168" s="30"/>
      <c r="D1168" s="36"/>
      <c r="E1168" s="36"/>
      <c r="F1168" s="36"/>
      <c r="G1168" s="36"/>
      <c r="H1168" s="36"/>
      <c r="I1168" s="36"/>
      <c r="J1168" s="36"/>
      <c r="K1168" s="36"/>
      <c r="L1168" s="36"/>
      <c r="M1168" s="36"/>
      <c r="N1168" s="36"/>
    </row>
    <row r="1169" spans="1:14" ht="18.5">
      <c r="A1169" s="42" t="s">
        <v>119</v>
      </c>
      <c r="C1169" s="30"/>
      <c r="D1169" s="2">
        <f>'Facility Detail'!$B$3082</f>
        <v>2011</v>
      </c>
      <c r="E1169" s="2">
        <f>D1169+1</f>
        <v>2012</v>
      </c>
      <c r="F1169" s="2">
        <f t="shared" ref="F1169:N1169" si="511">E1169+1</f>
        <v>2013</v>
      </c>
      <c r="G1169" s="2">
        <f t="shared" si="511"/>
        <v>2014</v>
      </c>
      <c r="H1169" s="2">
        <f t="shared" si="511"/>
        <v>2015</v>
      </c>
      <c r="I1169" s="2">
        <f t="shared" si="511"/>
        <v>2016</v>
      </c>
      <c r="J1169" s="2">
        <f t="shared" si="511"/>
        <v>2017</v>
      </c>
      <c r="K1169" s="2">
        <f t="shared" si="511"/>
        <v>2018</v>
      </c>
      <c r="L1169" s="2">
        <f t="shared" si="511"/>
        <v>2019</v>
      </c>
      <c r="M1169" s="2">
        <f t="shared" si="511"/>
        <v>2020</v>
      </c>
      <c r="N1169" s="2">
        <f t="shared" si="511"/>
        <v>2021</v>
      </c>
    </row>
    <row r="1170" spans="1:14">
      <c r="B1170" s="79" t="s">
        <v>10</v>
      </c>
      <c r="C1170" s="71"/>
      <c r="D1170" s="51">
        <f>IF($E25 = "Eligible", D1167 * 'Facility Detail'!$B$3079, 0 )</f>
        <v>0</v>
      </c>
      <c r="E1170" s="51">
        <f>IF($E25 = "Eligible", E1167 * 'Facility Detail'!$B$3079, 0 )</f>
        <v>0</v>
      </c>
      <c r="F1170" s="51">
        <f>IF($E25 = "Eligible", F1167 * 'Facility Detail'!$B$3079, 0 )</f>
        <v>0</v>
      </c>
      <c r="G1170" s="51">
        <f>IF($E25 = "Eligible", G1167 * 'Facility Detail'!$B$3079, 0 )</f>
        <v>0</v>
      </c>
      <c r="H1170" s="51">
        <f>IF($E25 = "Eligible", H1167 * 'Facility Detail'!$B$3079, 0 )</f>
        <v>0</v>
      </c>
      <c r="I1170" s="51">
        <f>IF($E25 = "Eligible", I1167 * 'Facility Detail'!$B$3079, 0 )</f>
        <v>0</v>
      </c>
      <c r="J1170" s="51">
        <f>IF($E25 = "Eligible", J1167 * 'Facility Detail'!$B$3079, 0 )</f>
        <v>0</v>
      </c>
      <c r="K1170" s="51">
        <f>IF($E25 = "Eligible", K1167 * 'Facility Detail'!$B$3079, 0 )</f>
        <v>0</v>
      </c>
      <c r="L1170" s="51">
        <f>IF($E25 = "Eligible", L1167 * 'Facility Detail'!$B$3079, 0 )</f>
        <v>0</v>
      </c>
      <c r="M1170" s="51">
        <f>IF($E25 = "Eligible", M1167 * 'Facility Detail'!$B$3079, 0 )</f>
        <v>0</v>
      </c>
      <c r="N1170" s="51">
        <f>IF($E25 = "Eligible", N1167 * 'Facility Detail'!$B$3079, 0 )</f>
        <v>0</v>
      </c>
    </row>
    <row r="1171" spans="1:14">
      <c r="B1171" s="79" t="s">
        <v>6</v>
      </c>
      <c r="C1171" s="71"/>
      <c r="D1171" s="52">
        <f t="shared" ref="D1171:N1171" si="512">IF($F25= "Eligible", D1167, 0 )</f>
        <v>0</v>
      </c>
      <c r="E1171" s="52">
        <f t="shared" si="512"/>
        <v>0</v>
      </c>
      <c r="F1171" s="52">
        <f t="shared" si="512"/>
        <v>0</v>
      </c>
      <c r="G1171" s="52">
        <f t="shared" si="512"/>
        <v>0</v>
      </c>
      <c r="H1171" s="52">
        <f t="shared" si="512"/>
        <v>0</v>
      </c>
      <c r="I1171" s="52">
        <f t="shared" si="512"/>
        <v>0</v>
      </c>
      <c r="J1171" s="52">
        <f t="shared" si="512"/>
        <v>0</v>
      </c>
      <c r="K1171" s="52">
        <f t="shared" si="512"/>
        <v>0</v>
      </c>
      <c r="L1171" s="52">
        <f t="shared" si="512"/>
        <v>0</v>
      </c>
      <c r="M1171" s="52">
        <f t="shared" si="512"/>
        <v>0</v>
      </c>
      <c r="N1171" s="52">
        <f t="shared" si="512"/>
        <v>0</v>
      </c>
    </row>
    <row r="1172" spans="1:14">
      <c r="B1172" s="78" t="s">
        <v>121</v>
      </c>
      <c r="C1172" s="77"/>
      <c r="D1172" s="39">
        <f>SUM(D1170:D1171)</f>
        <v>0</v>
      </c>
      <c r="E1172" s="39">
        <f t="shared" ref="E1172:N1172" si="513">SUM(E1170:E1171)</f>
        <v>0</v>
      </c>
      <c r="F1172" s="39">
        <f t="shared" si="513"/>
        <v>0</v>
      </c>
      <c r="G1172" s="39">
        <f t="shared" si="513"/>
        <v>0</v>
      </c>
      <c r="H1172" s="39">
        <f t="shared" si="513"/>
        <v>0</v>
      </c>
      <c r="I1172" s="39">
        <f t="shared" si="513"/>
        <v>0</v>
      </c>
      <c r="J1172" s="39">
        <f t="shared" si="513"/>
        <v>0</v>
      </c>
      <c r="K1172" s="39">
        <f t="shared" si="513"/>
        <v>0</v>
      </c>
      <c r="L1172" s="39">
        <f t="shared" si="513"/>
        <v>0</v>
      </c>
      <c r="M1172" s="39">
        <f t="shared" si="513"/>
        <v>0</v>
      </c>
      <c r="N1172" s="39">
        <f t="shared" si="513"/>
        <v>0</v>
      </c>
    </row>
    <row r="1173" spans="1:14">
      <c r="B1173" s="30"/>
      <c r="C1173" s="30"/>
      <c r="D1173" s="38"/>
      <c r="E1173" s="31"/>
      <c r="F1173" s="31"/>
      <c r="G1173" s="31"/>
      <c r="H1173" s="31"/>
      <c r="I1173" s="31"/>
      <c r="J1173" s="31"/>
      <c r="K1173" s="31"/>
      <c r="L1173" s="31"/>
      <c r="M1173" s="31"/>
      <c r="N1173" s="31"/>
    </row>
    <row r="1174" spans="1:14" ht="18.5">
      <c r="A1174" s="41" t="s">
        <v>30</v>
      </c>
      <c r="C1174" s="30"/>
      <c r="D1174" s="2">
        <f>'Facility Detail'!$B$3082</f>
        <v>2011</v>
      </c>
      <c r="E1174" s="2">
        <f>D1174+1</f>
        <v>2012</v>
      </c>
      <c r="F1174" s="2">
        <f t="shared" ref="F1174:N1174" si="514">E1174+1</f>
        <v>2013</v>
      </c>
      <c r="G1174" s="2">
        <f t="shared" si="514"/>
        <v>2014</v>
      </c>
      <c r="H1174" s="2">
        <f t="shared" si="514"/>
        <v>2015</v>
      </c>
      <c r="I1174" s="2">
        <f t="shared" si="514"/>
        <v>2016</v>
      </c>
      <c r="J1174" s="2">
        <f t="shared" si="514"/>
        <v>2017</v>
      </c>
      <c r="K1174" s="2">
        <f t="shared" si="514"/>
        <v>2018</v>
      </c>
      <c r="L1174" s="2">
        <f t="shared" si="514"/>
        <v>2019</v>
      </c>
      <c r="M1174" s="2">
        <f t="shared" si="514"/>
        <v>2020</v>
      </c>
      <c r="N1174" s="2">
        <f t="shared" si="514"/>
        <v>2021</v>
      </c>
    </row>
    <row r="1175" spans="1:14">
      <c r="B1175" s="79" t="s">
        <v>47</v>
      </c>
      <c r="C1175" s="71"/>
      <c r="D1175" s="89"/>
      <c r="E1175" s="90"/>
      <c r="F1175" s="90"/>
      <c r="G1175" s="90"/>
      <c r="H1175" s="90"/>
      <c r="I1175" s="90"/>
      <c r="J1175" s="90"/>
      <c r="K1175" s="90"/>
      <c r="L1175" s="90"/>
      <c r="M1175" s="90"/>
      <c r="N1175" s="90"/>
    </row>
    <row r="1176" spans="1:14">
      <c r="B1176" s="80" t="s">
        <v>23</v>
      </c>
      <c r="C1176" s="175"/>
      <c r="D1176" s="92"/>
      <c r="E1176" s="93"/>
      <c r="F1176" s="93"/>
      <c r="G1176" s="93"/>
      <c r="H1176" s="93"/>
      <c r="I1176" s="93"/>
      <c r="J1176" s="93"/>
      <c r="K1176" s="93"/>
      <c r="L1176" s="93"/>
      <c r="M1176" s="93"/>
      <c r="N1176" s="93"/>
    </row>
    <row r="1177" spans="1:14">
      <c r="B1177" s="95" t="s">
        <v>89</v>
      </c>
      <c r="C1177" s="173"/>
      <c r="D1177" s="57"/>
      <c r="E1177" s="58"/>
      <c r="F1177" s="58"/>
      <c r="G1177" s="58"/>
      <c r="H1177" s="58"/>
      <c r="I1177" s="58"/>
      <c r="J1177" s="58"/>
      <c r="K1177" s="58"/>
      <c r="L1177" s="58"/>
      <c r="M1177" s="58"/>
      <c r="N1177" s="58"/>
    </row>
    <row r="1178" spans="1:14">
      <c r="B1178" s="33" t="s">
        <v>90</v>
      </c>
      <c r="D1178" s="7">
        <v>0</v>
      </c>
      <c r="E1178" s="7">
        <v>0</v>
      </c>
      <c r="F1178" s="7">
        <v>0</v>
      </c>
      <c r="G1178" s="7">
        <v>0</v>
      </c>
      <c r="H1178" s="7">
        <v>0</v>
      </c>
      <c r="I1178" s="7">
        <v>0</v>
      </c>
      <c r="J1178" s="7">
        <v>0</v>
      </c>
      <c r="K1178" s="7">
        <v>0</v>
      </c>
      <c r="L1178" s="7">
        <v>0</v>
      </c>
      <c r="M1178" s="7">
        <v>0</v>
      </c>
      <c r="N1178" s="7">
        <v>0</v>
      </c>
    </row>
    <row r="1179" spans="1:14">
      <c r="B1179" s="6"/>
      <c r="D1179" s="7"/>
      <c r="E1179" s="7"/>
      <c r="F1179" s="7"/>
      <c r="G1179" s="28"/>
      <c r="H1179" s="28"/>
      <c r="I1179" s="28"/>
      <c r="J1179" s="28"/>
      <c r="K1179" s="28"/>
      <c r="L1179" s="28"/>
      <c r="M1179" s="28"/>
      <c r="N1179" s="28"/>
    </row>
    <row r="1180" spans="1:14" ht="18.5">
      <c r="A1180" s="9" t="s">
        <v>100</v>
      </c>
      <c r="D1180" s="2">
        <f>'Facility Detail'!$B$3082</f>
        <v>2011</v>
      </c>
      <c r="E1180" s="2">
        <f>D1180+1</f>
        <v>2012</v>
      </c>
      <c r="F1180" s="2">
        <f t="shared" ref="F1180:N1180" si="515">E1180+1</f>
        <v>2013</v>
      </c>
      <c r="G1180" s="2">
        <f t="shared" si="515"/>
        <v>2014</v>
      </c>
      <c r="H1180" s="2">
        <f t="shared" si="515"/>
        <v>2015</v>
      </c>
      <c r="I1180" s="2">
        <f t="shared" si="515"/>
        <v>2016</v>
      </c>
      <c r="J1180" s="2">
        <f t="shared" si="515"/>
        <v>2017</v>
      </c>
      <c r="K1180" s="2">
        <f t="shared" si="515"/>
        <v>2018</v>
      </c>
      <c r="L1180" s="2">
        <f t="shared" si="515"/>
        <v>2019</v>
      </c>
      <c r="M1180" s="2">
        <f t="shared" si="515"/>
        <v>2020</v>
      </c>
      <c r="N1180" s="2">
        <f t="shared" si="515"/>
        <v>2021</v>
      </c>
    </row>
    <row r="1181" spans="1:14">
      <c r="B1181" s="79" t="s">
        <v>68</v>
      </c>
      <c r="C1181" s="71"/>
      <c r="D1181" s="3"/>
      <c r="E1181" s="60">
        <f>D1181</f>
        <v>0</v>
      </c>
      <c r="F1181" s="131"/>
      <c r="G1181" s="131"/>
      <c r="H1181" s="131"/>
      <c r="I1181" s="131"/>
      <c r="J1181" s="131"/>
      <c r="K1181" s="131"/>
      <c r="L1181" s="131"/>
      <c r="M1181" s="131"/>
      <c r="N1181" s="131"/>
    </row>
    <row r="1182" spans="1:14">
      <c r="B1182" s="79" t="s">
        <v>69</v>
      </c>
      <c r="C1182" s="71"/>
      <c r="D1182" s="164">
        <f>E1182</f>
        <v>0</v>
      </c>
      <c r="E1182" s="10"/>
      <c r="F1182" s="74"/>
      <c r="G1182" s="74"/>
      <c r="H1182" s="74"/>
      <c r="I1182" s="74"/>
      <c r="J1182" s="74"/>
      <c r="K1182" s="74"/>
      <c r="L1182" s="74"/>
      <c r="M1182" s="74"/>
      <c r="N1182" s="74"/>
    </row>
    <row r="1183" spans="1:14">
      <c r="B1183" s="79" t="s">
        <v>70</v>
      </c>
      <c r="C1183" s="71"/>
      <c r="D1183" s="62"/>
      <c r="E1183" s="10">
        <f>E1167</f>
        <v>0</v>
      </c>
      <c r="F1183" s="70">
        <f>E1183</f>
        <v>0</v>
      </c>
      <c r="G1183" s="74"/>
      <c r="H1183" s="74"/>
      <c r="I1183" s="74"/>
      <c r="J1183" s="74"/>
      <c r="K1183" s="74"/>
      <c r="L1183" s="74"/>
      <c r="M1183" s="74"/>
      <c r="N1183" s="74"/>
    </row>
    <row r="1184" spans="1:14">
      <c r="B1184" s="79" t="s">
        <v>71</v>
      </c>
      <c r="C1184" s="71"/>
      <c r="D1184" s="62"/>
      <c r="E1184" s="70">
        <f>F1184</f>
        <v>0</v>
      </c>
      <c r="F1184" s="163"/>
      <c r="G1184" s="74"/>
      <c r="H1184" s="74"/>
      <c r="I1184" s="74"/>
      <c r="J1184" s="74"/>
      <c r="K1184" s="74"/>
      <c r="L1184" s="74"/>
      <c r="M1184" s="74"/>
      <c r="N1184" s="74"/>
    </row>
    <row r="1185" spans="2:14">
      <c r="B1185" s="79" t="s">
        <v>171</v>
      </c>
      <c r="C1185" s="30"/>
      <c r="D1185" s="62"/>
      <c r="E1185" s="148"/>
      <c r="F1185" s="10">
        <f>F1167</f>
        <v>0</v>
      </c>
      <c r="G1185" s="149">
        <f>F1185</f>
        <v>0</v>
      </c>
      <c r="H1185" s="74"/>
      <c r="I1185" s="74"/>
      <c r="J1185" s="74"/>
      <c r="K1185" s="74"/>
      <c r="L1185" s="74"/>
      <c r="M1185" s="74"/>
      <c r="N1185" s="74"/>
    </row>
    <row r="1186" spans="2:14">
      <c r="B1186" s="79" t="s">
        <v>172</v>
      </c>
      <c r="C1186" s="30"/>
      <c r="D1186" s="62"/>
      <c r="E1186" s="148"/>
      <c r="F1186" s="70">
        <f>G1186</f>
        <v>0</v>
      </c>
      <c r="G1186" s="10"/>
      <c r="H1186" s="74"/>
      <c r="I1186" s="74"/>
      <c r="J1186" s="74"/>
      <c r="K1186" s="74"/>
      <c r="L1186" s="74"/>
      <c r="M1186" s="74"/>
      <c r="N1186" s="74"/>
    </row>
    <row r="1187" spans="2:14">
      <c r="B1187" s="79" t="s">
        <v>173</v>
      </c>
      <c r="C1187" s="30"/>
      <c r="D1187" s="62"/>
      <c r="E1187" s="148"/>
      <c r="F1187" s="148"/>
      <c r="G1187" s="10">
        <f>G1167</f>
        <v>0</v>
      </c>
      <c r="H1187" s="149">
        <f>G1187</f>
        <v>0</v>
      </c>
      <c r="I1187" s="148">
        <f>H1187</f>
        <v>0</v>
      </c>
      <c r="J1187" s="148"/>
      <c r="K1187" s="148"/>
      <c r="L1187" s="148"/>
      <c r="M1187" s="148"/>
      <c r="N1187" s="148"/>
    </row>
    <row r="1188" spans="2:14">
      <c r="B1188" s="79" t="s">
        <v>174</v>
      </c>
      <c r="C1188" s="30"/>
      <c r="D1188" s="62"/>
      <c r="E1188" s="148"/>
      <c r="F1188" s="148"/>
      <c r="G1188" s="150"/>
      <c r="H1188" s="151"/>
      <c r="I1188" s="148"/>
      <c r="J1188" s="148"/>
      <c r="K1188" s="148"/>
      <c r="L1188" s="148"/>
      <c r="M1188" s="148"/>
      <c r="N1188" s="148"/>
    </row>
    <row r="1189" spans="2:14">
      <c r="B1189" s="79" t="s">
        <v>175</v>
      </c>
      <c r="C1189" s="30"/>
      <c r="D1189" s="62"/>
      <c r="E1189" s="148"/>
      <c r="F1189" s="148"/>
      <c r="G1189" s="148"/>
      <c r="H1189" s="151">
        <v>0</v>
      </c>
      <c r="I1189" s="149">
        <f>H1189</f>
        <v>0</v>
      </c>
      <c r="J1189" s="74"/>
      <c r="K1189" s="74"/>
      <c r="L1189" s="74"/>
      <c r="M1189" s="74"/>
      <c r="N1189" s="74"/>
    </row>
    <row r="1190" spans="2:14">
      <c r="B1190" s="79" t="s">
        <v>176</v>
      </c>
      <c r="C1190" s="30"/>
      <c r="D1190" s="62"/>
      <c r="E1190" s="148"/>
      <c r="F1190" s="148"/>
      <c r="G1190" s="148"/>
      <c r="H1190" s="70"/>
      <c r="I1190" s="151"/>
      <c r="J1190" s="74"/>
      <c r="K1190" s="74"/>
      <c r="L1190" s="148"/>
      <c r="M1190" s="148"/>
      <c r="N1190" s="148"/>
    </row>
    <row r="1191" spans="2:14">
      <c r="B1191" s="79" t="s">
        <v>177</v>
      </c>
      <c r="C1191" s="30"/>
      <c r="D1191" s="62"/>
      <c r="E1191" s="148"/>
      <c r="F1191" s="148"/>
      <c r="G1191" s="148"/>
      <c r="H1191" s="148"/>
      <c r="I1191" s="151">
        <f>I1167</f>
        <v>0</v>
      </c>
      <c r="J1191" s="149">
        <f>I1191</f>
        <v>0</v>
      </c>
      <c r="K1191" s="148"/>
      <c r="L1191" s="148"/>
      <c r="M1191" s="148"/>
      <c r="N1191" s="148"/>
    </row>
    <row r="1192" spans="2:14">
      <c r="B1192" s="79" t="s">
        <v>168</v>
      </c>
      <c r="C1192" s="30"/>
      <c r="D1192" s="62"/>
      <c r="E1192" s="148"/>
      <c r="F1192" s="148"/>
      <c r="G1192" s="148"/>
      <c r="H1192" s="148"/>
      <c r="I1192" s="150"/>
      <c r="J1192" s="151"/>
      <c r="K1192" s="148"/>
      <c r="L1192" s="148"/>
      <c r="M1192" s="148"/>
      <c r="N1192" s="148"/>
    </row>
    <row r="1193" spans="2:14">
      <c r="B1193" s="79" t="s">
        <v>169</v>
      </c>
      <c r="C1193" s="30"/>
      <c r="D1193" s="62"/>
      <c r="E1193" s="148"/>
      <c r="F1193" s="148"/>
      <c r="G1193" s="148"/>
      <c r="H1193" s="148"/>
      <c r="I1193" s="148"/>
      <c r="J1193" s="151"/>
      <c r="K1193" s="149">
        <f>J1193</f>
        <v>0</v>
      </c>
      <c r="L1193" s="148"/>
      <c r="M1193" s="148"/>
      <c r="N1193" s="148"/>
    </row>
    <row r="1194" spans="2:14">
      <c r="B1194" s="79" t="s">
        <v>186</v>
      </c>
      <c r="C1194" s="30"/>
      <c r="D1194" s="62"/>
      <c r="E1194" s="148"/>
      <c r="F1194" s="148"/>
      <c r="G1194" s="148"/>
      <c r="H1194" s="148"/>
      <c r="I1194" s="148"/>
      <c r="J1194" s="150"/>
      <c r="K1194" s="151"/>
      <c r="L1194" s="148"/>
      <c r="M1194" s="148"/>
      <c r="N1194" s="148"/>
    </row>
    <row r="1195" spans="2:14">
      <c r="B1195" s="79" t="s">
        <v>187</v>
      </c>
      <c r="C1195" s="30"/>
      <c r="D1195" s="62"/>
      <c r="E1195" s="148"/>
      <c r="F1195" s="148"/>
      <c r="G1195" s="148"/>
      <c r="H1195" s="148"/>
      <c r="I1195" s="148"/>
      <c r="J1195" s="148"/>
      <c r="K1195" s="151">
        <f>K1171</f>
        <v>0</v>
      </c>
      <c r="L1195" s="149">
        <f>K1195</f>
        <v>0</v>
      </c>
      <c r="M1195" s="148"/>
      <c r="N1195" s="148"/>
    </row>
    <row r="1196" spans="2:14">
      <c r="B1196" s="79" t="s">
        <v>188</v>
      </c>
      <c r="C1196" s="30"/>
      <c r="D1196" s="62"/>
      <c r="E1196" s="148"/>
      <c r="F1196" s="148"/>
      <c r="G1196" s="148"/>
      <c r="H1196" s="148"/>
      <c r="I1196" s="148"/>
      <c r="J1196" s="148"/>
      <c r="K1196" s="150"/>
      <c r="L1196" s="151"/>
      <c r="M1196" s="148"/>
      <c r="N1196" s="148"/>
    </row>
    <row r="1197" spans="2:14">
      <c r="B1197" s="79" t="s">
        <v>189</v>
      </c>
      <c r="C1197" s="30"/>
      <c r="D1197" s="62"/>
      <c r="E1197" s="148"/>
      <c r="F1197" s="148"/>
      <c r="G1197" s="148"/>
      <c r="H1197" s="148"/>
      <c r="I1197" s="148"/>
      <c r="J1197" s="148"/>
      <c r="K1197" s="148"/>
      <c r="L1197" s="151">
        <f>L1173</f>
        <v>0</v>
      </c>
      <c r="M1197" s="149">
        <f>L1197</f>
        <v>0</v>
      </c>
      <c r="N1197" s="148"/>
    </row>
    <row r="1198" spans="2:14">
      <c r="B1198" s="79" t="s">
        <v>190</v>
      </c>
      <c r="C1198" s="30"/>
      <c r="D1198" s="62"/>
      <c r="E1198" s="148"/>
      <c r="F1198" s="148"/>
      <c r="G1198" s="148"/>
      <c r="H1198" s="148"/>
      <c r="I1198" s="148"/>
      <c r="J1198" s="148"/>
      <c r="K1198" s="148"/>
      <c r="L1198" s="150"/>
      <c r="M1198" s="151"/>
      <c r="N1198" s="148"/>
    </row>
    <row r="1199" spans="2:14">
      <c r="B1199" s="79" t="s">
        <v>191</v>
      </c>
      <c r="C1199" s="30"/>
      <c r="D1199" s="62"/>
      <c r="E1199" s="148"/>
      <c r="F1199" s="148"/>
      <c r="G1199" s="148"/>
      <c r="H1199" s="148"/>
      <c r="I1199" s="148"/>
      <c r="J1199" s="148"/>
      <c r="K1199" s="148"/>
      <c r="L1199" s="148"/>
      <c r="M1199" s="151">
        <f>M1175</f>
        <v>0</v>
      </c>
      <c r="N1199" s="149">
        <f>M1199</f>
        <v>0</v>
      </c>
    </row>
    <row r="1200" spans="2:14">
      <c r="B1200" s="79" t="s">
        <v>201</v>
      </c>
      <c r="C1200" s="30"/>
      <c r="D1200" s="62"/>
      <c r="E1200" s="148"/>
      <c r="F1200" s="148"/>
      <c r="G1200" s="148"/>
      <c r="H1200" s="148"/>
      <c r="I1200" s="148"/>
      <c r="J1200" s="148"/>
      <c r="K1200" s="148"/>
      <c r="L1200" s="148"/>
      <c r="M1200" s="150"/>
      <c r="N1200" s="151"/>
    </row>
    <row r="1201" spans="1:14">
      <c r="B1201" s="79" t="s">
        <v>202</v>
      </c>
      <c r="C1201" s="30"/>
      <c r="D1201" s="63"/>
      <c r="E1201" s="133"/>
      <c r="F1201" s="133"/>
      <c r="G1201" s="133"/>
      <c r="H1201" s="133"/>
      <c r="I1201" s="133"/>
      <c r="J1201" s="133"/>
      <c r="K1201" s="133"/>
      <c r="L1201" s="133"/>
      <c r="M1201" s="133"/>
      <c r="N1201" s="153">
        <f>N1177</f>
        <v>0</v>
      </c>
    </row>
    <row r="1202" spans="1:14">
      <c r="B1202" s="33" t="s">
        <v>17</v>
      </c>
      <c r="D1202" s="218">
        <f xml:space="preserve"> D1187 - D1186</f>
        <v>0</v>
      </c>
      <c r="E1202" s="218">
        <f xml:space="preserve"> E1186 + E1189 - E1188 - E1187</f>
        <v>0</v>
      </c>
      <c r="F1202" s="218">
        <f>F1188 - F1189</f>
        <v>0</v>
      </c>
      <c r="G1202" s="218">
        <f>G1188 - G1189</f>
        <v>0</v>
      </c>
      <c r="H1202" s="218">
        <f>H1187-H1188-H1189</f>
        <v>0</v>
      </c>
      <c r="I1202" s="218">
        <f>I1189-I1190-I1191</f>
        <v>0</v>
      </c>
      <c r="J1202" s="218">
        <f>J1191-J1192-J1193</f>
        <v>0</v>
      </c>
      <c r="K1202" s="218">
        <f>K1191-K1192-K1193</f>
        <v>0</v>
      </c>
      <c r="L1202" s="218">
        <f>L1191-L1192-L1193</f>
        <v>0</v>
      </c>
      <c r="M1202" s="218">
        <f>M1191-M1192-M1193</f>
        <v>0</v>
      </c>
      <c r="N1202" s="218">
        <f>N1191-N1192-N1193</f>
        <v>0</v>
      </c>
    </row>
    <row r="1203" spans="1:14">
      <c r="B1203" s="6"/>
      <c r="D1203" s="218"/>
      <c r="E1203" s="218"/>
      <c r="F1203" s="218"/>
      <c r="G1203" s="218"/>
      <c r="H1203" s="218"/>
      <c r="I1203" s="218"/>
      <c r="J1203" s="218"/>
      <c r="K1203" s="218"/>
      <c r="L1203" s="218"/>
      <c r="M1203" s="218"/>
      <c r="N1203" s="218"/>
    </row>
    <row r="1204" spans="1:14">
      <c r="B1204" s="76" t="s">
        <v>12</v>
      </c>
      <c r="C1204" s="71"/>
      <c r="D1204" s="219"/>
      <c r="E1204" s="220"/>
      <c r="F1204" s="220"/>
      <c r="G1204" s="220"/>
      <c r="H1204" s="220"/>
      <c r="I1204" s="220"/>
      <c r="J1204" s="220"/>
      <c r="K1204" s="220"/>
      <c r="L1204" s="220"/>
      <c r="M1204" s="220"/>
      <c r="N1204" s="220"/>
    </row>
    <row r="1205" spans="1:14">
      <c r="B1205" s="6"/>
      <c r="D1205" s="218"/>
      <c r="E1205" s="218"/>
      <c r="F1205" s="218"/>
      <c r="G1205" s="218"/>
      <c r="H1205" s="218"/>
      <c r="I1205" s="218"/>
      <c r="J1205" s="218"/>
      <c r="K1205" s="218"/>
      <c r="L1205" s="218"/>
      <c r="M1205" s="218"/>
      <c r="N1205" s="218"/>
    </row>
    <row r="1206" spans="1:14" ht="18.5">
      <c r="A1206" s="41" t="s">
        <v>26</v>
      </c>
      <c r="C1206" s="71"/>
      <c r="D1206" s="221">
        <f t="shared" ref="D1206:N1206" si="516" xml:space="preserve"> D1167 + D1172 - D1178 + D1202 + D1204</f>
        <v>0</v>
      </c>
      <c r="E1206" s="222">
        <f t="shared" si="516"/>
        <v>0</v>
      </c>
      <c r="F1206" s="222">
        <f t="shared" si="516"/>
        <v>0</v>
      </c>
      <c r="G1206" s="222">
        <f t="shared" si="516"/>
        <v>0</v>
      </c>
      <c r="H1206" s="222">
        <f t="shared" si="516"/>
        <v>0</v>
      </c>
      <c r="I1206" s="222">
        <f t="shared" si="516"/>
        <v>0</v>
      </c>
      <c r="J1206" s="222">
        <f t="shared" si="516"/>
        <v>0</v>
      </c>
      <c r="K1206" s="222">
        <f t="shared" si="516"/>
        <v>0</v>
      </c>
      <c r="L1206" s="222">
        <f t="shared" si="516"/>
        <v>0</v>
      </c>
      <c r="M1206" s="222">
        <f t="shared" si="516"/>
        <v>75000</v>
      </c>
      <c r="N1206" s="222">
        <f t="shared" si="516"/>
        <v>0</v>
      </c>
    </row>
    <row r="1207" spans="1:14" ht="15" thickBot="1"/>
    <row r="1208" spans="1:14" ht="15" thickBot="1">
      <c r="A1208" s="8"/>
      <c r="B1208" s="8"/>
      <c r="C1208" s="8"/>
      <c r="D1208" s="8"/>
      <c r="E1208" s="8"/>
      <c r="F1208" s="8"/>
      <c r="G1208" s="8"/>
      <c r="H1208" s="8"/>
      <c r="I1208" s="8"/>
      <c r="J1208" s="8"/>
      <c r="K1208" s="8"/>
      <c r="L1208" s="8"/>
      <c r="M1208" s="8"/>
      <c r="N1208" s="8"/>
    </row>
    <row r="1209" spans="1:14" ht="21.5" thickBot="1">
      <c r="A1209" s="13" t="s">
        <v>4</v>
      </c>
      <c r="B1209" s="13"/>
      <c r="C1209" s="313" t="s">
        <v>200</v>
      </c>
      <c r="D1209" s="310"/>
      <c r="E1209" s="23"/>
      <c r="F1209" s="23"/>
    </row>
    <row r="1210" spans="1:14">
      <c r="C1210" s="30"/>
      <c r="D1210" s="30"/>
      <c r="E1210" s="30"/>
      <c r="F1210" s="30"/>
    </row>
    <row r="1211" spans="1:14" ht="18.5">
      <c r="A1211" s="9" t="s">
        <v>21</v>
      </c>
      <c r="B1211" s="9"/>
      <c r="D1211" s="2">
        <f>'Facility Detail'!$B$3082</f>
        <v>2011</v>
      </c>
      <c r="E1211" s="2">
        <f>D1211+1</f>
        <v>2012</v>
      </c>
      <c r="F1211" s="2">
        <f t="shared" ref="F1211:N1211" si="517">E1211+1</f>
        <v>2013</v>
      </c>
      <c r="G1211" s="2">
        <f t="shared" si="517"/>
        <v>2014</v>
      </c>
      <c r="H1211" s="2">
        <f t="shared" si="517"/>
        <v>2015</v>
      </c>
      <c r="I1211" s="2">
        <f t="shared" si="517"/>
        <v>2016</v>
      </c>
      <c r="J1211" s="2">
        <f t="shared" si="517"/>
        <v>2017</v>
      </c>
      <c r="K1211" s="2">
        <f t="shared" si="517"/>
        <v>2018</v>
      </c>
      <c r="L1211" s="2">
        <f t="shared" si="517"/>
        <v>2019</v>
      </c>
      <c r="M1211" s="2">
        <f t="shared" si="517"/>
        <v>2020</v>
      </c>
      <c r="N1211" s="2">
        <f t="shared" si="517"/>
        <v>2021</v>
      </c>
    </row>
    <row r="1212" spans="1:14">
      <c r="B1212" s="79" t="str">
        <f>"Total MWh Produced / Purchased from " &amp; C1209</f>
        <v>Total MWh Produced / Purchased from Granite Mountain West</v>
      </c>
      <c r="C1212" s="71"/>
      <c r="D1212" s="3"/>
      <c r="E1212" s="4"/>
      <c r="F1212" s="4"/>
      <c r="G1212" s="4"/>
      <c r="H1212" s="4"/>
      <c r="I1212" s="4"/>
      <c r="J1212" s="230"/>
      <c r="K1212" s="230"/>
      <c r="L1212" s="230"/>
      <c r="M1212" s="230">
        <v>75000</v>
      </c>
      <c r="N1212" s="230"/>
    </row>
    <row r="1213" spans="1:14">
      <c r="B1213" s="79" t="s">
        <v>25</v>
      </c>
      <c r="C1213" s="71"/>
      <c r="D1213" s="54"/>
      <c r="E1213" s="55"/>
      <c r="F1213" s="55"/>
      <c r="G1213" s="55"/>
      <c r="H1213" s="55"/>
      <c r="I1213" s="55"/>
      <c r="J1213" s="55"/>
      <c r="K1213" s="55"/>
      <c r="L1213" s="55"/>
      <c r="M1213" s="55">
        <v>1</v>
      </c>
      <c r="N1213" s="55"/>
    </row>
    <row r="1214" spans="1:14">
      <c r="B1214" s="79" t="s">
        <v>20</v>
      </c>
      <c r="C1214" s="71"/>
      <c r="D1214" s="48"/>
      <c r="E1214" s="49"/>
      <c r="F1214" s="49"/>
      <c r="G1214" s="49"/>
      <c r="H1214" s="49"/>
      <c r="I1214" s="49"/>
      <c r="J1214" s="49"/>
      <c r="K1214" s="49"/>
      <c r="L1214" s="49"/>
      <c r="M1214" s="49">
        <v>1</v>
      </c>
      <c r="N1214" s="49"/>
    </row>
    <row r="1215" spans="1:14">
      <c r="B1215" s="76" t="s">
        <v>22</v>
      </c>
      <c r="C1215" s="77"/>
      <c r="D1215" s="37">
        <v>0</v>
      </c>
      <c r="E1215" s="37">
        <v>0</v>
      </c>
      <c r="F1215" s="37">
        <v>0</v>
      </c>
      <c r="G1215" s="37">
        <v>0</v>
      </c>
      <c r="H1215" s="37">
        <v>0</v>
      </c>
      <c r="I1215" s="229">
        <v>0</v>
      </c>
      <c r="J1215" s="229">
        <v>0</v>
      </c>
      <c r="K1215" s="229">
        <v>0</v>
      </c>
      <c r="L1215" s="229">
        <v>0</v>
      </c>
      <c r="M1215" s="229">
        <f>M1212*M1214</f>
        <v>75000</v>
      </c>
      <c r="N1215" s="229">
        <v>0</v>
      </c>
    </row>
    <row r="1216" spans="1:14">
      <c r="B1216" s="23"/>
      <c r="C1216" s="30"/>
      <c r="D1216" s="36"/>
      <c r="E1216" s="36"/>
      <c r="F1216" s="36"/>
      <c r="G1216" s="36"/>
      <c r="H1216" s="36"/>
      <c r="I1216" s="36"/>
      <c r="J1216" s="36"/>
      <c r="K1216" s="36"/>
      <c r="L1216" s="36"/>
      <c r="M1216" s="36"/>
      <c r="N1216" s="36"/>
    </row>
    <row r="1217" spans="1:14" ht="18.5">
      <c r="A1217" s="42" t="s">
        <v>119</v>
      </c>
      <c r="C1217" s="30"/>
      <c r="D1217" s="2">
        <f>'Facility Detail'!$B$3082</f>
        <v>2011</v>
      </c>
      <c r="E1217" s="2">
        <f>D1217+1</f>
        <v>2012</v>
      </c>
      <c r="F1217" s="2">
        <f t="shared" ref="F1217:N1217" si="518">E1217+1</f>
        <v>2013</v>
      </c>
      <c r="G1217" s="2">
        <f t="shared" si="518"/>
        <v>2014</v>
      </c>
      <c r="H1217" s="2">
        <f t="shared" si="518"/>
        <v>2015</v>
      </c>
      <c r="I1217" s="2">
        <f t="shared" si="518"/>
        <v>2016</v>
      </c>
      <c r="J1217" s="2">
        <f t="shared" si="518"/>
        <v>2017</v>
      </c>
      <c r="K1217" s="2">
        <f t="shared" si="518"/>
        <v>2018</v>
      </c>
      <c r="L1217" s="2">
        <f t="shared" si="518"/>
        <v>2019</v>
      </c>
      <c r="M1217" s="2">
        <f t="shared" si="518"/>
        <v>2020</v>
      </c>
      <c r="N1217" s="2">
        <f t="shared" si="518"/>
        <v>2021</v>
      </c>
    </row>
    <row r="1218" spans="1:14">
      <c r="B1218" s="79" t="s">
        <v>10</v>
      </c>
      <c r="C1218" s="71"/>
      <c r="D1218" s="51">
        <f>IF($E26 = "Eligible", D1215 * 'Facility Detail'!$B$3079, 0 )</f>
        <v>0</v>
      </c>
      <c r="E1218" s="51">
        <f>IF($E26 = "Eligible", E1215 * 'Facility Detail'!$B$3079, 0 )</f>
        <v>0</v>
      </c>
      <c r="F1218" s="51">
        <f>IF($E26 = "Eligible", F1215 * 'Facility Detail'!$B$3079, 0 )</f>
        <v>0</v>
      </c>
      <c r="G1218" s="51">
        <f>IF($E26 = "Eligible", G1215 * 'Facility Detail'!$B$3079, 0 )</f>
        <v>0</v>
      </c>
      <c r="H1218" s="51">
        <f>IF($E26 = "Eligible", H1215 * 'Facility Detail'!$B$3079, 0 )</f>
        <v>0</v>
      </c>
      <c r="I1218" s="51">
        <f>IF($E26 = "Eligible", I1215 * 'Facility Detail'!$B$3079, 0 )</f>
        <v>0</v>
      </c>
      <c r="J1218" s="51">
        <f>IF($E26 = "Eligible", J1215 * 'Facility Detail'!$B$3079, 0 )</f>
        <v>0</v>
      </c>
      <c r="K1218" s="51">
        <f>IF($E26 = "Eligible", K1215 * 'Facility Detail'!$B$3079, 0 )</f>
        <v>0</v>
      </c>
      <c r="L1218" s="51">
        <f>IF($E26 = "Eligible", L1215 * 'Facility Detail'!$B$3079, 0 )</f>
        <v>0</v>
      </c>
      <c r="M1218" s="51">
        <f>IF($E26 = "Eligible", M1215 * 'Facility Detail'!$B$3079, 0 )</f>
        <v>0</v>
      </c>
      <c r="N1218" s="51">
        <f>IF($E26 = "Eligible", N1215 * 'Facility Detail'!$B$3079, 0 )</f>
        <v>0</v>
      </c>
    </row>
    <row r="1219" spans="1:14">
      <c r="B1219" s="79" t="s">
        <v>6</v>
      </c>
      <c r="C1219" s="71"/>
      <c r="D1219" s="52">
        <f t="shared" ref="D1219:N1219" si="519">IF($F26= "Eligible", D1215, 0 )</f>
        <v>0</v>
      </c>
      <c r="E1219" s="52">
        <f t="shared" si="519"/>
        <v>0</v>
      </c>
      <c r="F1219" s="52">
        <f t="shared" si="519"/>
        <v>0</v>
      </c>
      <c r="G1219" s="52">
        <f t="shared" si="519"/>
        <v>0</v>
      </c>
      <c r="H1219" s="52">
        <f t="shared" si="519"/>
        <v>0</v>
      </c>
      <c r="I1219" s="52">
        <f t="shared" si="519"/>
        <v>0</v>
      </c>
      <c r="J1219" s="52">
        <f t="shared" si="519"/>
        <v>0</v>
      </c>
      <c r="K1219" s="52">
        <f t="shared" si="519"/>
        <v>0</v>
      </c>
      <c r="L1219" s="52">
        <f t="shared" si="519"/>
        <v>0</v>
      </c>
      <c r="M1219" s="52">
        <f t="shared" si="519"/>
        <v>0</v>
      </c>
      <c r="N1219" s="52">
        <f t="shared" si="519"/>
        <v>0</v>
      </c>
    </row>
    <row r="1220" spans="1:14">
      <c r="B1220" s="78" t="s">
        <v>121</v>
      </c>
      <c r="C1220" s="77"/>
      <c r="D1220" s="39">
        <f>SUM(D1218:D1219)</f>
        <v>0</v>
      </c>
      <c r="E1220" s="39">
        <f t="shared" ref="E1220:N1220" si="520">SUM(E1218:E1219)</f>
        <v>0</v>
      </c>
      <c r="F1220" s="39">
        <f t="shared" si="520"/>
        <v>0</v>
      </c>
      <c r="G1220" s="39">
        <f t="shared" si="520"/>
        <v>0</v>
      </c>
      <c r="H1220" s="39">
        <f t="shared" si="520"/>
        <v>0</v>
      </c>
      <c r="I1220" s="39">
        <f t="shared" si="520"/>
        <v>0</v>
      </c>
      <c r="J1220" s="39">
        <f t="shared" si="520"/>
        <v>0</v>
      </c>
      <c r="K1220" s="39">
        <f t="shared" si="520"/>
        <v>0</v>
      </c>
      <c r="L1220" s="39">
        <f t="shared" si="520"/>
        <v>0</v>
      </c>
      <c r="M1220" s="39">
        <f t="shared" si="520"/>
        <v>0</v>
      </c>
      <c r="N1220" s="39">
        <f t="shared" si="520"/>
        <v>0</v>
      </c>
    </row>
    <row r="1221" spans="1:14">
      <c r="B1221" s="30"/>
      <c r="C1221" s="30"/>
      <c r="D1221" s="38"/>
      <c r="E1221" s="31"/>
      <c r="F1221" s="31"/>
      <c r="G1221" s="31"/>
      <c r="H1221" s="31"/>
      <c r="I1221" s="31"/>
      <c r="J1221" s="31"/>
      <c r="K1221" s="31"/>
      <c r="L1221" s="31"/>
      <c r="M1221" s="31"/>
      <c r="N1221" s="31"/>
    </row>
    <row r="1222" spans="1:14" ht="18.5">
      <c r="A1222" s="41" t="s">
        <v>30</v>
      </c>
      <c r="C1222" s="30"/>
      <c r="D1222" s="2">
        <f>'Facility Detail'!$B$3082</f>
        <v>2011</v>
      </c>
      <c r="E1222" s="2">
        <f>D1222+1</f>
        <v>2012</v>
      </c>
      <c r="F1222" s="2">
        <f t="shared" ref="F1222:N1222" si="521">E1222+1</f>
        <v>2013</v>
      </c>
      <c r="G1222" s="2">
        <f t="shared" si="521"/>
        <v>2014</v>
      </c>
      <c r="H1222" s="2">
        <f t="shared" si="521"/>
        <v>2015</v>
      </c>
      <c r="I1222" s="2">
        <f t="shared" si="521"/>
        <v>2016</v>
      </c>
      <c r="J1222" s="2">
        <f t="shared" si="521"/>
        <v>2017</v>
      </c>
      <c r="K1222" s="2">
        <f t="shared" si="521"/>
        <v>2018</v>
      </c>
      <c r="L1222" s="2">
        <f t="shared" si="521"/>
        <v>2019</v>
      </c>
      <c r="M1222" s="2">
        <f t="shared" si="521"/>
        <v>2020</v>
      </c>
      <c r="N1222" s="2">
        <f t="shared" si="521"/>
        <v>2021</v>
      </c>
    </row>
    <row r="1223" spans="1:14">
      <c r="B1223" s="79" t="s">
        <v>47</v>
      </c>
      <c r="C1223" s="71"/>
      <c r="D1223" s="89"/>
      <c r="E1223" s="90"/>
      <c r="F1223" s="90"/>
      <c r="G1223" s="90"/>
      <c r="H1223" s="90"/>
      <c r="I1223" s="90"/>
      <c r="J1223" s="90"/>
      <c r="K1223" s="90"/>
      <c r="L1223" s="90"/>
      <c r="M1223" s="90"/>
      <c r="N1223" s="90"/>
    </row>
    <row r="1224" spans="1:14">
      <c r="B1224" s="80" t="s">
        <v>23</v>
      </c>
      <c r="C1224" s="175"/>
      <c r="D1224" s="92"/>
      <c r="E1224" s="93"/>
      <c r="F1224" s="93"/>
      <c r="G1224" s="93"/>
      <c r="H1224" s="93"/>
      <c r="I1224" s="93"/>
      <c r="J1224" s="93"/>
      <c r="K1224" s="93"/>
      <c r="L1224" s="93"/>
      <c r="M1224" s="93"/>
      <c r="N1224" s="93"/>
    </row>
    <row r="1225" spans="1:14">
      <c r="B1225" s="95" t="s">
        <v>89</v>
      </c>
      <c r="C1225" s="173"/>
      <c r="D1225" s="57"/>
      <c r="E1225" s="58"/>
      <c r="F1225" s="58"/>
      <c r="G1225" s="58"/>
      <c r="H1225" s="58"/>
      <c r="I1225" s="58"/>
      <c r="J1225" s="58"/>
      <c r="K1225" s="58"/>
      <c r="L1225" s="58"/>
      <c r="M1225" s="58"/>
      <c r="N1225" s="58"/>
    </row>
    <row r="1226" spans="1:14">
      <c r="B1226" s="33" t="s">
        <v>90</v>
      </c>
      <c r="D1226" s="7">
        <v>0</v>
      </c>
      <c r="E1226" s="7">
        <v>0</v>
      </c>
      <c r="F1226" s="7">
        <v>0</v>
      </c>
      <c r="G1226" s="7">
        <v>0</v>
      </c>
      <c r="H1226" s="7">
        <v>0</v>
      </c>
      <c r="I1226" s="7">
        <v>0</v>
      </c>
      <c r="J1226" s="7">
        <v>0</v>
      </c>
      <c r="K1226" s="7">
        <v>0</v>
      </c>
      <c r="L1226" s="7">
        <v>0</v>
      </c>
      <c r="M1226" s="7">
        <v>0</v>
      </c>
      <c r="N1226" s="7">
        <v>0</v>
      </c>
    </row>
    <row r="1227" spans="1:14">
      <c r="B1227" s="6"/>
      <c r="D1227" s="7"/>
      <c r="E1227" s="7"/>
      <c r="F1227" s="7"/>
      <c r="G1227" s="28"/>
      <c r="H1227" s="28"/>
      <c r="I1227" s="28"/>
      <c r="J1227" s="28"/>
      <c r="K1227" s="28"/>
      <c r="L1227" s="28"/>
      <c r="M1227" s="28"/>
      <c r="N1227" s="28"/>
    </row>
    <row r="1228" spans="1:14" ht="18.5">
      <c r="A1228" s="9" t="s">
        <v>100</v>
      </c>
      <c r="D1228" s="2">
        <f>'Facility Detail'!$B$3082</f>
        <v>2011</v>
      </c>
      <c r="E1228" s="2">
        <f>D1228+1</f>
        <v>2012</v>
      </c>
      <c r="F1228" s="2">
        <f t="shared" ref="F1228:N1228" si="522">E1228+1</f>
        <v>2013</v>
      </c>
      <c r="G1228" s="2">
        <f t="shared" si="522"/>
        <v>2014</v>
      </c>
      <c r="H1228" s="2">
        <f t="shared" si="522"/>
        <v>2015</v>
      </c>
      <c r="I1228" s="2">
        <f t="shared" si="522"/>
        <v>2016</v>
      </c>
      <c r="J1228" s="2">
        <f t="shared" si="522"/>
        <v>2017</v>
      </c>
      <c r="K1228" s="2">
        <f t="shared" si="522"/>
        <v>2018</v>
      </c>
      <c r="L1228" s="2">
        <f t="shared" si="522"/>
        <v>2019</v>
      </c>
      <c r="M1228" s="2">
        <f t="shared" si="522"/>
        <v>2020</v>
      </c>
      <c r="N1228" s="2">
        <f t="shared" si="522"/>
        <v>2021</v>
      </c>
    </row>
    <row r="1229" spans="1:14">
      <c r="B1229" s="79" t="s">
        <v>68</v>
      </c>
      <c r="C1229" s="71"/>
      <c r="D1229" s="3"/>
      <c r="E1229" s="60">
        <f>D1229</f>
        <v>0</v>
      </c>
      <c r="F1229" s="131"/>
      <c r="G1229" s="131"/>
      <c r="H1229" s="131"/>
      <c r="I1229" s="131"/>
      <c r="J1229" s="131"/>
      <c r="K1229" s="131"/>
      <c r="L1229" s="131"/>
      <c r="M1229" s="131"/>
      <c r="N1229" s="131"/>
    </row>
    <row r="1230" spans="1:14">
      <c r="B1230" s="79" t="s">
        <v>69</v>
      </c>
      <c r="C1230" s="71"/>
      <c r="D1230" s="164">
        <f>E1230</f>
        <v>0</v>
      </c>
      <c r="E1230" s="10"/>
      <c r="F1230" s="74"/>
      <c r="G1230" s="74"/>
      <c r="H1230" s="74"/>
      <c r="I1230" s="74"/>
      <c r="J1230" s="74"/>
      <c r="K1230" s="74"/>
      <c r="L1230" s="74"/>
      <c r="M1230" s="74"/>
      <c r="N1230" s="74"/>
    </row>
    <row r="1231" spans="1:14">
      <c r="B1231" s="79" t="s">
        <v>70</v>
      </c>
      <c r="C1231" s="71"/>
      <c r="D1231" s="62"/>
      <c r="E1231" s="10">
        <f>E1215</f>
        <v>0</v>
      </c>
      <c r="F1231" s="70">
        <f>E1231</f>
        <v>0</v>
      </c>
      <c r="G1231" s="74"/>
      <c r="H1231" s="74"/>
      <c r="I1231" s="74"/>
      <c r="J1231" s="74"/>
      <c r="K1231" s="74"/>
      <c r="L1231" s="74"/>
      <c r="M1231" s="74"/>
      <c r="N1231" s="74"/>
    </row>
    <row r="1232" spans="1:14">
      <c r="B1232" s="79" t="s">
        <v>71</v>
      </c>
      <c r="C1232" s="71"/>
      <c r="D1232" s="62"/>
      <c r="E1232" s="70">
        <f>F1232</f>
        <v>0</v>
      </c>
      <c r="F1232" s="163"/>
      <c r="G1232" s="74"/>
      <c r="H1232" s="74"/>
      <c r="I1232" s="74"/>
      <c r="J1232" s="74"/>
      <c r="K1232" s="74"/>
      <c r="L1232" s="74"/>
      <c r="M1232" s="74"/>
      <c r="N1232" s="74"/>
    </row>
    <row r="1233" spans="2:14">
      <c r="B1233" s="79" t="s">
        <v>171</v>
      </c>
      <c r="C1233" s="30"/>
      <c r="D1233" s="62"/>
      <c r="E1233" s="148"/>
      <c r="F1233" s="10">
        <f>F1215</f>
        <v>0</v>
      </c>
      <c r="G1233" s="149">
        <f>F1233</f>
        <v>0</v>
      </c>
      <c r="H1233" s="74"/>
      <c r="I1233" s="74"/>
      <c r="J1233" s="74"/>
      <c r="K1233" s="74"/>
      <c r="L1233" s="74"/>
      <c r="M1233" s="74"/>
      <c r="N1233" s="74"/>
    </row>
    <row r="1234" spans="2:14">
      <c r="B1234" s="79" t="s">
        <v>172</v>
      </c>
      <c r="C1234" s="30"/>
      <c r="D1234" s="62"/>
      <c r="E1234" s="148"/>
      <c r="F1234" s="70">
        <f>G1234</f>
        <v>0</v>
      </c>
      <c r="G1234" s="10"/>
      <c r="H1234" s="74"/>
      <c r="I1234" s="74"/>
      <c r="J1234" s="74"/>
      <c r="K1234" s="74"/>
      <c r="L1234" s="74"/>
      <c r="M1234" s="74"/>
      <c r="N1234" s="74"/>
    </row>
    <row r="1235" spans="2:14">
      <c r="B1235" s="79" t="s">
        <v>173</v>
      </c>
      <c r="C1235" s="30"/>
      <c r="D1235" s="62"/>
      <c r="E1235" s="148"/>
      <c r="F1235" s="148"/>
      <c r="G1235" s="10">
        <f>G1215</f>
        <v>0</v>
      </c>
      <c r="H1235" s="149">
        <f>G1235</f>
        <v>0</v>
      </c>
      <c r="I1235" s="148">
        <f>H1235</f>
        <v>0</v>
      </c>
      <c r="J1235" s="148"/>
      <c r="K1235" s="148"/>
      <c r="L1235" s="148"/>
      <c r="M1235" s="148"/>
      <c r="N1235" s="148"/>
    </row>
    <row r="1236" spans="2:14">
      <c r="B1236" s="79" t="s">
        <v>174</v>
      </c>
      <c r="C1236" s="30"/>
      <c r="D1236" s="62"/>
      <c r="E1236" s="148"/>
      <c r="F1236" s="148"/>
      <c r="G1236" s="150"/>
      <c r="H1236" s="151"/>
      <c r="I1236" s="148"/>
      <c r="J1236" s="148"/>
      <c r="K1236" s="148"/>
      <c r="L1236" s="148"/>
      <c r="M1236" s="148"/>
      <c r="N1236" s="148"/>
    </row>
    <row r="1237" spans="2:14">
      <c r="B1237" s="79" t="s">
        <v>175</v>
      </c>
      <c r="C1237" s="30"/>
      <c r="D1237" s="62"/>
      <c r="E1237" s="148"/>
      <c r="F1237" s="148"/>
      <c r="G1237" s="148"/>
      <c r="H1237" s="151">
        <v>0</v>
      </c>
      <c r="I1237" s="149">
        <f>H1237</f>
        <v>0</v>
      </c>
      <c r="J1237" s="74"/>
      <c r="K1237" s="74"/>
      <c r="L1237" s="74"/>
      <c r="M1237" s="74"/>
      <c r="N1237" s="74"/>
    </row>
    <row r="1238" spans="2:14">
      <c r="B1238" s="79" t="s">
        <v>176</v>
      </c>
      <c r="C1238" s="30"/>
      <c r="D1238" s="62"/>
      <c r="E1238" s="148"/>
      <c r="F1238" s="148"/>
      <c r="G1238" s="148"/>
      <c r="H1238" s="70"/>
      <c r="I1238" s="151"/>
      <c r="J1238" s="74"/>
      <c r="K1238" s="74"/>
      <c r="L1238" s="148"/>
      <c r="M1238" s="148"/>
      <c r="N1238" s="148"/>
    </row>
    <row r="1239" spans="2:14">
      <c r="B1239" s="79" t="s">
        <v>177</v>
      </c>
      <c r="C1239" s="30"/>
      <c r="D1239" s="62"/>
      <c r="E1239" s="148"/>
      <c r="F1239" s="148"/>
      <c r="G1239" s="148"/>
      <c r="H1239" s="148"/>
      <c r="I1239" s="151">
        <f>I1215</f>
        <v>0</v>
      </c>
      <c r="J1239" s="149">
        <f>I1239</f>
        <v>0</v>
      </c>
      <c r="K1239" s="148"/>
      <c r="L1239" s="148"/>
      <c r="M1239" s="148"/>
      <c r="N1239" s="148"/>
    </row>
    <row r="1240" spans="2:14">
      <c r="B1240" s="79" t="s">
        <v>168</v>
      </c>
      <c r="C1240" s="30"/>
      <c r="D1240" s="62"/>
      <c r="E1240" s="148"/>
      <c r="F1240" s="148"/>
      <c r="G1240" s="148"/>
      <c r="H1240" s="148"/>
      <c r="I1240" s="150"/>
      <c r="J1240" s="151"/>
      <c r="K1240" s="148"/>
      <c r="L1240" s="148"/>
      <c r="M1240" s="148"/>
      <c r="N1240" s="148"/>
    </row>
    <row r="1241" spans="2:14">
      <c r="B1241" s="79" t="s">
        <v>169</v>
      </c>
      <c r="C1241" s="30"/>
      <c r="D1241" s="62"/>
      <c r="E1241" s="148"/>
      <c r="F1241" s="148"/>
      <c r="G1241" s="148"/>
      <c r="H1241" s="148"/>
      <c r="I1241" s="148"/>
      <c r="J1241" s="151"/>
      <c r="K1241" s="149">
        <f>J1241</f>
        <v>0</v>
      </c>
      <c r="L1241" s="148"/>
      <c r="M1241" s="148"/>
      <c r="N1241" s="148"/>
    </row>
    <row r="1242" spans="2:14">
      <c r="B1242" s="79" t="s">
        <v>186</v>
      </c>
      <c r="C1242" s="30"/>
      <c r="D1242" s="62"/>
      <c r="E1242" s="148"/>
      <c r="F1242" s="148"/>
      <c r="G1242" s="148"/>
      <c r="H1242" s="148"/>
      <c r="I1242" s="148"/>
      <c r="J1242" s="150"/>
      <c r="K1242" s="151"/>
      <c r="L1242" s="148"/>
      <c r="M1242" s="148"/>
      <c r="N1242" s="148"/>
    </row>
    <row r="1243" spans="2:14">
      <c r="B1243" s="79" t="s">
        <v>187</v>
      </c>
      <c r="C1243" s="30"/>
      <c r="D1243" s="62"/>
      <c r="E1243" s="148"/>
      <c r="F1243" s="148"/>
      <c r="G1243" s="148"/>
      <c r="H1243" s="148"/>
      <c r="I1243" s="148"/>
      <c r="J1243" s="148"/>
      <c r="K1243" s="151">
        <f>K1219</f>
        <v>0</v>
      </c>
      <c r="L1243" s="149">
        <f>K1243</f>
        <v>0</v>
      </c>
      <c r="M1243" s="148"/>
      <c r="N1243" s="148"/>
    </row>
    <row r="1244" spans="2:14">
      <c r="B1244" s="79" t="s">
        <v>188</v>
      </c>
      <c r="C1244" s="30"/>
      <c r="D1244" s="62"/>
      <c r="E1244" s="148"/>
      <c r="F1244" s="148"/>
      <c r="G1244" s="148"/>
      <c r="H1244" s="148"/>
      <c r="I1244" s="148"/>
      <c r="J1244" s="148"/>
      <c r="K1244" s="150"/>
      <c r="L1244" s="151"/>
      <c r="M1244" s="148"/>
      <c r="N1244" s="148"/>
    </row>
    <row r="1245" spans="2:14">
      <c r="B1245" s="79" t="s">
        <v>189</v>
      </c>
      <c r="C1245" s="30"/>
      <c r="D1245" s="62"/>
      <c r="E1245" s="148"/>
      <c r="F1245" s="148"/>
      <c r="G1245" s="148"/>
      <c r="H1245" s="148"/>
      <c r="I1245" s="148"/>
      <c r="J1245" s="148"/>
      <c r="K1245" s="148"/>
      <c r="L1245" s="151">
        <f>L1221</f>
        <v>0</v>
      </c>
      <c r="M1245" s="149">
        <f>L1245</f>
        <v>0</v>
      </c>
      <c r="N1245" s="148"/>
    </row>
    <row r="1246" spans="2:14">
      <c r="B1246" s="79" t="s">
        <v>190</v>
      </c>
      <c r="C1246" s="30"/>
      <c r="D1246" s="62"/>
      <c r="E1246" s="148"/>
      <c r="F1246" s="148"/>
      <c r="G1246" s="148"/>
      <c r="H1246" s="148"/>
      <c r="I1246" s="148"/>
      <c r="J1246" s="148"/>
      <c r="K1246" s="148"/>
      <c r="L1246" s="150"/>
      <c r="M1246" s="151"/>
      <c r="N1246" s="148"/>
    </row>
    <row r="1247" spans="2:14">
      <c r="B1247" s="79" t="s">
        <v>191</v>
      </c>
      <c r="C1247" s="30"/>
      <c r="D1247" s="62"/>
      <c r="E1247" s="148"/>
      <c r="F1247" s="148"/>
      <c r="G1247" s="148"/>
      <c r="H1247" s="148"/>
      <c r="I1247" s="148"/>
      <c r="J1247" s="148"/>
      <c r="K1247" s="148"/>
      <c r="L1247" s="148"/>
      <c r="M1247" s="151">
        <f>M1223</f>
        <v>0</v>
      </c>
      <c r="N1247" s="149">
        <f>M1247</f>
        <v>0</v>
      </c>
    </row>
    <row r="1248" spans="2:14">
      <c r="B1248" s="79" t="s">
        <v>201</v>
      </c>
      <c r="C1248" s="30"/>
      <c r="D1248" s="62"/>
      <c r="E1248" s="148"/>
      <c r="F1248" s="148"/>
      <c r="G1248" s="148"/>
      <c r="H1248" s="148"/>
      <c r="I1248" s="148"/>
      <c r="J1248" s="148"/>
      <c r="K1248" s="148"/>
      <c r="L1248" s="148"/>
      <c r="M1248" s="150"/>
      <c r="N1248" s="151"/>
    </row>
    <row r="1249" spans="1:14">
      <c r="B1249" s="79" t="s">
        <v>202</v>
      </c>
      <c r="C1249" s="30"/>
      <c r="D1249" s="63"/>
      <c r="E1249" s="133"/>
      <c r="F1249" s="133"/>
      <c r="G1249" s="133"/>
      <c r="H1249" s="133"/>
      <c r="I1249" s="133"/>
      <c r="J1249" s="133"/>
      <c r="K1249" s="133"/>
      <c r="L1249" s="133"/>
      <c r="M1249" s="133"/>
      <c r="N1249" s="153">
        <f>N1225</f>
        <v>0</v>
      </c>
    </row>
    <row r="1250" spans="1:14">
      <c r="B1250" s="33" t="s">
        <v>17</v>
      </c>
      <c r="D1250" s="218">
        <f xml:space="preserve"> D1235 - D1234</f>
        <v>0</v>
      </c>
      <c r="E1250" s="218">
        <f xml:space="preserve"> E1234 + E1237 - E1236 - E1235</f>
        <v>0</v>
      </c>
      <c r="F1250" s="218">
        <f>F1236 - F1237</f>
        <v>0</v>
      </c>
      <c r="G1250" s="218">
        <f>G1236 - G1237</f>
        <v>0</v>
      </c>
      <c r="H1250" s="218">
        <f>H1235-H1236-H1237</f>
        <v>0</v>
      </c>
      <c r="I1250" s="218">
        <f>I1237-I1238-I1239</f>
        <v>0</v>
      </c>
      <c r="J1250" s="218">
        <f>J1239-J1240-J1241</f>
        <v>0</v>
      </c>
      <c r="K1250" s="218">
        <f>K1239-K1240-K1241</f>
        <v>0</v>
      </c>
      <c r="L1250" s="218">
        <f>L1239-L1240-L1241</f>
        <v>0</v>
      </c>
      <c r="M1250" s="218">
        <f>M1239-M1240-M1241</f>
        <v>0</v>
      </c>
      <c r="N1250" s="218">
        <f>N1239-N1240-N1241</f>
        <v>0</v>
      </c>
    </row>
    <row r="1251" spans="1:14">
      <c r="B1251" s="6"/>
      <c r="D1251" s="218"/>
      <c r="E1251" s="218"/>
      <c r="F1251" s="218"/>
      <c r="G1251" s="218"/>
      <c r="H1251" s="218"/>
      <c r="I1251" s="218"/>
      <c r="J1251" s="218"/>
      <c r="K1251" s="218"/>
      <c r="L1251" s="218"/>
      <c r="M1251" s="218"/>
      <c r="N1251" s="218"/>
    </row>
    <row r="1252" spans="1:14">
      <c r="B1252" s="76" t="s">
        <v>12</v>
      </c>
      <c r="C1252" s="71"/>
      <c r="D1252" s="219"/>
      <c r="E1252" s="220"/>
      <c r="F1252" s="220"/>
      <c r="G1252" s="220"/>
      <c r="H1252" s="220"/>
      <c r="I1252" s="220"/>
      <c r="J1252" s="220"/>
      <c r="K1252" s="220"/>
      <c r="L1252" s="220"/>
      <c r="M1252" s="220"/>
      <c r="N1252" s="220"/>
    </row>
    <row r="1253" spans="1:14">
      <c r="B1253" s="6"/>
      <c r="D1253" s="218"/>
      <c r="E1253" s="218"/>
      <c r="F1253" s="218"/>
      <c r="G1253" s="218"/>
      <c r="H1253" s="218"/>
      <c r="I1253" s="218"/>
      <c r="J1253" s="218"/>
      <c r="K1253" s="218"/>
      <c r="L1253" s="218"/>
      <c r="M1253" s="218"/>
      <c r="N1253" s="218"/>
    </row>
    <row r="1254" spans="1:14" ht="18.5">
      <c r="A1254" s="41" t="s">
        <v>26</v>
      </c>
      <c r="C1254" s="71"/>
      <c r="D1254" s="221">
        <f t="shared" ref="D1254:N1254" si="523" xml:space="preserve"> D1215 + D1220 - D1226 + D1250 + D1252</f>
        <v>0</v>
      </c>
      <c r="E1254" s="222">
        <f t="shared" si="523"/>
        <v>0</v>
      </c>
      <c r="F1254" s="222">
        <f t="shared" si="523"/>
        <v>0</v>
      </c>
      <c r="G1254" s="222">
        <f t="shared" si="523"/>
        <v>0</v>
      </c>
      <c r="H1254" s="222">
        <f t="shared" si="523"/>
        <v>0</v>
      </c>
      <c r="I1254" s="222">
        <f t="shared" si="523"/>
        <v>0</v>
      </c>
      <c r="J1254" s="222">
        <f t="shared" si="523"/>
        <v>0</v>
      </c>
      <c r="K1254" s="222">
        <f t="shared" si="523"/>
        <v>0</v>
      </c>
      <c r="L1254" s="222">
        <f t="shared" si="523"/>
        <v>0</v>
      </c>
      <c r="M1254" s="222">
        <f t="shared" si="523"/>
        <v>75000</v>
      </c>
      <c r="N1254" s="222">
        <f t="shared" si="523"/>
        <v>0</v>
      </c>
    </row>
    <row r="1255" spans="1:14" ht="15" thickBot="1"/>
    <row r="1256" spans="1:14">
      <c r="A1256" s="8"/>
      <c r="B1256" s="8"/>
      <c r="C1256" s="8"/>
      <c r="D1256" s="8"/>
      <c r="E1256" s="8"/>
      <c r="F1256" s="8"/>
      <c r="G1256" s="8"/>
      <c r="H1256" s="8"/>
      <c r="I1256" s="8"/>
      <c r="J1256" s="8"/>
      <c r="K1256" s="8"/>
      <c r="L1256" s="8"/>
      <c r="M1256" s="8"/>
      <c r="N1256" s="8"/>
    </row>
    <row r="1257" spans="1:14" ht="15" thickBot="1"/>
    <row r="1258" spans="1:14" ht="21.5" thickBot="1">
      <c r="A1258" s="13" t="s">
        <v>4</v>
      </c>
      <c r="B1258" s="13"/>
      <c r="C1258" s="343" t="str">
        <f>B27</f>
        <v>Hidden Hollow - REC Only</v>
      </c>
      <c r="D1258" s="347"/>
    </row>
    <row r="1260" spans="1:14" ht="18.5">
      <c r="A1260" s="9" t="s">
        <v>21</v>
      </c>
      <c r="B1260" s="9"/>
      <c r="D1260" s="2">
        <f>'Facility Detail'!$B$3082</f>
        <v>2011</v>
      </c>
      <c r="E1260" s="2">
        <f>D1260+1</f>
        <v>2012</v>
      </c>
      <c r="F1260" s="2">
        <f>E1260+1</f>
        <v>2013</v>
      </c>
      <c r="G1260" s="2">
        <f t="shared" ref="G1260:N1260" si="524">F1260+1</f>
        <v>2014</v>
      </c>
      <c r="H1260" s="2">
        <f t="shared" si="524"/>
        <v>2015</v>
      </c>
      <c r="I1260" s="2">
        <f t="shared" si="524"/>
        <v>2016</v>
      </c>
      <c r="J1260" s="2">
        <f t="shared" si="524"/>
        <v>2017</v>
      </c>
      <c r="K1260" s="2">
        <f t="shared" si="524"/>
        <v>2018</v>
      </c>
      <c r="L1260" s="2">
        <f t="shared" si="524"/>
        <v>2019</v>
      </c>
      <c r="M1260" s="2">
        <f t="shared" si="524"/>
        <v>2020</v>
      </c>
      <c r="N1260" s="2">
        <f t="shared" si="524"/>
        <v>2021</v>
      </c>
    </row>
    <row r="1261" spans="1:14">
      <c r="B1261" s="326" t="str">
        <f>"Total MWh Produced / Purchased from " &amp; C1258</f>
        <v>Total MWh Produced / Purchased from Hidden Hollow - REC Only</v>
      </c>
      <c r="C1261" s="71"/>
      <c r="D1261" s="3"/>
      <c r="E1261" s="4"/>
      <c r="F1261" s="4"/>
      <c r="G1261" s="4"/>
      <c r="H1261" s="4">
        <v>12501</v>
      </c>
      <c r="I1261" s="4">
        <v>3960</v>
      </c>
      <c r="J1261" s="4"/>
      <c r="K1261" s="4"/>
      <c r="L1261" s="4"/>
      <c r="M1261" s="4"/>
      <c r="N1261" s="4"/>
    </row>
    <row r="1262" spans="1:14">
      <c r="B1262" s="326" t="s">
        <v>25</v>
      </c>
      <c r="C1262" s="71"/>
      <c r="D1262" s="54"/>
      <c r="E1262" s="55"/>
      <c r="F1262" s="55"/>
      <c r="G1262" s="55"/>
      <c r="H1262" s="55">
        <v>1</v>
      </c>
      <c r="I1262" s="55">
        <v>1</v>
      </c>
      <c r="J1262" s="55"/>
      <c r="K1262" s="55"/>
      <c r="L1262" s="55"/>
      <c r="M1262" s="55"/>
      <c r="N1262" s="55"/>
    </row>
    <row r="1263" spans="1:14">
      <c r="B1263" s="326" t="s">
        <v>20</v>
      </c>
      <c r="C1263" s="71"/>
      <c r="D1263" s="48"/>
      <c r="E1263" s="49"/>
      <c r="F1263" s="49"/>
      <c r="G1263" s="49"/>
      <c r="H1263" s="49">
        <v>1</v>
      </c>
      <c r="I1263" s="49">
        <v>1</v>
      </c>
      <c r="J1263" s="49"/>
      <c r="K1263" s="49"/>
      <c r="L1263" s="49"/>
      <c r="M1263" s="49"/>
      <c r="N1263" s="49"/>
    </row>
    <row r="1264" spans="1:14">
      <c r="B1264" s="33" t="s">
        <v>22</v>
      </c>
      <c r="C1264" s="6"/>
      <c r="D1264" s="37">
        <f xml:space="preserve"> D1261 * D1262 * D1263</f>
        <v>0</v>
      </c>
      <c r="E1264" s="37">
        <f xml:space="preserve"> E1261 * E1262 * E1263</f>
        <v>0</v>
      </c>
      <c r="F1264" s="37">
        <f xml:space="preserve"> F1261 * F1262 * F1263</f>
        <v>0</v>
      </c>
      <c r="G1264" s="37">
        <f t="shared" ref="G1264" si="525" xml:space="preserve"> G1261 * G1262 * G1263</f>
        <v>0</v>
      </c>
      <c r="H1264" s="37">
        <v>12501</v>
      </c>
      <c r="I1264" s="37">
        <v>3960</v>
      </c>
      <c r="J1264" s="37"/>
      <c r="K1264" s="37"/>
      <c r="L1264" s="37"/>
      <c r="M1264" s="37"/>
      <c r="N1264" s="37"/>
    </row>
    <row r="1265" spans="1:14">
      <c r="D1265" s="36"/>
      <c r="E1265" s="36"/>
      <c r="F1265" s="36"/>
      <c r="G1265" s="36"/>
      <c r="H1265" s="36"/>
      <c r="I1265" s="36"/>
      <c r="J1265" s="36"/>
      <c r="K1265" s="36"/>
      <c r="L1265" s="36"/>
      <c r="M1265" s="36"/>
      <c r="N1265" s="36"/>
    </row>
    <row r="1266" spans="1:14" ht="18.5">
      <c r="A1266" s="9" t="s">
        <v>119</v>
      </c>
      <c r="D1266" s="2">
        <f>'Facility Detail'!$B$3082</f>
        <v>2011</v>
      </c>
      <c r="E1266" s="2">
        <f>D1266+1</f>
        <v>2012</v>
      </c>
      <c r="F1266" s="2">
        <f>E1266+1</f>
        <v>2013</v>
      </c>
      <c r="G1266" s="2">
        <f t="shared" ref="G1266:J1266" si="526">F1266+1</f>
        <v>2014</v>
      </c>
      <c r="H1266" s="2">
        <f t="shared" si="526"/>
        <v>2015</v>
      </c>
      <c r="I1266" s="2">
        <f t="shared" si="526"/>
        <v>2016</v>
      </c>
      <c r="J1266" s="2">
        <f t="shared" si="526"/>
        <v>2017</v>
      </c>
      <c r="K1266" s="2">
        <f>K1260</f>
        <v>2018</v>
      </c>
      <c r="L1266" s="2">
        <f t="shared" ref="L1266:N1266" si="527">L1260</f>
        <v>2019</v>
      </c>
      <c r="M1266" s="2">
        <f t="shared" si="527"/>
        <v>2020</v>
      </c>
      <c r="N1266" s="2">
        <f t="shared" si="527"/>
        <v>2021</v>
      </c>
    </row>
    <row r="1267" spans="1:14">
      <c r="B1267" s="326" t="s">
        <v>10</v>
      </c>
      <c r="C1267" s="71"/>
      <c r="D1267" s="51">
        <f>IF($E27 = "Eligible", D1264 * 'Facility Detail'!$B$3079, 0 )</f>
        <v>0</v>
      </c>
      <c r="E1267" s="51">
        <f>IF($E27 = "Eligible", E1264 * 'Facility Detail'!$B$3079, 0 )</f>
        <v>0</v>
      </c>
      <c r="F1267" s="51">
        <f>IF($E27 = "Eligible", F1264 * 'Facility Detail'!$B$3079, 0 )</f>
        <v>0</v>
      </c>
      <c r="G1267" s="51">
        <f>IF($E27 = "Eligible", G1264 * 'Facility Detail'!$B$3079, 0 )</f>
        <v>0</v>
      </c>
      <c r="H1267" s="51">
        <f>IF($E27 = "Eligible", H1264 * 'Facility Detail'!$B$3079, 0 )</f>
        <v>0</v>
      </c>
      <c r="I1267" s="51">
        <f>IF($E27 = "Eligible", I1264 * 'Facility Detail'!$B$3079, 0 )</f>
        <v>0</v>
      </c>
      <c r="J1267" s="51">
        <f>IF($E27 = "Eligible", J1264 * 'Facility Detail'!$B$3079, 0 )</f>
        <v>0</v>
      </c>
      <c r="K1267" s="51">
        <f>IF($E27 = "Eligible", K1264 * 'Facility Detail'!$B$3079, 0 )</f>
        <v>0</v>
      </c>
      <c r="L1267" s="51">
        <f>IF($E27 = "Eligible", L1264 * 'Facility Detail'!$B$3079, 0 )</f>
        <v>0</v>
      </c>
      <c r="M1267" s="51">
        <f>IF($E27 = "Eligible", M1264 * 'Facility Detail'!$B$3079, 0 )</f>
        <v>0</v>
      </c>
      <c r="N1267" s="51">
        <f>IF($E27 = "Eligible", N1264 * 'Facility Detail'!$B$3079, 0 )</f>
        <v>0</v>
      </c>
    </row>
    <row r="1268" spans="1:14">
      <c r="B1268" s="326" t="s">
        <v>6</v>
      </c>
      <c r="C1268" s="71"/>
      <c r="D1268" s="52">
        <f t="shared" ref="D1268:N1268" si="528">IF($F76= "Eligible", D1264, 0 )</f>
        <v>0</v>
      </c>
      <c r="E1268" s="52">
        <f t="shared" si="528"/>
        <v>0</v>
      </c>
      <c r="F1268" s="52">
        <f t="shared" si="528"/>
        <v>0</v>
      </c>
      <c r="G1268" s="52">
        <f t="shared" si="528"/>
        <v>0</v>
      </c>
      <c r="H1268" s="52">
        <f t="shared" si="528"/>
        <v>0</v>
      </c>
      <c r="I1268" s="52">
        <f t="shared" si="528"/>
        <v>0</v>
      </c>
      <c r="J1268" s="52">
        <f t="shared" si="528"/>
        <v>0</v>
      </c>
      <c r="K1268" s="52">
        <f t="shared" si="528"/>
        <v>0</v>
      </c>
      <c r="L1268" s="52">
        <f t="shared" si="528"/>
        <v>0</v>
      </c>
      <c r="M1268" s="52">
        <f t="shared" si="528"/>
        <v>0</v>
      </c>
      <c r="N1268" s="52">
        <f t="shared" si="528"/>
        <v>0</v>
      </c>
    </row>
    <row r="1269" spans="1:14">
      <c r="B1269" s="33" t="s">
        <v>121</v>
      </c>
      <c r="C1269" s="6"/>
      <c r="D1269" s="39">
        <f>SUM(D1267:D1268)</f>
        <v>0</v>
      </c>
      <c r="E1269" s="40">
        <f>SUM(E1267:E1268)</f>
        <v>0</v>
      </c>
      <c r="F1269" s="40">
        <f>SUM(F1267:F1268)</f>
        <v>0</v>
      </c>
      <c r="G1269" s="40">
        <f t="shared" ref="G1269:N1269" si="529">SUM(G1267:G1268)</f>
        <v>0</v>
      </c>
      <c r="H1269" s="40">
        <f t="shared" si="529"/>
        <v>0</v>
      </c>
      <c r="I1269" s="40">
        <f t="shared" si="529"/>
        <v>0</v>
      </c>
      <c r="J1269" s="40">
        <f t="shared" si="529"/>
        <v>0</v>
      </c>
      <c r="K1269" s="40">
        <f t="shared" si="529"/>
        <v>0</v>
      </c>
      <c r="L1269" s="40">
        <f t="shared" si="529"/>
        <v>0</v>
      </c>
      <c r="M1269" s="40">
        <f t="shared" si="529"/>
        <v>0</v>
      </c>
      <c r="N1269" s="40">
        <f t="shared" si="529"/>
        <v>0</v>
      </c>
    </row>
    <row r="1270" spans="1:14">
      <c r="D1270" s="38"/>
      <c r="E1270" s="31"/>
      <c r="F1270" s="31"/>
      <c r="G1270" s="31"/>
      <c r="H1270" s="31"/>
      <c r="I1270" s="31"/>
      <c r="J1270" s="31"/>
      <c r="K1270" s="31"/>
      <c r="L1270" s="31"/>
      <c r="M1270" s="31"/>
      <c r="N1270" s="31"/>
    </row>
    <row r="1271" spans="1:14" ht="18.5">
      <c r="A1271" s="9" t="s">
        <v>30</v>
      </c>
      <c r="D1271" s="2">
        <f>'Facility Detail'!$B$3082</f>
        <v>2011</v>
      </c>
      <c r="E1271" s="2">
        <f>D1271+1</f>
        <v>2012</v>
      </c>
      <c r="F1271" s="2">
        <f>E1271+1</f>
        <v>2013</v>
      </c>
      <c r="G1271" s="2">
        <f t="shared" ref="G1271:N1271" si="530">F1271+1</f>
        <v>2014</v>
      </c>
      <c r="H1271" s="2">
        <f t="shared" si="530"/>
        <v>2015</v>
      </c>
      <c r="I1271" s="2">
        <f t="shared" si="530"/>
        <v>2016</v>
      </c>
      <c r="J1271" s="2">
        <f t="shared" si="530"/>
        <v>2017</v>
      </c>
      <c r="K1271" s="2">
        <f t="shared" si="530"/>
        <v>2018</v>
      </c>
      <c r="L1271" s="2">
        <f t="shared" si="530"/>
        <v>2019</v>
      </c>
      <c r="M1271" s="2">
        <f t="shared" si="530"/>
        <v>2020</v>
      </c>
      <c r="N1271" s="2">
        <f t="shared" si="530"/>
        <v>2021</v>
      </c>
    </row>
    <row r="1272" spans="1:14">
      <c r="B1272" s="326" t="s">
        <v>47</v>
      </c>
      <c r="C1272" s="71"/>
      <c r="D1272" s="89"/>
      <c r="E1272" s="90"/>
      <c r="F1272" s="90"/>
      <c r="G1272" s="90"/>
      <c r="H1272" s="90"/>
      <c r="I1272" s="90"/>
      <c r="J1272" s="90"/>
      <c r="K1272" s="90"/>
      <c r="L1272" s="90"/>
      <c r="M1272" s="90"/>
      <c r="N1272" s="90"/>
    </row>
    <row r="1273" spans="1:14">
      <c r="B1273" s="330" t="s">
        <v>23</v>
      </c>
      <c r="C1273" s="331"/>
      <c r="D1273" s="92"/>
      <c r="E1273" s="93"/>
      <c r="F1273" s="93"/>
      <c r="G1273" s="93"/>
      <c r="H1273" s="93"/>
      <c r="I1273" s="93"/>
      <c r="J1273" s="93"/>
      <c r="K1273" s="93"/>
      <c r="L1273" s="93"/>
      <c r="M1273" s="93"/>
      <c r="N1273" s="93"/>
    </row>
    <row r="1274" spans="1:14">
      <c r="B1274" s="330" t="s">
        <v>89</v>
      </c>
      <c r="C1274" s="332"/>
      <c r="D1274" s="57"/>
      <c r="E1274" s="58"/>
      <c r="F1274" s="58"/>
      <c r="G1274" s="58"/>
      <c r="H1274" s="58"/>
      <c r="I1274" s="58"/>
      <c r="J1274" s="58"/>
      <c r="K1274" s="58"/>
      <c r="L1274" s="58"/>
      <c r="M1274" s="58"/>
      <c r="N1274" s="58"/>
    </row>
    <row r="1275" spans="1:14">
      <c r="B1275" s="33" t="s">
        <v>90</v>
      </c>
      <c r="D1275" s="7">
        <f>SUM(D1272:D1274)</f>
        <v>0</v>
      </c>
      <c r="E1275" s="7">
        <f>SUM(E1272:E1274)</f>
        <v>0</v>
      </c>
      <c r="F1275" s="7">
        <f>SUM(F1272:F1274)</f>
        <v>0</v>
      </c>
      <c r="G1275" s="7">
        <f t="shared" ref="G1275:N1275" si="531">SUM(G1272:G1274)</f>
        <v>0</v>
      </c>
      <c r="H1275" s="7">
        <f t="shared" si="531"/>
        <v>0</v>
      </c>
      <c r="I1275" s="7">
        <f t="shared" si="531"/>
        <v>0</v>
      </c>
      <c r="J1275" s="7">
        <f t="shared" si="531"/>
        <v>0</v>
      </c>
      <c r="K1275" s="7">
        <f t="shared" si="531"/>
        <v>0</v>
      </c>
      <c r="L1275" s="7">
        <f t="shared" si="531"/>
        <v>0</v>
      </c>
      <c r="M1275" s="7">
        <f t="shared" si="531"/>
        <v>0</v>
      </c>
      <c r="N1275" s="7">
        <f t="shared" si="531"/>
        <v>0</v>
      </c>
    </row>
    <row r="1276" spans="1:14">
      <c r="B1276" s="6"/>
      <c r="D1276" s="7"/>
      <c r="E1276" s="7"/>
      <c r="F1276" s="7"/>
      <c r="G1276" s="7"/>
      <c r="H1276" s="7"/>
      <c r="I1276" s="7"/>
      <c r="J1276" s="7"/>
      <c r="K1276" s="7"/>
      <c r="L1276" s="7"/>
      <c r="M1276" s="7"/>
      <c r="N1276" s="7"/>
    </row>
    <row r="1277" spans="1:14" ht="18.5">
      <c r="A1277" s="9" t="s">
        <v>100</v>
      </c>
      <c r="D1277" s="2">
        <f>'Facility Detail'!$B$3082</f>
        <v>2011</v>
      </c>
      <c r="E1277" s="2">
        <f>D1277+1</f>
        <v>2012</v>
      </c>
      <c r="F1277" s="2">
        <f>E1277+1</f>
        <v>2013</v>
      </c>
      <c r="G1277" s="2">
        <f t="shared" ref="G1277:N1277" si="532">F1277+1</f>
        <v>2014</v>
      </c>
      <c r="H1277" s="2">
        <f t="shared" si="532"/>
        <v>2015</v>
      </c>
      <c r="I1277" s="2">
        <f t="shared" si="532"/>
        <v>2016</v>
      </c>
      <c r="J1277" s="2">
        <f t="shared" si="532"/>
        <v>2017</v>
      </c>
      <c r="K1277" s="2">
        <f t="shared" si="532"/>
        <v>2018</v>
      </c>
      <c r="L1277" s="2">
        <f t="shared" si="532"/>
        <v>2019</v>
      </c>
      <c r="M1277" s="2">
        <f t="shared" si="532"/>
        <v>2020</v>
      </c>
      <c r="N1277" s="2">
        <f t="shared" si="532"/>
        <v>2021</v>
      </c>
    </row>
    <row r="1278" spans="1:14" ht="14.25" customHeight="1">
      <c r="A1278" s="9"/>
      <c r="B1278" s="326" t="s">
        <v>68</v>
      </c>
      <c r="C1278" s="71"/>
      <c r="D1278" s="3"/>
      <c r="E1278" s="60">
        <f>D1278</f>
        <v>0</v>
      </c>
      <c r="F1278" s="131"/>
      <c r="G1278" s="131"/>
      <c r="H1278" s="131"/>
      <c r="I1278" s="131"/>
      <c r="J1278" s="131"/>
      <c r="K1278" s="131"/>
      <c r="L1278" s="131"/>
      <c r="M1278" s="131"/>
      <c r="N1278" s="131"/>
    </row>
    <row r="1279" spans="1:14" ht="14.25" customHeight="1">
      <c r="A1279" s="9"/>
      <c r="B1279" s="326" t="s">
        <v>69</v>
      </c>
      <c r="C1279" s="71"/>
      <c r="D1279" s="164">
        <f>E1279</f>
        <v>0</v>
      </c>
      <c r="E1279" s="10"/>
      <c r="F1279" s="74"/>
      <c r="G1279" s="74"/>
      <c r="H1279" s="74"/>
      <c r="I1279" s="74"/>
      <c r="J1279" s="74"/>
      <c r="K1279" s="74"/>
      <c r="L1279" s="74"/>
      <c r="M1279" s="74"/>
      <c r="N1279" s="74"/>
    </row>
    <row r="1280" spans="1:14" ht="14.25" customHeight="1">
      <c r="A1280" s="9"/>
      <c r="B1280" s="326" t="s">
        <v>70</v>
      </c>
      <c r="C1280" s="71"/>
      <c r="D1280" s="62"/>
      <c r="E1280" s="10">
        <f>E1264</f>
        <v>0</v>
      </c>
      <c r="F1280" s="70">
        <f>E1280</f>
        <v>0</v>
      </c>
      <c r="G1280" s="74"/>
      <c r="H1280" s="74"/>
      <c r="I1280" s="74"/>
      <c r="J1280" s="74"/>
      <c r="K1280" s="74"/>
      <c r="L1280" s="74"/>
      <c r="M1280" s="74"/>
      <c r="N1280" s="74"/>
    </row>
    <row r="1281" spans="1:14" ht="14.25" customHeight="1">
      <c r="A1281" s="9"/>
      <c r="B1281" s="326" t="s">
        <v>71</v>
      </c>
      <c r="C1281" s="71"/>
      <c r="D1281" s="62"/>
      <c r="E1281" s="70">
        <f>F1281</f>
        <v>0</v>
      </c>
      <c r="F1281" s="163"/>
      <c r="G1281" s="74"/>
      <c r="H1281" s="74"/>
      <c r="I1281" s="74"/>
      <c r="J1281" s="74"/>
      <c r="K1281" s="74"/>
      <c r="L1281" s="74"/>
      <c r="M1281" s="74"/>
      <c r="N1281" s="74"/>
    </row>
    <row r="1282" spans="1:14" ht="14.25" customHeight="1">
      <c r="A1282" s="9"/>
      <c r="B1282" s="326" t="s">
        <v>171</v>
      </c>
      <c r="C1282" s="71"/>
      <c r="D1282" s="62"/>
      <c r="E1282" s="148"/>
      <c r="F1282" s="10">
        <f>F1264</f>
        <v>0</v>
      </c>
      <c r="G1282" s="149">
        <f>F1282</f>
        <v>0</v>
      </c>
      <c r="H1282" s="74"/>
      <c r="I1282" s="74"/>
      <c r="J1282" s="74"/>
      <c r="K1282" s="74"/>
      <c r="L1282" s="74"/>
      <c r="M1282" s="74"/>
      <c r="N1282" s="74"/>
    </row>
    <row r="1283" spans="1:14" ht="14.25" customHeight="1">
      <c r="B1283" s="326" t="s">
        <v>172</v>
      </c>
      <c r="C1283" s="71"/>
      <c r="D1283" s="62"/>
      <c r="E1283" s="148"/>
      <c r="F1283" s="70">
        <f>G1283</f>
        <v>0</v>
      </c>
      <c r="G1283" s="10"/>
      <c r="H1283" s="74"/>
      <c r="I1283" s="74"/>
      <c r="J1283" s="74"/>
      <c r="K1283" s="74"/>
      <c r="L1283" s="74"/>
      <c r="M1283" s="74"/>
      <c r="N1283" s="74"/>
    </row>
    <row r="1284" spans="1:14" ht="14.25" customHeight="1">
      <c r="B1284" s="326" t="s">
        <v>173</v>
      </c>
      <c r="C1284" s="71"/>
      <c r="D1284" s="62"/>
      <c r="E1284" s="148"/>
      <c r="F1284" s="148"/>
      <c r="G1284" s="10">
        <f>G1264</f>
        <v>0</v>
      </c>
      <c r="H1284" s="149">
        <f>G1284</f>
        <v>0</v>
      </c>
      <c r="I1284" s="148"/>
      <c r="J1284" s="148"/>
      <c r="K1284" s="148"/>
      <c r="L1284" s="148"/>
      <c r="M1284" s="148"/>
      <c r="N1284" s="148"/>
    </row>
    <row r="1285" spans="1:14" ht="14.25" customHeight="1">
      <c r="B1285" s="326" t="s">
        <v>174</v>
      </c>
      <c r="C1285" s="71"/>
      <c r="D1285" s="62"/>
      <c r="E1285" s="148"/>
      <c r="F1285" s="148"/>
      <c r="G1285" s="150"/>
      <c r="H1285" s="151"/>
      <c r="I1285" s="148"/>
      <c r="J1285" s="148"/>
      <c r="K1285" s="148"/>
      <c r="L1285" s="148"/>
      <c r="M1285" s="148"/>
      <c r="N1285" s="148"/>
    </row>
    <row r="1286" spans="1:14" ht="14.25" customHeight="1">
      <c r="B1286" s="326" t="s">
        <v>175</v>
      </c>
      <c r="C1286" s="71"/>
      <c r="D1286" s="62"/>
      <c r="E1286" s="148"/>
      <c r="F1286" s="148"/>
      <c r="G1286" s="148"/>
      <c r="H1286" s="151">
        <f>H1264</f>
        <v>12501</v>
      </c>
      <c r="I1286" s="149">
        <f>H1286</f>
        <v>12501</v>
      </c>
      <c r="J1286" s="149"/>
      <c r="K1286" s="74"/>
      <c r="L1286" s="74"/>
      <c r="M1286" s="74"/>
      <c r="N1286" s="74"/>
    </row>
    <row r="1287" spans="1:14" ht="14.25" customHeight="1">
      <c r="B1287" s="326" t="s">
        <v>176</v>
      </c>
      <c r="D1287" s="62"/>
      <c r="E1287" s="148"/>
      <c r="F1287" s="148"/>
      <c r="G1287" s="148"/>
      <c r="H1287" s="70"/>
      <c r="I1287" s="151"/>
      <c r="J1287" s="151"/>
      <c r="K1287" s="74"/>
      <c r="L1287" s="74"/>
      <c r="M1287" s="74"/>
      <c r="N1287" s="74"/>
    </row>
    <row r="1288" spans="1:14" ht="14.25" customHeight="1">
      <c r="B1288" s="326" t="s">
        <v>177</v>
      </c>
      <c r="D1288" s="62"/>
      <c r="E1288" s="148"/>
      <c r="F1288" s="148"/>
      <c r="G1288" s="148"/>
      <c r="H1288" s="148"/>
      <c r="I1288" s="151">
        <f>I1264</f>
        <v>3960</v>
      </c>
      <c r="J1288" s="151">
        <f>I1288</f>
        <v>3960</v>
      </c>
      <c r="K1288" s="74"/>
      <c r="L1288" s="74"/>
      <c r="M1288" s="74"/>
      <c r="N1288" s="74"/>
    </row>
    <row r="1289" spans="1:14" ht="14.25" customHeight="1">
      <c r="B1289" s="326" t="s">
        <v>168</v>
      </c>
      <c r="D1289" s="62"/>
      <c r="E1289" s="148"/>
      <c r="F1289" s="148"/>
      <c r="G1289" s="148"/>
      <c r="H1289" s="148"/>
      <c r="I1289" s="70"/>
      <c r="J1289" s="70"/>
      <c r="K1289" s="74"/>
      <c r="L1289" s="74"/>
      <c r="M1289" s="74"/>
      <c r="N1289" s="74"/>
    </row>
    <row r="1290" spans="1:14" ht="14.25" customHeight="1">
      <c r="B1290" s="326" t="s">
        <v>169</v>
      </c>
      <c r="D1290" s="63"/>
      <c r="E1290" s="133"/>
      <c r="F1290" s="133"/>
      <c r="G1290" s="133"/>
      <c r="H1290" s="133"/>
      <c r="I1290" s="133"/>
      <c r="J1290" s="133"/>
      <c r="K1290" s="133"/>
      <c r="L1290" s="133"/>
      <c r="M1290" s="133"/>
      <c r="N1290" s="133"/>
    </row>
    <row r="1291" spans="1:14">
      <c r="B1291" s="33" t="s">
        <v>17</v>
      </c>
      <c r="D1291" s="180">
        <f xml:space="preserve"> D1284 - D1283</f>
        <v>0</v>
      </c>
      <c r="E1291" s="180">
        <f xml:space="preserve"> E1283 + E1286 - E1285 - E1284</f>
        <v>0</v>
      </c>
      <c r="F1291" s="180">
        <f>F1285 - F1286</f>
        <v>0</v>
      </c>
      <c r="G1291" s="180">
        <f t="shared" ref="G1291" si="533">G1285 - G1286</f>
        <v>0</v>
      </c>
      <c r="H1291" s="28">
        <f>H1284-H1285-H1286</f>
        <v>-12501</v>
      </c>
      <c r="I1291" s="28">
        <f>I1286-I1287-I1288</f>
        <v>8541</v>
      </c>
      <c r="J1291" s="28">
        <f>J1288-J1289-J1290</f>
        <v>3960</v>
      </c>
      <c r="K1291" s="28">
        <f>K1288</f>
        <v>0</v>
      </c>
      <c r="L1291" s="28">
        <f t="shared" ref="L1291:N1291" si="534">L1288</f>
        <v>0</v>
      </c>
      <c r="M1291" s="28">
        <f t="shared" si="534"/>
        <v>0</v>
      </c>
      <c r="N1291" s="28">
        <f t="shared" si="534"/>
        <v>0</v>
      </c>
    </row>
    <row r="1292" spans="1:14">
      <c r="B1292" s="6"/>
      <c r="D1292" s="7"/>
      <c r="E1292" s="7"/>
      <c r="F1292" s="7"/>
      <c r="G1292" s="7"/>
      <c r="H1292" s="7"/>
      <c r="I1292" s="7"/>
      <c r="J1292" s="7"/>
      <c r="K1292" s="7"/>
      <c r="L1292" s="7"/>
      <c r="M1292" s="7"/>
      <c r="N1292" s="7"/>
    </row>
    <row r="1293" spans="1:14">
      <c r="B1293" s="33" t="s">
        <v>12</v>
      </c>
      <c r="C1293" s="71"/>
      <c r="D1293" s="99"/>
      <c r="E1293" s="100"/>
      <c r="F1293" s="100"/>
      <c r="G1293" s="100"/>
      <c r="H1293" s="100"/>
      <c r="I1293" s="100"/>
      <c r="J1293" s="100"/>
      <c r="K1293" s="100"/>
      <c r="L1293" s="100"/>
      <c r="M1293" s="100"/>
      <c r="N1293" s="100"/>
    </row>
    <row r="1294" spans="1:14">
      <c r="B1294" s="6"/>
      <c r="D1294" s="7"/>
      <c r="E1294" s="7"/>
      <c r="F1294" s="7"/>
      <c r="G1294" s="7"/>
      <c r="H1294" s="7"/>
      <c r="I1294" s="7"/>
      <c r="J1294" s="7"/>
      <c r="K1294" s="7"/>
      <c r="L1294" s="7"/>
      <c r="M1294" s="7"/>
      <c r="N1294" s="7"/>
    </row>
    <row r="1295" spans="1:14" ht="18.5">
      <c r="A1295" s="9" t="s">
        <v>26</v>
      </c>
      <c r="C1295" s="71"/>
      <c r="D1295" s="43">
        <f xml:space="preserve"> D1264 + D1269 - D1275 + D1291 + D1293</f>
        <v>0</v>
      </c>
      <c r="E1295" s="44">
        <f xml:space="preserve"> E1264 + E1269 - E1275 + E1291 + E1293</f>
        <v>0</v>
      </c>
      <c r="F1295" s="44">
        <f xml:space="preserve"> F1264 + F1269 - F1275 + F1291 + F1293</f>
        <v>0</v>
      </c>
      <c r="G1295" s="44">
        <f t="shared" ref="G1295:N1295" si="535" xml:space="preserve"> G1264 + G1269 - G1275 + G1291 + G1293</f>
        <v>0</v>
      </c>
      <c r="H1295" s="44">
        <f t="shared" si="535"/>
        <v>0</v>
      </c>
      <c r="I1295" s="44">
        <f t="shared" si="535"/>
        <v>12501</v>
      </c>
      <c r="J1295" s="44">
        <f t="shared" si="535"/>
        <v>3960</v>
      </c>
      <c r="K1295" s="44">
        <f t="shared" si="535"/>
        <v>0</v>
      </c>
      <c r="L1295" s="44">
        <f t="shared" si="535"/>
        <v>0</v>
      </c>
      <c r="M1295" s="44">
        <f t="shared" si="535"/>
        <v>0</v>
      </c>
      <c r="N1295" s="44">
        <f t="shared" si="535"/>
        <v>0</v>
      </c>
    </row>
    <row r="1296" spans="1:14">
      <c r="B1296" s="6"/>
      <c r="D1296" s="7"/>
      <c r="E1296" s="7"/>
      <c r="F1296" s="7"/>
      <c r="G1296" s="28"/>
      <c r="H1296" s="28"/>
      <c r="I1296" s="28"/>
      <c r="J1296" s="28"/>
      <c r="K1296" s="28"/>
      <c r="L1296" s="28"/>
      <c r="M1296" s="28"/>
      <c r="N1296" s="28"/>
    </row>
    <row r="1297" spans="1:14" ht="15" thickBot="1"/>
    <row r="1298" spans="1:14" ht="15" thickBot="1">
      <c r="A1298" s="8"/>
      <c r="B1298" s="8"/>
      <c r="C1298" s="8"/>
      <c r="D1298" s="8"/>
      <c r="E1298" s="8"/>
      <c r="F1298" s="8"/>
      <c r="G1298" s="8"/>
      <c r="H1298" s="8"/>
      <c r="I1298" s="8"/>
      <c r="J1298" s="8"/>
      <c r="K1298" s="8"/>
      <c r="L1298" s="8"/>
      <c r="M1298" s="8"/>
      <c r="N1298" s="8"/>
    </row>
    <row r="1299" spans="1:14" ht="21.5" thickBot="1">
      <c r="A1299" s="13" t="s">
        <v>4</v>
      </c>
      <c r="B1299" s="13"/>
      <c r="C1299" s="313" t="s">
        <v>220</v>
      </c>
      <c r="D1299" s="310"/>
      <c r="E1299" s="23"/>
      <c r="F1299" s="23"/>
    </row>
    <row r="1301" spans="1:14" ht="18.5">
      <c r="A1301" s="9" t="s">
        <v>21</v>
      </c>
      <c r="B1301" s="9"/>
      <c r="D1301" s="2">
        <v>2011</v>
      </c>
      <c r="E1301" s="2">
        <f>D1301+1</f>
        <v>2012</v>
      </c>
      <c r="F1301" s="2">
        <f t="shared" ref="F1301" si="536">E1301+1</f>
        <v>2013</v>
      </c>
      <c r="G1301" s="2">
        <f t="shared" ref="G1301" si="537">F1301+1</f>
        <v>2014</v>
      </c>
      <c r="H1301" s="2">
        <f t="shared" ref="H1301" si="538">G1301+1</f>
        <v>2015</v>
      </c>
      <c r="I1301" s="2">
        <f t="shared" ref="I1301" si="539">H1301+1</f>
        <v>2016</v>
      </c>
      <c r="J1301" s="2">
        <f t="shared" ref="J1301" si="540">I1301+1</f>
        <v>2017</v>
      </c>
      <c r="K1301" s="2">
        <f t="shared" ref="K1301" si="541">J1301+1</f>
        <v>2018</v>
      </c>
      <c r="L1301" s="2">
        <f t="shared" ref="L1301" si="542">K1301+1</f>
        <v>2019</v>
      </c>
      <c r="M1301" s="2">
        <f t="shared" ref="M1301" si="543">L1301+1</f>
        <v>2020</v>
      </c>
      <c r="N1301" s="2">
        <f t="shared" ref="N1301" si="544">M1301+1</f>
        <v>2021</v>
      </c>
    </row>
    <row r="1302" spans="1:14">
      <c r="B1302" s="79" t="str">
        <f>"Total MWh Produced / Purchased from " &amp; C1299</f>
        <v>Total MWh Produced / Purchased from High Plains</v>
      </c>
      <c r="C1302" s="71"/>
      <c r="D1302" s="3"/>
      <c r="E1302" s="4"/>
      <c r="F1302" s="4"/>
      <c r="G1302" s="4"/>
      <c r="H1302" s="4"/>
      <c r="I1302" s="4"/>
      <c r="J1302" s="4"/>
      <c r="K1302" s="4"/>
      <c r="L1302" s="4"/>
      <c r="M1302" s="230"/>
      <c r="N1302" s="230">
        <v>339062</v>
      </c>
    </row>
    <row r="1303" spans="1:14">
      <c r="B1303" s="79" t="s">
        <v>25</v>
      </c>
      <c r="C1303" s="71"/>
      <c r="D1303" s="54"/>
      <c r="E1303" s="55"/>
      <c r="F1303" s="55"/>
      <c r="G1303" s="55"/>
      <c r="H1303" s="55"/>
      <c r="I1303" s="55"/>
      <c r="J1303" s="55"/>
      <c r="K1303" s="55"/>
      <c r="L1303" s="55"/>
      <c r="M1303" s="234"/>
      <c r="N1303" s="234">
        <v>1</v>
      </c>
    </row>
    <row r="1304" spans="1:14">
      <c r="B1304" s="79" t="s">
        <v>20</v>
      </c>
      <c r="C1304" s="71"/>
      <c r="D1304" s="48"/>
      <c r="E1304" s="49"/>
      <c r="F1304" s="49"/>
      <c r="G1304" s="49"/>
      <c r="H1304" s="49"/>
      <c r="I1304" s="49"/>
      <c r="J1304" s="49"/>
      <c r="K1304" s="49"/>
      <c r="L1304" s="49"/>
      <c r="M1304" s="243"/>
      <c r="N1304" s="243">
        <f>N1117</f>
        <v>8.0780946790754593E-2</v>
      </c>
    </row>
    <row r="1305" spans="1:14">
      <c r="B1305" s="76" t="s">
        <v>22</v>
      </c>
      <c r="C1305" s="77"/>
      <c r="D1305" s="37">
        <v>0</v>
      </c>
      <c r="E1305" s="37">
        <v>0</v>
      </c>
      <c r="F1305" s="37">
        <v>0</v>
      </c>
      <c r="G1305" s="37">
        <v>0</v>
      </c>
      <c r="H1305" s="37">
        <v>0</v>
      </c>
      <c r="I1305" s="37">
        <v>0</v>
      </c>
      <c r="J1305" s="37">
        <v>0</v>
      </c>
      <c r="K1305" s="37">
        <v>0</v>
      </c>
      <c r="L1305" s="37">
        <f>L1302*L1304</f>
        <v>0</v>
      </c>
      <c r="M1305" s="37">
        <f>M1302*M1304</f>
        <v>0</v>
      </c>
      <c r="N1305" s="37">
        <f>N1302*N1304</f>
        <v>27389.749380766832</v>
      </c>
    </row>
    <row r="1306" spans="1:14">
      <c r="B1306" s="23"/>
      <c r="C1306" s="30"/>
      <c r="D1306" s="36"/>
      <c r="E1306" s="36"/>
      <c r="F1306" s="36"/>
      <c r="G1306" s="36"/>
      <c r="H1306" s="36"/>
      <c r="I1306" s="36"/>
      <c r="J1306" s="36"/>
      <c r="K1306" s="36"/>
      <c r="L1306" s="36"/>
      <c r="M1306" s="36"/>
      <c r="N1306" s="36"/>
    </row>
    <row r="1307" spans="1:14" ht="18.5">
      <c r="A1307" s="42" t="s">
        <v>119</v>
      </c>
      <c r="C1307" s="30"/>
      <c r="D1307" s="2">
        <v>2011</v>
      </c>
      <c r="E1307" s="2">
        <f>D1307+1</f>
        <v>2012</v>
      </c>
      <c r="F1307" s="2">
        <f t="shared" ref="F1307" si="545">E1307+1</f>
        <v>2013</v>
      </c>
      <c r="G1307" s="2">
        <f t="shared" ref="G1307" si="546">F1307+1</f>
        <v>2014</v>
      </c>
      <c r="H1307" s="2">
        <f t="shared" ref="H1307" si="547">G1307+1</f>
        <v>2015</v>
      </c>
      <c r="I1307" s="2">
        <f t="shared" ref="I1307" si="548">H1307+1</f>
        <v>2016</v>
      </c>
      <c r="J1307" s="2">
        <f t="shared" ref="J1307" si="549">I1307+1</f>
        <v>2017</v>
      </c>
      <c r="K1307" s="2">
        <f t="shared" ref="K1307" si="550">J1307+1</f>
        <v>2018</v>
      </c>
      <c r="L1307" s="2">
        <f t="shared" ref="L1307" si="551">K1307+1</f>
        <v>2019</v>
      </c>
      <c r="M1307" s="2">
        <f t="shared" ref="M1307" si="552">L1307+1</f>
        <v>2020</v>
      </c>
      <c r="N1307" s="2">
        <f t="shared" ref="N1307" si="553">M1307+1</f>
        <v>2021</v>
      </c>
    </row>
    <row r="1308" spans="1:14">
      <c r="B1308" s="79" t="s">
        <v>10</v>
      </c>
      <c r="C1308" s="71"/>
      <c r="D1308" s="51">
        <f>IF($E28 = "Eligible", D1305 * 'Facility Detail'!$B$3079, 0 )</f>
        <v>0</v>
      </c>
      <c r="E1308" s="51">
        <f>IF($E28 = "Eligible", E1305 * 'Facility Detail'!$B$3079, 0 )</f>
        <v>0</v>
      </c>
      <c r="F1308" s="51">
        <f>IF($E28 = "Eligible", F1305 * 'Facility Detail'!$B$3079, 0 )</f>
        <v>0</v>
      </c>
      <c r="G1308" s="51">
        <f>IF($E28 = "Eligible", G1305 * 'Facility Detail'!$B$3079, 0 )</f>
        <v>0</v>
      </c>
      <c r="H1308" s="51">
        <f>IF($E28 = "Eligible", H1305 * 'Facility Detail'!$B$3079, 0 )</f>
        <v>0</v>
      </c>
      <c r="I1308" s="51">
        <f>IF($E28 = "Eligible", I1305 * 'Facility Detail'!$B$3079, 0 )</f>
        <v>0</v>
      </c>
      <c r="J1308" s="51">
        <f>IF($E28 = "Eligible", J1305 * 'Facility Detail'!$B$3079, 0 )</f>
        <v>0</v>
      </c>
      <c r="K1308" s="51">
        <f>IF($E28 = "Eligible", K1305 * 'Facility Detail'!$B$3079, 0 )</f>
        <v>0</v>
      </c>
      <c r="L1308" s="51">
        <f>IF($E28 = "Eligible", L1305 * 'Facility Detail'!$B$3079, 0 )</f>
        <v>0</v>
      </c>
      <c r="M1308" s="51">
        <f>IF($E28 = "Eligible", M1305 * 'Facility Detail'!$B$3079, 0 )</f>
        <v>0</v>
      </c>
      <c r="N1308" s="51">
        <f>IF($E28 = "Eligible", N1305 * 'Facility Detail'!$B$3079, 0 )</f>
        <v>0</v>
      </c>
    </row>
    <row r="1309" spans="1:14">
      <c r="B1309" s="79" t="s">
        <v>6</v>
      </c>
      <c r="C1309" s="71"/>
      <c r="D1309" s="52">
        <f t="shared" ref="D1309:N1309" si="554">IF($F28= "Eligible", D1305, 0 )</f>
        <v>0</v>
      </c>
      <c r="E1309" s="52">
        <f t="shared" si="554"/>
        <v>0</v>
      </c>
      <c r="F1309" s="52">
        <f t="shared" si="554"/>
        <v>0</v>
      </c>
      <c r="G1309" s="52">
        <f t="shared" si="554"/>
        <v>0</v>
      </c>
      <c r="H1309" s="52">
        <f t="shared" si="554"/>
        <v>0</v>
      </c>
      <c r="I1309" s="52">
        <f t="shared" si="554"/>
        <v>0</v>
      </c>
      <c r="J1309" s="52">
        <f t="shared" si="554"/>
        <v>0</v>
      </c>
      <c r="K1309" s="52">
        <f t="shared" si="554"/>
        <v>0</v>
      </c>
      <c r="L1309" s="52">
        <f t="shared" si="554"/>
        <v>0</v>
      </c>
      <c r="M1309" s="52">
        <f t="shared" si="554"/>
        <v>0</v>
      </c>
      <c r="N1309" s="52">
        <f t="shared" si="554"/>
        <v>0</v>
      </c>
    </row>
    <row r="1310" spans="1:14">
      <c r="B1310" s="78" t="s">
        <v>121</v>
      </c>
      <c r="C1310" s="77"/>
      <c r="D1310" s="39">
        <f>SUM(D1308:D1309)</f>
        <v>0</v>
      </c>
      <c r="E1310" s="39">
        <f t="shared" ref="E1310:N1310" si="555">SUM(E1308:E1309)</f>
        <v>0</v>
      </c>
      <c r="F1310" s="39">
        <f t="shared" si="555"/>
        <v>0</v>
      </c>
      <c r="G1310" s="39">
        <f t="shared" si="555"/>
        <v>0</v>
      </c>
      <c r="H1310" s="39">
        <f t="shared" si="555"/>
        <v>0</v>
      </c>
      <c r="I1310" s="39">
        <f t="shared" si="555"/>
        <v>0</v>
      </c>
      <c r="J1310" s="39">
        <f t="shared" si="555"/>
        <v>0</v>
      </c>
      <c r="K1310" s="39">
        <f t="shared" si="555"/>
        <v>0</v>
      </c>
      <c r="L1310" s="39">
        <f t="shared" si="555"/>
        <v>0</v>
      </c>
      <c r="M1310" s="39">
        <f t="shared" si="555"/>
        <v>0</v>
      </c>
      <c r="N1310" s="39">
        <f t="shared" si="555"/>
        <v>0</v>
      </c>
    </row>
    <row r="1311" spans="1:14">
      <c r="B1311" s="30"/>
      <c r="C1311" s="30"/>
      <c r="D1311" s="38"/>
      <c r="E1311" s="31"/>
      <c r="F1311" s="31"/>
      <c r="G1311" s="31"/>
      <c r="H1311" s="31"/>
      <c r="I1311" s="31"/>
      <c r="J1311" s="31"/>
      <c r="K1311" s="31"/>
      <c r="L1311" s="31"/>
      <c r="M1311" s="31"/>
      <c r="N1311" s="31"/>
    </row>
    <row r="1312" spans="1:14" ht="18.5">
      <c r="A1312" s="41" t="s">
        <v>30</v>
      </c>
      <c r="C1312" s="30"/>
      <c r="D1312" s="2">
        <v>2011</v>
      </c>
      <c r="E1312" s="2">
        <f>D1312+1</f>
        <v>2012</v>
      </c>
      <c r="F1312" s="2">
        <f t="shared" ref="F1312" si="556">E1312+1</f>
        <v>2013</v>
      </c>
      <c r="G1312" s="2">
        <f t="shared" ref="G1312" si="557">F1312+1</f>
        <v>2014</v>
      </c>
      <c r="H1312" s="2">
        <f t="shared" ref="H1312" si="558">G1312+1</f>
        <v>2015</v>
      </c>
      <c r="I1312" s="2">
        <f t="shared" ref="I1312" si="559">H1312+1</f>
        <v>2016</v>
      </c>
      <c r="J1312" s="2">
        <f t="shared" ref="J1312" si="560">I1312+1</f>
        <v>2017</v>
      </c>
      <c r="K1312" s="2">
        <f t="shared" ref="K1312" si="561">J1312+1</f>
        <v>2018</v>
      </c>
      <c r="L1312" s="2">
        <f t="shared" ref="L1312" si="562">K1312+1</f>
        <v>2019</v>
      </c>
      <c r="M1312" s="2">
        <f t="shared" ref="M1312" si="563">L1312+1</f>
        <v>2020</v>
      </c>
      <c r="N1312" s="2">
        <f t="shared" ref="N1312" si="564">M1312+1</f>
        <v>2021</v>
      </c>
    </row>
    <row r="1313" spans="1:14">
      <c r="B1313" s="79" t="s">
        <v>47</v>
      </c>
      <c r="C1313" s="71"/>
      <c r="D1313" s="89"/>
      <c r="E1313" s="90"/>
      <c r="F1313" s="90"/>
      <c r="G1313" s="90"/>
      <c r="H1313" s="90"/>
      <c r="I1313" s="90"/>
      <c r="J1313" s="90"/>
      <c r="K1313" s="90"/>
      <c r="L1313" s="90"/>
      <c r="M1313" s="90"/>
      <c r="N1313" s="90"/>
    </row>
    <row r="1314" spans="1:14">
      <c r="B1314" s="80" t="s">
        <v>23</v>
      </c>
      <c r="C1314" s="175"/>
      <c r="D1314" s="92"/>
      <c r="E1314" s="93"/>
      <c r="F1314" s="93"/>
      <c r="G1314" s="93"/>
      <c r="H1314" s="93"/>
      <c r="I1314" s="93"/>
      <c r="J1314" s="93"/>
      <c r="K1314" s="93"/>
      <c r="L1314" s="93"/>
      <c r="M1314" s="93"/>
      <c r="N1314" s="93"/>
    </row>
    <row r="1315" spans="1:14">
      <c r="B1315" s="95" t="s">
        <v>89</v>
      </c>
      <c r="C1315" s="173"/>
      <c r="D1315" s="57"/>
      <c r="E1315" s="58"/>
      <c r="F1315" s="58"/>
      <c r="G1315" s="58"/>
      <c r="H1315" s="58"/>
      <c r="I1315" s="58"/>
      <c r="J1315" s="58"/>
      <c r="K1315" s="58"/>
      <c r="L1315" s="58"/>
      <c r="M1315" s="58"/>
      <c r="N1315" s="58"/>
    </row>
    <row r="1316" spans="1:14">
      <c r="B1316" s="33" t="s">
        <v>90</v>
      </c>
      <c r="D1316" s="7">
        <v>0</v>
      </c>
      <c r="E1316" s="7">
        <v>0</v>
      </c>
      <c r="F1316" s="7">
        <v>0</v>
      </c>
      <c r="G1316" s="7">
        <v>0</v>
      </c>
      <c r="H1316" s="7">
        <v>0</v>
      </c>
      <c r="I1316" s="7">
        <v>0</v>
      </c>
      <c r="J1316" s="7">
        <v>0</v>
      </c>
      <c r="K1316" s="7">
        <v>0</v>
      </c>
      <c r="L1316" s="7">
        <v>0</v>
      </c>
      <c r="M1316" s="7">
        <v>0</v>
      </c>
      <c r="N1316" s="7">
        <v>0</v>
      </c>
    </row>
    <row r="1317" spans="1:14">
      <c r="B1317" s="6"/>
      <c r="D1317" s="7"/>
      <c r="E1317" s="7"/>
      <c r="F1317" s="7"/>
      <c r="G1317" s="28"/>
      <c r="H1317" s="28"/>
      <c r="I1317" s="28"/>
      <c r="J1317" s="28"/>
      <c r="K1317" s="28"/>
      <c r="L1317" s="28"/>
      <c r="M1317" s="28"/>
      <c r="N1317" s="28"/>
    </row>
    <row r="1318" spans="1:14" ht="18.5">
      <c r="A1318" s="9" t="s">
        <v>100</v>
      </c>
      <c r="D1318" s="2">
        <f>'Facility Detail'!$B$3082</f>
        <v>2011</v>
      </c>
      <c r="E1318" s="2">
        <f>D1318+1</f>
        <v>2012</v>
      </c>
      <c r="F1318" s="2">
        <f t="shared" ref="F1318" si="565">E1318+1</f>
        <v>2013</v>
      </c>
      <c r="G1318" s="2">
        <f t="shared" ref="G1318" si="566">F1318+1</f>
        <v>2014</v>
      </c>
      <c r="H1318" s="2">
        <f t="shared" ref="H1318" si="567">G1318+1</f>
        <v>2015</v>
      </c>
      <c r="I1318" s="2">
        <f t="shared" ref="I1318" si="568">H1318+1</f>
        <v>2016</v>
      </c>
      <c r="J1318" s="2">
        <f t="shared" ref="J1318" si="569">I1318+1</f>
        <v>2017</v>
      </c>
      <c r="K1318" s="2">
        <f t="shared" ref="K1318" si="570">J1318+1</f>
        <v>2018</v>
      </c>
      <c r="L1318" s="2">
        <f t="shared" ref="L1318" si="571">K1318+1</f>
        <v>2019</v>
      </c>
      <c r="M1318" s="2">
        <f t="shared" ref="M1318" si="572">L1318+1</f>
        <v>2020</v>
      </c>
      <c r="N1318" s="2">
        <f t="shared" ref="N1318" si="573">M1318+1</f>
        <v>2021</v>
      </c>
    </row>
    <row r="1319" spans="1:14">
      <c r="B1319" s="79" t="s">
        <v>68</v>
      </c>
      <c r="C1319" s="71"/>
      <c r="D1319" s="3"/>
      <c r="E1319" s="60">
        <f>D1319</f>
        <v>0</v>
      </c>
      <c r="F1319" s="131"/>
      <c r="G1319" s="131"/>
      <c r="H1319" s="131"/>
      <c r="I1319" s="131"/>
      <c r="J1319" s="131"/>
      <c r="K1319" s="131"/>
      <c r="L1319" s="131"/>
      <c r="M1319" s="131"/>
      <c r="N1319" s="61"/>
    </row>
    <row r="1320" spans="1:14">
      <c r="B1320" s="79" t="s">
        <v>69</v>
      </c>
      <c r="C1320" s="71"/>
      <c r="D1320" s="164">
        <f>E1320</f>
        <v>0</v>
      </c>
      <c r="E1320" s="10"/>
      <c r="F1320" s="74"/>
      <c r="G1320" s="74"/>
      <c r="H1320" s="74"/>
      <c r="I1320" s="74"/>
      <c r="J1320" s="74"/>
      <c r="K1320" s="74"/>
      <c r="L1320" s="74"/>
      <c r="M1320" s="74"/>
      <c r="N1320" s="165"/>
    </row>
    <row r="1321" spans="1:14">
      <c r="B1321" s="79" t="s">
        <v>70</v>
      </c>
      <c r="C1321" s="71"/>
      <c r="D1321" s="62"/>
      <c r="E1321" s="10">
        <f>E1305</f>
        <v>0</v>
      </c>
      <c r="F1321" s="70">
        <f>E1321</f>
        <v>0</v>
      </c>
      <c r="G1321" s="74"/>
      <c r="H1321" s="74"/>
      <c r="I1321" s="74"/>
      <c r="J1321" s="74"/>
      <c r="K1321" s="74"/>
      <c r="L1321" s="74"/>
      <c r="M1321" s="74"/>
      <c r="N1321" s="165"/>
    </row>
    <row r="1322" spans="1:14">
      <c r="B1322" s="79" t="s">
        <v>71</v>
      </c>
      <c r="C1322" s="71"/>
      <c r="D1322" s="62"/>
      <c r="E1322" s="70">
        <f>F1322</f>
        <v>0</v>
      </c>
      <c r="F1322" s="163"/>
      <c r="G1322" s="74"/>
      <c r="H1322" s="74"/>
      <c r="I1322" s="74"/>
      <c r="J1322" s="74"/>
      <c r="K1322" s="74"/>
      <c r="L1322" s="74"/>
      <c r="M1322" s="74"/>
      <c r="N1322" s="165"/>
    </row>
    <row r="1323" spans="1:14">
      <c r="B1323" s="79" t="s">
        <v>171</v>
      </c>
      <c r="C1323" s="30"/>
      <c r="D1323" s="62"/>
      <c r="E1323" s="148"/>
      <c r="F1323" s="10">
        <f>F1305</f>
        <v>0</v>
      </c>
      <c r="G1323" s="149">
        <f>F1323</f>
        <v>0</v>
      </c>
      <c r="H1323" s="74"/>
      <c r="I1323" s="74"/>
      <c r="J1323" s="74"/>
      <c r="K1323" s="74"/>
      <c r="L1323" s="74"/>
      <c r="M1323" s="74"/>
      <c r="N1323" s="165"/>
    </row>
    <row r="1324" spans="1:14">
      <c r="B1324" s="79" t="s">
        <v>172</v>
      </c>
      <c r="C1324" s="30"/>
      <c r="D1324" s="62"/>
      <c r="E1324" s="148"/>
      <c r="F1324" s="70">
        <f>G1324</f>
        <v>0</v>
      </c>
      <c r="G1324" s="10"/>
      <c r="H1324" s="74"/>
      <c r="I1324" s="74"/>
      <c r="J1324" s="74"/>
      <c r="K1324" s="74"/>
      <c r="L1324" s="74"/>
      <c r="M1324" s="74"/>
      <c r="N1324" s="165"/>
    </row>
    <row r="1325" spans="1:14">
      <c r="B1325" s="79" t="s">
        <v>173</v>
      </c>
      <c r="C1325" s="30"/>
      <c r="D1325" s="62"/>
      <c r="E1325" s="148"/>
      <c r="F1325" s="148"/>
      <c r="G1325" s="10">
        <f>G1305</f>
        <v>0</v>
      </c>
      <c r="H1325" s="149">
        <f>G1325</f>
        <v>0</v>
      </c>
      <c r="I1325" s="148"/>
      <c r="J1325" s="74"/>
      <c r="K1325" s="74"/>
      <c r="L1325" s="74"/>
      <c r="M1325" s="74"/>
      <c r="N1325" s="152"/>
    </row>
    <row r="1326" spans="1:14">
      <c r="B1326" s="79" t="s">
        <v>174</v>
      </c>
      <c r="C1326" s="30"/>
      <c r="D1326" s="62"/>
      <c r="E1326" s="148"/>
      <c r="F1326" s="148"/>
      <c r="G1326" s="70"/>
      <c r="H1326" s="10"/>
      <c r="I1326" s="148"/>
      <c r="J1326" s="74"/>
      <c r="K1326" s="74"/>
      <c r="L1326" s="74"/>
      <c r="M1326" s="74"/>
      <c r="N1326" s="152"/>
    </row>
    <row r="1327" spans="1:14">
      <c r="B1327" s="79" t="s">
        <v>175</v>
      </c>
      <c r="C1327" s="30"/>
      <c r="D1327" s="62"/>
      <c r="E1327" s="148"/>
      <c r="F1327" s="148"/>
      <c r="G1327" s="148"/>
      <c r="H1327" s="10">
        <v>0</v>
      </c>
      <c r="I1327" s="149">
        <f>H1327</f>
        <v>0</v>
      </c>
      <c r="J1327" s="74"/>
      <c r="K1327" s="74"/>
      <c r="L1327" s="74"/>
      <c r="M1327" s="74"/>
      <c r="N1327" s="152"/>
    </row>
    <row r="1328" spans="1:14">
      <c r="B1328" s="79" t="s">
        <v>176</v>
      </c>
      <c r="C1328" s="30"/>
      <c r="D1328" s="62"/>
      <c r="E1328" s="148"/>
      <c r="F1328" s="148"/>
      <c r="G1328" s="148"/>
      <c r="H1328" s="70"/>
      <c r="I1328" s="10"/>
      <c r="J1328" s="74"/>
      <c r="K1328" s="74"/>
      <c r="L1328" s="74"/>
      <c r="M1328" s="74"/>
      <c r="N1328" s="152"/>
    </row>
    <row r="1329" spans="1:15">
      <c r="B1329" s="79" t="s">
        <v>177</v>
      </c>
      <c r="C1329" s="30"/>
      <c r="D1329" s="62"/>
      <c r="E1329" s="148"/>
      <c r="F1329" s="148"/>
      <c r="G1329" s="148"/>
      <c r="H1329" s="148"/>
      <c r="I1329" s="207">
        <f>I1305</f>
        <v>0</v>
      </c>
      <c r="J1329" s="150">
        <f>I1329</f>
        <v>0</v>
      </c>
      <c r="K1329" s="74"/>
      <c r="L1329" s="74"/>
      <c r="M1329" s="74"/>
      <c r="N1329" s="152"/>
    </row>
    <row r="1330" spans="1:15">
      <c r="B1330" s="79" t="s">
        <v>168</v>
      </c>
      <c r="C1330" s="30"/>
      <c r="D1330" s="62"/>
      <c r="E1330" s="148"/>
      <c r="F1330" s="148"/>
      <c r="G1330" s="148"/>
      <c r="H1330" s="148"/>
      <c r="I1330" s="208"/>
      <c r="J1330" s="151"/>
      <c r="K1330" s="74"/>
      <c r="L1330" s="74"/>
      <c r="M1330" s="74"/>
      <c r="N1330" s="152"/>
    </row>
    <row r="1331" spans="1:15">
      <c r="B1331" s="79" t="s">
        <v>169</v>
      </c>
      <c r="C1331" s="30"/>
      <c r="D1331" s="62"/>
      <c r="E1331" s="148"/>
      <c r="F1331" s="148"/>
      <c r="G1331" s="148"/>
      <c r="H1331" s="148"/>
      <c r="I1331" s="148"/>
      <c r="J1331" s="151">
        <f>J1305</f>
        <v>0</v>
      </c>
      <c r="K1331" s="150">
        <f>J1331</f>
        <v>0</v>
      </c>
      <c r="L1331" s="74"/>
      <c r="M1331" s="74"/>
      <c r="N1331" s="152"/>
    </row>
    <row r="1332" spans="1:15">
      <c r="B1332" s="79" t="s">
        <v>186</v>
      </c>
      <c r="C1332" s="30"/>
      <c r="D1332" s="62"/>
      <c r="E1332" s="148"/>
      <c r="F1332" s="148"/>
      <c r="G1332" s="148"/>
      <c r="H1332" s="148"/>
      <c r="I1332" s="148"/>
      <c r="J1332" s="228"/>
      <c r="K1332" s="151"/>
      <c r="L1332" s="74"/>
      <c r="M1332" s="74"/>
      <c r="N1332" s="152"/>
    </row>
    <row r="1333" spans="1:15">
      <c r="B1333" s="79" t="s">
        <v>187</v>
      </c>
      <c r="C1333" s="30"/>
      <c r="D1333" s="62"/>
      <c r="E1333" s="148"/>
      <c r="F1333" s="148"/>
      <c r="G1333" s="148"/>
      <c r="H1333" s="148"/>
      <c r="I1333" s="148"/>
      <c r="J1333" s="148"/>
      <c r="K1333" s="151"/>
      <c r="L1333" s="150">
        <f>K1333</f>
        <v>0</v>
      </c>
      <c r="M1333" s="74"/>
      <c r="N1333" s="152"/>
    </row>
    <row r="1334" spans="1:15">
      <c r="B1334" s="79" t="s">
        <v>188</v>
      </c>
      <c r="C1334" s="30"/>
      <c r="D1334" s="62"/>
      <c r="E1334" s="148"/>
      <c r="F1334" s="148"/>
      <c r="G1334" s="148"/>
      <c r="H1334" s="148"/>
      <c r="I1334" s="148"/>
      <c r="J1334" s="148"/>
      <c r="K1334" s="145"/>
      <c r="L1334" s="151"/>
      <c r="M1334" s="74"/>
      <c r="N1334" s="233"/>
    </row>
    <row r="1335" spans="1:15">
      <c r="B1335" s="79" t="s">
        <v>189</v>
      </c>
      <c r="C1335" s="30"/>
      <c r="D1335" s="62"/>
      <c r="E1335" s="148"/>
      <c r="F1335" s="148"/>
      <c r="G1335" s="148"/>
      <c r="H1335" s="148"/>
      <c r="I1335" s="148"/>
      <c r="J1335" s="148"/>
      <c r="K1335" s="148"/>
      <c r="L1335" s="151"/>
      <c r="M1335" s="150">
        <f>L1335</f>
        <v>0</v>
      </c>
      <c r="N1335" s="178"/>
    </row>
    <row r="1336" spans="1:15">
      <c r="B1336" s="79" t="s">
        <v>190</v>
      </c>
      <c r="C1336" s="30"/>
      <c r="D1336" s="62"/>
      <c r="E1336" s="148"/>
      <c r="F1336" s="148"/>
      <c r="G1336" s="148"/>
      <c r="H1336" s="148"/>
      <c r="I1336" s="148"/>
      <c r="J1336" s="148"/>
      <c r="K1336" s="148"/>
      <c r="L1336" s="145">
        <f>M1305</f>
        <v>0</v>
      </c>
      <c r="M1336" s="151">
        <f>L1336</f>
        <v>0</v>
      </c>
      <c r="N1336" s="178"/>
    </row>
    <row r="1337" spans="1:15">
      <c r="B1337" s="79" t="s">
        <v>191</v>
      </c>
      <c r="C1337" s="30"/>
      <c r="D1337" s="62"/>
      <c r="E1337" s="148"/>
      <c r="F1337" s="148"/>
      <c r="G1337" s="148"/>
      <c r="H1337" s="148"/>
      <c r="I1337" s="148"/>
      <c r="J1337" s="148"/>
      <c r="K1337" s="148"/>
      <c r="L1337" s="148"/>
      <c r="M1337" s="151"/>
      <c r="N1337" s="150">
        <f>M1337</f>
        <v>0</v>
      </c>
    </row>
    <row r="1338" spans="1:15">
      <c r="B1338" s="79" t="s">
        <v>201</v>
      </c>
      <c r="C1338" s="30"/>
      <c r="D1338" s="62"/>
      <c r="E1338" s="148"/>
      <c r="F1338" s="148"/>
      <c r="G1338" s="148"/>
      <c r="H1338" s="148"/>
      <c r="I1338" s="148"/>
      <c r="J1338" s="148"/>
      <c r="K1338" s="148"/>
      <c r="L1338" s="148"/>
      <c r="M1338" s="145">
        <v>10000</v>
      </c>
      <c r="N1338" s="151">
        <v>10000</v>
      </c>
    </row>
    <row r="1339" spans="1:15">
      <c r="B1339" s="79" t="s">
        <v>202</v>
      </c>
      <c r="C1339" s="30"/>
      <c r="D1339" s="63"/>
      <c r="E1339" s="133"/>
      <c r="F1339" s="133"/>
      <c r="G1339" s="133"/>
      <c r="H1339" s="133"/>
      <c r="I1339" s="133"/>
      <c r="J1339" s="133"/>
      <c r="K1339" s="133"/>
      <c r="L1339" s="133"/>
      <c r="M1339" s="133"/>
      <c r="N1339" s="153"/>
    </row>
    <row r="1340" spans="1:15">
      <c r="B1340" s="33" t="s">
        <v>17</v>
      </c>
      <c r="D1340" s="218">
        <f xml:space="preserve"> D1325 - D1324</f>
        <v>0</v>
      </c>
      <c r="E1340" s="218">
        <f xml:space="preserve"> E1324 + E1327 - E1326 - E1325</f>
        <v>0</v>
      </c>
      <c r="F1340" s="218">
        <f>F1326 - F1327</f>
        <v>0</v>
      </c>
      <c r="G1340" s="218">
        <f>G1326 - G1327</f>
        <v>0</v>
      </c>
      <c r="H1340" s="218">
        <f>H1325-H1326-H1327</f>
        <v>0</v>
      </c>
      <c r="I1340" s="218">
        <f>I1327-I1328-I1329</f>
        <v>0</v>
      </c>
      <c r="J1340" s="218">
        <f>J1329-J1330-J1331</f>
        <v>0</v>
      </c>
      <c r="K1340" s="218">
        <f>K1331-K1332-K1333</f>
        <v>0</v>
      </c>
      <c r="L1340" s="218">
        <f>L1333+L1336-L1335-L1334</f>
        <v>0</v>
      </c>
      <c r="M1340" s="218">
        <f>M1335-M1336+M1338</f>
        <v>10000</v>
      </c>
      <c r="N1340" s="218">
        <f>N1337-N1338-N1339</f>
        <v>-10000</v>
      </c>
    </row>
    <row r="1341" spans="1:15">
      <c r="B1341" s="6"/>
      <c r="D1341" s="218"/>
      <c r="E1341" s="218"/>
      <c r="F1341" s="218"/>
      <c r="G1341" s="218"/>
      <c r="H1341" s="218"/>
      <c r="I1341" s="218"/>
      <c r="J1341" s="218"/>
      <c r="K1341" s="218"/>
      <c r="L1341" s="218"/>
      <c r="M1341" s="218"/>
      <c r="N1341" s="218"/>
    </row>
    <row r="1342" spans="1:15">
      <c r="B1342" s="76" t="s">
        <v>12</v>
      </c>
      <c r="C1342" s="71"/>
      <c r="D1342" s="219"/>
      <c r="E1342" s="220"/>
      <c r="F1342" s="220"/>
      <c r="G1342" s="220"/>
      <c r="H1342" s="220"/>
      <c r="I1342" s="220"/>
      <c r="J1342" s="220"/>
      <c r="K1342" s="220"/>
      <c r="L1342" s="220"/>
      <c r="M1342" s="220"/>
      <c r="N1342" s="220"/>
    </row>
    <row r="1343" spans="1:15">
      <c r="B1343" s="6"/>
      <c r="D1343" s="218"/>
      <c r="E1343" s="218"/>
      <c r="F1343" s="218"/>
      <c r="G1343" s="218"/>
      <c r="H1343" s="218"/>
      <c r="I1343" s="218"/>
      <c r="J1343" s="218"/>
      <c r="K1343" s="218"/>
      <c r="L1343" s="218"/>
      <c r="M1343" s="218"/>
      <c r="N1343" s="218"/>
    </row>
    <row r="1344" spans="1:15" ht="18.5">
      <c r="A1344" s="41" t="s">
        <v>26</v>
      </c>
      <c r="C1344" s="71"/>
      <c r="D1344" s="221">
        <f t="shared" ref="D1344:N1344" si="574" xml:space="preserve"> D1305 + D1310 - D1316 + D1340 + D1342</f>
        <v>0</v>
      </c>
      <c r="E1344" s="222">
        <f t="shared" si="574"/>
        <v>0</v>
      </c>
      <c r="F1344" s="222">
        <f t="shared" si="574"/>
        <v>0</v>
      </c>
      <c r="G1344" s="222">
        <f t="shared" si="574"/>
        <v>0</v>
      </c>
      <c r="H1344" s="222">
        <f t="shared" si="574"/>
        <v>0</v>
      </c>
      <c r="I1344" s="222">
        <f t="shared" si="574"/>
        <v>0</v>
      </c>
      <c r="J1344" s="222">
        <f t="shared" si="574"/>
        <v>0</v>
      </c>
      <c r="K1344" s="222">
        <f t="shared" si="574"/>
        <v>0</v>
      </c>
      <c r="L1344" s="222">
        <f t="shared" si="574"/>
        <v>0</v>
      </c>
      <c r="M1344" s="222">
        <f t="shared" si="574"/>
        <v>10000</v>
      </c>
      <c r="N1344" s="222">
        <f t="shared" si="574"/>
        <v>17389.749380766832</v>
      </c>
      <c r="O1344" s="276"/>
    </row>
    <row r="1345" spans="1:15" ht="15" thickBot="1"/>
    <row r="1346" spans="1:15">
      <c r="A1346" s="8"/>
      <c r="B1346" s="8"/>
      <c r="C1346" s="8"/>
      <c r="D1346" s="8"/>
      <c r="E1346" s="8"/>
      <c r="F1346" s="8"/>
      <c r="G1346" s="8"/>
      <c r="H1346" s="8"/>
      <c r="I1346" s="8"/>
      <c r="J1346" s="8"/>
      <c r="K1346" s="8"/>
      <c r="L1346" s="8"/>
      <c r="M1346" s="8"/>
      <c r="N1346" s="8"/>
      <c r="O1346" s="30"/>
    </row>
    <row r="1347" spans="1:15" ht="15" thickBot="1">
      <c r="B1347" s="30"/>
      <c r="C1347" s="30"/>
      <c r="D1347" s="30"/>
      <c r="E1347" s="30"/>
      <c r="F1347" s="30"/>
      <c r="G1347" s="30"/>
      <c r="H1347" s="30"/>
      <c r="I1347" s="30"/>
      <c r="J1347" s="30"/>
      <c r="K1347" s="30"/>
      <c r="L1347" s="30"/>
      <c r="M1347" s="30"/>
      <c r="N1347" s="30"/>
      <c r="O1347" s="30"/>
    </row>
    <row r="1348" spans="1:15" ht="21.5" thickBot="1">
      <c r="A1348" s="13" t="s">
        <v>4</v>
      </c>
      <c r="B1348" s="13"/>
      <c r="C1348" s="313" t="s">
        <v>205</v>
      </c>
      <c r="D1348" s="314"/>
      <c r="E1348" s="296"/>
      <c r="F1348" s="23"/>
      <c r="G1348" s="30"/>
      <c r="H1348" s="30"/>
      <c r="O1348" s="30"/>
    </row>
    <row r="1349" spans="1:15">
      <c r="O1349" s="30"/>
    </row>
    <row r="1350" spans="1:15" ht="18.5">
      <c r="A1350" s="9" t="s">
        <v>21</v>
      </c>
      <c r="B1350" s="9"/>
      <c r="D1350" s="2">
        <f>'Facility Detail'!$B$3082</f>
        <v>2011</v>
      </c>
      <c r="E1350" s="2">
        <f t="shared" ref="E1350:K1350" si="575">D1350+1</f>
        <v>2012</v>
      </c>
      <c r="F1350" s="2">
        <f t="shared" si="575"/>
        <v>2013</v>
      </c>
      <c r="G1350" s="2">
        <f t="shared" si="575"/>
        <v>2014</v>
      </c>
      <c r="H1350" s="2">
        <f t="shared" si="575"/>
        <v>2015</v>
      </c>
      <c r="I1350" s="2">
        <f t="shared" si="575"/>
        <v>2016</v>
      </c>
      <c r="J1350" s="2">
        <f t="shared" si="575"/>
        <v>2017</v>
      </c>
      <c r="K1350" s="2">
        <f t="shared" si="575"/>
        <v>2018</v>
      </c>
      <c r="L1350" s="2">
        <f t="shared" ref="L1350" si="576">K1350+1</f>
        <v>2019</v>
      </c>
      <c r="M1350" s="2">
        <f t="shared" ref="M1350" si="577">L1350+1</f>
        <v>2020</v>
      </c>
      <c r="N1350" s="2">
        <f t="shared" ref="N1350" si="578">M1350+1</f>
        <v>2021</v>
      </c>
      <c r="O1350" s="30"/>
    </row>
    <row r="1351" spans="1:15">
      <c r="B1351" s="79" t="str">
        <f>"Total MWh Produced / Purchased from " &amp; C1348</f>
        <v>Total MWh Produced / Purchased from Hot Springs Wind Farm - REC Only</v>
      </c>
      <c r="C1351" s="71"/>
      <c r="D1351" s="3">
        <v>7963</v>
      </c>
      <c r="E1351" s="4"/>
      <c r="F1351" s="4"/>
      <c r="G1351" s="4"/>
      <c r="H1351" s="4">
        <v>8028</v>
      </c>
      <c r="I1351" s="4">
        <v>10218</v>
      </c>
      <c r="J1351" s="230">
        <v>8846</v>
      </c>
      <c r="K1351" s="4">
        <v>1923</v>
      </c>
      <c r="L1351" s="4"/>
      <c r="M1351" s="5"/>
      <c r="N1351" s="5"/>
      <c r="O1351" s="30"/>
    </row>
    <row r="1352" spans="1:15">
      <c r="B1352" s="79" t="s">
        <v>25</v>
      </c>
      <c r="C1352" s="71"/>
      <c r="D1352" s="54">
        <v>1</v>
      </c>
      <c r="E1352" s="55"/>
      <c r="F1352" s="55"/>
      <c r="G1352" s="55"/>
      <c r="H1352" s="55">
        <v>1</v>
      </c>
      <c r="I1352" s="55">
        <v>1</v>
      </c>
      <c r="J1352" s="55">
        <v>1</v>
      </c>
      <c r="K1352" s="55">
        <v>1</v>
      </c>
      <c r="L1352" s="55"/>
      <c r="M1352" s="56"/>
      <c r="N1352" s="56"/>
      <c r="O1352" s="30"/>
    </row>
    <row r="1353" spans="1:15">
      <c r="B1353" s="79" t="s">
        <v>20</v>
      </c>
      <c r="C1353" s="71"/>
      <c r="D1353" s="48">
        <v>1</v>
      </c>
      <c r="E1353" s="49"/>
      <c r="F1353" s="49"/>
      <c r="G1353" s="49"/>
      <c r="H1353" s="49">
        <v>1</v>
      </c>
      <c r="I1353" s="49">
        <v>1</v>
      </c>
      <c r="J1353" s="49">
        <v>1</v>
      </c>
      <c r="K1353" s="49">
        <v>1</v>
      </c>
      <c r="L1353" s="49"/>
      <c r="M1353" s="50"/>
      <c r="N1353" s="50"/>
      <c r="O1353" s="30"/>
    </row>
    <row r="1354" spans="1:15">
      <c r="B1354" s="76" t="s">
        <v>22</v>
      </c>
      <c r="C1354" s="77"/>
      <c r="D1354" s="37">
        <v>7963</v>
      </c>
      <c r="E1354" s="37">
        <v>0</v>
      </c>
      <c r="F1354" s="37">
        <v>0</v>
      </c>
      <c r="G1354" s="37">
        <v>0</v>
      </c>
      <c r="H1354" s="37">
        <v>8028</v>
      </c>
      <c r="I1354" s="37">
        <v>10218</v>
      </c>
      <c r="J1354" s="229">
        <v>8846</v>
      </c>
      <c r="K1354" s="37">
        <v>1923</v>
      </c>
      <c r="L1354" s="37">
        <f t="shared" ref="L1354" si="579">L1351 * L1352 * L1353</f>
        <v>0</v>
      </c>
      <c r="M1354" s="37">
        <f t="shared" ref="M1354:N1354" si="580">M1351 * M1352 * M1353</f>
        <v>0</v>
      </c>
      <c r="N1354" s="37">
        <f t="shared" si="580"/>
        <v>0</v>
      </c>
      <c r="O1354" s="30"/>
    </row>
    <row r="1355" spans="1:15">
      <c r="B1355" s="23"/>
      <c r="C1355" s="30"/>
      <c r="D1355" s="36"/>
      <c r="E1355" s="36"/>
      <c r="F1355" s="36"/>
      <c r="G1355" s="24"/>
      <c r="H1355" s="24"/>
      <c r="I1355" s="24"/>
      <c r="J1355" s="24"/>
      <c r="K1355" s="24"/>
      <c r="L1355" s="24"/>
      <c r="M1355" s="24"/>
      <c r="N1355" s="24"/>
      <c r="O1355" s="30"/>
    </row>
    <row r="1356" spans="1:15" ht="18.5">
      <c r="A1356" s="42" t="s">
        <v>119</v>
      </c>
      <c r="C1356" s="30"/>
      <c r="D1356" s="2">
        <f>'Facility Detail'!$B$3082</f>
        <v>2011</v>
      </c>
      <c r="E1356" s="2">
        <f>D1356+1</f>
        <v>2012</v>
      </c>
      <c r="F1356" s="2">
        <f>E1356+1</f>
        <v>2013</v>
      </c>
      <c r="G1356" s="2">
        <f>G1350</f>
        <v>2014</v>
      </c>
      <c r="H1356" s="2">
        <f>H1350</f>
        <v>2015</v>
      </c>
      <c r="I1356" s="2">
        <f>I1350</f>
        <v>2016</v>
      </c>
      <c r="J1356" s="2">
        <f>J1350</f>
        <v>2017</v>
      </c>
      <c r="K1356" s="2">
        <f t="shared" ref="K1356:L1356" si="581">K1350</f>
        <v>2018</v>
      </c>
      <c r="L1356" s="2">
        <f t="shared" si="581"/>
        <v>2019</v>
      </c>
      <c r="M1356" s="2">
        <f t="shared" ref="M1356:N1356" si="582">M1350</f>
        <v>2020</v>
      </c>
      <c r="N1356" s="2">
        <f t="shared" si="582"/>
        <v>2021</v>
      </c>
      <c r="O1356" s="30"/>
    </row>
    <row r="1357" spans="1:15">
      <c r="B1357" s="79" t="s">
        <v>10</v>
      </c>
      <c r="C1357" s="71"/>
      <c r="D1357" s="51">
        <f>IF( $E29 = "Eligible", D1354 * 'Facility Detail'!$B$3079, 0 )</f>
        <v>0</v>
      </c>
      <c r="E1357" s="51">
        <f>IF( $E29 = "Eligible", E1354 * 'Facility Detail'!$B$3079, 0 )</f>
        <v>0</v>
      </c>
      <c r="F1357" s="51">
        <f>IF( $E29 = "Eligible", F1354 * 'Facility Detail'!$B$3079, 0 )</f>
        <v>0</v>
      </c>
      <c r="G1357" s="51">
        <f>IF( $E29 = "Eligible", G1354 * 'Facility Detail'!$B$3079, 0 )</f>
        <v>0</v>
      </c>
      <c r="H1357" s="51">
        <f>IF( $E29 = "Eligible", H1354 * 'Facility Detail'!$B$3079, 0 )</f>
        <v>0</v>
      </c>
      <c r="I1357" s="51">
        <f>IF( $E29 = "Eligible", I1354 * 'Facility Detail'!$B$3079, 0 )</f>
        <v>0</v>
      </c>
      <c r="J1357" s="51">
        <f>IF( $E29 = "Eligible", J1354 * 'Facility Detail'!$B$3079, 0 )</f>
        <v>0</v>
      </c>
      <c r="K1357" s="51">
        <f>IF( $E29 = "Eligible", K1354 * 'Facility Detail'!$B$3079, 0 )</f>
        <v>0</v>
      </c>
      <c r="L1357" s="51">
        <f>IF( $E29 = "Eligible", L1354 * 'Facility Detail'!$B$3079, 0 )</f>
        <v>0</v>
      </c>
      <c r="M1357" s="51">
        <f>IF( $E29 = "Eligible", M1354 * 'Facility Detail'!$B$3079, 0 )</f>
        <v>0</v>
      </c>
      <c r="N1357" s="51">
        <f>IF( $E29 = "Eligible", N1354 * 'Facility Detail'!$B$3079, 0 )</f>
        <v>0</v>
      </c>
      <c r="O1357" s="30"/>
    </row>
    <row r="1358" spans="1:15">
      <c r="B1358" s="79" t="s">
        <v>6</v>
      </c>
      <c r="C1358" s="71"/>
      <c r="D1358" s="52">
        <f t="shared" ref="D1358:N1358" si="583">IF( $F29 = "Eligible", D1354, 0 )</f>
        <v>0</v>
      </c>
      <c r="E1358" s="52">
        <f t="shared" si="583"/>
        <v>0</v>
      </c>
      <c r="F1358" s="52">
        <f t="shared" si="583"/>
        <v>0</v>
      </c>
      <c r="G1358" s="52">
        <f t="shared" si="583"/>
        <v>0</v>
      </c>
      <c r="H1358" s="52">
        <f t="shared" si="583"/>
        <v>0</v>
      </c>
      <c r="I1358" s="52">
        <f t="shared" si="583"/>
        <v>0</v>
      </c>
      <c r="J1358" s="52">
        <f t="shared" si="583"/>
        <v>0</v>
      </c>
      <c r="K1358" s="52">
        <f t="shared" si="583"/>
        <v>0</v>
      </c>
      <c r="L1358" s="52">
        <f t="shared" si="583"/>
        <v>0</v>
      </c>
      <c r="M1358" s="52">
        <f t="shared" si="583"/>
        <v>0</v>
      </c>
      <c r="N1358" s="52">
        <f t="shared" si="583"/>
        <v>0</v>
      </c>
      <c r="O1358" s="30"/>
    </row>
    <row r="1359" spans="1:15">
      <c r="B1359" s="78" t="s">
        <v>121</v>
      </c>
      <c r="C1359" s="77"/>
      <c r="D1359" s="39">
        <f t="shared" ref="D1359" si="584">SUM(D1357:D1358)</f>
        <v>0</v>
      </c>
      <c r="E1359" s="39">
        <f t="shared" ref="E1359:N1359" si="585">SUM(E1357:E1358)</f>
        <v>0</v>
      </c>
      <c r="F1359" s="39">
        <f t="shared" si="585"/>
        <v>0</v>
      </c>
      <c r="G1359" s="39">
        <f t="shared" si="585"/>
        <v>0</v>
      </c>
      <c r="H1359" s="39">
        <f t="shared" si="585"/>
        <v>0</v>
      </c>
      <c r="I1359" s="39">
        <f t="shared" si="585"/>
        <v>0</v>
      </c>
      <c r="J1359" s="39">
        <f t="shared" si="585"/>
        <v>0</v>
      </c>
      <c r="K1359" s="39">
        <f t="shared" si="585"/>
        <v>0</v>
      </c>
      <c r="L1359" s="39">
        <f t="shared" si="585"/>
        <v>0</v>
      </c>
      <c r="M1359" s="39">
        <f t="shared" si="585"/>
        <v>0</v>
      </c>
      <c r="N1359" s="39">
        <f t="shared" si="585"/>
        <v>0</v>
      </c>
      <c r="O1359" s="30"/>
    </row>
    <row r="1360" spans="1:15">
      <c r="B1360" s="30"/>
      <c r="C1360" s="30"/>
      <c r="D1360" s="38"/>
      <c r="E1360" s="31"/>
      <c r="F1360" s="31"/>
      <c r="G1360" s="24"/>
      <c r="H1360" s="24"/>
      <c r="I1360" s="24"/>
      <c r="J1360" s="24"/>
      <c r="K1360" s="24"/>
      <c r="L1360" s="24"/>
      <c r="M1360" s="24"/>
      <c r="N1360" s="24"/>
      <c r="O1360" s="30"/>
    </row>
    <row r="1361" spans="1:15" ht="18.5">
      <c r="A1361" s="41" t="s">
        <v>30</v>
      </c>
      <c r="C1361" s="30"/>
      <c r="D1361" s="2">
        <f>'Facility Detail'!$B$3082</f>
        <v>2011</v>
      </c>
      <c r="E1361" s="2">
        <f>D1361+1</f>
        <v>2012</v>
      </c>
      <c r="F1361" s="2">
        <f>E1361+1</f>
        <v>2013</v>
      </c>
      <c r="G1361" s="2">
        <f>G1350</f>
        <v>2014</v>
      </c>
      <c r="H1361" s="2">
        <f>H1350</f>
        <v>2015</v>
      </c>
      <c r="I1361" s="2">
        <f>I1350</f>
        <v>2016</v>
      </c>
      <c r="J1361" s="2">
        <f>J1350</f>
        <v>2017</v>
      </c>
      <c r="K1361" s="2">
        <f t="shared" ref="K1361:L1361" si="586">K1350</f>
        <v>2018</v>
      </c>
      <c r="L1361" s="2">
        <f t="shared" si="586"/>
        <v>2019</v>
      </c>
      <c r="M1361" s="2">
        <f t="shared" ref="M1361:N1361" si="587">M1350</f>
        <v>2020</v>
      </c>
      <c r="N1361" s="2">
        <f t="shared" si="587"/>
        <v>2021</v>
      </c>
      <c r="O1361" s="30"/>
    </row>
    <row r="1362" spans="1:15">
      <c r="B1362" s="79" t="s">
        <v>47</v>
      </c>
      <c r="C1362" s="71"/>
      <c r="D1362" s="89"/>
      <c r="E1362" s="90"/>
      <c r="F1362" s="90"/>
      <c r="G1362" s="90"/>
      <c r="H1362" s="90"/>
      <c r="I1362" s="90"/>
      <c r="J1362" s="90"/>
      <c r="K1362" s="90"/>
      <c r="L1362" s="90"/>
      <c r="M1362" s="140"/>
      <c r="N1362" s="140"/>
      <c r="O1362" s="30"/>
    </row>
    <row r="1363" spans="1:15">
      <c r="B1363" s="80" t="s">
        <v>23</v>
      </c>
      <c r="C1363" s="175"/>
      <c r="D1363" s="92"/>
      <c r="E1363" s="93"/>
      <c r="F1363" s="93"/>
      <c r="G1363" s="93"/>
      <c r="H1363" s="93"/>
      <c r="I1363" s="93"/>
      <c r="J1363" s="93"/>
      <c r="K1363" s="93"/>
      <c r="L1363" s="93"/>
      <c r="M1363" s="94"/>
      <c r="N1363" s="94"/>
      <c r="O1363" s="30"/>
    </row>
    <row r="1364" spans="1:15">
      <c r="B1364" s="95" t="s">
        <v>89</v>
      </c>
      <c r="C1364" s="173"/>
      <c r="D1364" s="57"/>
      <c r="E1364" s="58"/>
      <c r="F1364" s="58"/>
      <c r="G1364" s="58"/>
      <c r="H1364" s="58"/>
      <c r="I1364" s="58"/>
      <c r="J1364" s="58"/>
      <c r="K1364" s="58"/>
      <c r="L1364" s="58"/>
      <c r="M1364" s="59"/>
      <c r="N1364" s="59"/>
      <c r="O1364" s="30"/>
    </row>
    <row r="1365" spans="1:15">
      <c r="B1365" s="33" t="s">
        <v>90</v>
      </c>
      <c r="D1365" s="7">
        <f t="shared" ref="D1365:I1365" si="588">SUM(D1362:D1364)</f>
        <v>0</v>
      </c>
      <c r="E1365" s="7">
        <f t="shared" si="588"/>
        <v>0</v>
      </c>
      <c r="F1365" s="7">
        <f t="shared" si="588"/>
        <v>0</v>
      </c>
      <c r="G1365" s="7">
        <f t="shared" si="588"/>
        <v>0</v>
      </c>
      <c r="H1365" s="7">
        <f t="shared" si="588"/>
        <v>0</v>
      </c>
      <c r="I1365" s="7">
        <f t="shared" si="588"/>
        <v>0</v>
      </c>
      <c r="J1365" s="7">
        <f t="shared" ref="J1365:L1365" si="589">SUM(J1362:J1364)</f>
        <v>0</v>
      </c>
      <c r="K1365" s="7">
        <f t="shared" si="589"/>
        <v>0</v>
      </c>
      <c r="L1365" s="7">
        <f t="shared" si="589"/>
        <v>0</v>
      </c>
      <c r="M1365" s="7">
        <f t="shared" ref="M1365:N1365" si="590">SUM(M1362:M1364)</f>
        <v>0</v>
      </c>
      <c r="N1365" s="7">
        <f t="shared" si="590"/>
        <v>0</v>
      </c>
      <c r="O1365" s="30"/>
    </row>
    <row r="1366" spans="1:15">
      <c r="B1366" s="6"/>
      <c r="D1366" s="7"/>
      <c r="E1366" s="7"/>
      <c r="F1366" s="7"/>
      <c r="G1366" s="28"/>
      <c r="H1366" s="28"/>
      <c r="I1366" s="28"/>
      <c r="J1366" s="28"/>
      <c r="K1366" s="28"/>
      <c r="L1366" s="28"/>
      <c r="M1366" s="28"/>
      <c r="N1366" s="28"/>
      <c r="O1366" s="30"/>
    </row>
    <row r="1367" spans="1:15" ht="18.5">
      <c r="A1367" s="9" t="s">
        <v>100</v>
      </c>
      <c r="D1367" s="2">
        <f>'Facility Detail'!$B$3082</f>
        <v>2011</v>
      </c>
      <c r="E1367" s="2">
        <f t="shared" ref="E1367:K1367" si="591">D1367+1</f>
        <v>2012</v>
      </c>
      <c r="F1367" s="2">
        <f t="shared" si="591"/>
        <v>2013</v>
      </c>
      <c r="G1367" s="2">
        <f t="shared" si="591"/>
        <v>2014</v>
      </c>
      <c r="H1367" s="2">
        <f t="shared" si="591"/>
        <v>2015</v>
      </c>
      <c r="I1367" s="2">
        <f t="shared" si="591"/>
        <v>2016</v>
      </c>
      <c r="J1367" s="2">
        <f t="shared" si="591"/>
        <v>2017</v>
      </c>
      <c r="K1367" s="2">
        <f t="shared" si="591"/>
        <v>2018</v>
      </c>
      <c r="L1367" s="2">
        <f t="shared" ref="L1367" si="592">K1367+1</f>
        <v>2019</v>
      </c>
      <c r="M1367" s="2">
        <f t="shared" ref="M1367" si="593">L1367+1</f>
        <v>2020</v>
      </c>
      <c r="N1367" s="2">
        <f t="shared" ref="N1367" si="594">M1367+1</f>
        <v>2021</v>
      </c>
      <c r="O1367" s="30"/>
    </row>
    <row r="1368" spans="1:15">
      <c r="B1368" s="79" t="str">
        <f xml:space="preserve"> 'Facility Detail'!$B$3082 &amp; " Surplus Applied to " &amp; ( 'Facility Detail'!$B$3082 + 1 )</f>
        <v>2011 Surplus Applied to 2012</v>
      </c>
      <c r="C1368" s="30"/>
      <c r="D1368" s="3">
        <f>D1354</f>
        <v>7963</v>
      </c>
      <c r="E1368" s="60">
        <f>D1368</f>
        <v>7963</v>
      </c>
      <c r="F1368" s="131"/>
      <c r="G1368" s="131"/>
      <c r="H1368" s="131"/>
      <c r="I1368" s="131"/>
      <c r="J1368" s="131"/>
      <c r="K1368" s="131"/>
      <c r="L1368" s="131"/>
      <c r="M1368" s="131"/>
      <c r="N1368" s="61"/>
      <c r="O1368" s="30"/>
    </row>
    <row r="1369" spans="1:15">
      <c r="B1369" s="79" t="str">
        <f xml:space="preserve"> ( 'Facility Detail'!$B$3082 + 1 ) &amp; " Surplus Applied to " &amp; ( 'Facility Detail'!$B$3082 )</f>
        <v>2012 Surplus Applied to 2011</v>
      </c>
      <c r="C1369" s="30"/>
      <c r="D1369" s="47">
        <f>E1369</f>
        <v>0</v>
      </c>
      <c r="E1369" s="53"/>
      <c r="F1369" s="132"/>
      <c r="G1369" s="132"/>
      <c r="H1369" s="132"/>
      <c r="I1369" s="132"/>
      <c r="J1369" s="74"/>
      <c r="K1369" s="74"/>
      <c r="L1369" s="74"/>
      <c r="M1369" s="74"/>
      <c r="N1369" s="165"/>
      <c r="O1369" s="30"/>
    </row>
    <row r="1370" spans="1:15">
      <c r="B1370" s="79" t="str">
        <f xml:space="preserve"> ( 'Facility Detail'!$B$3082 + 1 ) &amp; " Surplus Applied to " &amp; ( 'Facility Detail'!$B$3082 + 2 )</f>
        <v>2012 Surplus Applied to 2013</v>
      </c>
      <c r="C1370" s="30"/>
      <c r="D1370" s="62"/>
      <c r="E1370" s="10"/>
      <c r="F1370" s="70">
        <f>E1370</f>
        <v>0</v>
      </c>
      <c r="G1370" s="132"/>
      <c r="H1370" s="132"/>
      <c r="I1370" s="132"/>
      <c r="J1370" s="74"/>
      <c r="K1370" s="74"/>
      <c r="L1370" s="74"/>
      <c r="M1370" s="74"/>
      <c r="N1370" s="165"/>
      <c r="O1370" s="30"/>
    </row>
    <row r="1371" spans="1:15">
      <c r="B1371" s="79" t="str">
        <f xml:space="preserve"> ( 'Facility Detail'!$B$3082 + 2 ) &amp; " Surplus Applied to " &amp; ( 'Facility Detail'!$B$3082 + 1 )</f>
        <v>2013 Surplus Applied to 2012</v>
      </c>
      <c r="C1371" s="30"/>
      <c r="D1371" s="62"/>
      <c r="E1371" s="70">
        <f>F1371</f>
        <v>0</v>
      </c>
      <c r="F1371" s="138"/>
      <c r="G1371" s="132"/>
      <c r="H1371" s="132"/>
      <c r="I1371" s="132"/>
      <c r="J1371" s="74"/>
      <c r="K1371" s="74"/>
      <c r="L1371" s="74"/>
      <c r="M1371" s="74"/>
      <c r="N1371" s="165"/>
      <c r="O1371" s="30"/>
    </row>
    <row r="1372" spans="1:15">
      <c r="B1372" s="79" t="str">
        <f xml:space="preserve"> ( 'Facility Detail'!$B$3082 + 2 ) &amp; " Surplus Applied to " &amp; ( 'Facility Detail'!$B$3082 + 3 )</f>
        <v>2013 Surplus Applied to 2014</v>
      </c>
      <c r="C1372" s="30"/>
      <c r="D1372" s="144"/>
      <c r="E1372" s="146"/>
      <c r="F1372" s="53"/>
      <c r="G1372" s="147">
        <f>F1372</f>
        <v>0</v>
      </c>
      <c r="H1372" s="132"/>
      <c r="I1372" s="132"/>
      <c r="J1372" s="74"/>
      <c r="K1372" s="74"/>
      <c r="L1372" s="74"/>
      <c r="M1372" s="74"/>
      <c r="N1372" s="165"/>
      <c r="O1372" s="30"/>
    </row>
    <row r="1373" spans="1:15">
      <c r="B1373" s="79" t="str">
        <f xml:space="preserve"> ( 'Facility Detail'!$B$3082 + 3 ) &amp; " Surplus Applied to " &amp; ( 'Facility Detail'!$B$3082 + 2 )</f>
        <v>2014 Surplus Applied to 2013</v>
      </c>
      <c r="C1373" s="30"/>
      <c r="D1373" s="144"/>
      <c r="E1373" s="146"/>
      <c r="F1373" s="145">
        <f>G1373</f>
        <v>0</v>
      </c>
      <c r="G1373" s="53"/>
      <c r="H1373" s="132"/>
      <c r="I1373" s="146"/>
      <c r="J1373" s="74" t="s">
        <v>170</v>
      </c>
      <c r="K1373" s="74" t="s">
        <v>170</v>
      </c>
      <c r="L1373" s="74" t="s">
        <v>170</v>
      </c>
      <c r="M1373" s="74"/>
      <c r="N1373" s="165"/>
      <c r="O1373" s="30"/>
    </row>
    <row r="1374" spans="1:15">
      <c r="B1374" s="79" t="str">
        <f xml:space="preserve"> ( 'Facility Detail'!$B$3082 + 3 ) &amp; " Surplus Applied to " &amp; ( 'Facility Detail'!$B$3082 + 4 )</f>
        <v>2014 Surplus Applied to 2015</v>
      </c>
      <c r="C1374" s="30"/>
      <c r="D1374" s="62"/>
      <c r="E1374" s="148"/>
      <c r="F1374" s="148"/>
      <c r="G1374" s="10">
        <f>G1354</f>
        <v>0</v>
      </c>
      <c r="H1374" s="149">
        <f>G1374</f>
        <v>0</v>
      </c>
      <c r="I1374" s="148"/>
      <c r="J1374" s="148"/>
      <c r="K1374" s="148"/>
      <c r="L1374" s="148"/>
      <c r="M1374" s="74"/>
      <c r="N1374" s="165"/>
      <c r="O1374" s="30"/>
    </row>
    <row r="1375" spans="1:15">
      <c r="B1375" s="79" t="str">
        <f xml:space="preserve"> ( 'Facility Detail'!$B$3082 + 4 ) &amp; " Surplus Applied to " &amp; ( 'Facility Detail'!$B$3082 + 3 )</f>
        <v>2015 Surplus Applied to 2014</v>
      </c>
      <c r="C1375" s="30"/>
      <c r="D1375" s="62"/>
      <c r="E1375" s="148"/>
      <c r="F1375" s="148"/>
      <c r="G1375" s="70">
        <f>H1375</f>
        <v>0</v>
      </c>
      <c r="H1375" s="151"/>
      <c r="I1375" s="148"/>
      <c r="J1375" s="148"/>
      <c r="K1375" s="148"/>
      <c r="L1375" s="148"/>
      <c r="M1375" s="74"/>
      <c r="N1375" s="165"/>
      <c r="O1375" s="30"/>
    </row>
    <row r="1376" spans="1:15">
      <c r="B1376" s="79" t="str">
        <f xml:space="preserve"> ( 'Facility Detail'!$B$3082 + 4 ) &amp; " Surplus Applied to " &amp; ( 'Facility Detail'!$B$3082 + 5 )</f>
        <v>2015 Surplus Applied to 2016</v>
      </c>
      <c r="C1376" s="30"/>
      <c r="D1376" s="62"/>
      <c r="E1376" s="148"/>
      <c r="F1376" s="148"/>
      <c r="G1376" s="148"/>
      <c r="H1376" s="151">
        <f>H1354</f>
        <v>8028</v>
      </c>
      <c r="I1376" s="70">
        <f>H1376</f>
        <v>8028</v>
      </c>
      <c r="J1376" s="74"/>
      <c r="K1376" s="74"/>
      <c r="L1376" s="74"/>
      <c r="M1376" s="74"/>
      <c r="N1376" s="165"/>
      <c r="O1376" s="30"/>
    </row>
    <row r="1377" spans="1:15">
      <c r="B1377" s="79" t="str">
        <f xml:space="preserve"> ( 'Facility Detail'!$B$3082 + 5 ) &amp; " Surplus Applied to " &amp; ( 'Facility Detail'!$B$3082 + 4 )</f>
        <v>2016 Surplus Applied to 2015</v>
      </c>
      <c r="C1377" s="71"/>
      <c r="D1377" s="62"/>
      <c r="E1377" s="148"/>
      <c r="F1377" s="148"/>
      <c r="G1377" s="148"/>
      <c r="H1377" s="70">
        <f>I1377</f>
        <v>0</v>
      </c>
      <c r="I1377" s="151"/>
      <c r="J1377" s="74"/>
      <c r="K1377" s="74"/>
      <c r="L1377" s="74"/>
      <c r="M1377" s="74"/>
      <c r="N1377" s="165"/>
      <c r="O1377" s="30"/>
    </row>
    <row r="1378" spans="1:15">
      <c r="B1378" s="79" t="str">
        <f xml:space="preserve"> ( 'Facility Detail'!$B$3082 + 5 ) &amp; " Surplus Applied to " &amp; ( 'Facility Detail'!$B$3082 + 6 )</f>
        <v>2016 Surplus Applied to 2017</v>
      </c>
      <c r="C1378" s="71"/>
      <c r="D1378" s="62"/>
      <c r="E1378" s="148"/>
      <c r="F1378" s="148"/>
      <c r="G1378" s="148"/>
      <c r="H1378" s="148"/>
      <c r="I1378" s="151">
        <f>I1354</f>
        <v>10218</v>
      </c>
      <c r="J1378" s="70">
        <f>I1378</f>
        <v>10218</v>
      </c>
      <c r="K1378" s="74"/>
      <c r="L1378" s="74"/>
      <c r="M1378" s="74"/>
      <c r="N1378" s="165"/>
      <c r="O1378" s="30"/>
    </row>
    <row r="1379" spans="1:15">
      <c r="B1379" s="79" t="s">
        <v>168</v>
      </c>
      <c r="C1379" s="30"/>
      <c r="D1379" s="62"/>
      <c r="E1379" s="148"/>
      <c r="F1379" s="148"/>
      <c r="G1379" s="148"/>
      <c r="H1379" s="148"/>
      <c r="I1379" s="150"/>
      <c r="J1379" s="151"/>
      <c r="K1379" s="148"/>
      <c r="L1379" s="148"/>
      <c r="M1379" s="74"/>
      <c r="N1379" s="165"/>
      <c r="O1379" s="30"/>
    </row>
    <row r="1380" spans="1:15">
      <c r="B1380" s="79" t="s">
        <v>169</v>
      </c>
      <c r="C1380" s="30"/>
      <c r="D1380" s="62"/>
      <c r="E1380" s="148"/>
      <c r="F1380" s="148"/>
      <c r="G1380" s="148"/>
      <c r="H1380" s="148"/>
      <c r="I1380" s="148"/>
      <c r="J1380" s="151">
        <v>8846</v>
      </c>
      <c r="K1380" s="150">
        <f>J1380</f>
        <v>8846</v>
      </c>
      <c r="L1380" s="148"/>
      <c r="M1380" s="74"/>
      <c r="N1380" s="152"/>
      <c r="O1380" s="30"/>
    </row>
    <row r="1381" spans="1:15">
      <c r="B1381" s="79" t="s">
        <v>186</v>
      </c>
      <c r="C1381" s="30"/>
      <c r="D1381" s="62"/>
      <c r="E1381" s="148"/>
      <c r="F1381" s="148"/>
      <c r="G1381" s="148"/>
      <c r="H1381" s="148"/>
      <c r="I1381" s="148"/>
      <c r="J1381" s="150"/>
      <c r="K1381" s="151"/>
      <c r="L1381" s="148"/>
      <c r="M1381" s="74"/>
      <c r="N1381" s="152"/>
      <c r="O1381" s="30"/>
    </row>
    <row r="1382" spans="1:15">
      <c r="B1382" s="79" t="s">
        <v>187</v>
      </c>
      <c r="C1382" s="30"/>
      <c r="D1382" s="63"/>
      <c r="E1382" s="133"/>
      <c r="F1382" s="133"/>
      <c r="G1382" s="133"/>
      <c r="H1382" s="133"/>
      <c r="I1382" s="133"/>
      <c r="J1382" s="133"/>
      <c r="K1382" s="153">
        <f>K1354</f>
        <v>1923</v>
      </c>
      <c r="L1382" s="254">
        <f>K1382</f>
        <v>1923</v>
      </c>
      <c r="M1382" s="255"/>
      <c r="N1382" s="255"/>
      <c r="O1382" s="30"/>
    </row>
    <row r="1383" spans="1:15">
      <c r="B1383" s="33" t="s">
        <v>17</v>
      </c>
      <c r="D1383" s="7">
        <f xml:space="preserve"> D1369 - D1368</f>
        <v>-7963</v>
      </c>
      <c r="E1383" s="7">
        <f xml:space="preserve"> E1368 + E1371 - E1370 - E1369</f>
        <v>7963</v>
      </c>
      <c r="F1383" s="7">
        <f>F1370 - F1371 -F1372</f>
        <v>0</v>
      </c>
      <c r="G1383" s="7">
        <f>G1372-G1373-G1374</f>
        <v>0</v>
      </c>
      <c r="H1383" s="40">
        <f>H1374-H1375-H1376</f>
        <v>-8028</v>
      </c>
      <c r="I1383" s="7">
        <f>I1376-I1377-I1378</f>
        <v>-2190</v>
      </c>
      <c r="J1383" s="231">
        <f>J1378-J1379-J1380</f>
        <v>1372</v>
      </c>
      <c r="K1383" s="256">
        <f>K1380-K1381-K1382</f>
        <v>6923</v>
      </c>
      <c r="L1383" s="256">
        <f>L1382</f>
        <v>1923</v>
      </c>
      <c r="M1383" s="256">
        <f t="shared" ref="M1383:N1383" si="595">M1380-M1381-M1382</f>
        <v>0</v>
      </c>
      <c r="N1383" s="256">
        <f t="shared" si="595"/>
        <v>0</v>
      </c>
      <c r="O1383" s="30"/>
    </row>
    <row r="1384" spans="1:15">
      <c r="B1384" s="6"/>
      <c r="D1384" s="7"/>
      <c r="E1384" s="7"/>
      <c r="F1384" s="7"/>
      <c r="G1384" s="7"/>
      <c r="H1384" s="199"/>
      <c r="I1384" s="7"/>
      <c r="J1384" s="7"/>
      <c r="K1384" s="7"/>
      <c r="L1384" s="7"/>
      <c r="M1384" s="7"/>
      <c r="N1384" s="7"/>
      <c r="O1384" s="30"/>
    </row>
    <row r="1385" spans="1:15">
      <c r="B1385" s="76" t="s">
        <v>12</v>
      </c>
      <c r="C1385" s="71"/>
      <c r="D1385" s="99"/>
      <c r="E1385" s="100"/>
      <c r="F1385" s="100"/>
      <c r="G1385" s="100"/>
      <c r="H1385" s="100"/>
      <c r="I1385" s="100"/>
      <c r="J1385" s="100"/>
      <c r="K1385" s="100"/>
      <c r="L1385" s="160"/>
      <c r="M1385" s="101"/>
      <c r="N1385" s="101"/>
      <c r="O1385" s="30"/>
    </row>
    <row r="1386" spans="1:15">
      <c r="B1386" s="6"/>
      <c r="D1386" s="7"/>
      <c r="E1386" s="7"/>
      <c r="F1386" s="7"/>
      <c r="G1386" s="7"/>
      <c r="H1386" s="200"/>
      <c r="I1386" s="7"/>
      <c r="J1386" s="7"/>
      <c r="K1386" s="7"/>
      <c r="L1386" s="7"/>
      <c r="M1386" s="7"/>
      <c r="N1386" s="7"/>
      <c r="O1386" s="30"/>
    </row>
    <row r="1387" spans="1:15" ht="18.5">
      <c r="A1387" s="41" t="s">
        <v>26</v>
      </c>
      <c r="C1387" s="71"/>
      <c r="D1387" s="43">
        <f t="shared" ref="D1387:L1387" si="596" xml:space="preserve"> D1354 + D1359 - D1365 + D1383 + D1385</f>
        <v>0</v>
      </c>
      <c r="E1387" s="44">
        <f t="shared" si="596"/>
        <v>7963</v>
      </c>
      <c r="F1387" s="44">
        <f t="shared" si="596"/>
        <v>0</v>
      </c>
      <c r="G1387" s="44">
        <f t="shared" si="596"/>
        <v>0</v>
      </c>
      <c r="H1387" s="44">
        <f t="shared" si="596"/>
        <v>0</v>
      </c>
      <c r="I1387" s="44">
        <f t="shared" si="596"/>
        <v>8028</v>
      </c>
      <c r="J1387" s="44">
        <f t="shared" si="596"/>
        <v>10218</v>
      </c>
      <c r="K1387" s="44">
        <f t="shared" si="596"/>
        <v>8846</v>
      </c>
      <c r="L1387" s="44">
        <f t="shared" si="596"/>
        <v>1923</v>
      </c>
      <c r="M1387" s="45">
        <f t="shared" ref="M1387:N1387" si="597" xml:space="preserve"> M1354 + M1359 - M1365 + M1383 + M1385</f>
        <v>0</v>
      </c>
      <c r="N1387" s="45">
        <f t="shared" si="597"/>
        <v>0</v>
      </c>
      <c r="O1387" s="30"/>
    </row>
    <row r="1388" spans="1:15">
      <c r="B1388" s="6"/>
      <c r="D1388" s="7"/>
      <c r="E1388" s="7"/>
      <c r="F1388" s="7"/>
      <c r="G1388" s="28"/>
      <c r="H1388" s="28"/>
      <c r="I1388" s="28"/>
      <c r="J1388" s="28"/>
      <c r="K1388" s="28"/>
      <c r="L1388" s="28"/>
      <c r="M1388" s="28"/>
      <c r="N1388" s="28"/>
      <c r="O1388" s="30"/>
    </row>
    <row r="1389" spans="1:15">
      <c r="O1389" s="30"/>
    </row>
    <row r="1390" spans="1:15" ht="15" thickBot="1"/>
    <row r="1391" spans="1:15">
      <c r="A1391" s="8"/>
      <c r="B1391" s="8"/>
      <c r="C1391" s="8"/>
      <c r="D1391" s="8"/>
      <c r="E1391" s="8"/>
      <c r="F1391" s="8"/>
      <c r="G1391" s="8"/>
      <c r="H1391" s="8"/>
      <c r="I1391" s="8"/>
      <c r="J1391" s="8"/>
      <c r="K1391" s="8"/>
      <c r="L1391" s="8"/>
      <c r="M1391" s="8"/>
      <c r="N1391" s="8"/>
      <c r="O1391" s="30"/>
    </row>
    <row r="1392" spans="1:15" ht="15" thickBot="1">
      <c r="B1392" s="30"/>
      <c r="C1392" s="30"/>
      <c r="D1392" s="30"/>
      <c r="E1392" s="30"/>
      <c r="F1392" s="30"/>
      <c r="G1392" s="30"/>
      <c r="H1392" s="30"/>
      <c r="I1392" s="30"/>
      <c r="J1392" s="30"/>
      <c r="K1392" s="30"/>
      <c r="L1392" s="30"/>
      <c r="M1392" s="30"/>
      <c r="N1392" s="30"/>
      <c r="O1392" s="30"/>
    </row>
    <row r="1393" spans="1:15" ht="21.5" thickBot="1">
      <c r="A1393" s="13" t="s">
        <v>4</v>
      </c>
      <c r="B1393" s="13"/>
      <c r="C1393" s="313" t="s">
        <v>206</v>
      </c>
      <c r="D1393" s="310"/>
      <c r="E1393" s="23"/>
      <c r="F1393" s="23"/>
      <c r="O1393" s="30"/>
    </row>
    <row r="1394" spans="1:15">
      <c r="O1394" s="30"/>
    </row>
    <row r="1395" spans="1:15" ht="18.5">
      <c r="A1395" s="9" t="s">
        <v>21</v>
      </c>
      <c r="B1395" s="9"/>
      <c r="D1395" s="2">
        <f>'Facility Detail'!$B$3082</f>
        <v>2011</v>
      </c>
      <c r="E1395" s="2">
        <f t="shared" ref="E1395:N1395" si="598">D1395+1</f>
        <v>2012</v>
      </c>
      <c r="F1395" s="2">
        <f t="shared" si="598"/>
        <v>2013</v>
      </c>
      <c r="G1395" s="2">
        <f t="shared" si="598"/>
        <v>2014</v>
      </c>
      <c r="H1395" s="2">
        <f t="shared" si="598"/>
        <v>2015</v>
      </c>
      <c r="I1395" s="2">
        <f t="shared" si="598"/>
        <v>2016</v>
      </c>
      <c r="J1395" s="2">
        <f t="shared" si="598"/>
        <v>2017</v>
      </c>
      <c r="K1395" s="2">
        <f t="shared" si="598"/>
        <v>2018</v>
      </c>
      <c r="L1395" s="2">
        <f t="shared" si="598"/>
        <v>2019</v>
      </c>
      <c r="M1395" s="2">
        <f t="shared" si="598"/>
        <v>2020</v>
      </c>
      <c r="N1395" s="2">
        <f t="shared" si="598"/>
        <v>2021</v>
      </c>
      <c r="O1395" s="30"/>
    </row>
    <row r="1396" spans="1:15">
      <c r="B1396" s="79" t="str">
        <f>"Total MWh Produced / Purchased from " &amp; C1393</f>
        <v>Total MWh Produced / Purchased from JC Boyle (Upgrate 2005)</v>
      </c>
      <c r="C1396" s="71"/>
      <c r="D1396" s="3"/>
      <c r="E1396" s="4">
        <v>3462.2784000000001</v>
      </c>
      <c r="F1396" s="4">
        <v>2402.4095999999995</v>
      </c>
      <c r="G1396" s="4">
        <v>2295</v>
      </c>
      <c r="H1396" s="4">
        <v>2130</v>
      </c>
      <c r="I1396" s="225">
        <v>2857</v>
      </c>
      <c r="J1396" s="225">
        <v>4238</v>
      </c>
      <c r="K1396" s="225">
        <v>2580.8517000000006</v>
      </c>
      <c r="L1396" s="227">
        <v>3044</v>
      </c>
      <c r="M1396" s="227">
        <v>2362</v>
      </c>
      <c r="N1396" s="227">
        <v>2362</v>
      </c>
      <c r="O1396" s="30"/>
    </row>
    <row r="1397" spans="1:15">
      <c r="B1397" s="79" t="s">
        <v>25</v>
      </c>
      <c r="C1397" s="71"/>
      <c r="D1397" s="54"/>
      <c r="E1397" s="55">
        <v>1</v>
      </c>
      <c r="F1397" s="55">
        <v>1</v>
      </c>
      <c r="G1397" s="55">
        <v>1</v>
      </c>
      <c r="H1397" s="55">
        <v>1</v>
      </c>
      <c r="I1397" s="234">
        <v>1</v>
      </c>
      <c r="J1397" s="234">
        <v>1</v>
      </c>
      <c r="K1397" s="234">
        <v>1</v>
      </c>
      <c r="L1397" s="235">
        <v>1</v>
      </c>
      <c r="M1397" s="235">
        <v>1</v>
      </c>
      <c r="N1397" s="235">
        <v>1</v>
      </c>
      <c r="O1397" s="30"/>
    </row>
    <row r="1398" spans="1:15">
      <c r="B1398" s="79" t="s">
        <v>20</v>
      </c>
      <c r="C1398" s="71"/>
      <c r="D1398" s="48"/>
      <c r="E1398" s="49">
        <v>7.9619999999999996E-2</v>
      </c>
      <c r="F1398" s="49">
        <v>7.8747999999999999E-2</v>
      </c>
      <c r="G1398" s="49">
        <v>8.0235000000000001E-2</v>
      </c>
      <c r="H1398" s="49">
        <v>8.0535999999999996E-2</v>
      </c>
      <c r="I1398" s="49">
        <v>8.1698151927344531E-2</v>
      </c>
      <c r="J1398" s="49">
        <v>8.0833713568703974E-2</v>
      </c>
      <c r="K1398" s="49">
        <v>7.9451999999999995E-2</v>
      </c>
      <c r="L1398" s="49">
        <v>7.6724662968274293E-2</v>
      </c>
      <c r="M1398" s="243">
        <f>M1117</f>
        <v>8.1268700519883177E-2</v>
      </c>
      <c r="N1398" s="243">
        <f>N1117</f>
        <v>8.0780946790754593E-2</v>
      </c>
      <c r="O1398" s="30"/>
    </row>
    <row r="1399" spans="1:15">
      <c r="B1399" s="76" t="s">
        <v>22</v>
      </c>
      <c r="C1399" s="77"/>
      <c r="D1399" s="37">
        <f xml:space="preserve"> ROUND(D1396 * D1397 * D1398,0)</f>
        <v>0</v>
      </c>
      <c r="E1399" s="37">
        <v>276</v>
      </c>
      <c r="F1399" s="37">
        <v>189</v>
      </c>
      <c r="G1399" s="37">
        <v>184</v>
      </c>
      <c r="H1399" s="37">
        <v>172</v>
      </c>
      <c r="I1399" s="37">
        <v>235</v>
      </c>
      <c r="J1399" s="229">
        <v>342</v>
      </c>
      <c r="K1399" s="229">
        <v>205</v>
      </c>
      <c r="L1399" s="229">
        <f xml:space="preserve"> ROUND(L1396 * L1397 * L1398,0)</f>
        <v>234</v>
      </c>
      <c r="M1399" s="229">
        <f xml:space="preserve"> ROUND(M1396 * M1397 * M1398,0)</f>
        <v>192</v>
      </c>
      <c r="N1399" s="229">
        <f xml:space="preserve"> ROUND(N1396 * N1397 * N1398,0)</f>
        <v>191</v>
      </c>
      <c r="O1399" s="30"/>
    </row>
    <row r="1400" spans="1:15">
      <c r="B1400" s="23"/>
      <c r="C1400" s="30"/>
      <c r="D1400" s="36"/>
      <c r="E1400" s="36"/>
      <c r="F1400" s="36"/>
      <c r="G1400" s="24"/>
      <c r="H1400" s="24"/>
      <c r="I1400" s="24"/>
      <c r="J1400" s="24"/>
      <c r="K1400" s="24"/>
      <c r="L1400" s="24"/>
      <c r="M1400" s="24"/>
      <c r="N1400" s="24"/>
      <c r="O1400" s="30"/>
    </row>
    <row r="1401" spans="1:15" ht="18.5">
      <c r="A1401" s="42" t="s">
        <v>119</v>
      </c>
      <c r="C1401" s="30"/>
      <c r="D1401" s="2">
        <f>'Facility Detail'!$B$3082</f>
        <v>2011</v>
      </c>
      <c r="E1401" s="2">
        <f>D1401+1</f>
        <v>2012</v>
      </c>
      <c r="F1401" s="2">
        <f>E1401+1</f>
        <v>2013</v>
      </c>
      <c r="G1401" s="2">
        <f t="shared" ref="G1401:N1401" si="599">G1395</f>
        <v>2014</v>
      </c>
      <c r="H1401" s="2">
        <f t="shared" si="599"/>
        <v>2015</v>
      </c>
      <c r="I1401" s="2">
        <f t="shared" si="599"/>
        <v>2016</v>
      </c>
      <c r="J1401" s="2">
        <f t="shared" si="599"/>
        <v>2017</v>
      </c>
      <c r="K1401" s="2">
        <f t="shared" si="599"/>
        <v>2018</v>
      </c>
      <c r="L1401" s="2">
        <f t="shared" si="599"/>
        <v>2019</v>
      </c>
      <c r="M1401" s="2">
        <f t="shared" si="599"/>
        <v>2020</v>
      </c>
      <c r="N1401" s="2">
        <f t="shared" si="599"/>
        <v>2021</v>
      </c>
      <c r="O1401" s="30"/>
    </row>
    <row r="1402" spans="1:15">
      <c r="B1402" s="79" t="s">
        <v>10</v>
      </c>
      <c r="C1402" s="71"/>
      <c r="D1402" s="51">
        <f>IF($E30 = "Eligible", D1399 * 'Facility Detail'!$B$3079, 0 )</f>
        <v>0</v>
      </c>
      <c r="E1402" s="51">
        <f>IF($E30 = "Eligible", E1399 * 'Facility Detail'!$B$3079, 0 )</f>
        <v>0</v>
      </c>
      <c r="F1402" s="51">
        <f>IF($E30 = "Eligible", F1399 * 'Facility Detail'!$B$3079, 0 )</f>
        <v>0</v>
      </c>
      <c r="G1402" s="51">
        <f>IF($E30 = "Eligible", G1399 * 'Facility Detail'!$B$3079, 0 )</f>
        <v>0</v>
      </c>
      <c r="H1402" s="51">
        <f>IF($E30 = "Eligible", H1399 * 'Facility Detail'!$B$3079, 0 )</f>
        <v>0</v>
      </c>
      <c r="I1402" s="51">
        <f>IF($E30 = "Eligible", I1399 * 'Facility Detail'!$B$3079, 0 )</f>
        <v>0</v>
      </c>
      <c r="J1402" s="51">
        <f>IF($E30 = "Eligible", J1399 * 'Facility Detail'!$B$3079, 0 )</f>
        <v>0</v>
      </c>
      <c r="K1402" s="51">
        <f>IF($E30 = "Eligible", K1399 * 'Facility Detail'!$B$3079, 0 )</f>
        <v>0</v>
      </c>
      <c r="L1402" s="51">
        <f>IF($E30 = "Eligible", L1399 * 'Facility Detail'!$B$3079, 0 )</f>
        <v>0</v>
      </c>
      <c r="M1402" s="51">
        <f>IF($E30 = "Eligible", M1399 * 'Facility Detail'!$B$3079, 0 )</f>
        <v>0</v>
      </c>
      <c r="N1402" s="51">
        <f>IF($E30 = "Eligible", N1399 * 'Facility Detail'!$B$3079, 0 )</f>
        <v>0</v>
      </c>
      <c r="O1402" s="30"/>
    </row>
    <row r="1403" spans="1:15">
      <c r="B1403" s="79" t="s">
        <v>6</v>
      </c>
      <c r="C1403" s="71"/>
      <c r="D1403" s="52">
        <f t="shared" ref="D1403:N1403" si="600">IF($F30= "Eligible", D1399, 0 )</f>
        <v>0</v>
      </c>
      <c r="E1403" s="52">
        <f t="shared" si="600"/>
        <v>0</v>
      </c>
      <c r="F1403" s="52">
        <f t="shared" si="600"/>
        <v>0</v>
      </c>
      <c r="G1403" s="52">
        <f t="shared" si="600"/>
        <v>0</v>
      </c>
      <c r="H1403" s="52">
        <f t="shared" si="600"/>
        <v>0</v>
      </c>
      <c r="I1403" s="52">
        <f t="shared" si="600"/>
        <v>0</v>
      </c>
      <c r="J1403" s="52">
        <f t="shared" si="600"/>
        <v>0</v>
      </c>
      <c r="K1403" s="52">
        <f t="shared" si="600"/>
        <v>0</v>
      </c>
      <c r="L1403" s="52">
        <f t="shared" si="600"/>
        <v>0</v>
      </c>
      <c r="M1403" s="52">
        <f t="shared" si="600"/>
        <v>0</v>
      </c>
      <c r="N1403" s="52">
        <f t="shared" si="600"/>
        <v>0</v>
      </c>
      <c r="O1403" s="30"/>
    </row>
    <row r="1404" spans="1:15">
      <c r="B1404" s="78" t="s">
        <v>121</v>
      </c>
      <c r="C1404" s="77"/>
      <c r="D1404" s="39">
        <f>SUM(D1402:D1403)</f>
        <v>0</v>
      </c>
      <c r="E1404" s="39">
        <f t="shared" ref="E1404:N1404" si="601">SUM(E1402:E1403)</f>
        <v>0</v>
      </c>
      <c r="F1404" s="39">
        <f t="shared" si="601"/>
        <v>0</v>
      </c>
      <c r="G1404" s="39">
        <f t="shared" si="601"/>
        <v>0</v>
      </c>
      <c r="H1404" s="39">
        <f t="shared" si="601"/>
        <v>0</v>
      </c>
      <c r="I1404" s="39">
        <f t="shared" si="601"/>
        <v>0</v>
      </c>
      <c r="J1404" s="39">
        <f t="shared" si="601"/>
        <v>0</v>
      </c>
      <c r="K1404" s="39">
        <f t="shared" si="601"/>
        <v>0</v>
      </c>
      <c r="L1404" s="39">
        <f t="shared" si="601"/>
        <v>0</v>
      </c>
      <c r="M1404" s="39">
        <f t="shared" si="601"/>
        <v>0</v>
      </c>
      <c r="N1404" s="39">
        <f t="shared" si="601"/>
        <v>0</v>
      </c>
      <c r="O1404" s="30"/>
    </row>
    <row r="1405" spans="1:15">
      <c r="B1405" s="30"/>
      <c r="C1405" s="30"/>
      <c r="D1405" s="38"/>
      <c r="E1405" s="31"/>
      <c r="F1405" s="31"/>
      <c r="G1405" s="24"/>
      <c r="H1405" s="24"/>
      <c r="I1405" s="24"/>
      <c r="J1405" s="24"/>
      <c r="K1405" s="24"/>
      <c r="L1405" s="24"/>
      <c r="M1405" s="24"/>
      <c r="N1405" s="24"/>
      <c r="O1405" s="30"/>
    </row>
    <row r="1406" spans="1:15" ht="18.5">
      <c r="A1406" s="41" t="s">
        <v>30</v>
      </c>
      <c r="C1406" s="30"/>
      <c r="D1406" s="2">
        <f>'Facility Detail'!$B$3082</f>
        <v>2011</v>
      </c>
      <c r="E1406" s="2">
        <f>D1406+1</f>
        <v>2012</v>
      </c>
      <c r="F1406" s="2">
        <f>E1406+1</f>
        <v>2013</v>
      </c>
      <c r="G1406" s="2">
        <f t="shared" ref="G1406:N1406" si="602">G1395</f>
        <v>2014</v>
      </c>
      <c r="H1406" s="2">
        <f t="shared" si="602"/>
        <v>2015</v>
      </c>
      <c r="I1406" s="2">
        <f t="shared" si="602"/>
        <v>2016</v>
      </c>
      <c r="J1406" s="2">
        <f t="shared" si="602"/>
        <v>2017</v>
      </c>
      <c r="K1406" s="2">
        <f t="shared" si="602"/>
        <v>2018</v>
      </c>
      <c r="L1406" s="2">
        <f t="shared" si="602"/>
        <v>2019</v>
      </c>
      <c r="M1406" s="2">
        <f t="shared" si="602"/>
        <v>2020</v>
      </c>
      <c r="N1406" s="2">
        <f t="shared" si="602"/>
        <v>2021</v>
      </c>
      <c r="O1406" s="30"/>
    </row>
    <row r="1407" spans="1:15">
      <c r="B1407" s="79" t="s">
        <v>47</v>
      </c>
      <c r="C1407" s="71"/>
      <c r="D1407" s="89"/>
      <c r="E1407" s="90"/>
      <c r="F1407" s="90"/>
      <c r="G1407" s="90"/>
      <c r="H1407" s="90"/>
      <c r="I1407" s="90"/>
      <c r="J1407" s="90"/>
      <c r="K1407" s="90"/>
      <c r="L1407" s="91"/>
      <c r="M1407" s="91"/>
      <c r="N1407" s="91"/>
      <c r="O1407" s="30"/>
    </row>
    <row r="1408" spans="1:15">
      <c r="B1408" s="80" t="s">
        <v>23</v>
      </c>
      <c r="C1408" s="175"/>
      <c r="D1408" s="92"/>
      <c r="E1408" s="93"/>
      <c r="F1408" s="93"/>
      <c r="G1408" s="93"/>
      <c r="H1408" s="93"/>
      <c r="I1408" s="93"/>
      <c r="J1408" s="93"/>
      <c r="K1408" s="93"/>
      <c r="L1408" s="94"/>
      <c r="M1408" s="94"/>
      <c r="N1408" s="94"/>
      <c r="O1408" s="30"/>
    </row>
    <row r="1409" spans="1:15">
      <c r="B1409" s="95" t="s">
        <v>89</v>
      </c>
      <c r="C1409" s="173"/>
      <c r="D1409" s="57"/>
      <c r="E1409" s="58"/>
      <c r="F1409" s="58"/>
      <c r="G1409" s="58"/>
      <c r="H1409" s="58"/>
      <c r="I1409" s="58"/>
      <c r="J1409" s="58"/>
      <c r="K1409" s="58"/>
      <c r="L1409" s="59"/>
      <c r="M1409" s="59"/>
      <c r="N1409" s="59"/>
      <c r="O1409" s="30"/>
    </row>
    <row r="1410" spans="1:15">
      <c r="B1410" s="33" t="s">
        <v>90</v>
      </c>
      <c r="D1410" s="7">
        <f t="shared" ref="D1410:N1410" si="603">SUM(D1407:D1409)</f>
        <v>0</v>
      </c>
      <c r="E1410" s="7">
        <f t="shared" si="603"/>
        <v>0</v>
      </c>
      <c r="F1410" s="7">
        <f t="shared" si="603"/>
        <v>0</v>
      </c>
      <c r="G1410" s="7">
        <f t="shared" si="603"/>
        <v>0</v>
      </c>
      <c r="H1410" s="7">
        <f t="shared" si="603"/>
        <v>0</v>
      </c>
      <c r="I1410" s="7">
        <f t="shared" si="603"/>
        <v>0</v>
      </c>
      <c r="J1410" s="7">
        <f t="shared" si="603"/>
        <v>0</v>
      </c>
      <c r="K1410" s="7">
        <f t="shared" si="603"/>
        <v>0</v>
      </c>
      <c r="L1410" s="7">
        <f t="shared" si="603"/>
        <v>0</v>
      </c>
      <c r="M1410" s="7">
        <f t="shared" si="603"/>
        <v>0</v>
      </c>
      <c r="N1410" s="7">
        <f t="shared" si="603"/>
        <v>0</v>
      </c>
      <c r="O1410" s="30"/>
    </row>
    <row r="1411" spans="1:15">
      <c r="B1411" s="6"/>
      <c r="D1411" s="7"/>
      <c r="E1411" s="7"/>
      <c r="F1411" s="7"/>
      <c r="G1411" s="28"/>
      <c r="H1411" s="28"/>
      <c r="I1411" s="28"/>
      <c r="J1411" s="28"/>
      <c r="K1411" s="28"/>
      <c r="L1411" s="28"/>
      <c r="M1411" s="28"/>
      <c r="N1411" s="28"/>
      <c r="O1411" s="30"/>
    </row>
    <row r="1412" spans="1:15" ht="18.5">
      <c r="A1412" s="9" t="s">
        <v>100</v>
      </c>
      <c r="D1412" s="2">
        <f>'Facility Detail'!$B$3082</f>
        <v>2011</v>
      </c>
      <c r="E1412" s="2">
        <f t="shared" ref="E1412:N1412" si="604">D1412+1</f>
        <v>2012</v>
      </c>
      <c r="F1412" s="2">
        <f t="shared" si="604"/>
        <v>2013</v>
      </c>
      <c r="G1412" s="2">
        <f t="shared" si="604"/>
        <v>2014</v>
      </c>
      <c r="H1412" s="2">
        <f t="shared" si="604"/>
        <v>2015</v>
      </c>
      <c r="I1412" s="2">
        <f t="shared" si="604"/>
        <v>2016</v>
      </c>
      <c r="J1412" s="2">
        <f t="shared" si="604"/>
        <v>2017</v>
      </c>
      <c r="K1412" s="2">
        <f t="shared" si="604"/>
        <v>2018</v>
      </c>
      <c r="L1412" s="2">
        <f t="shared" si="604"/>
        <v>2019</v>
      </c>
      <c r="M1412" s="2">
        <f t="shared" si="604"/>
        <v>2020</v>
      </c>
      <c r="N1412" s="2">
        <f t="shared" si="604"/>
        <v>2021</v>
      </c>
      <c r="O1412" s="30"/>
    </row>
    <row r="1413" spans="1:15">
      <c r="B1413" s="79" t="s">
        <v>68</v>
      </c>
      <c r="C1413" s="30"/>
      <c r="D1413" s="3"/>
      <c r="E1413" s="60">
        <f>D1413</f>
        <v>0</v>
      </c>
      <c r="F1413" s="131"/>
      <c r="G1413" s="131"/>
      <c r="H1413" s="131"/>
      <c r="I1413" s="131"/>
      <c r="J1413" s="131"/>
      <c r="K1413" s="131"/>
      <c r="L1413" s="131"/>
      <c r="M1413" s="131"/>
      <c r="N1413" s="61"/>
      <c r="O1413" s="30"/>
    </row>
    <row r="1414" spans="1:15">
      <c r="B1414" s="79" t="s">
        <v>69</v>
      </c>
      <c r="C1414" s="30"/>
      <c r="D1414" s="164">
        <f>E1414</f>
        <v>0</v>
      </c>
      <c r="E1414" s="10"/>
      <c r="F1414" s="74"/>
      <c r="G1414" s="74"/>
      <c r="H1414" s="74"/>
      <c r="I1414" s="74"/>
      <c r="J1414" s="74"/>
      <c r="K1414" s="74"/>
      <c r="L1414" s="74"/>
      <c r="M1414" s="74"/>
      <c r="N1414" s="165"/>
      <c r="O1414" s="30"/>
    </row>
    <row r="1415" spans="1:15">
      <c r="B1415" s="79" t="s">
        <v>70</v>
      </c>
      <c r="C1415" s="30"/>
      <c r="D1415" s="62"/>
      <c r="E1415" s="10"/>
      <c r="F1415" s="70">
        <f>E1415</f>
        <v>0</v>
      </c>
      <c r="G1415" s="74"/>
      <c r="H1415" s="74"/>
      <c r="I1415" s="74"/>
      <c r="J1415" s="74"/>
      <c r="K1415" s="74"/>
      <c r="L1415" s="74"/>
      <c r="M1415" s="74"/>
      <c r="N1415" s="165"/>
      <c r="O1415" s="30"/>
    </row>
    <row r="1416" spans="1:15">
      <c r="B1416" s="79" t="s">
        <v>71</v>
      </c>
      <c r="C1416" s="30"/>
      <c r="D1416" s="62"/>
      <c r="E1416" s="70">
        <f>F1416</f>
        <v>0</v>
      </c>
      <c r="F1416" s="163"/>
      <c r="G1416" s="74"/>
      <c r="H1416" s="74"/>
      <c r="I1416" s="74"/>
      <c r="J1416" s="74"/>
      <c r="K1416" s="74"/>
      <c r="L1416" s="74"/>
      <c r="M1416" s="74"/>
      <c r="N1416" s="165"/>
      <c r="O1416" s="30"/>
    </row>
    <row r="1417" spans="1:15">
      <c r="B1417" s="79" t="s">
        <v>171</v>
      </c>
      <c r="C1417" s="30"/>
      <c r="D1417" s="62"/>
      <c r="E1417" s="148"/>
      <c r="F1417" s="10"/>
      <c r="G1417" s="149">
        <f>F1417</f>
        <v>0</v>
      </c>
      <c r="H1417" s="74"/>
      <c r="I1417" s="74"/>
      <c r="J1417" s="74"/>
      <c r="K1417" s="74"/>
      <c r="L1417" s="74"/>
      <c r="M1417" s="74"/>
      <c r="N1417" s="165"/>
      <c r="O1417" s="30"/>
    </row>
    <row r="1418" spans="1:15">
      <c r="B1418" s="79" t="s">
        <v>172</v>
      </c>
      <c r="C1418" s="30"/>
      <c r="D1418" s="62"/>
      <c r="E1418" s="148"/>
      <c r="F1418" s="70">
        <f>G1418</f>
        <v>0</v>
      </c>
      <c r="G1418" s="10"/>
      <c r="H1418" s="74"/>
      <c r="I1418" s="74"/>
      <c r="J1418" s="74" t="s">
        <v>170</v>
      </c>
      <c r="K1418" s="74" t="s">
        <v>170</v>
      </c>
      <c r="L1418" s="74" t="s">
        <v>170</v>
      </c>
      <c r="M1418" s="74" t="s">
        <v>170</v>
      </c>
      <c r="N1418" s="165" t="s">
        <v>170</v>
      </c>
      <c r="O1418" s="30"/>
    </row>
    <row r="1419" spans="1:15">
      <c r="B1419" s="79" t="s">
        <v>173</v>
      </c>
      <c r="C1419" s="30"/>
      <c r="D1419" s="62"/>
      <c r="E1419" s="148"/>
      <c r="F1419" s="148"/>
      <c r="G1419" s="10"/>
      <c r="H1419" s="149">
        <f>G1419</f>
        <v>0</v>
      </c>
      <c r="I1419" s="148"/>
      <c r="J1419" s="74"/>
      <c r="K1419" s="74"/>
      <c r="L1419" s="74"/>
      <c r="M1419" s="74"/>
      <c r="N1419" s="152"/>
      <c r="O1419" s="30"/>
    </row>
    <row r="1420" spans="1:15">
      <c r="B1420" s="79" t="s">
        <v>174</v>
      </c>
      <c r="C1420" s="30"/>
      <c r="D1420" s="62"/>
      <c r="E1420" s="148"/>
      <c r="F1420" s="148"/>
      <c r="G1420" s="70">
        <f>H1420</f>
        <v>0</v>
      </c>
      <c r="H1420" s="10"/>
      <c r="I1420" s="148"/>
      <c r="J1420" s="74"/>
      <c r="K1420" s="74"/>
      <c r="L1420" s="74"/>
      <c r="M1420" s="74"/>
      <c r="N1420" s="152"/>
      <c r="O1420" s="30"/>
    </row>
    <row r="1421" spans="1:15">
      <c r="B1421" s="79" t="s">
        <v>175</v>
      </c>
      <c r="C1421" s="30"/>
      <c r="D1421" s="62"/>
      <c r="E1421" s="148"/>
      <c r="F1421" s="148"/>
      <c r="G1421" s="148"/>
      <c r="H1421" s="10"/>
      <c r="I1421" s="149">
        <f>H1421</f>
        <v>0</v>
      </c>
      <c r="J1421" s="74"/>
      <c r="K1421" s="74"/>
      <c r="L1421" s="74"/>
      <c r="M1421" s="74"/>
      <c r="N1421" s="152"/>
      <c r="O1421" s="30"/>
    </row>
    <row r="1422" spans="1:15">
      <c r="B1422" s="79" t="s">
        <v>176</v>
      </c>
      <c r="C1422" s="30"/>
      <c r="D1422" s="62"/>
      <c r="E1422" s="148"/>
      <c r="F1422" s="148"/>
      <c r="G1422" s="148"/>
      <c r="H1422" s="70">
        <f>I1422</f>
        <v>0</v>
      </c>
      <c r="I1422" s="10"/>
      <c r="J1422" s="74"/>
      <c r="K1422" s="74"/>
      <c r="L1422" s="74"/>
      <c r="M1422" s="74"/>
      <c r="N1422" s="152"/>
      <c r="O1422" s="30"/>
    </row>
    <row r="1423" spans="1:15">
      <c r="B1423" s="79" t="s">
        <v>177</v>
      </c>
      <c r="C1423" s="30"/>
      <c r="D1423" s="62"/>
      <c r="E1423" s="148"/>
      <c r="F1423" s="148"/>
      <c r="G1423" s="148"/>
      <c r="H1423" s="148"/>
      <c r="I1423" s="207">
        <v>0</v>
      </c>
      <c r="J1423" s="150"/>
      <c r="K1423" s="74"/>
      <c r="L1423" s="74"/>
      <c r="M1423" s="74"/>
      <c r="N1423" s="152"/>
      <c r="O1423" s="30"/>
    </row>
    <row r="1424" spans="1:15">
      <c r="B1424" s="79" t="s">
        <v>168</v>
      </c>
      <c r="C1424" s="30"/>
      <c r="D1424" s="62"/>
      <c r="E1424" s="148"/>
      <c r="F1424" s="148"/>
      <c r="G1424" s="148"/>
      <c r="H1424" s="148"/>
      <c r="I1424" s="208">
        <f>J1423</f>
        <v>0</v>
      </c>
      <c r="J1424" s="151"/>
      <c r="K1424" s="74"/>
      <c r="L1424" s="74"/>
      <c r="M1424" s="74"/>
      <c r="N1424" s="152"/>
      <c r="O1424" s="30"/>
    </row>
    <row r="1425" spans="1:15">
      <c r="B1425" s="79" t="s">
        <v>169</v>
      </c>
      <c r="C1425" s="30"/>
      <c r="D1425" s="62"/>
      <c r="E1425" s="148"/>
      <c r="F1425" s="148"/>
      <c r="G1425" s="148"/>
      <c r="H1425" s="148"/>
      <c r="I1425" s="148"/>
      <c r="J1425" s="151">
        <v>0</v>
      </c>
      <c r="K1425" s="150"/>
      <c r="L1425" s="74"/>
      <c r="M1425" s="74"/>
      <c r="N1425" s="152"/>
      <c r="O1425" s="30"/>
    </row>
    <row r="1426" spans="1:15">
      <c r="B1426" s="79" t="s">
        <v>186</v>
      </c>
      <c r="C1426" s="30"/>
      <c r="D1426" s="62"/>
      <c r="E1426" s="148"/>
      <c r="F1426" s="148"/>
      <c r="G1426" s="148"/>
      <c r="H1426" s="148"/>
      <c r="I1426" s="148"/>
      <c r="J1426" s="228"/>
      <c r="K1426" s="151"/>
      <c r="L1426" s="74"/>
      <c r="M1426" s="74"/>
      <c r="N1426" s="152"/>
      <c r="O1426" s="30"/>
    </row>
    <row r="1427" spans="1:15">
      <c r="B1427" s="79" t="s">
        <v>187</v>
      </c>
      <c r="C1427" s="30"/>
      <c r="D1427" s="62"/>
      <c r="E1427" s="148"/>
      <c r="F1427" s="148"/>
      <c r="G1427" s="148"/>
      <c r="H1427" s="148"/>
      <c r="I1427" s="148"/>
      <c r="J1427" s="148"/>
      <c r="K1427" s="151"/>
      <c r="L1427" s="70"/>
      <c r="M1427" s="74"/>
      <c r="N1427" s="152"/>
      <c r="O1427" s="30"/>
    </row>
    <row r="1428" spans="1:15">
      <c r="B1428" s="79" t="s">
        <v>188</v>
      </c>
      <c r="C1428" s="30"/>
      <c r="D1428" s="62"/>
      <c r="E1428" s="148"/>
      <c r="F1428" s="148"/>
      <c r="G1428" s="148"/>
      <c r="H1428" s="148"/>
      <c r="I1428" s="148"/>
      <c r="J1428" s="148"/>
      <c r="K1428" s="228"/>
      <c r="L1428" s="151"/>
      <c r="M1428" s="74"/>
      <c r="N1428" s="152"/>
      <c r="O1428" s="30"/>
    </row>
    <row r="1429" spans="1:15">
      <c r="B1429" s="79" t="s">
        <v>189</v>
      </c>
      <c r="C1429" s="30"/>
      <c r="D1429" s="62"/>
      <c r="E1429" s="148"/>
      <c r="F1429" s="148"/>
      <c r="G1429" s="148"/>
      <c r="H1429" s="148"/>
      <c r="I1429" s="148"/>
      <c r="J1429" s="148"/>
      <c r="K1429" s="148"/>
      <c r="L1429" s="151"/>
      <c r="M1429" s="150"/>
      <c r="N1429" s="74"/>
      <c r="O1429" s="30"/>
    </row>
    <row r="1430" spans="1:15">
      <c r="B1430" s="79" t="s">
        <v>190</v>
      </c>
      <c r="C1430" s="30"/>
      <c r="D1430" s="62"/>
      <c r="E1430" s="148"/>
      <c r="F1430" s="148"/>
      <c r="G1430" s="148"/>
      <c r="H1430" s="148"/>
      <c r="I1430" s="148"/>
      <c r="J1430" s="148"/>
      <c r="K1430" s="148"/>
      <c r="L1430" s="145"/>
      <c r="M1430" s="151"/>
      <c r="N1430" s="178"/>
    </row>
    <row r="1431" spans="1:15">
      <c r="B1431" s="79" t="s">
        <v>191</v>
      </c>
      <c r="C1431" s="30"/>
      <c r="D1431" s="62"/>
      <c r="E1431" s="148"/>
      <c r="F1431" s="148"/>
      <c r="G1431" s="148"/>
      <c r="H1431" s="148"/>
      <c r="I1431" s="148"/>
      <c r="J1431" s="148"/>
      <c r="K1431" s="148"/>
      <c r="L1431" s="148"/>
      <c r="M1431" s="151"/>
      <c r="N1431" s="150">
        <f>M1431</f>
        <v>0</v>
      </c>
    </row>
    <row r="1432" spans="1:15">
      <c r="B1432" s="79" t="s">
        <v>201</v>
      </c>
      <c r="C1432" s="30"/>
      <c r="D1432" s="62"/>
      <c r="E1432" s="148"/>
      <c r="F1432" s="148"/>
      <c r="G1432" s="148"/>
      <c r="H1432" s="148"/>
      <c r="I1432" s="148"/>
      <c r="J1432" s="148"/>
      <c r="K1432" s="148"/>
      <c r="L1432" s="148"/>
      <c r="M1432" s="150"/>
      <c r="N1432" s="151"/>
    </row>
    <row r="1433" spans="1:15">
      <c r="B1433" s="79" t="s">
        <v>202</v>
      </c>
      <c r="C1433" s="30"/>
      <c r="D1433" s="63"/>
      <c r="E1433" s="133"/>
      <c r="F1433" s="133"/>
      <c r="G1433" s="133"/>
      <c r="H1433" s="133"/>
      <c r="I1433" s="133"/>
      <c r="J1433" s="133"/>
      <c r="K1433" s="133"/>
      <c r="L1433" s="133"/>
      <c r="M1433" s="133"/>
      <c r="N1433" s="153"/>
    </row>
    <row r="1434" spans="1:15">
      <c r="B1434" s="33" t="s">
        <v>17</v>
      </c>
      <c r="D1434" s="180">
        <f xml:space="preserve"> D1414 - D1413</f>
        <v>0</v>
      </c>
      <c r="E1434" s="180">
        <f xml:space="preserve"> E1413 + E1416 - E1415 - E1414</f>
        <v>0</v>
      </c>
      <c r="F1434" s="180">
        <f>F1415 - F1416 -F1417</f>
        <v>0</v>
      </c>
      <c r="G1434" s="180">
        <f>G1417-G1418-G1419</f>
        <v>0</v>
      </c>
      <c r="H1434" s="180">
        <f>H1419</f>
        <v>0</v>
      </c>
      <c r="I1434" s="180">
        <f>I1421-I1422-I1423</f>
        <v>0</v>
      </c>
      <c r="J1434" s="180">
        <f>J1423-J1424-J1425</f>
        <v>0</v>
      </c>
      <c r="K1434" s="180">
        <f>K1423-K1424-K1425</f>
        <v>0</v>
      </c>
      <c r="L1434" s="180">
        <f>L1423-L1424-L1425</f>
        <v>0</v>
      </c>
      <c r="M1434" s="180">
        <f>M1423-M1424-M1425</f>
        <v>0</v>
      </c>
      <c r="N1434" s="180">
        <f>N1423-N1424-N1425</f>
        <v>0</v>
      </c>
      <c r="O1434" s="30"/>
    </row>
    <row r="1435" spans="1:15">
      <c r="B1435" s="6"/>
      <c r="D1435" s="7"/>
      <c r="E1435" s="7"/>
      <c r="F1435" s="7"/>
      <c r="G1435" s="7"/>
      <c r="H1435" s="7"/>
      <c r="I1435" s="7"/>
      <c r="J1435" s="7"/>
      <c r="K1435" s="7"/>
      <c r="L1435" s="7"/>
      <c r="M1435" s="7"/>
      <c r="N1435" s="7"/>
      <c r="O1435" s="30"/>
    </row>
    <row r="1436" spans="1:15">
      <c r="B1436" s="76" t="s">
        <v>12</v>
      </c>
      <c r="C1436" s="71"/>
      <c r="D1436" s="99"/>
      <c r="E1436" s="100"/>
      <c r="F1436" s="100"/>
      <c r="G1436" s="100"/>
      <c r="H1436" s="100"/>
      <c r="I1436" s="100"/>
      <c r="J1436" s="100"/>
      <c r="K1436" s="100"/>
      <c r="L1436" s="101"/>
      <c r="M1436" s="101"/>
      <c r="N1436" s="101"/>
      <c r="O1436" s="30"/>
    </row>
    <row r="1437" spans="1:15">
      <c r="B1437" s="6"/>
      <c r="D1437" s="7"/>
      <c r="E1437" s="7"/>
      <c r="F1437" s="7"/>
      <c r="G1437" s="7"/>
      <c r="H1437" s="7"/>
      <c r="I1437" s="7"/>
      <c r="J1437" s="7"/>
      <c r="K1437" s="7"/>
      <c r="L1437" s="7"/>
      <c r="M1437" s="7"/>
      <c r="N1437" s="7"/>
      <c r="O1437" s="30"/>
    </row>
    <row r="1438" spans="1:15" ht="18.5">
      <c r="A1438" s="41" t="s">
        <v>26</v>
      </c>
      <c r="C1438" s="71"/>
      <c r="D1438" s="43">
        <f xml:space="preserve"> D1399 + D1404 - D1410 + D1434 + D1436</f>
        <v>0</v>
      </c>
      <c r="E1438" s="44">
        <v>276</v>
      </c>
      <c r="F1438" s="44">
        <f t="shared" ref="F1438:N1438" si="605" xml:space="preserve"> F1399 + F1404 - F1410 + F1434 + F1436</f>
        <v>189</v>
      </c>
      <c r="G1438" s="44">
        <f t="shared" si="605"/>
        <v>184</v>
      </c>
      <c r="H1438" s="161">
        <f t="shared" si="605"/>
        <v>172</v>
      </c>
      <c r="I1438" s="161">
        <f t="shared" si="605"/>
        <v>235</v>
      </c>
      <c r="J1438" s="161">
        <f t="shared" si="605"/>
        <v>342</v>
      </c>
      <c r="K1438" s="161">
        <f t="shared" si="605"/>
        <v>205</v>
      </c>
      <c r="L1438" s="161">
        <f t="shared" si="605"/>
        <v>234</v>
      </c>
      <c r="M1438" s="45">
        <f t="shared" si="605"/>
        <v>192</v>
      </c>
      <c r="N1438" s="45">
        <f t="shared" si="605"/>
        <v>191</v>
      </c>
      <c r="O1438" s="30"/>
    </row>
    <row r="1439" spans="1:15">
      <c r="B1439" s="6"/>
      <c r="D1439" s="7"/>
      <c r="E1439" s="7"/>
      <c r="F1439" s="7"/>
      <c r="G1439" s="28"/>
      <c r="H1439" s="28"/>
      <c r="I1439" s="28"/>
      <c r="J1439" s="28"/>
      <c r="K1439" s="28"/>
      <c r="L1439" s="28"/>
      <c r="M1439" s="28"/>
      <c r="N1439" s="28"/>
      <c r="O1439" s="30"/>
    </row>
    <row r="1440" spans="1:15" ht="15" thickBot="1">
      <c r="O1440" s="30"/>
    </row>
    <row r="1441" spans="1:14">
      <c r="A1441" s="8"/>
      <c r="B1441" s="8"/>
      <c r="C1441" s="8"/>
      <c r="D1441" s="8"/>
      <c r="E1441" s="8"/>
      <c r="F1441" s="8"/>
      <c r="G1441" s="8"/>
      <c r="H1441" s="8"/>
      <c r="I1441" s="8"/>
      <c r="J1441" s="8"/>
      <c r="K1441" s="8"/>
      <c r="L1441" s="8"/>
      <c r="M1441" s="8"/>
      <c r="N1441" s="8"/>
    </row>
    <row r="1442" spans="1:14" ht="15" thickBot="1"/>
    <row r="1443" spans="1:14" ht="21.5" thickBot="1">
      <c r="A1443" s="13" t="s">
        <v>4</v>
      </c>
      <c r="B1443" s="13"/>
      <c r="C1443" s="340" t="str">
        <f>B31</f>
        <v>Klondike I - Klondike Wind Power LLC - REC Only</v>
      </c>
      <c r="D1443" s="349"/>
      <c r="E1443" s="350"/>
      <c r="F1443" s="342"/>
    </row>
    <row r="1445" spans="1:14" ht="18.5">
      <c r="A1445" s="9" t="s">
        <v>21</v>
      </c>
      <c r="B1445" s="9"/>
      <c r="D1445" s="2">
        <f>'Facility Detail'!$B$3082</f>
        <v>2011</v>
      </c>
      <c r="E1445" s="2">
        <f>D1445+1</f>
        <v>2012</v>
      </c>
      <c r="F1445" s="2">
        <f>E1445+1</f>
        <v>2013</v>
      </c>
      <c r="G1445" s="2">
        <f t="shared" ref="G1445:N1445" si="606">F1445+1</f>
        <v>2014</v>
      </c>
      <c r="H1445" s="2">
        <f t="shared" si="606"/>
        <v>2015</v>
      </c>
      <c r="I1445" s="2">
        <f t="shared" si="606"/>
        <v>2016</v>
      </c>
      <c r="J1445" s="2">
        <f t="shared" si="606"/>
        <v>2017</v>
      </c>
      <c r="K1445" s="2">
        <f t="shared" si="606"/>
        <v>2018</v>
      </c>
      <c r="L1445" s="2">
        <f t="shared" si="606"/>
        <v>2019</v>
      </c>
      <c r="M1445" s="2">
        <f t="shared" si="606"/>
        <v>2020</v>
      </c>
      <c r="N1445" s="2">
        <f t="shared" si="606"/>
        <v>2021</v>
      </c>
    </row>
    <row r="1446" spans="1:14">
      <c r="B1446" s="326" t="str">
        <f>"Total MWh Produced / Purchased from " &amp; C1443</f>
        <v>Total MWh Produced / Purchased from Klondike I - Klondike Wind Power LLC - REC Only</v>
      </c>
      <c r="C1446" s="71"/>
      <c r="D1446" s="3"/>
      <c r="E1446" s="4"/>
      <c r="F1446" s="4"/>
      <c r="G1446" s="4"/>
      <c r="H1446" s="230"/>
      <c r="I1446" s="230">
        <v>8543</v>
      </c>
      <c r="J1446" s="230"/>
      <c r="K1446" s="230"/>
      <c r="L1446" s="230"/>
      <c r="M1446" s="230"/>
      <c r="N1446" s="230"/>
    </row>
    <row r="1447" spans="1:14">
      <c r="B1447" s="326" t="s">
        <v>25</v>
      </c>
      <c r="C1447" s="71"/>
      <c r="D1447" s="54"/>
      <c r="E1447" s="55"/>
      <c r="F1447" s="55"/>
      <c r="G1447" s="55"/>
      <c r="H1447" s="55"/>
      <c r="I1447" s="55">
        <v>1</v>
      </c>
      <c r="J1447" s="55"/>
      <c r="K1447" s="55"/>
      <c r="L1447" s="55"/>
      <c r="M1447" s="55"/>
      <c r="N1447" s="55"/>
    </row>
    <row r="1448" spans="1:14">
      <c r="B1448" s="326" t="s">
        <v>20</v>
      </c>
      <c r="C1448" s="71"/>
      <c r="D1448" s="48"/>
      <c r="E1448" s="49"/>
      <c r="F1448" s="49"/>
      <c r="G1448" s="49"/>
      <c r="H1448" s="49"/>
      <c r="I1448" s="49">
        <v>1</v>
      </c>
      <c r="J1448" s="49"/>
      <c r="K1448" s="49"/>
      <c r="L1448" s="49"/>
      <c r="M1448" s="49"/>
      <c r="N1448" s="49"/>
    </row>
    <row r="1449" spans="1:14">
      <c r="B1449" s="33" t="s">
        <v>22</v>
      </c>
      <c r="C1449" s="6"/>
      <c r="D1449" s="37">
        <f xml:space="preserve"> D1446 * D1447 * D1448</f>
        <v>0</v>
      </c>
      <c r="E1449" s="37">
        <f xml:space="preserve"> E1446 * E1447 * E1448</f>
        <v>0</v>
      </c>
      <c r="F1449" s="37">
        <f xml:space="preserve"> F1446 * F1447 * F1448</f>
        <v>0</v>
      </c>
      <c r="G1449" s="37">
        <f t="shared" ref="G1449:N1449" si="607" xml:space="preserve"> G1446 * G1447 * G1448</f>
        <v>0</v>
      </c>
      <c r="H1449" s="229">
        <f t="shared" si="607"/>
        <v>0</v>
      </c>
      <c r="I1449" s="229">
        <v>8543</v>
      </c>
      <c r="J1449" s="229">
        <f t="shared" si="607"/>
        <v>0</v>
      </c>
      <c r="K1449" s="229">
        <f t="shared" si="607"/>
        <v>0</v>
      </c>
      <c r="L1449" s="229">
        <f t="shared" si="607"/>
        <v>0</v>
      </c>
      <c r="M1449" s="229">
        <f t="shared" si="607"/>
        <v>0</v>
      </c>
      <c r="N1449" s="229">
        <f t="shared" si="607"/>
        <v>0</v>
      </c>
    </row>
    <row r="1450" spans="1:14">
      <c r="D1450" s="36"/>
      <c r="E1450" s="36"/>
      <c r="F1450" s="36"/>
      <c r="G1450" s="36"/>
      <c r="H1450" s="24"/>
      <c r="I1450" s="24"/>
      <c r="J1450" s="24"/>
      <c r="K1450" s="24"/>
      <c r="L1450" s="24"/>
      <c r="M1450" s="24"/>
      <c r="N1450" s="24"/>
    </row>
    <row r="1451" spans="1:14" ht="18.5">
      <c r="A1451" s="9" t="s">
        <v>119</v>
      </c>
      <c r="D1451" s="2">
        <f>'Facility Detail'!$B$3082</f>
        <v>2011</v>
      </c>
      <c r="E1451" s="2">
        <f>D1451+1</f>
        <v>2012</v>
      </c>
      <c r="F1451" s="2">
        <f>E1451+1</f>
        <v>2013</v>
      </c>
      <c r="G1451" s="2">
        <f t="shared" ref="G1451:N1451" si="608">F1451+1</f>
        <v>2014</v>
      </c>
      <c r="H1451" s="2">
        <f t="shared" si="608"/>
        <v>2015</v>
      </c>
      <c r="I1451" s="2">
        <f t="shared" si="608"/>
        <v>2016</v>
      </c>
      <c r="J1451" s="2">
        <f t="shared" si="608"/>
        <v>2017</v>
      </c>
      <c r="K1451" s="2">
        <f t="shared" si="608"/>
        <v>2018</v>
      </c>
      <c r="L1451" s="2">
        <f t="shared" si="608"/>
        <v>2019</v>
      </c>
      <c r="M1451" s="2">
        <f t="shared" si="608"/>
        <v>2020</v>
      </c>
      <c r="N1451" s="2">
        <f t="shared" si="608"/>
        <v>2021</v>
      </c>
    </row>
    <row r="1452" spans="1:14">
      <c r="B1452" s="326" t="s">
        <v>10</v>
      </c>
      <c r="C1452" s="71"/>
      <c r="D1452" s="51">
        <f>IF($E31 = "Eligible", D1449 * 'Facility Detail'!$B$3079, 0 )</f>
        <v>0</v>
      </c>
      <c r="E1452" s="51">
        <f>IF($E31 = "Eligible", E1449 * 'Facility Detail'!$B$3079, 0 )</f>
        <v>0</v>
      </c>
      <c r="F1452" s="51">
        <f>IF($E31 = "Eligible", F1449 * 'Facility Detail'!$B$3079, 0 )</f>
        <v>0</v>
      </c>
      <c r="G1452" s="51">
        <f>IF($E31 = "Eligible", G1449 * 'Facility Detail'!$B$3079, 0 )</f>
        <v>0</v>
      </c>
      <c r="H1452" s="51">
        <f>IF($E31 = "Eligible", H1449 * 'Facility Detail'!$B$3079, 0 )</f>
        <v>0</v>
      </c>
      <c r="I1452" s="51">
        <f>IF($E31 = "Eligible", I1449 * 'Facility Detail'!$B$3079, 0 )</f>
        <v>0</v>
      </c>
      <c r="J1452" s="51">
        <f>IF($E31 = "Eligible", J1449 * 'Facility Detail'!$B$3079, 0 )</f>
        <v>0</v>
      </c>
      <c r="K1452" s="51">
        <f>IF($E31 = "Eligible", K1449 * 'Facility Detail'!$B$3079, 0 )</f>
        <v>0</v>
      </c>
      <c r="L1452" s="51">
        <f>IF($E31 = "Eligible", L1449 * 'Facility Detail'!$B$3079, 0 )</f>
        <v>0</v>
      </c>
      <c r="M1452" s="51">
        <f>IF($E31 = "Eligible", M1449 * 'Facility Detail'!$B$3079, 0 )</f>
        <v>0</v>
      </c>
      <c r="N1452" s="51">
        <f>IF($E31 = "Eligible", N1449 * 'Facility Detail'!$B$3079, 0 )</f>
        <v>0</v>
      </c>
    </row>
    <row r="1453" spans="1:14">
      <c r="B1453" s="326" t="s">
        <v>6</v>
      </c>
      <c r="C1453" s="71"/>
      <c r="D1453" s="52">
        <f t="shared" ref="D1453:N1453" si="609">IF($F31= "Eligible", D1449, 0 )</f>
        <v>0</v>
      </c>
      <c r="E1453" s="52">
        <f t="shared" si="609"/>
        <v>0</v>
      </c>
      <c r="F1453" s="52">
        <f t="shared" si="609"/>
        <v>0</v>
      </c>
      <c r="G1453" s="52">
        <f t="shared" si="609"/>
        <v>0</v>
      </c>
      <c r="H1453" s="52">
        <f t="shared" si="609"/>
        <v>0</v>
      </c>
      <c r="I1453" s="52">
        <f t="shared" si="609"/>
        <v>0</v>
      </c>
      <c r="J1453" s="52">
        <f t="shared" si="609"/>
        <v>0</v>
      </c>
      <c r="K1453" s="52">
        <f t="shared" si="609"/>
        <v>0</v>
      </c>
      <c r="L1453" s="52">
        <f t="shared" si="609"/>
        <v>0</v>
      </c>
      <c r="M1453" s="52">
        <f t="shared" si="609"/>
        <v>0</v>
      </c>
      <c r="N1453" s="52">
        <f t="shared" si="609"/>
        <v>0</v>
      </c>
    </row>
    <row r="1454" spans="1:14">
      <c r="B1454" s="33" t="s">
        <v>121</v>
      </c>
      <c r="C1454" s="6"/>
      <c r="D1454" s="39">
        <f>SUM(D1452:D1453)</f>
        <v>0</v>
      </c>
      <c r="E1454" s="40">
        <f>SUM(E1452:E1453)</f>
        <v>0</v>
      </c>
      <c r="F1454" s="40">
        <f>SUM(F1452:F1453)</f>
        <v>0</v>
      </c>
      <c r="G1454" s="40">
        <f t="shared" ref="G1454:N1454" si="610">SUM(G1452:G1453)</f>
        <v>0</v>
      </c>
      <c r="H1454" s="40">
        <f t="shared" si="610"/>
        <v>0</v>
      </c>
      <c r="I1454" s="40">
        <f t="shared" si="610"/>
        <v>0</v>
      </c>
      <c r="J1454" s="40">
        <f t="shared" si="610"/>
        <v>0</v>
      </c>
      <c r="K1454" s="40">
        <f t="shared" si="610"/>
        <v>0</v>
      </c>
      <c r="L1454" s="40">
        <f t="shared" si="610"/>
        <v>0</v>
      </c>
      <c r="M1454" s="40">
        <f t="shared" si="610"/>
        <v>0</v>
      </c>
      <c r="N1454" s="40">
        <f t="shared" si="610"/>
        <v>0</v>
      </c>
    </row>
    <row r="1455" spans="1:14">
      <c r="D1455" s="38"/>
      <c r="E1455" s="31"/>
      <c r="F1455" s="31"/>
      <c r="G1455" s="31"/>
      <c r="H1455" s="31"/>
      <c r="I1455" s="31"/>
      <c r="J1455" s="31"/>
      <c r="K1455" s="31"/>
      <c r="L1455" s="31"/>
      <c r="M1455" s="31"/>
      <c r="N1455" s="31"/>
    </row>
    <row r="1456" spans="1:14" ht="18.5">
      <c r="A1456" s="9" t="s">
        <v>30</v>
      </c>
      <c r="D1456" s="2">
        <f>'Facility Detail'!$B$3082</f>
        <v>2011</v>
      </c>
      <c r="E1456" s="2">
        <f>D1456+1</f>
        <v>2012</v>
      </c>
      <c r="F1456" s="2">
        <f>E1456+1</f>
        <v>2013</v>
      </c>
      <c r="G1456" s="2">
        <f t="shared" ref="G1456:N1456" si="611">F1456+1</f>
        <v>2014</v>
      </c>
      <c r="H1456" s="2">
        <f t="shared" si="611"/>
        <v>2015</v>
      </c>
      <c r="I1456" s="2">
        <f t="shared" si="611"/>
        <v>2016</v>
      </c>
      <c r="J1456" s="2">
        <f t="shared" si="611"/>
        <v>2017</v>
      </c>
      <c r="K1456" s="2">
        <f t="shared" si="611"/>
        <v>2018</v>
      </c>
      <c r="L1456" s="2">
        <f t="shared" si="611"/>
        <v>2019</v>
      </c>
      <c r="M1456" s="2">
        <f t="shared" si="611"/>
        <v>2020</v>
      </c>
      <c r="N1456" s="2">
        <f t="shared" si="611"/>
        <v>2021</v>
      </c>
    </row>
    <row r="1457" spans="1:14">
      <c r="B1457" s="326" t="s">
        <v>47</v>
      </c>
      <c r="C1457" s="71"/>
      <c r="D1457" s="89"/>
      <c r="E1457" s="90"/>
      <c r="F1457" s="90"/>
      <c r="G1457" s="90"/>
      <c r="H1457" s="90"/>
      <c r="I1457" s="90"/>
      <c r="J1457" s="90"/>
      <c r="K1457" s="90"/>
      <c r="L1457" s="90"/>
      <c r="M1457" s="90"/>
      <c r="N1457" s="90"/>
    </row>
    <row r="1458" spans="1:14">
      <c r="B1458" s="330" t="s">
        <v>23</v>
      </c>
      <c r="C1458" s="331"/>
      <c r="D1458" s="92"/>
      <c r="E1458" s="93"/>
      <c r="F1458" s="93"/>
      <c r="G1458" s="93"/>
      <c r="H1458" s="93"/>
      <c r="I1458" s="93"/>
      <c r="J1458" s="93"/>
      <c r="K1458" s="93"/>
      <c r="L1458" s="93"/>
      <c r="M1458" s="93"/>
      <c r="N1458" s="93"/>
    </row>
    <row r="1459" spans="1:14">
      <c r="B1459" s="330" t="s">
        <v>89</v>
      </c>
      <c r="C1459" s="332"/>
      <c r="D1459" s="57"/>
      <c r="E1459" s="58"/>
      <c r="F1459" s="58"/>
      <c r="G1459" s="58"/>
      <c r="H1459" s="58"/>
      <c r="I1459" s="58"/>
      <c r="J1459" s="58"/>
      <c r="K1459" s="58"/>
      <c r="L1459" s="58"/>
      <c r="M1459" s="58"/>
      <c r="N1459" s="58"/>
    </row>
    <row r="1460" spans="1:14">
      <c r="B1460" s="33" t="s">
        <v>90</v>
      </c>
      <c r="D1460" s="7">
        <f>SUM(D1457:D1459)</f>
        <v>0</v>
      </c>
      <c r="E1460" s="7">
        <f>SUM(E1457:E1459)</f>
        <v>0</v>
      </c>
      <c r="F1460" s="7">
        <f>SUM(F1457:F1459)</f>
        <v>0</v>
      </c>
      <c r="G1460" s="7">
        <f t="shared" ref="G1460:N1460" si="612">SUM(G1457:G1459)</f>
        <v>0</v>
      </c>
      <c r="H1460" s="7">
        <f t="shared" si="612"/>
        <v>0</v>
      </c>
      <c r="I1460" s="7">
        <f t="shared" si="612"/>
        <v>0</v>
      </c>
      <c r="J1460" s="7">
        <f t="shared" si="612"/>
        <v>0</v>
      </c>
      <c r="K1460" s="7">
        <f t="shared" si="612"/>
        <v>0</v>
      </c>
      <c r="L1460" s="7">
        <f t="shared" si="612"/>
        <v>0</v>
      </c>
      <c r="M1460" s="7">
        <f t="shared" si="612"/>
        <v>0</v>
      </c>
      <c r="N1460" s="7">
        <f t="shared" si="612"/>
        <v>0</v>
      </c>
    </row>
    <row r="1461" spans="1:14">
      <c r="B1461" s="6"/>
      <c r="D1461" s="7"/>
      <c r="E1461" s="7"/>
      <c r="F1461" s="7"/>
      <c r="G1461" s="28"/>
      <c r="H1461" s="28"/>
      <c r="I1461" s="28"/>
      <c r="J1461" s="28"/>
      <c r="K1461" s="28"/>
      <c r="L1461" s="28"/>
      <c r="M1461" s="28"/>
      <c r="N1461" s="28"/>
    </row>
    <row r="1462" spans="1:14" ht="18.5">
      <c r="A1462" s="9" t="s">
        <v>100</v>
      </c>
      <c r="D1462" s="2">
        <f>'Facility Detail'!$B$3082</f>
        <v>2011</v>
      </c>
      <c r="E1462" s="2">
        <f>D1462+1</f>
        <v>2012</v>
      </c>
      <c r="F1462" s="2">
        <f>E1462+1</f>
        <v>2013</v>
      </c>
      <c r="G1462" s="2">
        <f t="shared" ref="G1462:N1462" si="613">F1462+1</f>
        <v>2014</v>
      </c>
      <c r="H1462" s="2">
        <f t="shared" si="613"/>
        <v>2015</v>
      </c>
      <c r="I1462" s="2">
        <f t="shared" si="613"/>
        <v>2016</v>
      </c>
      <c r="J1462" s="2">
        <f t="shared" si="613"/>
        <v>2017</v>
      </c>
      <c r="K1462" s="2">
        <f t="shared" si="613"/>
        <v>2018</v>
      </c>
      <c r="L1462" s="2">
        <f t="shared" si="613"/>
        <v>2019</v>
      </c>
      <c r="M1462" s="2">
        <f t="shared" si="613"/>
        <v>2020</v>
      </c>
      <c r="N1462" s="2">
        <f t="shared" si="613"/>
        <v>2021</v>
      </c>
    </row>
    <row r="1463" spans="1:14">
      <c r="B1463" s="326" t="s">
        <v>68</v>
      </c>
      <c r="C1463" s="71"/>
      <c r="D1463" s="3"/>
      <c r="E1463" s="60">
        <f>D1463</f>
        <v>0</v>
      </c>
      <c r="F1463" s="131"/>
      <c r="G1463" s="131"/>
      <c r="H1463" s="131"/>
      <c r="I1463" s="131"/>
      <c r="J1463" s="131"/>
      <c r="K1463" s="131"/>
      <c r="L1463" s="131"/>
      <c r="M1463" s="131"/>
      <c r="N1463" s="131"/>
    </row>
    <row r="1464" spans="1:14">
      <c r="B1464" s="326" t="s">
        <v>69</v>
      </c>
      <c r="C1464" s="71"/>
      <c r="D1464" s="164">
        <f>E1464</f>
        <v>0</v>
      </c>
      <c r="E1464" s="10"/>
      <c r="F1464" s="74"/>
      <c r="G1464" s="74"/>
      <c r="H1464" s="74"/>
      <c r="I1464" s="74"/>
      <c r="J1464" s="74"/>
      <c r="K1464" s="74"/>
      <c r="L1464" s="74"/>
      <c r="M1464" s="74"/>
      <c r="N1464" s="74"/>
    </row>
    <row r="1465" spans="1:14">
      <c r="B1465" s="326" t="s">
        <v>70</v>
      </c>
      <c r="C1465" s="71"/>
      <c r="D1465" s="62"/>
      <c r="E1465" s="10">
        <f>E1449</f>
        <v>0</v>
      </c>
      <c r="F1465" s="70">
        <f>E1465</f>
        <v>0</v>
      </c>
      <c r="G1465" s="74"/>
      <c r="H1465" s="74"/>
      <c r="I1465" s="74"/>
      <c r="J1465" s="74"/>
      <c r="K1465" s="74"/>
      <c r="L1465" s="74"/>
      <c r="M1465" s="74"/>
      <c r="N1465" s="74"/>
    </row>
    <row r="1466" spans="1:14">
      <c r="B1466" s="326" t="s">
        <v>71</v>
      </c>
      <c r="C1466" s="71"/>
      <c r="D1466" s="62"/>
      <c r="E1466" s="70">
        <f>F1466</f>
        <v>0</v>
      </c>
      <c r="F1466" s="163"/>
      <c r="G1466" s="74"/>
      <c r="H1466" s="74"/>
      <c r="I1466" s="74"/>
      <c r="J1466" s="74"/>
      <c r="K1466" s="74"/>
      <c r="L1466" s="74"/>
      <c r="M1466" s="74"/>
      <c r="N1466" s="74"/>
    </row>
    <row r="1467" spans="1:14">
      <c r="B1467" s="326" t="s">
        <v>171</v>
      </c>
      <c r="D1467" s="62"/>
      <c r="E1467" s="148"/>
      <c r="F1467" s="10">
        <f>F1449</f>
        <v>0</v>
      </c>
      <c r="G1467" s="149">
        <f>F1467</f>
        <v>0</v>
      </c>
      <c r="H1467" s="74"/>
      <c r="I1467" s="74"/>
      <c r="J1467" s="74"/>
      <c r="K1467" s="74"/>
      <c r="L1467" s="74"/>
      <c r="M1467" s="74"/>
      <c r="N1467" s="74"/>
    </row>
    <row r="1468" spans="1:14">
      <c r="B1468" s="326" t="s">
        <v>172</v>
      </c>
      <c r="D1468" s="62"/>
      <c r="E1468" s="148"/>
      <c r="F1468" s="70">
        <f>G1468</f>
        <v>0</v>
      </c>
      <c r="G1468" s="10"/>
      <c r="H1468" s="74"/>
      <c r="I1468" s="74"/>
      <c r="J1468" s="74"/>
      <c r="K1468" s="74"/>
      <c r="L1468" s="74"/>
      <c r="M1468" s="74"/>
      <c r="N1468" s="74"/>
    </row>
    <row r="1469" spans="1:14">
      <c r="B1469" s="326" t="s">
        <v>173</v>
      </c>
      <c r="D1469" s="62"/>
      <c r="E1469" s="148"/>
      <c r="F1469" s="148"/>
      <c r="G1469" s="10">
        <f>G1449</f>
        <v>0</v>
      </c>
      <c r="H1469" s="149">
        <f>G1469</f>
        <v>0</v>
      </c>
      <c r="I1469" s="148">
        <f>H1469</f>
        <v>0</v>
      </c>
      <c r="J1469" s="148"/>
      <c r="K1469" s="148"/>
      <c r="L1469" s="148"/>
      <c r="M1469" s="148"/>
      <c r="N1469" s="148"/>
    </row>
    <row r="1470" spans="1:14">
      <c r="B1470" s="326" t="s">
        <v>174</v>
      </c>
      <c r="D1470" s="62"/>
      <c r="E1470" s="148"/>
      <c r="F1470" s="148"/>
      <c r="G1470" s="150"/>
      <c r="H1470" s="151"/>
      <c r="I1470" s="148"/>
      <c r="J1470" s="148"/>
      <c r="K1470" s="148"/>
      <c r="L1470" s="148"/>
      <c r="M1470" s="148"/>
      <c r="N1470" s="148"/>
    </row>
    <row r="1471" spans="1:14">
      <c r="B1471" s="326" t="s">
        <v>175</v>
      </c>
      <c r="D1471" s="62"/>
      <c r="E1471" s="148"/>
      <c r="F1471" s="148"/>
      <c r="G1471" s="148"/>
      <c r="H1471" s="151">
        <v>0</v>
      </c>
      <c r="I1471" s="149">
        <f>H1471</f>
        <v>0</v>
      </c>
      <c r="J1471" s="149"/>
      <c r="K1471" s="149"/>
      <c r="L1471" s="149"/>
      <c r="M1471" s="149"/>
      <c r="N1471" s="149"/>
    </row>
    <row r="1472" spans="1:14">
      <c r="B1472" s="326" t="s">
        <v>176</v>
      </c>
      <c r="D1472" s="62"/>
      <c r="E1472" s="148"/>
      <c r="F1472" s="148"/>
      <c r="G1472" s="148"/>
      <c r="H1472" s="70"/>
      <c r="I1472" s="151"/>
      <c r="J1472" s="151"/>
      <c r="K1472" s="151"/>
      <c r="L1472" s="151"/>
      <c r="M1472" s="151"/>
      <c r="N1472" s="151"/>
    </row>
    <row r="1473" spans="1:14">
      <c r="B1473" s="326" t="s">
        <v>177</v>
      </c>
      <c r="D1473" s="62"/>
      <c r="E1473" s="148"/>
      <c r="F1473" s="148"/>
      <c r="G1473" s="148"/>
      <c r="H1473" s="148"/>
      <c r="I1473" s="151">
        <f>I1449</f>
        <v>8543</v>
      </c>
      <c r="J1473" s="151">
        <f>I1473</f>
        <v>8543</v>
      </c>
      <c r="K1473" s="151"/>
      <c r="L1473" s="151"/>
      <c r="M1473" s="151"/>
      <c r="N1473" s="151"/>
    </row>
    <row r="1474" spans="1:14">
      <c r="B1474" s="326" t="s">
        <v>168</v>
      </c>
      <c r="D1474" s="62"/>
      <c r="E1474" s="148"/>
      <c r="F1474" s="148"/>
      <c r="G1474" s="148"/>
      <c r="H1474" s="148"/>
      <c r="I1474" s="209"/>
      <c r="J1474" s="149"/>
      <c r="K1474" s="149"/>
      <c r="L1474" s="149"/>
      <c r="M1474" s="149"/>
      <c r="N1474" s="149"/>
    </row>
    <row r="1475" spans="1:14">
      <c r="B1475" s="326" t="s">
        <v>169</v>
      </c>
      <c r="D1475" s="63"/>
      <c r="E1475" s="133"/>
      <c r="F1475" s="133"/>
      <c r="G1475" s="133"/>
      <c r="H1475" s="133"/>
      <c r="I1475" s="133"/>
      <c r="J1475" s="133"/>
      <c r="K1475" s="133"/>
      <c r="L1475" s="133"/>
      <c r="M1475" s="133"/>
      <c r="N1475" s="133"/>
    </row>
    <row r="1476" spans="1:14">
      <c r="B1476" s="33" t="s">
        <v>17</v>
      </c>
      <c r="D1476" s="180">
        <f xml:space="preserve"> D1469 - D1468</f>
        <v>0</v>
      </c>
      <c r="E1476" s="180">
        <f xml:space="preserve"> E1468 + E1471 - E1470 - E1469</f>
        <v>0</v>
      </c>
      <c r="F1476" s="180">
        <f>F1470 - F1471</f>
        <v>0</v>
      </c>
      <c r="G1476" s="180">
        <f t="shared" ref="G1476" si="614">G1470 - G1471</f>
        <v>0</v>
      </c>
      <c r="H1476" s="28">
        <f>H1469-H1470-H1471</f>
        <v>0</v>
      </c>
      <c r="I1476" s="28">
        <f>I1471-I1472-I1473</f>
        <v>-8543</v>
      </c>
      <c r="J1476" s="28">
        <f>J1473-J1474-J1475</f>
        <v>8543</v>
      </c>
      <c r="K1476" s="28">
        <f>K1475</f>
        <v>0</v>
      </c>
      <c r="L1476" s="28">
        <f t="shared" ref="L1476:N1476" si="615">L1475</f>
        <v>0</v>
      </c>
      <c r="M1476" s="28">
        <f t="shared" si="615"/>
        <v>0</v>
      </c>
      <c r="N1476" s="28">
        <f t="shared" si="615"/>
        <v>0</v>
      </c>
    </row>
    <row r="1477" spans="1:14">
      <c r="B1477" s="6"/>
      <c r="D1477" s="7"/>
      <c r="E1477" s="7"/>
      <c r="F1477" s="7"/>
      <c r="G1477" s="7"/>
      <c r="H1477" s="7"/>
      <c r="I1477" s="7"/>
      <c r="J1477" s="7"/>
      <c r="K1477" s="7"/>
      <c r="L1477" s="7"/>
      <c r="M1477" s="7"/>
      <c r="N1477" s="7"/>
    </row>
    <row r="1478" spans="1:14">
      <c r="B1478" s="33" t="s">
        <v>12</v>
      </c>
      <c r="C1478" s="71"/>
      <c r="D1478" s="99"/>
      <c r="E1478" s="100"/>
      <c r="F1478" s="100"/>
      <c r="G1478" s="100"/>
      <c r="H1478" s="100"/>
      <c r="I1478" s="100"/>
      <c r="J1478" s="100"/>
      <c r="K1478" s="100"/>
      <c r="L1478" s="100"/>
      <c r="M1478" s="100"/>
      <c r="N1478" s="100"/>
    </row>
    <row r="1479" spans="1:14">
      <c r="B1479" s="6"/>
      <c r="D1479" s="7"/>
      <c r="E1479" s="7"/>
      <c r="F1479" s="7"/>
      <c r="G1479" s="7"/>
      <c r="H1479" s="7"/>
      <c r="I1479" s="7"/>
      <c r="J1479" s="7"/>
      <c r="K1479" s="7"/>
      <c r="L1479" s="7"/>
      <c r="M1479" s="7"/>
      <c r="N1479" s="7"/>
    </row>
    <row r="1480" spans="1:14" ht="18.5">
      <c r="A1480" s="9" t="s">
        <v>26</v>
      </c>
      <c r="C1480" s="71"/>
      <c r="D1480" s="43">
        <f xml:space="preserve"> D1449 + D1454 - D1460 + D1476 + D1478</f>
        <v>0</v>
      </c>
      <c r="E1480" s="44">
        <f xml:space="preserve"> E1449 + E1454 - E1460 + E1476 + E1478</f>
        <v>0</v>
      </c>
      <c r="F1480" s="44">
        <f xml:space="preserve"> F1449 + F1454 - F1460 + F1476 + F1478</f>
        <v>0</v>
      </c>
      <c r="G1480" s="44">
        <f t="shared" ref="G1480:N1480" si="616" xml:space="preserve"> G1449 + G1454 - G1460 + G1476 + G1478</f>
        <v>0</v>
      </c>
      <c r="H1480" s="44">
        <f t="shared" si="616"/>
        <v>0</v>
      </c>
      <c r="I1480" s="44">
        <f t="shared" si="616"/>
        <v>0</v>
      </c>
      <c r="J1480" s="44">
        <f t="shared" si="616"/>
        <v>8543</v>
      </c>
      <c r="K1480" s="44">
        <f t="shared" si="616"/>
        <v>0</v>
      </c>
      <c r="L1480" s="44">
        <f t="shared" si="616"/>
        <v>0</v>
      </c>
      <c r="M1480" s="44">
        <f t="shared" si="616"/>
        <v>0</v>
      </c>
      <c r="N1480" s="44">
        <f t="shared" si="616"/>
        <v>0</v>
      </c>
    </row>
    <row r="1481" spans="1:14">
      <c r="B1481" s="6"/>
      <c r="D1481" s="7"/>
      <c r="E1481" s="7"/>
      <c r="F1481" s="7"/>
      <c r="G1481" s="28"/>
      <c r="H1481" s="28"/>
      <c r="I1481" s="28"/>
      <c r="J1481" s="28"/>
      <c r="K1481" s="28"/>
      <c r="L1481" s="28"/>
      <c r="M1481" s="28"/>
      <c r="N1481" s="28"/>
    </row>
    <row r="1482" spans="1:14" ht="15" thickBot="1"/>
    <row r="1483" spans="1:14" ht="15" thickBot="1">
      <c r="A1483" s="8"/>
      <c r="B1483" s="8"/>
      <c r="C1483" s="8"/>
      <c r="D1483" s="8"/>
      <c r="E1483" s="8"/>
      <c r="F1483" s="8"/>
      <c r="G1483" s="8"/>
      <c r="H1483" s="8"/>
      <c r="I1483" s="8"/>
      <c r="J1483" s="8"/>
      <c r="K1483" s="8"/>
      <c r="L1483" s="8"/>
      <c r="M1483" s="8"/>
      <c r="N1483" s="8"/>
    </row>
    <row r="1484" spans="1:14" ht="21.5" thickBot="1">
      <c r="A1484" s="13" t="s">
        <v>4</v>
      </c>
      <c r="B1484" s="13"/>
      <c r="C1484" s="313" t="s">
        <v>259</v>
      </c>
      <c r="D1484" s="310"/>
      <c r="E1484" s="23"/>
      <c r="F1484" s="23"/>
    </row>
    <row r="1486" spans="1:14" ht="18.5">
      <c r="A1486" s="9" t="s">
        <v>21</v>
      </c>
      <c r="B1486" s="9"/>
      <c r="D1486" s="2">
        <v>2011</v>
      </c>
      <c r="E1486" s="2">
        <f>D1486+1</f>
        <v>2012</v>
      </c>
      <c r="F1486" s="2">
        <f t="shared" ref="F1486" si="617">E1486+1</f>
        <v>2013</v>
      </c>
      <c r="G1486" s="2">
        <f t="shared" ref="G1486" si="618">F1486+1</f>
        <v>2014</v>
      </c>
      <c r="H1486" s="2">
        <f t="shared" ref="H1486" si="619">G1486+1</f>
        <v>2015</v>
      </c>
      <c r="I1486" s="2">
        <f t="shared" ref="I1486" si="620">H1486+1</f>
        <v>2016</v>
      </c>
      <c r="J1486" s="2">
        <f t="shared" ref="J1486" si="621">I1486+1</f>
        <v>2017</v>
      </c>
      <c r="K1486" s="2">
        <f t="shared" ref="K1486" si="622">J1486+1</f>
        <v>2018</v>
      </c>
      <c r="L1486" s="2">
        <f t="shared" ref="L1486" si="623">K1486+1</f>
        <v>2019</v>
      </c>
      <c r="M1486" s="2">
        <f t="shared" ref="M1486" si="624">L1486+1</f>
        <v>2020</v>
      </c>
      <c r="N1486" s="2">
        <f t="shared" ref="N1486" si="625">M1486+1</f>
        <v>2021</v>
      </c>
    </row>
    <row r="1487" spans="1:14">
      <c r="B1487" s="79" t="str">
        <f>"Total MWh Produced / Purchased from " &amp; C1484</f>
        <v>Total MWh Produced / Purchased from Latigo</v>
      </c>
      <c r="C1487" s="71"/>
      <c r="D1487" s="3"/>
      <c r="E1487" s="4"/>
      <c r="F1487" s="4"/>
      <c r="G1487" s="4"/>
      <c r="H1487" s="4"/>
      <c r="I1487" s="4"/>
      <c r="J1487" s="4"/>
      <c r="K1487" s="4"/>
      <c r="L1487" s="4"/>
      <c r="M1487" s="230"/>
      <c r="N1487" s="230">
        <v>140682</v>
      </c>
    </row>
    <row r="1488" spans="1:14">
      <c r="B1488" s="79" t="s">
        <v>25</v>
      </c>
      <c r="C1488" s="71"/>
      <c r="D1488" s="54"/>
      <c r="E1488" s="55"/>
      <c r="F1488" s="55"/>
      <c r="G1488" s="55"/>
      <c r="H1488" s="55"/>
      <c r="I1488" s="55"/>
      <c r="J1488" s="55"/>
      <c r="K1488" s="55"/>
      <c r="L1488" s="55"/>
      <c r="M1488" s="234"/>
      <c r="N1488" s="234">
        <v>1</v>
      </c>
    </row>
    <row r="1489" spans="1:14">
      <c r="B1489" s="79" t="s">
        <v>20</v>
      </c>
      <c r="C1489" s="71"/>
      <c r="D1489" s="48"/>
      <c r="E1489" s="49"/>
      <c r="F1489" s="49"/>
      <c r="G1489" s="49"/>
      <c r="H1489" s="49"/>
      <c r="I1489" s="49"/>
      <c r="J1489" s="49"/>
      <c r="K1489" s="49"/>
      <c r="L1489" s="49"/>
      <c r="M1489" s="243"/>
      <c r="N1489" s="243">
        <f>N1398</f>
        <v>8.0780946790754593E-2</v>
      </c>
    </row>
    <row r="1490" spans="1:14">
      <c r="B1490" s="76" t="s">
        <v>22</v>
      </c>
      <c r="C1490" s="77"/>
      <c r="D1490" s="37">
        <v>0</v>
      </c>
      <c r="E1490" s="37">
        <v>0</v>
      </c>
      <c r="F1490" s="37">
        <v>0</v>
      </c>
      <c r="G1490" s="37">
        <v>0</v>
      </c>
      <c r="H1490" s="37">
        <v>0</v>
      </c>
      <c r="I1490" s="37">
        <v>0</v>
      </c>
      <c r="J1490" s="37">
        <v>0</v>
      </c>
      <c r="K1490" s="37">
        <v>0</v>
      </c>
      <c r="L1490" s="37">
        <f>L1487*L1489</f>
        <v>0</v>
      </c>
      <c r="M1490" s="37">
        <f>M1487*M1489</f>
        <v>0</v>
      </c>
      <c r="N1490" s="37">
        <f>N1487*N1489</f>
        <v>11364.425156416937</v>
      </c>
    </row>
    <row r="1491" spans="1:14">
      <c r="B1491" s="23"/>
      <c r="C1491" s="30"/>
      <c r="D1491" s="36"/>
      <c r="E1491" s="36"/>
      <c r="F1491" s="36"/>
      <c r="G1491" s="36"/>
      <c r="H1491" s="36"/>
      <c r="I1491" s="36"/>
      <c r="J1491" s="36"/>
      <c r="K1491" s="36"/>
      <c r="L1491" s="36"/>
      <c r="M1491" s="36"/>
      <c r="N1491" s="36"/>
    </row>
    <row r="1492" spans="1:14" ht="18.5">
      <c r="A1492" s="42" t="s">
        <v>119</v>
      </c>
      <c r="C1492" s="30"/>
      <c r="D1492" s="2">
        <v>2011</v>
      </c>
      <c r="E1492" s="2">
        <f>D1492+1</f>
        <v>2012</v>
      </c>
      <c r="F1492" s="2">
        <f t="shared" ref="F1492" si="626">E1492+1</f>
        <v>2013</v>
      </c>
      <c r="G1492" s="2">
        <f t="shared" ref="G1492" si="627">F1492+1</f>
        <v>2014</v>
      </c>
      <c r="H1492" s="2">
        <f t="shared" ref="H1492" si="628">G1492+1</f>
        <v>2015</v>
      </c>
      <c r="I1492" s="2">
        <f t="shared" ref="I1492" si="629">H1492+1</f>
        <v>2016</v>
      </c>
      <c r="J1492" s="2">
        <f t="shared" ref="J1492" si="630">I1492+1</f>
        <v>2017</v>
      </c>
      <c r="K1492" s="2">
        <f t="shared" ref="K1492" si="631">J1492+1</f>
        <v>2018</v>
      </c>
      <c r="L1492" s="2">
        <f t="shared" ref="L1492" si="632">K1492+1</f>
        <v>2019</v>
      </c>
      <c r="M1492" s="2">
        <f t="shared" ref="M1492" si="633">L1492+1</f>
        <v>2020</v>
      </c>
      <c r="N1492" s="2">
        <f t="shared" ref="N1492" si="634">M1492+1</f>
        <v>2021</v>
      </c>
    </row>
    <row r="1493" spans="1:14">
      <c r="B1493" s="79" t="s">
        <v>10</v>
      </c>
      <c r="C1493" s="71"/>
      <c r="D1493" s="51">
        <f>IF($E32 = "Eligible", D1490 * 'Facility Detail'!$B$3079, 0 )</f>
        <v>0</v>
      </c>
      <c r="E1493" s="51">
        <f>IF($E32 = "Eligible", E1490 * 'Facility Detail'!$B$3079, 0 )</f>
        <v>0</v>
      </c>
      <c r="F1493" s="51">
        <f>IF($E32 = "Eligible", F1490 * 'Facility Detail'!$B$3079, 0 )</f>
        <v>0</v>
      </c>
      <c r="G1493" s="51">
        <f>IF($E32 = "Eligible", G1490 * 'Facility Detail'!$B$3079, 0 )</f>
        <v>0</v>
      </c>
      <c r="H1493" s="51">
        <f>IF($E32 = "Eligible", H1490 * 'Facility Detail'!$B$3079, 0 )</f>
        <v>0</v>
      </c>
      <c r="I1493" s="51">
        <f>IF($E32 = "Eligible", I1490 * 'Facility Detail'!$B$3079, 0 )</f>
        <v>0</v>
      </c>
      <c r="J1493" s="51">
        <f>IF($E32 = "Eligible", J1490 * 'Facility Detail'!$B$3079, 0 )</f>
        <v>0</v>
      </c>
      <c r="K1493" s="51">
        <f>IF($E32 = "Eligible", K1490 * 'Facility Detail'!$B$3079, 0 )</f>
        <v>0</v>
      </c>
      <c r="L1493" s="51">
        <f>IF($E32 = "Eligible", L1490 * 'Facility Detail'!$B$3079, 0 )</f>
        <v>0</v>
      </c>
      <c r="M1493" s="51">
        <f>IF($E32 = "Eligible", M1490 * 'Facility Detail'!$B$3079, 0 )</f>
        <v>0</v>
      </c>
      <c r="N1493" s="51">
        <f>IF($E32 = "Eligible", N1490 * 'Facility Detail'!$B$3079, 0 )</f>
        <v>0</v>
      </c>
    </row>
    <row r="1494" spans="1:14">
      <c r="B1494" s="79" t="s">
        <v>6</v>
      </c>
      <c r="C1494" s="71"/>
      <c r="D1494" s="52">
        <f t="shared" ref="D1494:N1494" si="635">IF($F32= "Eligible", D1490, 0 )</f>
        <v>0</v>
      </c>
      <c r="E1494" s="52">
        <f t="shared" si="635"/>
        <v>0</v>
      </c>
      <c r="F1494" s="52">
        <f t="shared" si="635"/>
        <v>0</v>
      </c>
      <c r="G1494" s="52">
        <f t="shared" si="635"/>
        <v>0</v>
      </c>
      <c r="H1494" s="52">
        <f t="shared" si="635"/>
        <v>0</v>
      </c>
      <c r="I1494" s="52">
        <f t="shared" si="635"/>
        <v>0</v>
      </c>
      <c r="J1494" s="52">
        <f t="shared" si="635"/>
        <v>0</v>
      </c>
      <c r="K1494" s="52">
        <f t="shared" si="635"/>
        <v>0</v>
      </c>
      <c r="L1494" s="52">
        <f t="shared" si="635"/>
        <v>0</v>
      </c>
      <c r="M1494" s="52">
        <f t="shared" si="635"/>
        <v>0</v>
      </c>
      <c r="N1494" s="52">
        <f t="shared" si="635"/>
        <v>0</v>
      </c>
    </row>
    <row r="1495" spans="1:14">
      <c r="B1495" s="78" t="s">
        <v>121</v>
      </c>
      <c r="C1495" s="77"/>
      <c r="D1495" s="39">
        <f>SUM(D1493:D1494)</f>
        <v>0</v>
      </c>
      <c r="E1495" s="39">
        <f t="shared" ref="E1495:N1495" si="636">SUM(E1493:E1494)</f>
        <v>0</v>
      </c>
      <c r="F1495" s="39">
        <f t="shared" si="636"/>
        <v>0</v>
      </c>
      <c r="G1495" s="39">
        <f t="shared" si="636"/>
        <v>0</v>
      </c>
      <c r="H1495" s="39">
        <f t="shared" si="636"/>
        <v>0</v>
      </c>
      <c r="I1495" s="39">
        <f t="shared" si="636"/>
        <v>0</v>
      </c>
      <c r="J1495" s="39">
        <f t="shared" si="636"/>
        <v>0</v>
      </c>
      <c r="K1495" s="39">
        <f t="shared" si="636"/>
        <v>0</v>
      </c>
      <c r="L1495" s="39">
        <f t="shared" si="636"/>
        <v>0</v>
      </c>
      <c r="M1495" s="39">
        <f t="shared" si="636"/>
        <v>0</v>
      </c>
      <c r="N1495" s="39">
        <f t="shared" si="636"/>
        <v>0</v>
      </c>
    </row>
    <row r="1496" spans="1:14">
      <c r="B1496" s="30"/>
      <c r="C1496" s="30"/>
      <c r="D1496" s="38"/>
      <c r="E1496" s="31"/>
      <c r="F1496" s="31"/>
      <c r="G1496" s="31"/>
      <c r="H1496" s="31"/>
      <c r="I1496" s="31"/>
      <c r="J1496" s="31"/>
      <c r="K1496" s="31"/>
      <c r="L1496" s="31"/>
      <c r="M1496" s="31"/>
      <c r="N1496" s="31"/>
    </row>
    <row r="1497" spans="1:14" ht="18.5">
      <c r="A1497" s="41" t="s">
        <v>30</v>
      </c>
      <c r="C1497" s="30"/>
      <c r="D1497" s="2">
        <v>2011</v>
      </c>
      <c r="E1497" s="2">
        <f>D1497+1</f>
        <v>2012</v>
      </c>
      <c r="F1497" s="2">
        <f t="shared" ref="F1497" si="637">E1497+1</f>
        <v>2013</v>
      </c>
      <c r="G1497" s="2">
        <f t="shared" ref="G1497" si="638">F1497+1</f>
        <v>2014</v>
      </c>
      <c r="H1497" s="2">
        <f t="shared" ref="H1497" si="639">G1497+1</f>
        <v>2015</v>
      </c>
      <c r="I1497" s="2">
        <f t="shared" ref="I1497" si="640">H1497+1</f>
        <v>2016</v>
      </c>
      <c r="J1497" s="2">
        <f t="shared" ref="J1497" si="641">I1497+1</f>
        <v>2017</v>
      </c>
      <c r="K1497" s="2">
        <f t="shared" ref="K1497" si="642">J1497+1</f>
        <v>2018</v>
      </c>
      <c r="L1497" s="2">
        <f t="shared" ref="L1497" si="643">K1497+1</f>
        <v>2019</v>
      </c>
      <c r="M1497" s="2">
        <f t="shared" ref="M1497" si="644">L1497+1</f>
        <v>2020</v>
      </c>
      <c r="N1497" s="2">
        <f t="shared" ref="N1497" si="645">M1497+1</f>
        <v>2021</v>
      </c>
    </row>
    <row r="1498" spans="1:14">
      <c r="B1498" s="79" t="s">
        <v>47</v>
      </c>
      <c r="C1498" s="71"/>
      <c r="D1498" s="89"/>
      <c r="E1498" s="90"/>
      <c r="F1498" s="90"/>
      <c r="G1498" s="90"/>
      <c r="H1498" s="90"/>
      <c r="I1498" s="90"/>
      <c r="J1498" s="90"/>
      <c r="K1498" s="90"/>
      <c r="L1498" s="90"/>
      <c r="M1498" s="90"/>
      <c r="N1498" s="90"/>
    </row>
    <row r="1499" spans="1:14">
      <c r="B1499" s="80" t="s">
        <v>23</v>
      </c>
      <c r="C1499" s="175"/>
      <c r="D1499" s="92"/>
      <c r="E1499" s="93"/>
      <c r="F1499" s="93"/>
      <c r="G1499" s="93"/>
      <c r="H1499" s="93"/>
      <c r="I1499" s="93"/>
      <c r="J1499" s="93"/>
      <c r="K1499" s="93"/>
      <c r="L1499" s="93"/>
      <c r="M1499" s="93"/>
      <c r="N1499" s="93"/>
    </row>
    <row r="1500" spans="1:14">
      <c r="B1500" s="95" t="s">
        <v>89</v>
      </c>
      <c r="C1500" s="173"/>
      <c r="D1500" s="57"/>
      <c r="E1500" s="58"/>
      <c r="F1500" s="58"/>
      <c r="G1500" s="58"/>
      <c r="H1500" s="58"/>
      <c r="I1500" s="58"/>
      <c r="J1500" s="58"/>
      <c r="K1500" s="58"/>
      <c r="L1500" s="58"/>
      <c r="M1500" s="58"/>
      <c r="N1500" s="58"/>
    </row>
    <row r="1501" spans="1:14">
      <c r="B1501" s="33" t="s">
        <v>90</v>
      </c>
      <c r="D1501" s="7">
        <v>0</v>
      </c>
      <c r="E1501" s="7">
        <v>0</v>
      </c>
      <c r="F1501" s="7">
        <v>0</v>
      </c>
      <c r="G1501" s="7">
        <v>0</v>
      </c>
      <c r="H1501" s="7">
        <v>0</v>
      </c>
      <c r="I1501" s="7">
        <v>0</v>
      </c>
      <c r="J1501" s="7">
        <v>0</v>
      </c>
      <c r="K1501" s="7">
        <v>0</v>
      </c>
      <c r="L1501" s="7">
        <v>0</v>
      </c>
      <c r="M1501" s="7">
        <v>0</v>
      </c>
      <c r="N1501" s="7">
        <v>0</v>
      </c>
    </row>
    <row r="1502" spans="1:14">
      <c r="B1502" s="6"/>
      <c r="D1502" s="7"/>
      <c r="E1502" s="7"/>
      <c r="F1502" s="7"/>
      <c r="G1502" s="28"/>
      <c r="H1502" s="28"/>
      <c r="I1502" s="28"/>
      <c r="J1502" s="28"/>
      <c r="K1502" s="28"/>
      <c r="L1502" s="28"/>
      <c r="M1502" s="28"/>
      <c r="N1502" s="28"/>
    </row>
    <row r="1503" spans="1:14" ht="18.5">
      <c r="A1503" s="9" t="s">
        <v>100</v>
      </c>
      <c r="D1503" s="2">
        <f>'Facility Detail'!$B$3082</f>
        <v>2011</v>
      </c>
      <c r="E1503" s="2">
        <f>D1503+1</f>
        <v>2012</v>
      </c>
      <c r="F1503" s="2">
        <f t="shared" ref="F1503" si="646">E1503+1</f>
        <v>2013</v>
      </c>
      <c r="G1503" s="2">
        <f t="shared" ref="G1503" si="647">F1503+1</f>
        <v>2014</v>
      </c>
      <c r="H1503" s="2">
        <f t="shared" ref="H1503" si="648">G1503+1</f>
        <v>2015</v>
      </c>
      <c r="I1503" s="2">
        <f t="shared" ref="I1503" si="649">H1503+1</f>
        <v>2016</v>
      </c>
      <c r="J1503" s="2">
        <f t="shared" ref="J1503" si="650">I1503+1</f>
        <v>2017</v>
      </c>
      <c r="K1503" s="2">
        <f t="shared" ref="K1503" si="651">J1503+1</f>
        <v>2018</v>
      </c>
      <c r="L1503" s="2">
        <f t="shared" ref="L1503" si="652">K1503+1</f>
        <v>2019</v>
      </c>
      <c r="M1503" s="2">
        <f t="shared" ref="M1503" si="653">L1503+1</f>
        <v>2020</v>
      </c>
      <c r="N1503" s="2">
        <f t="shared" ref="N1503" si="654">M1503+1</f>
        <v>2021</v>
      </c>
    </row>
    <row r="1504" spans="1:14">
      <c r="B1504" s="79" t="s">
        <v>68</v>
      </c>
      <c r="C1504" s="71"/>
      <c r="D1504" s="3"/>
      <c r="E1504" s="60">
        <f>D1504</f>
        <v>0</v>
      </c>
      <c r="F1504" s="131"/>
      <c r="G1504" s="131"/>
      <c r="H1504" s="131"/>
      <c r="I1504" s="131"/>
      <c r="J1504" s="131"/>
      <c r="K1504" s="131"/>
      <c r="L1504" s="131"/>
      <c r="M1504" s="131"/>
      <c r="N1504" s="61"/>
    </row>
    <row r="1505" spans="2:14">
      <c r="B1505" s="79" t="s">
        <v>69</v>
      </c>
      <c r="C1505" s="71"/>
      <c r="D1505" s="164">
        <f>E1505</f>
        <v>0</v>
      </c>
      <c r="E1505" s="10"/>
      <c r="F1505" s="74"/>
      <c r="G1505" s="74"/>
      <c r="H1505" s="74"/>
      <c r="I1505" s="74"/>
      <c r="J1505" s="74"/>
      <c r="K1505" s="74"/>
      <c r="L1505" s="74"/>
      <c r="M1505" s="74"/>
      <c r="N1505" s="165"/>
    </row>
    <row r="1506" spans="2:14">
      <c r="B1506" s="79" t="s">
        <v>70</v>
      </c>
      <c r="C1506" s="71"/>
      <c r="D1506" s="62"/>
      <c r="E1506" s="10">
        <f>E1490</f>
        <v>0</v>
      </c>
      <c r="F1506" s="70">
        <f>E1506</f>
        <v>0</v>
      </c>
      <c r="G1506" s="74"/>
      <c r="H1506" s="74"/>
      <c r="I1506" s="74"/>
      <c r="J1506" s="74"/>
      <c r="K1506" s="74"/>
      <c r="L1506" s="74"/>
      <c r="M1506" s="74"/>
      <c r="N1506" s="165"/>
    </row>
    <row r="1507" spans="2:14">
      <c r="B1507" s="79" t="s">
        <v>71</v>
      </c>
      <c r="C1507" s="71"/>
      <c r="D1507" s="62"/>
      <c r="E1507" s="70">
        <f>F1507</f>
        <v>0</v>
      </c>
      <c r="F1507" s="163"/>
      <c r="G1507" s="74"/>
      <c r="H1507" s="74"/>
      <c r="I1507" s="74"/>
      <c r="J1507" s="74"/>
      <c r="K1507" s="74"/>
      <c r="L1507" s="74"/>
      <c r="M1507" s="74"/>
      <c r="N1507" s="165"/>
    </row>
    <row r="1508" spans="2:14">
      <c r="B1508" s="79" t="s">
        <v>171</v>
      </c>
      <c r="C1508" s="30"/>
      <c r="D1508" s="62"/>
      <c r="E1508" s="148"/>
      <c r="F1508" s="10">
        <f>F1490</f>
        <v>0</v>
      </c>
      <c r="G1508" s="149">
        <f>F1508</f>
        <v>0</v>
      </c>
      <c r="H1508" s="74"/>
      <c r="I1508" s="74"/>
      <c r="J1508" s="74"/>
      <c r="K1508" s="74"/>
      <c r="L1508" s="74"/>
      <c r="M1508" s="74"/>
      <c r="N1508" s="165"/>
    </row>
    <row r="1509" spans="2:14">
      <c r="B1509" s="79" t="s">
        <v>172</v>
      </c>
      <c r="C1509" s="30"/>
      <c r="D1509" s="62"/>
      <c r="E1509" s="148"/>
      <c r="F1509" s="70">
        <f>G1509</f>
        <v>0</v>
      </c>
      <c r="G1509" s="10"/>
      <c r="H1509" s="74"/>
      <c r="I1509" s="74"/>
      <c r="J1509" s="74"/>
      <c r="K1509" s="74"/>
      <c r="L1509" s="74"/>
      <c r="M1509" s="74"/>
      <c r="N1509" s="165"/>
    </row>
    <row r="1510" spans="2:14">
      <c r="B1510" s="79" t="s">
        <v>173</v>
      </c>
      <c r="C1510" s="30"/>
      <c r="D1510" s="62"/>
      <c r="E1510" s="148"/>
      <c r="F1510" s="148"/>
      <c r="G1510" s="10">
        <f>G1490</f>
        <v>0</v>
      </c>
      <c r="H1510" s="149">
        <f>G1510</f>
        <v>0</v>
      </c>
      <c r="I1510" s="148"/>
      <c r="J1510" s="74"/>
      <c r="K1510" s="74"/>
      <c r="L1510" s="74"/>
      <c r="M1510" s="74"/>
      <c r="N1510" s="152"/>
    </row>
    <row r="1511" spans="2:14">
      <c r="B1511" s="79" t="s">
        <v>174</v>
      </c>
      <c r="C1511" s="30"/>
      <c r="D1511" s="62"/>
      <c r="E1511" s="148"/>
      <c r="F1511" s="148"/>
      <c r="G1511" s="70"/>
      <c r="H1511" s="10"/>
      <c r="I1511" s="148"/>
      <c r="J1511" s="74"/>
      <c r="K1511" s="74"/>
      <c r="L1511" s="74"/>
      <c r="M1511" s="74"/>
      <c r="N1511" s="152"/>
    </row>
    <row r="1512" spans="2:14">
      <c r="B1512" s="79" t="s">
        <v>175</v>
      </c>
      <c r="C1512" s="30"/>
      <c r="D1512" s="62"/>
      <c r="E1512" s="148"/>
      <c r="F1512" s="148"/>
      <c r="G1512" s="148"/>
      <c r="H1512" s="10">
        <v>0</v>
      </c>
      <c r="I1512" s="149">
        <f>H1512</f>
        <v>0</v>
      </c>
      <c r="J1512" s="74"/>
      <c r="K1512" s="74"/>
      <c r="L1512" s="74"/>
      <c r="M1512" s="74"/>
      <c r="N1512" s="152"/>
    </row>
    <row r="1513" spans="2:14">
      <c r="B1513" s="79" t="s">
        <v>176</v>
      </c>
      <c r="C1513" s="30"/>
      <c r="D1513" s="62"/>
      <c r="E1513" s="148"/>
      <c r="F1513" s="148"/>
      <c r="G1513" s="148"/>
      <c r="H1513" s="70"/>
      <c r="I1513" s="10"/>
      <c r="J1513" s="74"/>
      <c r="K1513" s="74"/>
      <c r="L1513" s="74"/>
      <c r="M1513" s="74"/>
      <c r="N1513" s="152"/>
    </row>
    <row r="1514" spans="2:14">
      <c r="B1514" s="79" t="s">
        <v>177</v>
      </c>
      <c r="C1514" s="30"/>
      <c r="D1514" s="62"/>
      <c r="E1514" s="148"/>
      <c r="F1514" s="148"/>
      <c r="G1514" s="148"/>
      <c r="H1514" s="148"/>
      <c r="I1514" s="207">
        <f>I1490</f>
        <v>0</v>
      </c>
      <c r="J1514" s="150">
        <f>I1514</f>
        <v>0</v>
      </c>
      <c r="K1514" s="74"/>
      <c r="L1514" s="74"/>
      <c r="M1514" s="74"/>
      <c r="N1514" s="152"/>
    </row>
    <row r="1515" spans="2:14">
      <c r="B1515" s="79" t="s">
        <v>168</v>
      </c>
      <c r="C1515" s="30"/>
      <c r="D1515" s="62"/>
      <c r="E1515" s="148"/>
      <c r="F1515" s="148"/>
      <c r="G1515" s="148"/>
      <c r="H1515" s="148"/>
      <c r="I1515" s="208"/>
      <c r="J1515" s="151"/>
      <c r="K1515" s="74"/>
      <c r="L1515" s="74"/>
      <c r="M1515" s="74"/>
      <c r="N1515" s="152"/>
    </row>
    <row r="1516" spans="2:14">
      <c r="B1516" s="79" t="s">
        <v>169</v>
      </c>
      <c r="C1516" s="30"/>
      <c r="D1516" s="62"/>
      <c r="E1516" s="148"/>
      <c r="F1516" s="148"/>
      <c r="G1516" s="148"/>
      <c r="H1516" s="148"/>
      <c r="I1516" s="148"/>
      <c r="J1516" s="151">
        <f>J1490</f>
        <v>0</v>
      </c>
      <c r="K1516" s="150">
        <f>J1516</f>
        <v>0</v>
      </c>
      <c r="L1516" s="74"/>
      <c r="M1516" s="74"/>
      <c r="N1516" s="152"/>
    </row>
    <row r="1517" spans="2:14">
      <c r="B1517" s="79" t="s">
        <v>186</v>
      </c>
      <c r="C1517" s="30"/>
      <c r="D1517" s="62"/>
      <c r="E1517" s="148"/>
      <c r="F1517" s="148"/>
      <c r="G1517" s="148"/>
      <c r="H1517" s="148"/>
      <c r="I1517" s="148"/>
      <c r="J1517" s="228"/>
      <c r="K1517" s="151"/>
      <c r="L1517" s="74"/>
      <c r="M1517" s="74"/>
      <c r="N1517" s="152"/>
    </row>
    <row r="1518" spans="2:14">
      <c r="B1518" s="79" t="s">
        <v>187</v>
      </c>
      <c r="C1518" s="30"/>
      <c r="D1518" s="62"/>
      <c r="E1518" s="148"/>
      <c r="F1518" s="148"/>
      <c r="G1518" s="148"/>
      <c r="H1518" s="148"/>
      <c r="I1518" s="148"/>
      <c r="J1518" s="148"/>
      <c r="K1518" s="151"/>
      <c r="L1518" s="150">
        <f>K1518</f>
        <v>0</v>
      </c>
      <c r="M1518" s="74"/>
      <c r="N1518" s="152"/>
    </row>
    <row r="1519" spans="2:14">
      <c r="B1519" s="79" t="s">
        <v>188</v>
      </c>
      <c r="C1519" s="30"/>
      <c r="D1519" s="62"/>
      <c r="E1519" s="148"/>
      <c r="F1519" s="148"/>
      <c r="G1519" s="148"/>
      <c r="H1519" s="148"/>
      <c r="I1519" s="148"/>
      <c r="J1519" s="148"/>
      <c r="K1519" s="145"/>
      <c r="L1519" s="151"/>
      <c r="M1519" s="74"/>
      <c r="N1519" s="152"/>
    </row>
    <row r="1520" spans="2:14">
      <c r="B1520" s="79" t="s">
        <v>189</v>
      </c>
      <c r="C1520" s="30"/>
      <c r="D1520" s="62"/>
      <c r="E1520" s="148"/>
      <c r="F1520" s="148"/>
      <c r="G1520" s="148"/>
      <c r="H1520" s="148"/>
      <c r="I1520" s="148"/>
      <c r="J1520" s="148"/>
      <c r="K1520" s="148"/>
      <c r="L1520" s="151"/>
      <c r="M1520" s="150">
        <f>L1520</f>
        <v>0</v>
      </c>
      <c r="N1520" s="152"/>
    </row>
    <row r="1521" spans="1:15">
      <c r="B1521" s="79" t="s">
        <v>190</v>
      </c>
      <c r="C1521" s="30"/>
      <c r="D1521" s="62"/>
      <c r="E1521" s="148"/>
      <c r="F1521" s="148"/>
      <c r="G1521" s="148"/>
      <c r="H1521" s="148"/>
      <c r="I1521" s="148"/>
      <c r="J1521" s="148"/>
      <c r="K1521" s="148"/>
      <c r="L1521" s="145">
        <f>M1490</f>
        <v>0</v>
      </c>
      <c r="M1521" s="151">
        <f>L1521</f>
        <v>0</v>
      </c>
      <c r="N1521" s="152"/>
    </row>
    <row r="1522" spans="1:15">
      <c r="B1522" s="79" t="s">
        <v>191</v>
      </c>
      <c r="C1522" s="30"/>
      <c r="D1522" s="62"/>
      <c r="E1522" s="148"/>
      <c r="F1522" s="148"/>
      <c r="G1522" s="148"/>
      <c r="H1522" s="148"/>
      <c r="I1522" s="148"/>
      <c r="J1522" s="148"/>
      <c r="K1522" s="148"/>
      <c r="L1522" s="148"/>
      <c r="M1522" s="151"/>
      <c r="N1522" s="150">
        <f>M1522</f>
        <v>0</v>
      </c>
    </row>
    <row r="1523" spans="1:15">
      <c r="B1523" s="79" t="s">
        <v>201</v>
      </c>
      <c r="C1523" s="30"/>
      <c r="D1523" s="62"/>
      <c r="E1523" s="148"/>
      <c r="F1523" s="148"/>
      <c r="G1523" s="148"/>
      <c r="H1523" s="148"/>
      <c r="I1523" s="148"/>
      <c r="J1523" s="148"/>
      <c r="K1523" s="148"/>
      <c r="L1523" s="148"/>
      <c r="M1523" s="145"/>
      <c r="N1523" s="151"/>
    </row>
    <row r="1524" spans="1:15">
      <c r="B1524" s="79" t="s">
        <v>202</v>
      </c>
      <c r="C1524" s="30"/>
      <c r="D1524" s="63"/>
      <c r="E1524" s="133"/>
      <c r="F1524" s="133"/>
      <c r="G1524" s="133"/>
      <c r="H1524" s="133"/>
      <c r="I1524" s="133"/>
      <c r="J1524" s="133"/>
      <c r="K1524" s="133"/>
      <c r="L1524" s="133"/>
      <c r="M1524" s="133"/>
      <c r="N1524" s="153"/>
    </row>
    <row r="1525" spans="1:15">
      <c r="B1525" s="33" t="s">
        <v>17</v>
      </c>
      <c r="D1525" s="218">
        <f xml:space="preserve"> D1510 - D1509</f>
        <v>0</v>
      </c>
      <c r="E1525" s="218">
        <f xml:space="preserve"> E1509 + E1512 - E1511 - E1510</f>
        <v>0</v>
      </c>
      <c r="F1525" s="218">
        <f>F1511 - F1512</f>
        <v>0</v>
      </c>
      <c r="G1525" s="218">
        <f>G1511 - G1512</f>
        <v>0</v>
      </c>
      <c r="H1525" s="218">
        <f>H1510-H1511-H1512</f>
        <v>0</v>
      </c>
      <c r="I1525" s="218">
        <f>I1512-I1513-I1514</f>
        <v>0</v>
      </c>
      <c r="J1525" s="218">
        <f>J1514-J1515-J1516</f>
        <v>0</v>
      </c>
      <c r="K1525" s="218">
        <f>K1516-K1517-K1518</f>
        <v>0</v>
      </c>
      <c r="L1525" s="218">
        <f>L1518+L1521-L1520-L1519</f>
        <v>0</v>
      </c>
      <c r="M1525" s="218">
        <f>M1520-M1521+M1523</f>
        <v>0</v>
      </c>
      <c r="N1525" s="218">
        <f>N1522-N1523-N1524</f>
        <v>0</v>
      </c>
    </row>
    <row r="1526" spans="1:15">
      <c r="B1526" s="6"/>
      <c r="D1526" s="218"/>
      <c r="E1526" s="218"/>
      <c r="F1526" s="218"/>
      <c r="G1526" s="218"/>
      <c r="H1526" s="218"/>
      <c r="I1526" s="218"/>
      <c r="J1526" s="218"/>
      <c r="K1526" s="218"/>
      <c r="L1526" s="218"/>
      <c r="M1526" s="218"/>
      <c r="N1526" s="218"/>
    </row>
    <row r="1527" spans="1:15">
      <c r="B1527" s="76" t="s">
        <v>12</v>
      </c>
      <c r="C1527" s="71"/>
      <c r="D1527" s="219"/>
      <c r="E1527" s="220"/>
      <c r="F1527" s="220"/>
      <c r="G1527" s="220"/>
      <c r="H1527" s="220"/>
      <c r="I1527" s="220"/>
      <c r="J1527" s="220"/>
      <c r="K1527" s="220"/>
      <c r="L1527" s="220"/>
      <c r="M1527" s="220"/>
      <c r="N1527" s="220"/>
    </row>
    <row r="1528" spans="1:15">
      <c r="B1528" s="6"/>
      <c r="D1528" s="218"/>
      <c r="E1528" s="218"/>
      <c r="F1528" s="218"/>
      <c r="G1528" s="218"/>
      <c r="H1528" s="218"/>
      <c r="I1528" s="218"/>
      <c r="J1528" s="218"/>
      <c r="K1528" s="218"/>
      <c r="L1528" s="218"/>
      <c r="M1528" s="218"/>
      <c r="N1528" s="218"/>
    </row>
    <row r="1529" spans="1:15" ht="18.5">
      <c r="A1529" s="41" t="s">
        <v>26</v>
      </c>
      <c r="C1529" s="71"/>
      <c r="D1529" s="221">
        <f t="shared" ref="D1529:N1529" si="655" xml:space="preserve"> D1490 + D1495 - D1501 + D1525 + D1527</f>
        <v>0</v>
      </c>
      <c r="E1529" s="222">
        <f t="shared" si="655"/>
        <v>0</v>
      </c>
      <c r="F1529" s="222">
        <f t="shared" si="655"/>
        <v>0</v>
      </c>
      <c r="G1529" s="222">
        <f t="shared" si="655"/>
        <v>0</v>
      </c>
      <c r="H1529" s="222">
        <f t="shared" si="655"/>
        <v>0</v>
      </c>
      <c r="I1529" s="222">
        <f t="shared" si="655"/>
        <v>0</v>
      </c>
      <c r="J1529" s="222">
        <f t="shared" si="655"/>
        <v>0</v>
      </c>
      <c r="K1529" s="222">
        <f t="shared" si="655"/>
        <v>0</v>
      </c>
      <c r="L1529" s="222">
        <f t="shared" si="655"/>
        <v>0</v>
      </c>
      <c r="M1529" s="222">
        <f t="shared" si="655"/>
        <v>0</v>
      </c>
      <c r="N1529" s="222">
        <f t="shared" si="655"/>
        <v>11364.425156416937</v>
      </c>
      <c r="O1529" s="276"/>
    </row>
    <row r="1530" spans="1:15" ht="15" thickBot="1"/>
    <row r="1531" spans="1:15">
      <c r="A1531" s="8"/>
      <c r="B1531" s="8"/>
      <c r="C1531" s="8"/>
      <c r="D1531" s="8"/>
      <c r="E1531" s="8"/>
      <c r="F1531" s="8"/>
      <c r="G1531" s="8"/>
      <c r="H1531" s="8"/>
      <c r="I1531" s="8"/>
      <c r="J1531" s="8"/>
      <c r="K1531" s="8"/>
      <c r="L1531" s="8"/>
      <c r="M1531" s="8"/>
      <c r="N1531" s="8"/>
      <c r="O1531" s="30"/>
    </row>
    <row r="1532" spans="1:15" ht="15" thickBot="1">
      <c r="B1532" s="30"/>
      <c r="C1532" s="30"/>
      <c r="D1532" s="30"/>
      <c r="E1532" s="30"/>
      <c r="F1532" s="30"/>
      <c r="G1532" s="30"/>
      <c r="H1532" s="30"/>
      <c r="I1532" s="30"/>
      <c r="J1532" s="30"/>
      <c r="K1532" s="30"/>
      <c r="L1532" s="30"/>
      <c r="M1532" s="30"/>
      <c r="N1532" s="30"/>
      <c r="O1532" s="30"/>
    </row>
    <row r="1533" spans="1:15" ht="21.5" thickBot="1">
      <c r="A1533" s="13" t="s">
        <v>4</v>
      </c>
      <c r="B1533" s="13"/>
      <c r="C1533" s="311" t="s">
        <v>130</v>
      </c>
      <c r="D1533" s="312"/>
      <c r="E1533" s="23"/>
      <c r="F1533" s="23"/>
      <c r="O1533" s="30"/>
    </row>
    <row r="1534" spans="1:15">
      <c r="O1534" s="30"/>
    </row>
    <row r="1535" spans="1:15" ht="18.5">
      <c r="A1535" s="9" t="s">
        <v>21</v>
      </c>
      <c r="B1535" s="9"/>
      <c r="D1535" s="2">
        <f>'Facility Detail'!$B$3082</f>
        <v>2011</v>
      </c>
      <c r="E1535" s="2">
        <f t="shared" ref="E1535:K1535" si="656">D1535+1</f>
        <v>2012</v>
      </c>
      <c r="F1535" s="2">
        <f t="shared" si="656"/>
        <v>2013</v>
      </c>
      <c r="G1535" s="2">
        <f t="shared" si="656"/>
        <v>2014</v>
      </c>
      <c r="H1535" s="2">
        <f t="shared" si="656"/>
        <v>2015</v>
      </c>
      <c r="I1535" s="2">
        <f t="shared" si="656"/>
        <v>2016</v>
      </c>
      <c r="J1535" s="2">
        <f t="shared" si="656"/>
        <v>2017</v>
      </c>
      <c r="K1535" s="2">
        <f t="shared" si="656"/>
        <v>2018</v>
      </c>
      <c r="L1535" s="2">
        <f t="shared" ref="L1535" si="657">K1535+1</f>
        <v>2019</v>
      </c>
      <c r="M1535" s="2">
        <f t="shared" ref="M1535" si="658">L1535+1</f>
        <v>2020</v>
      </c>
      <c r="N1535" s="2">
        <f t="shared" ref="N1535" si="659">M1535+1</f>
        <v>2021</v>
      </c>
      <c r="O1535" s="30"/>
    </row>
    <row r="1536" spans="1:15">
      <c r="B1536" s="79" t="str">
        <f>"Total MWh Produced / Purchased from " &amp; C1533</f>
        <v>Total MWh Produced / Purchased from Leaning Juniper</v>
      </c>
      <c r="C1536" s="71"/>
      <c r="D1536" s="3">
        <v>234789</v>
      </c>
      <c r="E1536" s="4">
        <v>190905</v>
      </c>
      <c r="F1536" s="4">
        <v>206164</v>
      </c>
      <c r="G1536" s="4">
        <v>215245</v>
      </c>
      <c r="H1536" s="174">
        <v>188567</v>
      </c>
      <c r="I1536" s="90">
        <v>202605</v>
      </c>
      <c r="J1536" s="90">
        <v>155685</v>
      </c>
      <c r="K1536" s="225">
        <v>201665</v>
      </c>
      <c r="L1536" s="140">
        <v>167178</v>
      </c>
      <c r="M1536" s="280">
        <v>316351</v>
      </c>
      <c r="N1536" s="280">
        <v>292330</v>
      </c>
      <c r="O1536" s="30"/>
    </row>
    <row r="1537" spans="1:15">
      <c r="B1537" s="79" t="s">
        <v>25</v>
      </c>
      <c r="C1537" s="71"/>
      <c r="D1537" s="54">
        <v>1</v>
      </c>
      <c r="E1537" s="55">
        <v>1</v>
      </c>
      <c r="F1537" s="55">
        <v>1</v>
      </c>
      <c r="G1537" s="55">
        <v>1</v>
      </c>
      <c r="H1537" s="55">
        <v>1</v>
      </c>
      <c r="I1537" s="211">
        <v>1</v>
      </c>
      <c r="J1537" s="211">
        <v>1</v>
      </c>
      <c r="K1537" s="211">
        <v>1</v>
      </c>
      <c r="L1537" s="211">
        <v>1</v>
      </c>
      <c r="M1537" s="283">
        <v>1</v>
      </c>
      <c r="N1537" s="283">
        <v>1</v>
      </c>
      <c r="O1537" s="30"/>
    </row>
    <row r="1538" spans="1:15">
      <c r="B1538" s="79" t="s">
        <v>20</v>
      </c>
      <c r="C1538" s="71"/>
      <c r="D1538" s="48">
        <v>7.8921000000000005E-2</v>
      </c>
      <c r="E1538" s="48">
        <v>7.9619999999999996E-2</v>
      </c>
      <c r="F1538" s="48">
        <v>7.8747999999999999E-2</v>
      </c>
      <c r="G1538" s="48">
        <v>8.0235000000000001E-2</v>
      </c>
      <c r="H1538" s="48">
        <v>8.0535999999999996E-2</v>
      </c>
      <c r="I1538" s="48">
        <v>8.1698151927344531E-2</v>
      </c>
      <c r="J1538" s="48">
        <v>8.0833713568703974E-2</v>
      </c>
      <c r="K1538" s="48">
        <v>7.9451999999999995E-2</v>
      </c>
      <c r="L1538" s="48">
        <v>7.6724662968274293E-2</v>
      </c>
      <c r="M1538" s="282">
        <f>M1398</f>
        <v>8.1268700519883177E-2</v>
      </c>
      <c r="N1538" s="282">
        <f>N1398</f>
        <v>8.0780946790754593E-2</v>
      </c>
      <c r="O1538" s="30"/>
    </row>
    <row r="1539" spans="1:15">
      <c r="B1539" s="76" t="s">
        <v>22</v>
      </c>
      <c r="C1539" s="77"/>
      <c r="D1539" s="37">
        <v>18530</v>
      </c>
      <c r="E1539" s="37">
        <v>15200</v>
      </c>
      <c r="F1539" s="37">
        <v>16235</v>
      </c>
      <c r="G1539" s="37">
        <v>17270</v>
      </c>
      <c r="H1539" s="37">
        <v>15187</v>
      </c>
      <c r="I1539" s="37">
        <v>16552</v>
      </c>
      <c r="J1539" s="37">
        <v>12585</v>
      </c>
      <c r="K1539" s="229">
        <v>16022</v>
      </c>
      <c r="L1539" s="37">
        <f>ROUND(L1536*L1538,0)</f>
        <v>12827</v>
      </c>
      <c r="M1539" s="37">
        <f xml:space="preserve"> M1536 * M1538</f>
        <v>25709.434678165562</v>
      </c>
      <c r="N1539" s="37">
        <f xml:space="preserve"> N1536 * N1538</f>
        <v>23614.69417534129</v>
      </c>
      <c r="O1539" s="30"/>
    </row>
    <row r="1540" spans="1:15">
      <c r="B1540" s="23"/>
      <c r="C1540" s="30"/>
      <c r="D1540" s="36"/>
      <c r="E1540" s="36"/>
      <c r="F1540" s="36"/>
      <c r="G1540" s="24"/>
      <c r="H1540" s="24"/>
      <c r="I1540" s="24"/>
      <c r="J1540" s="24"/>
      <c r="K1540" s="24"/>
      <c r="L1540" s="263"/>
      <c r="M1540" s="24"/>
      <c r="N1540" s="24"/>
      <c r="O1540" s="30"/>
    </row>
    <row r="1541" spans="1:15" ht="18.5">
      <c r="A1541" s="42" t="s">
        <v>119</v>
      </c>
      <c r="C1541" s="30"/>
      <c r="D1541" s="2">
        <f>'Facility Detail'!$B$3082</f>
        <v>2011</v>
      </c>
      <c r="E1541" s="2">
        <f>D1541+1</f>
        <v>2012</v>
      </c>
      <c r="F1541" s="2">
        <f>E1541+1</f>
        <v>2013</v>
      </c>
      <c r="G1541" s="2">
        <f>G1535</f>
        <v>2014</v>
      </c>
      <c r="H1541" s="2">
        <f>H1535</f>
        <v>2015</v>
      </c>
      <c r="I1541" s="2">
        <f>I1535</f>
        <v>2016</v>
      </c>
      <c r="J1541" s="2">
        <f>J1535</f>
        <v>2017</v>
      </c>
      <c r="K1541" s="2">
        <f t="shared" ref="K1541:N1541" si="660">K1535</f>
        <v>2018</v>
      </c>
      <c r="L1541" s="2">
        <f t="shared" si="660"/>
        <v>2019</v>
      </c>
      <c r="M1541" s="2">
        <f t="shared" si="660"/>
        <v>2020</v>
      </c>
      <c r="N1541" s="2">
        <f t="shared" si="660"/>
        <v>2021</v>
      </c>
      <c r="O1541" s="30"/>
    </row>
    <row r="1542" spans="1:15">
      <c r="B1542" s="79" t="s">
        <v>10</v>
      </c>
      <c r="C1542" s="71"/>
      <c r="D1542" s="51">
        <f>IF($E33 = "Eligible", D1539 * 'Facility Detail'!$B$3079, 0 )</f>
        <v>0</v>
      </c>
      <c r="E1542" s="51">
        <f>IF($E33 = "Eligible", E1539 * 'Facility Detail'!$B$3079, 0 )</f>
        <v>0</v>
      </c>
      <c r="F1542" s="51">
        <f>IF($E33 = "Eligible", F1539 * 'Facility Detail'!$B$3079, 0 )</f>
        <v>0</v>
      </c>
      <c r="G1542" s="51">
        <f>IF($E33 = "Eligible", G1539 * 'Facility Detail'!$B$3079, 0 )</f>
        <v>0</v>
      </c>
      <c r="H1542" s="51">
        <f>IF($E33 = "Eligible", H1539 * 'Facility Detail'!$B$3079, 0 )</f>
        <v>0</v>
      </c>
      <c r="I1542" s="51">
        <f>IF($E33 = "Eligible", I1539 * 'Facility Detail'!$B$3079, 0 )</f>
        <v>0</v>
      </c>
      <c r="J1542" s="51">
        <f>IF($E33 = "Eligible", J1539 * 'Facility Detail'!$B$3079, 0 )</f>
        <v>0</v>
      </c>
      <c r="K1542" s="51">
        <f>IF($E33 = "Eligible", K1539 * 'Facility Detail'!$B$3079, 0 )</f>
        <v>0</v>
      </c>
      <c r="L1542" s="51">
        <f>IF($E33 = "Eligible", L1539 * 'Facility Detail'!$B$3079, 0 )</f>
        <v>0</v>
      </c>
      <c r="M1542" s="51">
        <f>IF($E33 = "Eligible", M1539 * 'Facility Detail'!$B$3079, 0 )</f>
        <v>0</v>
      </c>
      <c r="N1542" s="51">
        <f>IF($E33 = "Eligible", N1539 * 'Facility Detail'!$B$3079, 0 )</f>
        <v>0</v>
      </c>
      <c r="O1542" s="30"/>
    </row>
    <row r="1543" spans="1:15">
      <c r="B1543" s="79" t="s">
        <v>6</v>
      </c>
      <c r="C1543" s="71"/>
      <c r="D1543" s="52">
        <f t="shared" ref="D1543:N1543" si="661">IF($F33= "Eligible", D1539, 0 )</f>
        <v>0</v>
      </c>
      <c r="E1543" s="52">
        <f t="shared" si="661"/>
        <v>0</v>
      </c>
      <c r="F1543" s="52">
        <f t="shared" si="661"/>
        <v>0</v>
      </c>
      <c r="G1543" s="52">
        <f t="shared" si="661"/>
        <v>0</v>
      </c>
      <c r="H1543" s="52">
        <f t="shared" si="661"/>
        <v>0</v>
      </c>
      <c r="I1543" s="52">
        <f t="shared" si="661"/>
        <v>0</v>
      </c>
      <c r="J1543" s="52">
        <f t="shared" si="661"/>
        <v>0</v>
      </c>
      <c r="K1543" s="52">
        <f t="shared" si="661"/>
        <v>0</v>
      </c>
      <c r="L1543" s="52">
        <f t="shared" si="661"/>
        <v>0</v>
      </c>
      <c r="M1543" s="52">
        <f t="shared" si="661"/>
        <v>0</v>
      </c>
      <c r="N1543" s="52">
        <f t="shared" si="661"/>
        <v>0</v>
      </c>
      <c r="O1543" s="30"/>
    </row>
    <row r="1544" spans="1:15">
      <c r="B1544" s="78" t="s">
        <v>121</v>
      </c>
      <c r="C1544" s="77"/>
      <c r="D1544" s="39">
        <f>SUM(D1542:D1543)</f>
        <v>0</v>
      </c>
      <c r="E1544" s="39">
        <f t="shared" ref="E1544:N1544" si="662">SUM(E1542:E1543)</f>
        <v>0</v>
      </c>
      <c r="F1544" s="39">
        <f t="shared" si="662"/>
        <v>0</v>
      </c>
      <c r="G1544" s="39">
        <f t="shared" si="662"/>
        <v>0</v>
      </c>
      <c r="H1544" s="39">
        <f t="shared" si="662"/>
        <v>0</v>
      </c>
      <c r="I1544" s="39">
        <f t="shared" si="662"/>
        <v>0</v>
      </c>
      <c r="J1544" s="39">
        <f t="shared" si="662"/>
        <v>0</v>
      </c>
      <c r="K1544" s="39">
        <f t="shared" si="662"/>
        <v>0</v>
      </c>
      <c r="L1544" s="39">
        <f t="shared" si="662"/>
        <v>0</v>
      </c>
      <c r="M1544" s="39">
        <f t="shared" si="662"/>
        <v>0</v>
      </c>
      <c r="N1544" s="39">
        <f t="shared" si="662"/>
        <v>0</v>
      </c>
      <c r="O1544" s="30"/>
    </row>
    <row r="1545" spans="1:15">
      <c r="B1545" s="30"/>
      <c r="C1545" s="30"/>
      <c r="D1545" s="38"/>
      <c r="E1545" s="31"/>
      <c r="F1545" s="31"/>
      <c r="G1545" s="24"/>
      <c r="H1545" s="24"/>
      <c r="I1545" s="24"/>
      <c r="J1545" s="24"/>
      <c r="K1545" s="24"/>
      <c r="L1545" s="24"/>
      <c r="M1545" s="24"/>
      <c r="N1545" s="24"/>
      <c r="O1545" s="30"/>
    </row>
    <row r="1546" spans="1:15" ht="18.5">
      <c r="A1546" s="41" t="s">
        <v>30</v>
      </c>
      <c r="C1546" s="30"/>
      <c r="D1546" s="2">
        <f>'Facility Detail'!$B$3082</f>
        <v>2011</v>
      </c>
      <c r="E1546" s="2">
        <f>D1546+1</f>
        <v>2012</v>
      </c>
      <c r="F1546" s="2">
        <f>E1546+1</f>
        <v>2013</v>
      </c>
      <c r="G1546" s="2">
        <f>G1535</f>
        <v>2014</v>
      </c>
      <c r="H1546" s="2">
        <f>H1535</f>
        <v>2015</v>
      </c>
      <c r="I1546" s="2">
        <f>I1535</f>
        <v>2016</v>
      </c>
      <c r="J1546" s="2">
        <f>J1535</f>
        <v>2017</v>
      </c>
      <c r="K1546" s="2">
        <f t="shared" ref="K1546:N1546" si="663">K1535</f>
        <v>2018</v>
      </c>
      <c r="L1546" s="2">
        <f t="shared" si="663"/>
        <v>2019</v>
      </c>
      <c r="M1546" s="2">
        <f t="shared" si="663"/>
        <v>2020</v>
      </c>
      <c r="N1546" s="2">
        <f t="shared" si="663"/>
        <v>2021</v>
      </c>
      <c r="O1546" s="30"/>
    </row>
    <row r="1547" spans="1:15">
      <c r="B1547" s="79" t="s">
        <v>47</v>
      </c>
      <c r="C1547" s="71"/>
      <c r="D1547" s="89"/>
      <c r="E1547" s="90"/>
      <c r="F1547" s="90"/>
      <c r="G1547" s="90"/>
      <c r="H1547" s="90"/>
      <c r="I1547" s="90"/>
      <c r="J1547" s="90"/>
      <c r="K1547" s="90"/>
      <c r="L1547" s="90"/>
      <c r="M1547" s="140"/>
      <c r="N1547" s="140"/>
      <c r="O1547" s="30"/>
    </row>
    <row r="1548" spans="1:15">
      <c r="B1548" s="80" t="s">
        <v>23</v>
      </c>
      <c r="C1548" s="175"/>
      <c r="D1548" s="92"/>
      <c r="E1548" s="93"/>
      <c r="F1548" s="93"/>
      <c r="G1548" s="93"/>
      <c r="H1548" s="93"/>
      <c r="I1548" s="93"/>
      <c r="J1548" s="93"/>
      <c r="K1548" s="93"/>
      <c r="L1548" s="93"/>
      <c r="M1548" s="141"/>
      <c r="N1548" s="141"/>
      <c r="O1548" s="30"/>
    </row>
    <row r="1549" spans="1:15">
      <c r="B1549" s="95" t="s">
        <v>89</v>
      </c>
      <c r="C1549" s="173"/>
      <c r="D1549" s="57"/>
      <c r="E1549" s="58"/>
      <c r="F1549" s="58"/>
      <c r="G1549" s="58"/>
      <c r="H1549" s="58"/>
      <c r="I1549" s="58"/>
      <c r="J1549" s="58"/>
      <c r="K1549" s="58"/>
      <c r="L1549" s="58"/>
      <c r="M1549" s="142"/>
      <c r="N1549" s="142"/>
      <c r="O1549" s="30"/>
    </row>
    <row r="1550" spans="1:15">
      <c r="B1550" s="33" t="s">
        <v>90</v>
      </c>
      <c r="D1550" s="7">
        <f t="shared" ref="D1550:J1550" si="664">SUM(D1547:D1549)</f>
        <v>0</v>
      </c>
      <c r="E1550" s="7">
        <f t="shared" si="664"/>
        <v>0</v>
      </c>
      <c r="F1550" s="7">
        <f t="shared" si="664"/>
        <v>0</v>
      </c>
      <c r="G1550" s="7">
        <f t="shared" si="664"/>
        <v>0</v>
      </c>
      <c r="H1550" s="7">
        <f t="shared" si="664"/>
        <v>0</v>
      </c>
      <c r="I1550" s="7">
        <f t="shared" si="664"/>
        <v>0</v>
      </c>
      <c r="J1550" s="7">
        <f t="shared" si="664"/>
        <v>0</v>
      </c>
      <c r="K1550" s="7">
        <f t="shared" ref="K1550:L1550" si="665">SUM(K1547:K1549)</f>
        <v>0</v>
      </c>
      <c r="L1550" s="7">
        <f t="shared" si="665"/>
        <v>0</v>
      </c>
      <c r="M1550" s="7">
        <f t="shared" ref="M1550:N1550" si="666">SUM(M1547:M1549)</f>
        <v>0</v>
      </c>
      <c r="N1550" s="7">
        <f t="shared" si="666"/>
        <v>0</v>
      </c>
      <c r="O1550" s="30"/>
    </row>
    <row r="1551" spans="1:15">
      <c r="B1551" s="6"/>
      <c r="D1551" s="7"/>
      <c r="E1551" s="7"/>
      <c r="F1551" s="7"/>
      <c r="G1551" s="28"/>
      <c r="H1551" s="28"/>
      <c r="I1551" s="28"/>
      <c r="J1551" s="28"/>
      <c r="K1551" s="28"/>
      <c r="L1551" s="28"/>
      <c r="M1551" s="28"/>
      <c r="N1551" s="28"/>
      <c r="O1551" s="30"/>
    </row>
    <row r="1552" spans="1:15" ht="18.5">
      <c r="A1552" s="9" t="s">
        <v>100</v>
      </c>
      <c r="D1552" s="2">
        <f>'Facility Detail'!$B$3082</f>
        <v>2011</v>
      </c>
      <c r="E1552" s="2">
        <f t="shared" ref="E1552:K1552" si="667">D1552+1</f>
        <v>2012</v>
      </c>
      <c r="F1552" s="2">
        <f t="shared" si="667"/>
        <v>2013</v>
      </c>
      <c r="G1552" s="2">
        <f t="shared" si="667"/>
        <v>2014</v>
      </c>
      <c r="H1552" s="2">
        <f t="shared" si="667"/>
        <v>2015</v>
      </c>
      <c r="I1552" s="2">
        <f t="shared" si="667"/>
        <v>2016</v>
      </c>
      <c r="J1552" s="2">
        <f t="shared" si="667"/>
        <v>2017</v>
      </c>
      <c r="K1552" s="2">
        <f t="shared" si="667"/>
        <v>2018</v>
      </c>
      <c r="L1552" s="2">
        <f t="shared" ref="L1552" si="668">K1552+1</f>
        <v>2019</v>
      </c>
      <c r="M1552" s="2">
        <f t="shared" ref="M1552" si="669">L1552+1</f>
        <v>2020</v>
      </c>
      <c r="N1552" s="2">
        <f t="shared" ref="N1552" si="670">M1552+1</f>
        <v>2021</v>
      </c>
      <c r="O1552" s="30"/>
    </row>
    <row r="1553" spans="2:15">
      <c r="B1553" s="79" t="str">
        <f xml:space="preserve"> 'Facility Detail'!$B$3082 &amp; " Surplus Applied to " &amp; ( 'Facility Detail'!$B$3082 + 1 )</f>
        <v>2011 Surplus Applied to 2012</v>
      </c>
      <c r="C1553" s="30"/>
      <c r="D1553" s="3">
        <v>18530</v>
      </c>
      <c r="E1553" s="60">
        <f>D1553</f>
        <v>18530</v>
      </c>
      <c r="F1553" s="131"/>
      <c r="G1553" s="131"/>
      <c r="H1553" s="131"/>
      <c r="I1553" s="131"/>
      <c r="J1553" s="131"/>
      <c r="K1553" s="131"/>
      <c r="L1553" s="131"/>
      <c r="M1553" s="131"/>
      <c r="N1553" s="61"/>
      <c r="O1553" s="30"/>
    </row>
    <row r="1554" spans="2:15">
      <c r="B1554" s="79" t="str">
        <f xml:space="preserve"> ( 'Facility Detail'!$B$3082 + 1 ) &amp; " Surplus Applied to " &amp; ( 'Facility Detail'!$B$3082 )</f>
        <v>2012 Surplus Applied to 2011</v>
      </c>
      <c r="C1554" s="30"/>
      <c r="D1554" s="164">
        <f>E1554</f>
        <v>0</v>
      </c>
      <c r="E1554" s="10"/>
      <c r="F1554" s="74"/>
      <c r="G1554" s="74"/>
      <c r="H1554" s="74"/>
      <c r="I1554" s="74"/>
      <c r="J1554" s="74"/>
      <c r="K1554" s="74"/>
      <c r="L1554" s="74"/>
      <c r="M1554" s="74"/>
      <c r="N1554" s="165"/>
      <c r="O1554" s="30"/>
    </row>
    <row r="1555" spans="2:15">
      <c r="B1555" s="79" t="str">
        <f xml:space="preserve"> ( 'Facility Detail'!$B$3082 + 1 ) &amp; " Surplus Applied to " &amp; ( 'Facility Detail'!$B$3082 + 2 )</f>
        <v>2012 Surplus Applied to 2013</v>
      </c>
      <c r="C1555" s="30"/>
      <c r="D1555" s="62"/>
      <c r="E1555" s="10">
        <f>E1539</f>
        <v>15200</v>
      </c>
      <c r="F1555" s="70">
        <f>E1555</f>
        <v>15200</v>
      </c>
      <c r="G1555" s="74"/>
      <c r="H1555" s="74"/>
      <c r="I1555" s="74"/>
      <c r="J1555" s="74"/>
      <c r="K1555" s="74"/>
      <c r="L1555" s="74"/>
      <c r="M1555" s="74"/>
      <c r="N1555" s="165"/>
      <c r="O1555" s="30"/>
    </row>
    <row r="1556" spans="2:15">
      <c r="B1556" s="79" t="str">
        <f xml:space="preserve"> ( 'Facility Detail'!$B$3082 + 2 ) &amp; " Surplus Applied to " &amp; ( 'Facility Detail'!$B$3082 + 1 )</f>
        <v>2013 Surplus Applied to 2012</v>
      </c>
      <c r="C1556" s="30"/>
      <c r="D1556" s="62"/>
      <c r="E1556" s="70">
        <f>F1556</f>
        <v>0</v>
      </c>
      <c r="F1556" s="163"/>
      <c r="G1556" s="74"/>
      <c r="H1556" s="74"/>
      <c r="I1556" s="74"/>
      <c r="J1556" s="74"/>
      <c r="K1556" s="74"/>
      <c r="L1556" s="74"/>
      <c r="M1556" s="74"/>
      <c r="N1556" s="165"/>
      <c r="O1556" s="30"/>
    </row>
    <row r="1557" spans="2:15">
      <c r="B1557" s="79" t="str">
        <f xml:space="preserve"> ( 'Facility Detail'!$B$3082 + 2 ) &amp; " Surplus Applied to " &amp; ( 'Facility Detail'!$B$3082 + 3 )</f>
        <v>2013 Surplus Applied to 2014</v>
      </c>
      <c r="C1557" s="30"/>
      <c r="D1557" s="62"/>
      <c r="E1557" s="148"/>
      <c r="F1557" s="10">
        <f>F1539</f>
        <v>16235</v>
      </c>
      <c r="G1557" s="149">
        <f>F1557</f>
        <v>16235</v>
      </c>
      <c r="H1557" s="74"/>
      <c r="I1557" s="74"/>
      <c r="J1557" s="74"/>
      <c r="K1557" s="74"/>
      <c r="L1557" s="74"/>
      <c r="M1557" s="74"/>
      <c r="N1557" s="165"/>
      <c r="O1557" s="30"/>
    </row>
    <row r="1558" spans="2:15">
      <c r="B1558" s="79" t="str">
        <f xml:space="preserve"> ( 'Facility Detail'!$B$3082 + 3 ) &amp; " Surplus Applied to " &amp; ( 'Facility Detail'!$B$3082 + 2 )</f>
        <v>2014 Surplus Applied to 2013</v>
      </c>
      <c r="C1558" s="30"/>
      <c r="D1558" s="62"/>
      <c r="E1558" s="148"/>
      <c r="F1558" s="70">
        <f>G1558</f>
        <v>0</v>
      </c>
      <c r="G1558" s="10"/>
      <c r="H1558" s="74"/>
      <c r="I1558" s="74"/>
      <c r="J1558" s="74"/>
      <c r="K1558" s="74"/>
      <c r="L1558" s="74"/>
      <c r="M1558" s="74"/>
      <c r="N1558" s="165"/>
      <c r="O1558" s="30"/>
    </row>
    <row r="1559" spans="2:15">
      <c r="B1559" s="79" t="str">
        <f xml:space="preserve"> ( 'Facility Detail'!$B$3082 + 3 ) &amp; " Surplus Applied to " &amp; ( 'Facility Detail'!$B$3082 + 4 )</f>
        <v>2014 Surplus Applied to 2015</v>
      </c>
      <c r="C1559" s="30"/>
      <c r="D1559" s="62"/>
      <c r="E1559" s="148"/>
      <c r="F1559" s="148"/>
      <c r="G1559" s="10">
        <f>G1539</f>
        <v>17270</v>
      </c>
      <c r="H1559" s="149">
        <f>G1559</f>
        <v>17270</v>
      </c>
      <c r="I1559" s="148"/>
      <c r="J1559" s="74"/>
      <c r="K1559" s="74"/>
      <c r="L1559" s="74"/>
      <c r="M1559" s="74"/>
      <c r="N1559" s="152"/>
      <c r="O1559" s="30"/>
    </row>
    <row r="1560" spans="2:15">
      <c r="B1560" s="79" t="str">
        <f xml:space="preserve"> ( 'Facility Detail'!$B$3082 + 4 ) &amp; " Surplus Applied to " &amp; ( 'Facility Detail'!$B$3082 + 3 )</f>
        <v>2015 Surplus Applied to 2014</v>
      </c>
      <c r="C1560" s="30"/>
      <c r="D1560" s="62"/>
      <c r="E1560" s="148"/>
      <c r="F1560" s="148"/>
      <c r="G1560" s="70"/>
      <c r="H1560" s="10"/>
      <c r="I1560" s="148"/>
      <c r="J1560" s="74"/>
      <c r="K1560" s="74"/>
      <c r="L1560" s="74"/>
      <c r="M1560" s="74"/>
      <c r="N1560" s="152"/>
      <c r="O1560" s="30"/>
    </row>
    <row r="1561" spans="2:15">
      <c r="B1561" s="79" t="str">
        <f xml:space="preserve"> ( 'Facility Detail'!$B$3082 + 4 ) &amp; " Surplus Applied to " &amp; ( 'Facility Detail'!$B$3082 + 5 )</f>
        <v>2015 Surplus Applied to 2016</v>
      </c>
      <c r="C1561" s="30"/>
      <c r="D1561" s="62"/>
      <c r="E1561" s="148"/>
      <c r="F1561" s="148"/>
      <c r="G1561" s="148"/>
      <c r="H1561" s="10">
        <f>H1539</f>
        <v>15187</v>
      </c>
      <c r="I1561" s="149">
        <f>H1561</f>
        <v>15187</v>
      </c>
      <c r="J1561" s="74"/>
      <c r="K1561" s="74"/>
      <c r="L1561" s="74"/>
      <c r="M1561" s="74"/>
      <c r="N1561" s="152"/>
      <c r="O1561" s="30"/>
    </row>
    <row r="1562" spans="2:15">
      <c r="B1562" s="79" t="str">
        <f xml:space="preserve"> ( 'Facility Detail'!$B$3082 + 5 ) &amp; " Surplus Applied to " &amp; ( 'Facility Detail'!$B$3082 + 4 )</f>
        <v>2016 Surplus Applied to 2015</v>
      </c>
      <c r="C1562" s="30"/>
      <c r="D1562" s="62"/>
      <c r="E1562" s="148"/>
      <c r="F1562" s="148"/>
      <c r="G1562" s="148"/>
      <c r="H1562" s="70"/>
      <c r="I1562" s="10"/>
      <c r="J1562" s="74"/>
      <c r="K1562" s="74"/>
      <c r="L1562" s="74"/>
      <c r="M1562" s="74"/>
      <c r="N1562" s="152"/>
      <c r="O1562" s="30"/>
    </row>
    <row r="1563" spans="2:15">
      <c r="B1563" s="79" t="str">
        <f xml:space="preserve"> ( 'Facility Detail'!$B$3082 + 5 ) &amp; " Surplus Applied to " &amp; ( 'Facility Detail'!$B$3082 + 6 )</f>
        <v>2016 Surplus Applied to 2017</v>
      </c>
      <c r="C1563" s="30"/>
      <c r="D1563" s="62"/>
      <c r="E1563" s="148"/>
      <c r="F1563" s="148"/>
      <c r="G1563" s="148"/>
      <c r="H1563" s="148"/>
      <c r="I1563" s="207">
        <v>0</v>
      </c>
      <c r="J1563" s="150">
        <f>I1563</f>
        <v>0</v>
      </c>
      <c r="K1563" s="74"/>
      <c r="L1563" s="74"/>
      <c r="M1563" s="74"/>
      <c r="N1563" s="152"/>
      <c r="O1563" s="30"/>
    </row>
    <row r="1564" spans="2:15">
      <c r="B1564" s="79" t="s">
        <v>168</v>
      </c>
      <c r="C1564" s="30"/>
      <c r="D1564" s="62"/>
      <c r="E1564" s="148"/>
      <c r="F1564" s="148"/>
      <c r="G1564" s="148"/>
      <c r="H1564" s="148"/>
      <c r="I1564" s="208">
        <f>J1564</f>
        <v>0</v>
      </c>
      <c r="J1564" s="151"/>
      <c r="K1564" s="74"/>
      <c r="L1564" s="74"/>
      <c r="M1564" s="74"/>
      <c r="N1564" s="152"/>
      <c r="O1564" s="30"/>
    </row>
    <row r="1565" spans="2:15">
      <c r="B1565" s="79" t="s">
        <v>169</v>
      </c>
      <c r="C1565" s="30"/>
      <c r="D1565" s="62"/>
      <c r="E1565" s="148"/>
      <c r="F1565" s="148"/>
      <c r="G1565" s="148"/>
      <c r="H1565" s="148"/>
      <c r="I1565" s="148"/>
      <c r="J1565" s="151"/>
      <c r="K1565" s="150">
        <f>J1565</f>
        <v>0</v>
      </c>
      <c r="L1565" s="74"/>
      <c r="M1565" s="74"/>
      <c r="N1565" s="152"/>
      <c r="O1565" s="30"/>
    </row>
    <row r="1566" spans="2:15">
      <c r="B1566" s="79" t="s">
        <v>186</v>
      </c>
      <c r="C1566" s="30"/>
      <c r="D1566" s="62"/>
      <c r="E1566" s="148"/>
      <c r="F1566" s="148"/>
      <c r="G1566" s="148"/>
      <c r="H1566" s="148"/>
      <c r="I1566" s="148"/>
      <c r="J1566" s="150">
        <f>K1566</f>
        <v>0</v>
      </c>
      <c r="K1566" s="151"/>
      <c r="L1566" s="74"/>
      <c r="M1566" s="74"/>
      <c r="N1566" s="152"/>
      <c r="O1566" s="30"/>
    </row>
    <row r="1567" spans="2:15">
      <c r="B1567" s="79" t="s">
        <v>187</v>
      </c>
      <c r="C1567" s="30"/>
      <c r="D1567" s="62"/>
      <c r="E1567" s="148"/>
      <c r="F1567" s="148"/>
      <c r="G1567" s="148"/>
      <c r="H1567" s="148"/>
      <c r="I1567" s="148"/>
      <c r="J1567" s="148"/>
      <c r="K1567" s="151"/>
      <c r="L1567" s="150">
        <f>K1567</f>
        <v>0</v>
      </c>
      <c r="M1567" s="74"/>
      <c r="N1567" s="152"/>
      <c r="O1567" s="30"/>
    </row>
    <row r="1568" spans="2:15">
      <c r="B1568" s="79" t="s">
        <v>188</v>
      </c>
      <c r="C1568" s="30"/>
      <c r="D1568" s="62"/>
      <c r="E1568" s="148"/>
      <c r="F1568" s="148"/>
      <c r="G1568" s="148"/>
      <c r="H1568" s="148"/>
      <c r="I1568" s="148"/>
      <c r="J1568" s="148"/>
      <c r="K1568" s="150">
        <f>L1568</f>
        <v>0</v>
      </c>
      <c r="L1568" s="151"/>
      <c r="M1568" s="74"/>
      <c r="N1568" s="148"/>
      <c r="O1568" s="30"/>
    </row>
    <row r="1569" spans="1:15">
      <c r="B1569" s="79" t="s">
        <v>189</v>
      </c>
      <c r="C1569" s="30"/>
      <c r="D1569" s="62"/>
      <c r="E1569" s="148"/>
      <c r="F1569" s="148"/>
      <c r="G1569" s="148"/>
      <c r="H1569" s="148"/>
      <c r="I1569" s="148"/>
      <c r="J1569" s="148"/>
      <c r="K1569" s="148"/>
      <c r="L1569" s="151"/>
      <c r="M1569" s="150">
        <f>L1569</f>
        <v>0</v>
      </c>
      <c r="N1569" s="148"/>
      <c r="O1569" s="30"/>
    </row>
    <row r="1570" spans="1:15">
      <c r="B1570" s="79" t="s">
        <v>190</v>
      </c>
      <c r="C1570" s="30"/>
      <c r="D1570" s="62"/>
      <c r="E1570" s="148"/>
      <c r="F1570" s="148"/>
      <c r="G1570" s="148"/>
      <c r="H1570" s="148"/>
      <c r="I1570" s="148"/>
      <c r="J1570" s="148"/>
      <c r="K1570" s="148"/>
      <c r="L1570" s="150">
        <f>M1570</f>
        <v>0</v>
      </c>
      <c r="M1570" s="151"/>
      <c r="N1570" s="148"/>
      <c r="O1570" s="30"/>
    </row>
    <row r="1571" spans="1:15">
      <c r="B1571" s="79" t="s">
        <v>191</v>
      </c>
      <c r="C1571" s="30"/>
      <c r="D1571" s="62"/>
      <c r="E1571" s="148"/>
      <c r="F1571" s="148"/>
      <c r="G1571" s="148"/>
      <c r="H1571" s="148"/>
      <c r="I1571" s="148"/>
      <c r="J1571" s="148"/>
      <c r="K1571" s="148"/>
      <c r="L1571" s="148"/>
      <c r="M1571" s="151"/>
      <c r="N1571" s="150">
        <f>M1571</f>
        <v>0</v>
      </c>
      <c r="O1571" s="30"/>
    </row>
    <row r="1572" spans="1:15">
      <c r="B1572" s="79" t="s">
        <v>201</v>
      </c>
      <c r="C1572" s="30"/>
      <c r="D1572" s="62"/>
      <c r="E1572" s="148"/>
      <c r="F1572" s="148"/>
      <c r="G1572" s="148"/>
      <c r="H1572" s="148"/>
      <c r="I1572" s="148"/>
      <c r="J1572" s="148"/>
      <c r="K1572" s="148"/>
      <c r="L1572" s="148"/>
      <c r="M1572" s="150">
        <v>10000</v>
      </c>
      <c r="N1572" s="151">
        <v>10000</v>
      </c>
      <c r="O1572" s="30"/>
    </row>
    <row r="1573" spans="1:15">
      <c r="B1573" s="79" t="s">
        <v>202</v>
      </c>
      <c r="C1573" s="30"/>
      <c r="D1573" s="63"/>
      <c r="E1573" s="133"/>
      <c r="F1573" s="133"/>
      <c r="G1573" s="133"/>
      <c r="H1573" s="133"/>
      <c r="I1573" s="133"/>
      <c r="J1573" s="133"/>
      <c r="K1573" s="133"/>
      <c r="L1573" s="133"/>
      <c r="M1573" s="133"/>
      <c r="N1573" s="153"/>
      <c r="O1573" s="30"/>
    </row>
    <row r="1574" spans="1:15">
      <c r="B1574" s="33" t="s">
        <v>17</v>
      </c>
      <c r="D1574" s="180">
        <f xml:space="preserve"> D1554 - D1553</f>
        <v>-18530</v>
      </c>
      <c r="E1574" s="180">
        <f xml:space="preserve"> E1553 + E1556 - E1555 - E1554</f>
        <v>3330</v>
      </c>
      <c r="F1574" s="180">
        <f>F1555 - F1556 - F1557</f>
        <v>-1035</v>
      </c>
      <c r="G1574" s="180">
        <f>G1557-G1558-G1559</f>
        <v>-1035</v>
      </c>
      <c r="H1574" s="180">
        <f>H1559-H1560-H1561</f>
        <v>2083</v>
      </c>
      <c r="I1574" s="180">
        <f>I1561-I1562-I1563</f>
        <v>15187</v>
      </c>
      <c r="J1574" s="180">
        <f>J1563-J1564-J1565</f>
        <v>0</v>
      </c>
      <c r="K1574" s="180">
        <f>K1565-K1566-K1567</f>
        <v>0</v>
      </c>
      <c r="L1574" s="180">
        <f>L1567-L1568-L1569</f>
        <v>0</v>
      </c>
      <c r="M1574" s="180">
        <f>M1572</f>
        <v>10000</v>
      </c>
      <c r="N1574" s="180">
        <f>N1572*-1</f>
        <v>-10000</v>
      </c>
      <c r="O1574" s="30"/>
    </row>
    <row r="1575" spans="1:15">
      <c r="B1575" s="6"/>
      <c r="D1575" s="7"/>
      <c r="E1575" s="7"/>
      <c r="F1575" s="7"/>
      <c r="G1575" s="7"/>
      <c r="H1575" s="7"/>
      <c r="I1575" s="7"/>
      <c r="J1575" s="7"/>
      <c r="K1575" s="7"/>
      <c r="L1575" s="7"/>
      <c r="M1575" s="7"/>
      <c r="N1575" s="7"/>
      <c r="O1575" s="30"/>
    </row>
    <row r="1576" spans="1:15">
      <c r="B1576" s="76" t="s">
        <v>12</v>
      </c>
      <c r="C1576" s="71"/>
      <c r="D1576" s="99"/>
      <c r="E1576" s="100"/>
      <c r="F1576" s="100"/>
      <c r="G1576" s="100"/>
      <c r="H1576" s="100"/>
      <c r="I1576" s="100"/>
      <c r="J1576" s="100"/>
      <c r="K1576" s="100"/>
      <c r="L1576" s="100"/>
      <c r="M1576" s="101"/>
      <c r="N1576" s="101"/>
      <c r="O1576" s="30"/>
    </row>
    <row r="1577" spans="1:15">
      <c r="B1577" s="6"/>
      <c r="D1577" s="7"/>
      <c r="E1577" s="7"/>
      <c r="F1577" s="7"/>
      <c r="G1577" s="7"/>
      <c r="H1577" s="7"/>
      <c r="I1577" s="7"/>
      <c r="J1577" s="7"/>
      <c r="K1577" s="7"/>
      <c r="L1577" s="7"/>
      <c r="M1577" s="7"/>
      <c r="N1577" s="7"/>
      <c r="O1577" s="30"/>
    </row>
    <row r="1578" spans="1:15" ht="18.5">
      <c r="A1578" s="41" t="s">
        <v>26</v>
      </c>
      <c r="C1578" s="71"/>
      <c r="D1578" s="43">
        <f t="shared" ref="D1578:N1578" si="671" xml:space="preserve"> D1539 + D1544 - D1550 + D1574 + D1576</f>
        <v>0</v>
      </c>
      <c r="E1578" s="44">
        <f t="shared" si="671"/>
        <v>18530</v>
      </c>
      <c r="F1578" s="44">
        <f t="shared" si="671"/>
        <v>15200</v>
      </c>
      <c r="G1578" s="44">
        <f t="shared" si="671"/>
        <v>16235</v>
      </c>
      <c r="H1578" s="158">
        <f t="shared" si="671"/>
        <v>17270</v>
      </c>
      <c r="I1578" s="44">
        <f t="shared" si="671"/>
        <v>31739</v>
      </c>
      <c r="J1578" s="44">
        <f t="shared" si="671"/>
        <v>12585</v>
      </c>
      <c r="K1578" s="44">
        <f t="shared" si="671"/>
        <v>16022</v>
      </c>
      <c r="L1578" s="44">
        <f t="shared" si="671"/>
        <v>12827</v>
      </c>
      <c r="M1578" s="45">
        <f t="shared" si="671"/>
        <v>35709.434678165562</v>
      </c>
      <c r="N1578" s="45">
        <f t="shared" si="671"/>
        <v>13614.69417534129</v>
      </c>
      <c r="O1578" s="30"/>
    </row>
    <row r="1579" spans="1:15">
      <c r="B1579" s="6"/>
      <c r="D1579" s="7"/>
      <c r="E1579" s="7"/>
      <c r="F1579" s="7"/>
      <c r="G1579" s="28"/>
      <c r="H1579" s="28"/>
      <c r="I1579" s="28"/>
      <c r="J1579" s="28"/>
      <c r="K1579" s="28"/>
      <c r="L1579" s="28"/>
      <c r="M1579" s="28"/>
      <c r="N1579" s="28"/>
      <c r="O1579" s="30"/>
    </row>
    <row r="1580" spans="1:15" ht="15" thickBot="1">
      <c r="O1580" s="30"/>
    </row>
    <row r="1581" spans="1:15">
      <c r="A1581" s="8"/>
      <c r="B1581" s="8"/>
      <c r="C1581" s="8"/>
      <c r="D1581" s="8"/>
      <c r="E1581" s="8"/>
      <c r="F1581" s="8"/>
      <c r="G1581" s="8"/>
      <c r="H1581" s="8"/>
      <c r="I1581" s="8"/>
      <c r="J1581" s="8"/>
      <c r="K1581" s="8"/>
      <c r="L1581" s="8"/>
      <c r="M1581" s="8"/>
      <c r="N1581" s="8"/>
      <c r="O1581" s="30"/>
    </row>
    <row r="1582" spans="1:15" ht="15" thickBot="1">
      <c r="B1582" s="30"/>
      <c r="C1582" s="30"/>
      <c r="D1582" s="30"/>
      <c r="E1582" s="30"/>
      <c r="F1582" s="30"/>
      <c r="G1582" s="30"/>
      <c r="H1582" s="30"/>
      <c r="I1582" s="30"/>
      <c r="J1582" s="30"/>
      <c r="K1582" s="30"/>
      <c r="L1582" s="30"/>
      <c r="M1582" s="30"/>
      <c r="N1582" s="30"/>
      <c r="O1582" s="30"/>
    </row>
    <row r="1583" spans="1:15" ht="21.5" thickBot="1">
      <c r="A1583" s="13" t="s">
        <v>4</v>
      </c>
      <c r="B1583" s="13"/>
      <c r="C1583" s="313" t="s">
        <v>141</v>
      </c>
      <c r="D1583" s="314"/>
      <c r="E1583" s="296"/>
      <c r="F1583" s="23"/>
      <c r="G1583" s="30"/>
      <c r="O1583" s="30"/>
    </row>
    <row r="1584" spans="1:15">
      <c r="O1584" s="30"/>
    </row>
    <row r="1585" spans="1:15" ht="18.5">
      <c r="A1585" s="9" t="s">
        <v>21</v>
      </c>
      <c r="B1585" s="9"/>
      <c r="D1585" s="2">
        <f>'Facility Detail'!$B$3082</f>
        <v>2011</v>
      </c>
      <c r="E1585" s="2">
        <f t="shared" ref="E1585:J1585" si="672">D1585+1</f>
        <v>2012</v>
      </c>
      <c r="F1585" s="2">
        <f t="shared" si="672"/>
        <v>2013</v>
      </c>
      <c r="G1585" s="2">
        <f t="shared" si="672"/>
        <v>2014</v>
      </c>
      <c r="H1585" s="2">
        <f t="shared" si="672"/>
        <v>2015</v>
      </c>
      <c r="I1585" s="2">
        <f t="shared" si="672"/>
        <v>2016</v>
      </c>
      <c r="J1585" s="2">
        <f t="shared" si="672"/>
        <v>2017</v>
      </c>
      <c r="K1585" s="2">
        <f t="shared" ref="K1585" si="673">J1585+1</f>
        <v>2018</v>
      </c>
      <c r="L1585" s="2">
        <f t="shared" ref="L1585" si="674">K1585+1</f>
        <v>2019</v>
      </c>
      <c r="M1585" s="2">
        <f t="shared" ref="M1585" si="675">L1585+1</f>
        <v>2020</v>
      </c>
      <c r="N1585" s="2">
        <f t="shared" ref="N1585" si="676">M1585+1</f>
        <v>2021</v>
      </c>
      <c r="O1585" s="30"/>
    </row>
    <row r="1586" spans="1:15">
      <c r="B1586" s="79" t="str">
        <f>"Total MWh Produced / Purchased from " &amp; C1583</f>
        <v>Total MWh Produced / Purchased from Lemolo 1 (Upgrade 2003)</v>
      </c>
      <c r="C1586" s="71"/>
      <c r="D1586" s="3"/>
      <c r="E1586" s="4">
        <v>17021.001199999999</v>
      </c>
      <c r="F1586" s="4">
        <v>12661.3536</v>
      </c>
      <c r="G1586" s="4">
        <v>14311</v>
      </c>
      <c r="H1586" s="4">
        <v>12553</v>
      </c>
      <c r="I1586" s="90">
        <v>13621</v>
      </c>
      <c r="J1586" s="225">
        <v>17773</v>
      </c>
      <c r="K1586" s="225">
        <v>12686.182399999998</v>
      </c>
      <c r="L1586" s="225">
        <v>11639</v>
      </c>
      <c r="M1586" s="227">
        <v>8423</v>
      </c>
      <c r="N1586" s="227">
        <v>14548.815199999999</v>
      </c>
      <c r="O1586" s="30"/>
    </row>
    <row r="1587" spans="1:15">
      <c r="B1587" s="79" t="s">
        <v>25</v>
      </c>
      <c r="C1587" s="71"/>
      <c r="D1587" s="54"/>
      <c r="E1587" s="55">
        <v>1</v>
      </c>
      <c r="F1587" s="55">
        <v>1</v>
      </c>
      <c r="G1587" s="55">
        <v>1</v>
      </c>
      <c r="H1587" s="55">
        <v>1</v>
      </c>
      <c r="I1587" s="55">
        <v>1</v>
      </c>
      <c r="J1587" s="55">
        <v>1</v>
      </c>
      <c r="K1587" s="234">
        <v>1</v>
      </c>
      <c r="L1587" s="234">
        <v>1</v>
      </c>
      <c r="M1587" s="234">
        <v>1</v>
      </c>
      <c r="N1587" s="234">
        <v>1</v>
      </c>
      <c r="O1587" s="30"/>
    </row>
    <row r="1588" spans="1:15">
      <c r="B1588" s="79" t="s">
        <v>20</v>
      </c>
      <c r="C1588" s="71"/>
      <c r="D1588" s="48">
        <v>7.8921000000000005E-2</v>
      </c>
      <c r="E1588" s="49">
        <v>7.9619999999999996E-2</v>
      </c>
      <c r="F1588" s="49">
        <v>7.8747999999999999E-2</v>
      </c>
      <c r="G1588" s="49">
        <v>8.0235000000000001E-2</v>
      </c>
      <c r="H1588" s="49">
        <v>8.0535999999999996E-2</v>
      </c>
      <c r="I1588" s="49">
        <v>8.1698151927344531E-2</v>
      </c>
      <c r="J1588" s="49">
        <v>8.0833713568703974E-2</v>
      </c>
      <c r="K1588" s="49">
        <v>7.9451999999999995E-2</v>
      </c>
      <c r="L1588" s="49">
        <v>7.6724662968274293E-2</v>
      </c>
      <c r="M1588" s="243">
        <f>M1538</f>
        <v>8.1268700519883177E-2</v>
      </c>
      <c r="N1588" s="243">
        <f>N1538</f>
        <v>8.0780946790754593E-2</v>
      </c>
      <c r="O1588" s="30"/>
    </row>
    <row r="1589" spans="1:15">
      <c r="B1589" s="76" t="s">
        <v>22</v>
      </c>
      <c r="C1589" s="77"/>
      <c r="D1589" s="37">
        <f xml:space="preserve"> ROUND(D1586 * D1587 * D1588,0)</f>
        <v>0</v>
      </c>
      <c r="E1589" s="37">
        <v>1355</v>
      </c>
      <c r="F1589" s="37">
        <v>997</v>
      </c>
      <c r="G1589" s="37">
        <v>1148</v>
      </c>
      <c r="H1589" s="37">
        <v>1011</v>
      </c>
      <c r="I1589" s="37">
        <v>1113</v>
      </c>
      <c r="J1589" s="229">
        <v>1438</v>
      </c>
      <c r="K1589" s="229">
        <v>1007</v>
      </c>
      <c r="L1589" s="229">
        <f>L1586*L1588</f>
        <v>892.99835228774452</v>
      </c>
      <c r="M1589" s="229">
        <f>M1586*M1588</f>
        <v>684.52626447897603</v>
      </c>
      <c r="N1589" s="229">
        <f>N1586*N1588</f>
        <v>1175.2670665397216</v>
      </c>
      <c r="O1589" s="30"/>
    </row>
    <row r="1590" spans="1:15">
      <c r="B1590" s="23"/>
      <c r="C1590" s="30"/>
      <c r="D1590" s="36"/>
      <c r="E1590" s="36"/>
      <c r="F1590" s="36"/>
      <c r="G1590" s="24"/>
      <c r="H1590" s="24"/>
      <c r="I1590" s="24"/>
      <c r="J1590" s="24"/>
      <c r="K1590" s="24"/>
      <c r="L1590" s="24"/>
      <c r="M1590" s="24"/>
      <c r="N1590" s="24"/>
      <c r="O1590" s="30"/>
    </row>
    <row r="1591" spans="1:15" ht="18.5">
      <c r="A1591" s="42" t="s">
        <v>119</v>
      </c>
      <c r="C1591" s="30"/>
      <c r="D1591" s="2">
        <f>'Facility Detail'!$B$3082</f>
        <v>2011</v>
      </c>
      <c r="E1591" s="2">
        <f>D1591+1</f>
        <v>2012</v>
      </c>
      <c r="F1591" s="2">
        <f>E1591+1</f>
        <v>2013</v>
      </c>
      <c r="G1591" s="2">
        <f>G1585</f>
        <v>2014</v>
      </c>
      <c r="H1591" s="2">
        <f>H1585</f>
        <v>2015</v>
      </c>
      <c r="I1591" s="2">
        <f>I1585</f>
        <v>2016</v>
      </c>
      <c r="J1591" s="2">
        <f>J1585</f>
        <v>2017</v>
      </c>
      <c r="K1591" s="2">
        <f t="shared" ref="K1591:L1591" si="677">K1585</f>
        <v>2018</v>
      </c>
      <c r="L1591" s="2">
        <f t="shared" si="677"/>
        <v>2019</v>
      </c>
      <c r="M1591" s="2">
        <f t="shared" ref="M1591:N1591" si="678">M1585</f>
        <v>2020</v>
      </c>
      <c r="N1591" s="2">
        <f t="shared" si="678"/>
        <v>2021</v>
      </c>
      <c r="O1591" s="30"/>
    </row>
    <row r="1592" spans="1:15">
      <c r="B1592" s="79" t="s">
        <v>10</v>
      </c>
      <c r="C1592" s="71"/>
      <c r="D1592" s="51">
        <f>IF($E34 = "Eligible", D1589 * 'Facility Detail'!$B$3079, 0 )</f>
        <v>0</v>
      </c>
      <c r="E1592" s="51">
        <f>IF($E34 = "Eligible", E1589 * 'Facility Detail'!$B$3079, 0 )</f>
        <v>0</v>
      </c>
      <c r="F1592" s="51">
        <f>IF($E34 = "Eligible", F1589 * 'Facility Detail'!$B$3079, 0 )</f>
        <v>0</v>
      </c>
      <c r="G1592" s="51">
        <f>IF($E34 = "Eligible", G1589 * 'Facility Detail'!$B$3079, 0 )</f>
        <v>0</v>
      </c>
      <c r="H1592" s="51">
        <f>IF($E34 = "Eligible", H1589 * 'Facility Detail'!$B$3079, 0 )</f>
        <v>0</v>
      </c>
      <c r="I1592" s="51">
        <f>IF($E34 = "Eligible", I1589 * 'Facility Detail'!$B$3079, 0 )</f>
        <v>0</v>
      </c>
      <c r="J1592" s="51">
        <f>IF($E34 = "Eligible", J1589 * 'Facility Detail'!$B$3079, 0 )</f>
        <v>0</v>
      </c>
      <c r="K1592" s="51">
        <f>IF($E34 = "Eligible", K1589 * 'Facility Detail'!$B$3079, 0 )</f>
        <v>0</v>
      </c>
      <c r="L1592" s="51">
        <f>IF($E34 = "Eligible", L1589 * 'Facility Detail'!$B$3079, 0 )</f>
        <v>0</v>
      </c>
      <c r="M1592" s="51">
        <f>IF($E34 = "Eligible", M1589 * 'Facility Detail'!$B$3079, 0 )</f>
        <v>0</v>
      </c>
      <c r="N1592" s="51">
        <f>IF($E34 = "Eligible", N1589 * 'Facility Detail'!$B$3079, 0 )</f>
        <v>0</v>
      </c>
      <c r="O1592" s="30"/>
    </row>
    <row r="1593" spans="1:15">
      <c r="B1593" s="79" t="s">
        <v>6</v>
      </c>
      <c r="C1593" s="71"/>
      <c r="D1593" s="52">
        <f t="shared" ref="D1593:N1593" si="679">IF($F34= "Eligible", D1589, 0 )</f>
        <v>0</v>
      </c>
      <c r="E1593" s="52">
        <f t="shared" si="679"/>
        <v>0</v>
      </c>
      <c r="F1593" s="52">
        <f t="shared" si="679"/>
        <v>0</v>
      </c>
      <c r="G1593" s="52">
        <f t="shared" si="679"/>
        <v>0</v>
      </c>
      <c r="H1593" s="52">
        <f t="shared" si="679"/>
        <v>0</v>
      </c>
      <c r="I1593" s="52">
        <f t="shared" si="679"/>
        <v>0</v>
      </c>
      <c r="J1593" s="52">
        <f t="shared" si="679"/>
        <v>0</v>
      </c>
      <c r="K1593" s="52">
        <f t="shared" si="679"/>
        <v>0</v>
      </c>
      <c r="L1593" s="52">
        <f t="shared" si="679"/>
        <v>0</v>
      </c>
      <c r="M1593" s="52">
        <f t="shared" si="679"/>
        <v>0</v>
      </c>
      <c r="N1593" s="52">
        <f t="shared" si="679"/>
        <v>0</v>
      </c>
      <c r="O1593" s="30"/>
    </row>
    <row r="1594" spans="1:15">
      <c r="B1594" s="78" t="s">
        <v>121</v>
      </c>
      <c r="C1594" s="77"/>
      <c r="D1594" s="39">
        <f>SUM(D1592:D1593)</f>
        <v>0</v>
      </c>
      <c r="E1594" s="39">
        <f t="shared" ref="E1594:N1594" si="680">SUM(E1592:E1593)</f>
        <v>0</v>
      </c>
      <c r="F1594" s="39">
        <f t="shared" si="680"/>
        <v>0</v>
      </c>
      <c r="G1594" s="39">
        <f t="shared" si="680"/>
        <v>0</v>
      </c>
      <c r="H1594" s="39">
        <f t="shared" si="680"/>
        <v>0</v>
      </c>
      <c r="I1594" s="39">
        <f t="shared" si="680"/>
        <v>0</v>
      </c>
      <c r="J1594" s="39">
        <f t="shared" si="680"/>
        <v>0</v>
      </c>
      <c r="K1594" s="39">
        <f t="shared" si="680"/>
        <v>0</v>
      </c>
      <c r="L1594" s="39">
        <f t="shared" si="680"/>
        <v>0</v>
      </c>
      <c r="M1594" s="39">
        <f t="shared" si="680"/>
        <v>0</v>
      </c>
      <c r="N1594" s="39">
        <f t="shared" si="680"/>
        <v>0</v>
      </c>
      <c r="O1594" s="30"/>
    </row>
    <row r="1595" spans="1:15">
      <c r="B1595" s="30"/>
      <c r="C1595" s="30"/>
      <c r="D1595" s="38"/>
      <c r="E1595" s="31"/>
      <c r="F1595" s="31"/>
      <c r="G1595" s="24"/>
      <c r="H1595" s="24"/>
      <c r="I1595" s="24"/>
      <c r="J1595" s="24"/>
      <c r="K1595" s="24"/>
      <c r="L1595" s="24"/>
      <c r="M1595" s="24"/>
      <c r="N1595" s="24"/>
      <c r="O1595" s="30"/>
    </row>
    <row r="1596" spans="1:15" ht="18.5">
      <c r="A1596" s="41" t="s">
        <v>30</v>
      </c>
      <c r="C1596" s="30"/>
      <c r="D1596" s="2">
        <f>'Facility Detail'!$B$3082</f>
        <v>2011</v>
      </c>
      <c r="E1596" s="2">
        <f>D1596+1</f>
        <v>2012</v>
      </c>
      <c r="F1596" s="2">
        <f>E1596+1</f>
        <v>2013</v>
      </c>
      <c r="G1596" s="2">
        <f>G1585</f>
        <v>2014</v>
      </c>
      <c r="H1596" s="2">
        <f>H1585</f>
        <v>2015</v>
      </c>
      <c r="I1596" s="2">
        <f>I1585</f>
        <v>2016</v>
      </c>
      <c r="J1596" s="2">
        <f>J1585</f>
        <v>2017</v>
      </c>
      <c r="K1596" s="2">
        <f t="shared" ref="K1596:L1596" si="681">K1585</f>
        <v>2018</v>
      </c>
      <c r="L1596" s="2">
        <f t="shared" si="681"/>
        <v>2019</v>
      </c>
      <c r="M1596" s="2">
        <f t="shared" ref="M1596:N1596" si="682">M1585</f>
        <v>2020</v>
      </c>
      <c r="N1596" s="2">
        <f t="shared" si="682"/>
        <v>2021</v>
      </c>
      <c r="O1596" s="30"/>
    </row>
    <row r="1597" spans="1:15">
      <c r="B1597" s="79" t="s">
        <v>47</v>
      </c>
      <c r="C1597" s="71"/>
      <c r="D1597" s="89"/>
      <c r="E1597" s="90"/>
      <c r="F1597" s="90"/>
      <c r="G1597" s="90"/>
      <c r="H1597" s="90"/>
      <c r="I1597" s="90"/>
      <c r="J1597" s="90"/>
      <c r="K1597" s="90"/>
      <c r="L1597" s="90"/>
      <c r="M1597" s="91"/>
      <c r="N1597" s="91"/>
      <c r="O1597" s="30"/>
    </row>
    <row r="1598" spans="1:15">
      <c r="B1598" s="80" t="s">
        <v>23</v>
      </c>
      <c r="C1598" s="175"/>
      <c r="D1598" s="92"/>
      <c r="E1598" s="93"/>
      <c r="F1598" s="93"/>
      <c r="G1598" s="93"/>
      <c r="H1598" s="93"/>
      <c r="I1598" s="93"/>
      <c r="J1598" s="93"/>
      <c r="K1598" s="93"/>
      <c r="L1598" s="93"/>
      <c r="M1598" s="94"/>
      <c r="N1598" s="94"/>
      <c r="O1598" s="30"/>
    </row>
    <row r="1599" spans="1:15">
      <c r="B1599" s="95" t="s">
        <v>89</v>
      </c>
      <c r="C1599" s="173"/>
      <c r="D1599" s="57"/>
      <c r="E1599" s="58"/>
      <c r="F1599" s="58"/>
      <c r="G1599" s="58"/>
      <c r="H1599" s="58"/>
      <c r="I1599" s="58"/>
      <c r="J1599" s="58"/>
      <c r="K1599" s="58"/>
      <c r="L1599" s="58"/>
      <c r="M1599" s="59"/>
      <c r="N1599" s="59"/>
      <c r="O1599" s="30"/>
    </row>
    <row r="1600" spans="1:15">
      <c r="B1600" s="33" t="s">
        <v>90</v>
      </c>
      <c r="D1600" s="7">
        <f t="shared" ref="D1600:I1600" si="683">SUM(D1597:D1599)</f>
        <v>0</v>
      </c>
      <c r="E1600" s="7">
        <f t="shared" si="683"/>
        <v>0</v>
      </c>
      <c r="F1600" s="7">
        <f t="shared" si="683"/>
        <v>0</v>
      </c>
      <c r="G1600" s="7">
        <f t="shared" si="683"/>
        <v>0</v>
      </c>
      <c r="H1600" s="7">
        <f t="shared" si="683"/>
        <v>0</v>
      </c>
      <c r="I1600" s="7">
        <f t="shared" si="683"/>
        <v>0</v>
      </c>
      <c r="J1600" s="7">
        <f t="shared" ref="J1600:L1600" si="684">SUM(J1597:J1599)</f>
        <v>0</v>
      </c>
      <c r="K1600" s="7">
        <f t="shared" si="684"/>
        <v>0</v>
      </c>
      <c r="L1600" s="7">
        <f t="shared" si="684"/>
        <v>0</v>
      </c>
      <c r="M1600" s="7">
        <f t="shared" ref="M1600:N1600" si="685">SUM(M1597:M1599)</f>
        <v>0</v>
      </c>
      <c r="N1600" s="7">
        <f t="shared" si="685"/>
        <v>0</v>
      </c>
      <c r="O1600" s="30"/>
    </row>
    <row r="1601" spans="1:15">
      <c r="B1601" s="6"/>
      <c r="D1601" s="7"/>
      <c r="E1601" s="7"/>
      <c r="F1601" s="7"/>
      <c r="G1601" s="28"/>
      <c r="H1601" s="28"/>
      <c r="I1601" s="28"/>
      <c r="J1601" s="28"/>
      <c r="K1601" s="28"/>
      <c r="L1601" s="28"/>
      <c r="M1601" s="28"/>
      <c r="N1601" s="28"/>
      <c r="O1601" s="30"/>
    </row>
    <row r="1602" spans="1:15" ht="18.5">
      <c r="A1602" s="9" t="s">
        <v>100</v>
      </c>
      <c r="D1602" s="2">
        <f>'Facility Detail'!$B$3082</f>
        <v>2011</v>
      </c>
      <c r="E1602" s="2">
        <f t="shared" ref="E1602:J1602" si="686">D1602+1</f>
        <v>2012</v>
      </c>
      <c r="F1602" s="2">
        <f t="shared" si="686"/>
        <v>2013</v>
      </c>
      <c r="G1602" s="2">
        <f t="shared" si="686"/>
        <v>2014</v>
      </c>
      <c r="H1602" s="2">
        <f t="shared" si="686"/>
        <v>2015</v>
      </c>
      <c r="I1602" s="2">
        <f t="shared" si="686"/>
        <v>2016</v>
      </c>
      <c r="J1602" s="2">
        <f t="shared" si="686"/>
        <v>2017</v>
      </c>
      <c r="K1602" s="2">
        <f t="shared" ref="K1602" si="687">J1602+1</f>
        <v>2018</v>
      </c>
      <c r="L1602" s="2">
        <f t="shared" ref="L1602" si="688">K1602+1</f>
        <v>2019</v>
      </c>
      <c r="M1602" s="2">
        <f t="shared" ref="M1602" si="689">L1602+1</f>
        <v>2020</v>
      </c>
      <c r="N1602" s="2">
        <f t="shared" ref="N1602" si="690">M1602+1</f>
        <v>2021</v>
      </c>
      <c r="O1602" s="30"/>
    </row>
    <row r="1603" spans="1:15">
      <c r="B1603" s="79" t="s">
        <v>68</v>
      </c>
      <c r="C1603" s="30"/>
      <c r="D1603" s="3"/>
      <c r="E1603" s="60">
        <f>D1603</f>
        <v>0</v>
      </c>
      <c r="F1603" s="131"/>
      <c r="G1603" s="131"/>
      <c r="H1603" s="131"/>
      <c r="I1603" s="131"/>
      <c r="J1603" s="131"/>
      <c r="K1603" s="131"/>
      <c r="L1603" s="131"/>
      <c r="M1603" s="131"/>
      <c r="N1603" s="61"/>
      <c r="O1603" s="30"/>
    </row>
    <row r="1604" spans="1:15">
      <c r="B1604" s="79" t="s">
        <v>69</v>
      </c>
      <c r="C1604" s="30"/>
      <c r="D1604" s="164">
        <f>E1604</f>
        <v>0</v>
      </c>
      <c r="E1604" s="10"/>
      <c r="F1604" s="74"/>
      <c r="G1604" s="74"/>
      <c r="H1604" s="74"/>
      <c r="I1604" s="74"/>
      <c r="J1604" s="74"/>
      <c r="K1604" s="74"/>
      <c r="L1604" s="74"/>
      <c r="M1604" s="74"/>
      <c r="N1604" s="165"/>
      <c r="O1604" s="30"/>
    </row>
    <row r="1605" spans="1:15">
      <c r="B1605" s="79" t="s">
        <v>70</v>
      </c>
      <c r="C1605" s="30"/>
      <c r="D1605" s="62"/>
      <c r="E1605" s="10"/>
      <c r="F1605" s="70">
        <f>E1605</f>
        <v>0</v>
      </c>
      <c r="G1605" s="74"/>
      <c r="H1605" s="74"/>
      <c r="I1605" s="74"/>
      <c r="J1605" s="74"/>
      <c r="K1605" s="74"/>
      <c r="L1605" s="74"/>
      <c r="M1605" s="74"/>
      <c r="N1605" s="165"/>
      <c r="O1605" s="30"/>
    </row>
    <row r="1606" spans="1:15">
      <c r="B1606" s="79" t="s">
        <v>71</v>
      </c>
      <c r="C1606" s="30"/>
      <c r="D1606" s="62"/>
      <c r="E1606" s="70">
        <f>F1606</f>
        <v>0</v>
      </c>
      <c r="F1606" s="163"/>
      <c r="G1606" s="74"/>
      <c r="H1606" s="74"/>
      <c r="I1606" s="74"/>
      <c r="J1606" s="74"/>
      <c r="K1606" s="74"/>
      <c r="L1606" s="74"/>
      <c r="M1606" s="74"/>
      <c r="N1606" s="165"/>
      <c r="O1606" s="30"/>
    </row>
    <row r="1607" spans="1:15">
      <c r="B1607" s="79" t="s">
        <v>171</v>
      </c>
      <c r="C1607" s="30"/>
      <c r="D1607" s="62"/>
      <c r="E1607" s="148"/>
      <c r="F1607" s="10"/>
      <c r="G1607" s="149">
        <f>F1607</f>
        <v>0</v>
      </c>
      <c r="H1607" s="74"/>
      <c r="I1607" s="74"/>
      <c r="J1607" s="74"/>
      <c r="K1607" s="74"/>
      <c r="L1607" s="74"/>
      <c r="M1607" s="74"/>
      <c r="N1607" s="165"/>
      <c r="O1607" s="30"/>
    </row>
    <row r="1608" spans="1:15">
      <c r="B1608" s="79" t="s">
        <v>172</v>
      </c>
      <c r="C1608" s="30"/>
      <c r="D1608" s="62"/>
      <c r="E1608" s="148"/>
      <c r="F1608" s="70">
        <f>G1608</f>
        <v>0</v>
      </c>
      <c r="G1608" s="10"/>
      <c r="H1608" s="74"/>
      <c r="I1608" s="74"/>
      <c r="J1608" s="74" t="s">
        <v>170</v>
      </c>
      <c r="K1608" s="74" t="s">
        <v>170</v>
      </c>
      <c r="L1608" s="74" t="s">
        <v>170</v>
      </c>
      <c r="M1608" s="74" t="s">
        <v>170</v>
      </c>
      <c r="N1608" s="165" t="s">
        <v>170</v>
      </c>
      <c r="O1608" s="30"/>
    </row>
    <row r="1609" spans="1:15">
      <c r="B1609" s="79" t="s">
        <v>173</v>
      </c>
      <c r="C1609" s="30"/>
      <c r="D1609" s="62"/>
      <c r="E1609" s="148"/>
      <c r="F1609" s="148"/>
      <c r="G1609" s="10"/>
      <c r="H1609" s="149">
        <f>G1609</f>
        <v>0</v>
      </c>
      <c r="I1609" s="148">
        <f>H1609</f>
        <v>0</v>
      </c>
      <c r="J1609" s="74"/>
      <c r="K1609" s="74"/>
      <c r="L1609" s="74"/>
      <c r="M1609" s="74"/>
      <c r="N1609" s="152"/>
      <c r="O1609" s="30"/>
    </row>
    <row r="1610" spans="1:15">
      <c r="B1610" s="79" t="s">
        <v>174</v>
      </c>
      <c r="C1610" s="30"/>
      <c r="D1610" s="62"/>
      <c r="E1610" s="148"/>
      <c r="F1610" s="148"/>
      <c r="G1610" s="70">
        <f>H1610</f>
        <v>0</v>
      </c>
      <c r="H1610" s="10"/>
      <c r="I1610" s="148"/>
      <c r="J1610" s="74"/>
      <c r="K1610" s="74"/>
      <c r="L1610" s="74"/>
      <c r="M1610" s="74"/>
      <c r="N1610" s="152"/>
      <c r="O1610" s="30"/>
    </row>
    <row r="1611" spans="1:15">
      <c r="B1611" s="79" t="s">
        <v>175</v>
      </c>
      <c r="C1611" s="30"/>
      <c r="D1611" s="62"/>
      <c r="E1611" s="148"/>
      <c r="F1611" s="148"/>
      <c r="G1611" s="148"/>
      <c r="H1611" s="10">
        <v>0</v>
      </c>
      <c r="I1611" s="149">
        <f>H1611</f>
        <v>0</v>
      </c>
      <c r="J1611" s="74"/>
      <c r="K1611" s="74"/>
      <c r="L1611" s="74"/>
      <c r="M1611" s="74"/>
      <c r="N1611" s="152"/>
      <c r="O1611" s="30"/>
    </row>
    <row r="1612" spans="1:15">
      <c r="B1612" s="79" t="s">
        <v>176</v>
      </c>
      <c r="C1612" s="30"/>
      <c r="D1612" s="62"/>
      <c r="E1612" s="148"/>
      <c r="F1612" s="148"/>
      <c r="G1612" s="148"/>
      <c r="H1612" s="70"/>
      <c r="I1612" s="10"/>
      <c r="J1612" s="74"/>
      <c r="K1612" s="74"/>
      <c r="L1612" s="74"/>
      <c r="M1612" s="74"/>
      <c r="N1612" s="152"/>
      <c r="O1612" s="30"/>
    </row>
    <row r="1613" spans="1:15">
      <c r="B1613" s="79" t="s">
        <v>177</v>
      </c>
      <c r="C1613" s="30"/>
      <c r="D1613" s="62"/>
      <c r="E1613" s="148"/>
      <c r="F1613" s="148"/>
      <c r="G1613" s="148"/>
      <c r="H1613" s="148"/>
      <c r="I1613" s="207">
        <v>0</v>
      </c>
      <c r="J1613" s="150"/>
      <c r="K1613" s="74"/>
      <c r="L1613" s="74"/>
      <c r="M1613" s="74"/>
      <c r="N1613" s="152"/>
      <c r="O1613" s="30"/>
    </row>
    <row r="1614" spans="1:15">
      <c r="B1614" s="79" t="s">
        <v>168</v>
      </c>
      <c r="C1614" s="30"/>
      <c r="D1614" s="62"/>
      <c r="E1614" s="148"/>
      <c r="F1614" s="148"/>
      <c r="G1614" s="148"/>
      <c r="H1614" s="148"/>
      <c r="I1614" s="208">
        <f>J1613</f>
        <v>0</v>
      </c>
      <c r="J1614" s="151"/>
      <c r="K1614" s="74"/>
      <c r="L1614" s="74"/>
      <c r="M1614" s="74"/>
      <c r="N1614" s="152"/>
      <c r="O1614" s="30"/>
    </row>
    <row r="1615" spans="1:15">
      <c r="B1615" s="79" t="s">
        <v>169</v>
      </c>
      <c r="C1615" s="30"/>
      <c r="D1615" s="62"/>
      <c r="E1615" s="148"/>
      <c r="F1615" s="148"/>
      <c r="G1615" s="148"/>
      <c r="H1615" s="148"/>
      <c r="I1615" s="148"/>
      <c r="J1615" s="151">
        <v>0</v>
      </c>
      <c r="K1615" s="150"/>
      <c r="L1615" s="74"/>
      <c r="M1615" s="74"/>
      <c r="N1615" s="152"/>
      <c r="O1615" s="30"/>
    </row>
    <row r="1616" spans="1:15">
      <c r="B1616" s="79" t="s">
        <v>186</v>
      </c>
      <c r="C1616" s="30"/>
      <c r="D1616" s="62"/>
      <c r="E1616" s="148"/>
      <c r="F1616" s="148"/>
      <c r="G1616" s="148"/>
      <c r="H1616" s="148"/>
      <c r="I1616" s="148"/>
      <c r="J1616" s="228"/>
      <c r="K1616" s="151"/>
      <c r="L1616" s="74"/>
      <c r="M1616" s="74"/>
      <c r="N1616" s="152"/>
      <c r="O1616" s="30"/>
    </row>
    <row r="1617" spans="1:15">
      <c r="B1617" s="79" t="s">
        <v>187</v>
      </c>
      <c r="C1617" s="30"/>
      <c r="D1617" s="62"/>
      <c r="E1617" s="148"/>
      <c r="F1617" s="148"/>
      <c r="G1617" s="148"/>
      <c r="H1617" s="148"/>
      <c r="I1617" s="148"/>
      <c r="J1617" s="148"/>
      <c r="K1617" s="151"/>
      <c r="L1617" s="70"/>
      <c r="M1617" s="74"/>
      <c r="N1617" s="152"/>
      <c r="O1617" s="30"/>
    </row>
    <row r="1618" spans="1:15">
      <c r="B1618" s="79" t="s">
        <v>188</v>
      </c>
      <c r="C1618" s="30"/>
      <c r="D1618" s="62"/>
      <c r="E1618" s="148"/>
      <c r="F1618" s="148"/>
      <c r="G1618" s="148"/>
      <c r="H1618" s="148"/>
      <c r="I1618" s="148"/>
      <c r="J1618" s="148"/>
      <c r="K1618" s="228"/>
      <c r="L1618" s="250"/>
      <c r="M1618" s="74"/>
      <c r="N1618" s="152"/>
      <c r="O1618" s="30"/>
    </row>
    <row r="1619" spans="1:15">
      <c r="B1619" s="79" t="s">
        <v>189</v>
      </c>
      <c r="C1619" s="30"/>
      <c r="D1619" s="62"/>
      <c r="E1619" s="148"/>
      <c r="F1619" s="148"/>
      <c r="G1619" s="148"/>
      <c r="H1619" s="148"/>
      <c r="I1619" s="148"/>
      <c r="J1619" s="148"/>
      <c r="K1619" s="148"/>
      <c r="L1619" s="151"/>
      <c r="M1619" s="70"/>
      <c r="N1619" s="152"/>
      <c r="O1619" s="30"/>
    </row>
    <row r="1620" spans="1:15">
      <c r="B1620" s="79" t="s">
        <v>190</v>
      </c>
      <c r="C1620" s="30"/>
      <c r="D1620" s="62"/>
      <c r="E1620" s="148"/>
      <c r="F1620" s="148"/>
      <c r="G1620" s="148"/>
      <c r="H1620" s="148"/>
      <c r="I1620" s="148"/>
      <c r="J1620" s="148"/>
      <c r="K1620" s="148"/>
      <c r="L1620" s="145"/>
      <c r="M1620" s="151"/>
      <c r="N1620" s="178"/>
    </row>
    <row r="1621" spans="1:15">
      <c r="B1621" s="79" t="s">
        <v>191</v>
      </c>
      <c r="C1621" s="30"/>
      <c r="D1621" s="62"/>
      <c r="E1621" s="148"/>
      <c r="F1621" s="148"/>
      <c r="G1621" s="148"/>
      <c r="H1621" s="148"/>
      <c r="I1621" s="148"/>
      <c r="J1621" s="148"/>
      <c r="K1621" s="148"/>
      <c r="L1621" s="148"/>
      <c r="M1621" s="151"/>
      <c r="N1621" s="150">
        <f>M1621</f>
        <v>0</v>
      </c>
    </row>
    <row r="1622" spans="1:15">
      <c r="B1622" s="79" t="s">
        <v>201</v>
      </c>
      <c r="C1622" s="30"/>
      <c r="D1622" s="62"/>
      <c r="E1622" s="148"/>
      <c r="F1622" s="148"/>
      <c r="G1622" s="148"/>
      <c r="H1622" s="148"/>
      <c r="I1622" s="148"/>
      <c r="J1622" s="148"/>
      <c r="K1622" s="148"/>
      <c r="L1622" s="148"/>
      <c r="M1622" s="150"/>
      <c r="N1622" s="151"/>
    </row>
    <row r="1623" spans="1:15">
      <c r="B1623" s="79" t="s">
        <v>202</v>
      </c>
      <c r="C1623" s="30"/>
      <c r="D1623" s="63"/>
      <c r="E1623" s="133"/>
      <c r="F1623" s="133"/>
      <c r="G1623" s="133"/>
      <c r="H1623" s="133"/>
      <c r="I1623" s="133"/>
      <c r="J1623" s="133"/>
      <c r="K1623" s="133"/>
      <c r="L1623" s="133"/>
      <c r="M1623" s="133"/>
      <c r="N1623" s="153"/>
    </row>
    <row r="1624" spans="1:15">
      <c r="B1624" s="33" t="s">
        <v>17</v>
      </c>
      <c r="D1624" s="180">
        <f xml:space="preserve"> D1604 - D1603</f>
        <v>0</v>
      </c>
      <c r="E1624" s="180">
        <f xml:space="preserve"> E1603 + E1606 - E1605 - E1604</f>
        <v>0</v>
      </c>
      <c r="F1624" s="180">
        <f>F1605 - F1606 -F1607</f>
        <v>0</v>
      </c>
      <c r="G1624" s="180">
        <f>G1607-G1608-G1609</f>
        <v>0</v>
      </c>
      <c r="H1624" s="180">
        <f>H1609</f>
        <v>0</v>
      </c>
      <c r="I1624" s="180">
        <f>I1609</f>
        <v>0</v>
      </c>
      <c r="J1624" s="180">
        <f>J1613-J1614-J1615</f>
        <v>0</v>
      </c>
      <c r="K1624" s="180">
        <f>K1613-K1614-K1615</f>
        <v>0</v>
      </c>
      <c r="L1624" s="180">
        <f>L1613-L1614-L1615</f>
        <v>0</v>
      </c>
      <c r="M1624" s="180">
        <f>M1613-M1614-M1615</f>
        <v>0</v>
      </c>
      <c r="N1624" s="180">
        <f>N1613-N1614-N1615</f>
        <v>0</v>
      </c>
      <c r="O1624" s="30"/>
    </row>
    <row r="1625" spans="1:15">
      <c r="B1625" s="6"/>
      <c r="D1625" s="7"/>
      <c r="E1625" s="7"/>
      <c r="F1625" s="7"/>
      <c r="G1625" s="7"/>
      <c r="H1625" s="7"/>
      <c r="I1625" s="7"/>
      <c r="J1625" s="7"/>
      <c r="K1625" s="7"/>
      <c r="L1625" s="7"/>
      <c r="M1625" s="7"/>
      <c r="N1625" s="7"/>
      <c r="O1625" s="30"/>
    </row>
    <row r="1626" spans="1:15">
      <c r="B1626" s="76" t="s">
        <v>12</v>
      </c>
      <c r="C1626" s="71"/>
      <c r="D1626" s="99"/>
      <c r="E1626" s="100"/>
      <c r="F1626" s="100"/>
      <c r="G1626" s="100"/>
      <c r="H1626" s="160"/>
      <c r="I1626" s="160"/>
      <c r="J1626" s="160"/>
      <c r="K1626" s="160"/>
      <c r="L1626" s="160"/>
      <c r="M1626" s="101"/>
      <c r="N1626" s="101"/>
      <c r="O1626" s="30"/>
    </row>
    <row r="1627" spans="1:15">
      <c r="B1627" s="6"/>
      <c r="D1627" s="7"/>
      <c r="E1627" s="7"/>
      <c r="F1627" s="7"/>
      <c r="G1627" s="7"/>
      <c r="H1627" s="7"/>
      <c r="I1627" s="7"/>
      <c r="J1627" s="7"/>
      <c r="K1627" s="7"/>
      <c r="L1627" s="7"/>
      <c r="M1627" s="7"/>
      <c r="N1627" s="7"/>
      <c r="O1627" s="30"/>
    </row>
    <row r="1628" spans="1:15" ht="18.5">
      <c r="A1628" s="41" t="s">
        <v>26</v>
      </c>
      <c r="C1628" s="71"/>
      <c r="D1628" s="43">
        <f xml:space="preserve"> D1589 + D1594 - D1600 + D1624 + D1626</f>
        <v>0</v>
      </c>
      <c r="E1628" s="44">
        <v>1355</v>
      </c>
      <c r="F1628" s="44">
        <f t="shared" ref="F1628:N1628" si="691" xml:space="preserve"> F1589 + F1594 - F1600 + F1624 + F1626</f>
        <v>997</v>
      </c>
      <c r="G1628" s="44">
        <f t="shared" si="691"/>
        <v>1148</v>
      </c>
      <c r="H1628" s="161">
        <f t="shared" si="691"/>
        <v>1011</v>
      </c>
      <c r="I1628" s="161">
        <f t="shared" si="691"/>
        <v>1113</v>
      </c>
      <c r="J1628" s="161">
        <f t="shared" si="691"/>
        <v>1438</v>
      </c>
      <c r="K1628" s="161">
        <f t="shared" si="691"/>
        <v>1007</v>
      </c>
      <c r="L1628" s="161">
        <f t="shared" si="691"/>
        <v>892.99835228774452</v>
      </c>
      <c r="M1628" s="45">
        <f t="shared" ref="M1628" si="692" xml:space="preserve"> M1589 + M1594 - M1600 + M1624 + M1626</f>
        <v>684.52626447897603</v>
      </c>
      <c r="N1628" s="45">
        <f t="shared" si="691"/>
        <v>1175.2670665397216</v>
      </c>
      <c r="O1628" s="30"/>
    </row>
    <row r="1629" spans="1:15">
      <c r="B1629" s="6"/>
      <c r="D1629" s="7"/>
      <c r="E1629" s="7"/>
      <c r="F1629" s="7"/>
      <c r="G1629" s="28"/>
      <c r="H1629" s="28"/>
      <c r="I1629" s="28"/>
      <c r="J1629" s="28"/>
      <c r="K1629" s="28"/>
      <c r="L1629" s="28"/>
      <c r="M1629" s="28"/>
      <c r="N1629" s="28"/>
      <c r="O1629" s="30"/>
    </row>
    <row r="1630" spans="1:15" ht="15" thickBot="1">
      <c r="O1630" s="30"/>
    </row>
    <row r="1631" spans="1:15">
      <c r="A1631" s="8"/>
      <c r="B1631" s="8"/>
      <c r="C1631" s="8"/>
      <c r="D1631" s="8"/>
      <c r="E1631" s="8"/>
      <c r="F1631" s="8"/>
      <c r="G1631" s="8"/>
      <c r="H1631" s="8"/>
      <c r="I1631" s="8"/>
      <c r="J1631" s="8"/>
      <c r="K1631" s="8"/>
      <c r="L1631" s="8"/>
      <c r="M1631" s="8"/>
      <c r="N1631" s="8"/>
      <c r="O1631" s="30"/>
    </row>
    <row r="1632" spans="1:15" ht="15" thickBot="1">
      <c r="B1632" s="30"/>
      <c r="C1632" s="30"/>
      <c r="D1632" s="30"/>
      <c r="E1632" s="30"/>
      <c r="F1632" s="30"/>
      <c r="G1632" s="30"/>
      <c r="H1632" s="30"/>
      <c r="I1632" s="30"/>
      <c r="J1632" s="30"/>
      <c r="K1632" s="30"/>
      <c r="L1632" s="30"/>
      <c r="M1632" s="30"/>
      <c r="N1632" s="30"/>
      <c r="O1632" s="30"/>
    </row>
    <row r="1633" spans="1:15" ht="21.5" thickBot="1">
      <c r="A1633" s="13" t="s">
        <v>4</v>
      </c>
      <c r="B1633" s="13"/>
      <c r="C1633" s="313" t="s">
        <v>207</v>
      </c>
      <c r="D1633" s="314"/>
      <c r="E1633" s="296"/>
      <c r="F1633" s="23"/>
      <c r="G1633" s="30"/>
      <c r="O1633" s="30"/>
    </row>
    <row r="1634" spans="1:15">
      <c r="O1634" s="30"/>
    </row>
    <row r="1635" spans="1:15" ht="18.5">
      <c r="A1635" s="9" t="s">
        <v>21</v>
      </c>
      <c r="B1635" s="9"/>
      <c r="D1635" s="2">
        <f>'Facility Detail'!$B$3082</f>
        <v>2011</v>
      </c>
      <c r="E1635" s="2">
        <f>D1635+1</f>
        <v>2012</v>
      </c>
      <c r="F1635" s="2">
        <f>E1635+1</f>
        <v>2013</v>
      </c>
      <c r="G1635" s="2">
        <f>F1635+1</f>
        <v>2014</v>
      </c>
      <c r="H1635" s="2">
        <f>G1635+1</f>
        <v>2015</v>
      </c>
      <c r="I1635" s="2">
        <f>H1635+1</f>
        <v>2016</v>
      </c>
      <c r="J1635" s="2">
        <f t="shared" ref="J1635:K1635" si="693">I1635+1</f>
        <v>2017</v>
      </c>
      <c r="K1635" s="2">
        <f t="shared" si="693"/>
        <v>2018</v>
      </c>
      <c r="L1635" s="2">
        <f t="shared" ref="L1635" si="694">K1635+1</f>
        <v>2019</v>
      </c>
      <c r="M1635" s="2">
        <f t="shared" ref="M1635" si="695">L1635+1</f>
        <v>2020</v>
      </c>
      <c r="N1635" s="2">
        <f t="shared" ref="N1635" si="696">M1635+1</f>
        <v>2021</v>
      </c>
      <c r="O1635" s="30"/>
    </row>
    <row r="1636" spans="1:15">
      <c r="B1636" s="79" t="str">
        <f>"Total MWh Produced / Purchased from " &amp; C1633</f>
        <v>Total MWh Produced / Purchased from Lemolo 2 (Upgrage 2009)</v>
      </c>
      <c r="C1636" s="71"/>
      <c r="D1636" s="3"/>
      <c r="E1636" s="4">
        <v>1780.5182</v>
      </c>
      <c r="F1636" s="4">
        <v>1290.0086000000001</v>
      </c>
      <c r="G1636" s="4">
        <v>1355</v>
      </c>
      <c r="H1636" s="4">
        <v>1066</v>
      </c>
      <c r="I1636" s="90">
        <v>1144</v>
      </c>
      <c r="J1636" s="225">
        <v>1567</v>
      </c>
      <c r="K1636" s="225">
        <v>1037.6651999999999</v>
      </c>
      <c r="L1636" s="225">
        <v>1130</v>
      </c>
      <c r="M1636" s="227">
        <v>747</v>
      </c>
      <c r="N1636" s="227">
        <v>1327</v>
      </c>
      <c r="O1636" s="30"/>
    </row>
    <row r="1637" spans="1:15">
      <c r="B1637" s="79" t="s">
        <v>25</v>
      </c>
      <c r="C1637" s="71"/>
      <c r="D1637" s="54"/>
      <c r="E1637" s="55">
        <v>1</v>
      </c>
      <c r="F1637" s="55">
        <v>1</v>
      </c>
      <c r="G1637" s="55">
        <v>1</v>
      </c>
      <c r="H1637" s="55">
        <v>1</v>
      </c>
      <c r="I1637" s="55">
        <v>1</v>
      </c>
      <c r="J1637" s="234">
        <v>1</v>
      </c>
      <c r="K1637" s="234">
        <v>1</v>
      </c>
      <c r="L1637" s="234">
        <v>1</v>
      </c>
      <c r="M1637" s="234">
        <v>1</v>
      </c>
      <c r="N1637" s="234">
        <v>1</v>
      </c>
      <c r="O1637" s="30"/>
    </row>
    <row r="1638" spans="1:15">
      <c r="B1638" s="79" t="s">
        <v>20</v>
      </c>
      <c r="C1638" s="71"/>
      <c r="D1638" s="48">
        <v>7.8921000000000005E-2</v>
      </c>
      <c r="E1638" s="49">
        <v>7.9619999999999996E-2</v>
      </c>
      <c r="F1638" s="49">
        <v>7.8747999999999999E-2</v>
      </c>
      <c r="G1638" s="49">
        <v>8.0235000000000001E-2</v>
      </c>
      <c r="H1638" s="49">
        <v>8.0535999999999996E-2</v>
      </c>
      <c r="I1638" s="49">
        <v>8.1698151927344531E-2</v>
      </c>
      <c r="J1638" s="49">
        <v>8.0833713568703974E-2</v>
      </c>
      <c r="K1638" s="49">
        <v>7.9451999999999995E-2</v>
      </c>
      <c r="L1638" s="49">
        <v>7.6724662968274293E-2</v>
      </c>
      <c r="M1638" s="243">
        <f>M1588</f>
        <v>8.1268700519883177E-2</v>
      </c>
      <c r="N1638" s="243">
        <f>N1588</f>
        <v>8.0780946790754593E-2</v>
      </c>
      <c r="O1638" s="30"/>
    </row>
    <row r="1639" spans="1:15">
      <c r="B1639" s="76" t="s">
        <v>22</v>
      </c>
      <c r="C1639" s="77"/>
      <c r="D1639" s="37">
        <f xml:space="preserve"> ROUND(D1636 * D1637 * D1638,0)</f>
        <v>0</v>
      </c>
      <c r="E1639" s="37">
        <v>142</v>
      </c>
      <c r="F1639" s="37">
        <v>102</v>
      </c>
      <c r="G1639" s="37">
        <v>109</v>
      </c>
      <c r="H1639" s="37">
        <v>86</v>
      </c>
      <c r="I1639" s="229">
        <v>95</v>
      </c>
      <c r="J1639" s="229">
        <v>127</v>
      </c>
      <c r="K1639" s="229">
        <v>84</v>
      </c>
      <c r="L1639" s="229">
        <f>L1636*L1638</f>
        <v>86.698869154149946</v>
      </c>
      <c r="M1639" s="229">
        <f>M1636*M1638</f>
        <v>60.707719288352735</v>
      </c>
      <c r="N1639" s="229">
        <f>N1636*N1638</f>
        <v>107.19631639133135</v>
      </c>
      <c r="O1639" s="30"/>
    </row>
    <row r="1640" spans="1:15">
      <c r="B1640" s="23"/>
      <c r="C1640" s="30"/>
      <c r="D1640" s="36"/>
      <c r="E1640" s="36"/>
      <c r="F1640" s="36"/>
      <c r="G1640" s="24"/>
      <c r="H1640" s="24"/>
      <c r="I1640" s="24"/>
      <c r="J1640" s="24"/>
      <c r="K1640" s="24"/>
      <c r="L1640" s="24"/>
      <c r="M1640" s="24"/>
      <c r="N1640" s="24"/>
      <c r="O1640" s="30"/>
    </row>
    <row r="1641" spans="1:15" ht="18.5">
      <c r="A1641" s="42" t="s">
        <v>119</v>
      </c>
      <c r="C1641" s="30"/>
      <c r="D1641" s="2">
        <f>'Facility Detail'!$B$3082</f>
        <v>2011</v>
      </c>
      <c r="E1641" s="2">
        <f>D1641+1</f>
        <v>2012</v>
      </c>
      <c r="F1641" s="2">
        <f>E1641+1</f>
        <v>2013</v>
      </c>
      <c r="G1641" s="2">
        <f>G1635</f>
        <v>2014</v>
      </c>
      <c r="H1641" s="2">
        <f>H1635</f>
        <v>2015</v>
      </c>
      <c r="I1641" s="2">
        <f>I1635</f>
        <v>2016</v>
      </c>
      <c r="J1641" s="2">
        <f t="shared" ref="J1641" si="697">J1635</f>
        <v>2017</v>
      </c>
      <c r="K1641" s="2">
        <f t="shared" ref="K1641:L1641" si="698">K1635</f>
        <v>2018</v>
      </c>
      <c r="L1641" s="2">
        <f t="shared" si="698"/>
        <v>2019</v>
      </c>
      <c r="M1641" s="2">
        <f t="shared" ref="M1641:N1641" si="699">M1635</f>
        <v>2020</v>
      </c>
      <c r="N1641" s="2">
        <f t="shared" si="699"/>
        <v>2021</v>
      </c>
      <c r="O1641" s="30"/>
    </row>
    <row r="1642" spans="1:15">
      <c r="B1642" s="79" t="s">
        <v>10</v>
      </c>
      <c r="C1642" s="71"/>
      <c r="D1642" s="51">
        <f>IF($E35 = "Eligible", D1639 * 'Facility Detail'!$B$3079, 0 )</f>
        <v>0</v>
      </c>
      <c r="E1642" s="51">
        <f>IF($E35 = "Eligible", E1639 * 'Facility Detail'!$B$3079, 0 )</f>
        <v>0</v>
      </c>
      <c r="F1642" s="51">
        <f>IF($E35 = "Eligible", F1639 * 'Facility Detail'!$B$3079, 0 )</f>
        <v>0</v>
      </c>
      <c r="G1642" s="51">
        <f>IF($E35 = "Eligible", G1639 * 'Facility Detail'!$B$3079, 0 )</f>
        <v>0</v>
      </c>
      <c r="H1642" s="51">
        <f>IF($E35 = "Eligible", H1639 * 'Facility Detail'!$B$3079, 0 )</f>
        <v>0</v>
      </c>
      <c r="I1642" s="51">
        <f>IF($E35 = "Eligible", I1639 * 'Facility Detail'!$B$3079, 0 )</f>
        <v>0</v>
      </c>
      <c r="J1642" s="51">
        <f>IF($E35 = "Eligible", J1639 * 'Facility Detail'!$B$3079, 0 )</f>
        <v>0</v>
      </c>
      <c r="K1642" s="51">
        <f>IF($E35 = "Eligible", K1639 * 'Facility Detail'!$B$3079, 0 )</f>
        <v>0</v>
      </c>
      <c r="L1642" s="51">
        <f>IF($E35 = "Eligible", L1639 * 'Facility Detail'!$B$3079, 0 )</f>
        <v>0</v>
      </c>
      <c r="M1642" s="51">
        <f>IF($E35 = "Eligible", M1639 * 'Facility Detail'!$B$3079, 0 )</f>
        <v>0</v>
      </c>
      <c r="N1642" s="51">
        <f>IF($E35 = "Eligible", N1639 * 'Facility Detail'!$B$3079, 0 )</f>
        <v>0</v>
      </c>
      <c r="O1642" s="30"/>
    </row>
    <row r="1643" spans="1:15">
      <c r="B1643" s="79" t="s">
        <v>6</v>
      </c>
      <c r="C1643" s="71"/>
      <c r="D1643" s="52">
        <f t="shared" ref="D1643:N1643" si="700">IF($F35= "Eligible", D1639, 0 )</f>
        <v>0</v>
      </c>
      <c r="E1643" s="52">
        <f t="shared" si="700"/>
        <v>0</v>
      </c>
      <c r="F1643" s="52">
        <f t="shared" si="700"/>
        <v>0</v>
      </c>
      <c r="G1643" s="52">
        <f t="shared" si="700"/>
        <v>0</v>
      </c>
      <c r="H1643" s="52">
        <f t="shared" si="700"/>
        <v>0</v>
      </c>
      <c r="I1643" s="52">
        <f t="shared" si="700"/>
        <v>0</v>
      </c>
      <c r="J1643" s="52">
        <f t="shared" si="700"/>
        <v>0</v>
      </c>
      <c r="K1643" s="52">
        <f t="shared" si="700"/>
        <v>0</v>
      </c>
      <c r="L1643" s="52">
        <f t="shared" si="700"/>
        <v>0</v>
      </c>
      <c r="M1643" s="52">
        <f t="shared" si="700"/>
        <v>0</v>
      </c>
      <c r="N1643" s="52">
        <f t="shared" si="700"/>
        <v>0</v>
      </c>
      <c r="O1643" s="30"/>
    </row>
    <row r="1644" spans="1:15">
      <c r="B1644" s="78" t="s">
        <v>121</v>
      </c>
      <c r="C1644" s="77"/>
      <c r="D1644" s="39">
        <f>SUM(D1642:D1643)</f>
        <v>0</v>
      </c>
      <c r="E1644" s="39">
        <f t="shared" ref="E1644:N1644" si="701">SUM(E1642:E1643)</f>
        <v>0</v>
      </c>
      <c r="F1644" s="39">
        <f t="shared" si="701"/>
        <v>0</v>
      </c>
      <c r="G1644" s="39">
        <f t="shared" si="701"/>
        <v>0</v>
      </c>
      <c r="H1644" s="39">
        <f t="shared" si="701"/>
        <v>0</v>
      </c>
      <c r="I1644" s="39">
        <f t="shared" si="701"/>
        <v>0</v>
      </c>
      <c r="J1644" s="39">
        <f t="shared" si="701"/>
        <v>0</v>
      </c>
      <c r="K1644" s="39">
        <f t="shared" si="701"/>
        <v>0</v>
      </c>
      <c r="L1644" s="39">
        <f t="shared" si="701"/>
        <v>0</v>
      </c>
      <c r="M1644" s="39">
        <f t="shared" si="701"/>
        <v>0</v>
      </c>
      <c r="N1644" s="39">
        <f t="shared" si="701"/>
        <v>0</v>
      </c>
      <c r="O1644" s="30"/>
    </row>
    <row r="1645" spans="1:15">
      <c r="B1645" s="30"/>
      <c r="C1645" s="30"/>
      <c r="D1645" s="38"/>
      <c r="E1645" s="31"/>
      <c r="F1645" s="31"/>
      <c r="G1645" s="24"/>
      <c r="H1645" s="24"/>
      <c r="I1645" s="24"/>
      <c r="J1645" s="24"/>
      <c r="K1645" s="24"/>
      <c r="L1645" s="24"/>
      <c r="M1645" s="24"/>
      <c r="N1645" s="24"/>
      <c r="O1645" s="30"/>
    </row>
    <row r="1646" spans="1:15" ht="18.5">
      <c r="A1646" s="41" t="s">
        <v>30</v>
      </c>
      <c r="C1646" s="30"/>
      <c r="D1646" s="2">
        <f>'Facility Detail'!$B$3082</f>
        <v>2011</v>
      </c>
      <c r="E1646" s="2">
        <f>D1646+1</f>
        <v>2012</v>
      </c>
      <c r="F1646" s="2">
        <f>E1646+1</f>
        <v>2013</v>
      </c>
      <c r="G1646" s="2">
        <f>G1635</f>
        <v>2014</v>
      </c>
      <c r="H1646" s="2">
        <f>H1635</f>
        <v>2015</v>
      </c>
      <c r="I1646" s="2">
        <f>I1635</f>
        <v>2016</v>
      </c>
      <c r="J1646" s="2">
        <f t="shared" ref="J1646" si="702">J1635</f>
        <v>2017</v>
      </c>
      <c r="K1646" s="2">
        <f t="shared" ref="K1646:L1646" si="703">K1635</f>
        <v>2018</v>
      </c>
      <c r="L1646" s="2">
        <f t="shared" si="703"/>
        <v>2019</v>
      </c>
      <c r="M1646" s="2">
        <f t="shared" ref="M1646:N1646" si="704">M1635</f>
        <v>2020</v>
      </c>
      <c r="N1646" s="2">
        <f t="shared" si="704"/>
        <v>2021</v>
      </c>
      <c r="O1646" s="30"/>
    </row>
    <row r="1647" spans="1:15">
      <c r="B1647" s="79" t="s">
        <v>47</v>
      </c>
      <c r="C1647" s="71"/>
      <c r="D1647" s="89"/>
      <c r="E1647" s="90"/>
      <c r="F1647" s="90"/>
      <c r="G1647" s="90"/>
      <c r="H1647" s="90"/>
      <c r="I1647" s="90"/>
      <c r="J1647" s="90"/>
      <c r="K1647" s="90"/>
      <c r="L1647" s="90"/>
      <c r="M1647" s="91"/>
      <c r="N1647" s="91"/>
      <c r="O1647" s="30"/>
    </row>
    <row r="1648" spans="1:15">
      <c r="B1648" s="80" t="s">
        <v>23</v>
      </c>
      <c r="C1648" s="175"/>
      <c r="D1648" s="92"/>
      <c r="E1648" s="93"/>
      <c r="F1648" s="93"/>
      <c r="G1648" s="93"/>
      <c r="H1648" s="93"/>
      <c r="I1648" s="93"/>
      <c r="J1648" s="93"/>
      <c r="K1648" s="93"/>
      <c r="L1648" s="93"/>
      <c r="M1648" s="94"/>
      <c r="N1648" s="94"/>
      <c r="O1648" s="30"/>
    </row>
    <row r="1649" spans="1:15">
      <c r="B1649" s="95" t="s">
        <v>89</v>
      </c>
      <c r="C1649" s="173"/>
      <c r="D1649" s="57"/>
      <c r="E1649" s="58"/>
      <c r="F1649" s="58"/>
      <c r="G1649" s="58"/>
      <c r="H1649" s="58"/>
      <c r="I1649" s="58"/>
      <c r="J1649" s="58"/>
      <c r="K1649" s="58"/>
      <c r="L1649" s="58"/>
      <c r="M1649" s="59"/>
      <c r="N1649" s="59"/>
      <c r="O1649" s="30"/>
    </row>
    <row r="1650" spans="1:15">
      <c r="B1650" s="33" t="s">
        <v>90</v>
      </c>
      <c r="D1650" s="7">
        <f t="shared" ref="D1650:I1650" si="705">SUM(D1647:D1649)</f>
        <v>0</v>
      </c>
      <c r="E1650" s="7">
        <f t="shared" si="705"/>
        <v>0</v>
      </c>
      <c r="F1650" s="7">
        <f t="shared" si="705"/>
        <v>0</v>
      </c>
      <c r="G1650" s="7">
        <f t="shared" si="705"/>
        <v>0</v>
      </c>
      <c r="H1650" s="7">
        <f t="shared" si="705"/>
        <v>0</v>
      </c>
      <c r="I1650" s="7">
        <f t="shared" si="705"/>
        <v>0</v>
      </c>
      <c r="J1650" s="7"/>
      <c r="K1650" s="7"/>
      <c r="L1650" s="7"/>
      <c r="M1650" s="7"/>
      <c r="N1650" s="7"/>
      <c r="O1650" s="30"/>
    </row>
    <row r="1651" spans="1:15">
      <c r="B1651" s="6"/>
      <c r="D1651" s="7"/>
      <c r="E1651" s="7"/>
      <c r="F1651" s="7"/>
      <c r="G1651" s="28"/>
      <c r="H1651" s="28"/>
      <c r="I1651" s="28"/>
      <c r="J1651" s="28"/>
      <c r="K1651" s="28"/>
      <c r="L1651" s="28"/>
      <c r="M1651" s="28"/>
      <c r="N1651" s="28"/>
      <c r="O1651" s="30"/>
    </row>
    <row r="1652" spans="1:15" ht="18.5">
      <c r="A1652" s="9" t="s">
        <v>100</v>
      </c>
      <c r="D1652" s="2">
        <f>'Facility Detail'!$B$3082</f>
        <v>2011</v>
      </c>
      <c r="E1652" s="2">
        <f>D1652+1</f>
        <v>2012</v>
      </c>
      <c r="F1652" s="2">
        <f>E1652+1</f>
        <v>2013</v>
      </c>
      <c r="G1652" s="2">
        <f>F1652+1</f>
        <v>2014</v>
      </c>
      <c r="H1652" s="2">
        <f>G1652+1</f>
        <v>2015</v>
      </c>
      <c r="I1652" s="2">
        <f>H1652+1</f>
        <v>2016</v>
      </c>
      <c r="J1652" s="2">
        <f t="shared" ref="J1652" si="706">I1652+1</f>
        <v>2017</v>
      </c>
      <c r="K1652" s="2">
        <f t="shared" ref="K1652" si="707">J1652+1</f>
        <v>2018</v>
      </c>
      <c r="L1652" s="2">
        <f t="shared" ref="L1652" si="708">K1652+1</f>
        <v>2019</v>
      </c>
      <c r="M1652" s="2">
        <f t="shared" ref="M1652" si="709">L1652+1</f>
        <v>2020</v>
      </c>
      <c r="N1652" s="2">
        <f t="shared" ref="N1652" si="710">M1652+1</f>
        <v>2021</v>
      </c>
      <c r="O1652" s="30"/>
    </row>
    <row r="1653" spans="1:15">
      <c r="B1653" s="79" t="s">
        <v>68</v>
      </c>
      <c r="C1653" s="30"/>
      <c r="D1653" s="3"/>
      <c r="E1653" s="60">
        <f>D1653</f>
        <v>0</v>
      </c>
      <c r="F1653" s="131"/>
      <c r="G1653" s="131"/>
      <c r="H1653" s="131"/>
      <c r="I1653" s="131"/>
      <c r="J1653" s="131"/>
      <c r="K1653" s="131"/>
      <c r="L1653" s="131"/>
      <c r="M1653" s="131"/>
      <c r="N1653" s="61"/>
      <c r="O1653" s="30"/>
    </row>
    <row r="1654" spans="1:15">
      <c r="B1654" s="79" t="s">
        <v>69</v>
      </c>
      <c r="C1654" s="30"/>
      <c r="D1654" s="164">
        <f>E1654</f>
        <v>0</v>
      </c>
      <c r="E1654" s="10"/>
      <c r="F1654" s="74"/>
      <c r="G1654" s="74"/>
      <c r="H1654" s="74"/>
      <c r="I1654" s="74"/>
      <c r="J1654" s="74"/>
      <c r="K1654" s="74"/>
      <c r="L1654" s="74"/>
      <c r="M1654" s="74"/>
      <c r="N1654" s="165"/>
      <c r="O1654" s="30"/>
    </row>
    <row r="1655" spans="1:15">
      <c r="B1655" s="79" t="s">
        <v>70</v>
      </c>
      <c r="C1655" s="30"/>
      <c r="D1655" s="62"/>
      <c r="E1655" s="10"/>
      <c r="F1655" s="70">
        <f>E1655</f>
        <v>0</v>
      </c>
      <c r="G1655" s="74"/>
      <c r="H1655" s="74"/>
      <c r="I1655" s="74"/>
      <c r="J1655" s="74"/>
      <c r="K1655" s="74"/>
      <c r="L1655" s="74"/>
      <c r="M1655" s="74"/>
      <c r="N1655" s="165"/>
      <c r="O1655" s="30"/>
    </row>
    <row r="1656" spans="1:15">
      <c r="B1656" s="79" t="s">
        <v>71</v>
      </c>
      <c r="C1656" s="30"/>
      <c r="D1656" s="62"/>
      <c r="E1656" s="70">
        <f>F1656</f>
        <v>0</v>
      </c>
      <c r="F1656" s="163"/>
      <c r="G1656" s="74"/>
      <c r="H1656" s="74"/>
      <c r="I1656" s="74"/>
      <c r="J1656" s="74"/>
      <c r="K1656" s="74"/>
      <c r="L1656" s="74"/>
      <c r="M1656" s="74"/>
      <c r="N1656" s="165"/>
      <c r="O1656" s="30"/>
    </row>
    <row r="1657" spans="1:15">
      <c r="B1657" s="79" t="s">
        <v>171</v>
      </c>
      <c r="C1657" s="30"/>
      <c r="D1657" s="62"/>
      <c r="E1657" s="148"/>
      <c r="F1657" s="10"/>
      <c r="G1657" s="149">
        <f>F1657</f>
        <v>0</v>
      </c>
      <c r="H1657" s="74"/>
      <c r="I1657" s="74"/>
      <c r="J1657" s="74"/>
      <c r="K1657" s="74"/>
      <c r="L1657" s="74"/>
      <c r="M1657" s="74"/>
      <c r="N1657" s="165"/>
      <c r="O1657" s="30"/>
    </row>
    <row r="1658" spans="1:15">
      <c r="B1658" s="79" t="s">
        <v>172</v>
      </c>
      <c r="C1658" s="30"/>
      <c r="D1658" s="62"/>
      <c r="E1658" s="148"/>
      <c r="F1658" s="70">
        <f>G1658</f>
        <v>0</v>
      </c>
      <c r="G1658" s="10"/>
      <c r="H1658" s="74"/>
      <c r="I1658" s="74"/>
      <c r="J1658" s="74" t="s">
        <v>170</v>
      </c>
      <c r="K1658" s="74" t="s">
        <v>170</v>
      </c>
      <c r="L1658" s="74" t="s">
        <v>170</v>
      </c>
      <c r="M1658" s="74" t="s">
        <v>170</v>
      </c>
      <c r="N1658" s="165" t="s">
        <v>170</v>
      </c>
      <c r="O1658" s="30"/>
    </row>
    <row r="1659" spans="1:15">
      <c r="B1659" s="79" t="s">
        <v>173</v>
      </c>
      <c r="C1659" s="30"/>
      <c r="D1659" s="62"/>
      <c r="E1659" s="148"/>
      <c r="F1659" s="148"/>
      <c r="G1659" s="10"/>
      <c r="H1659" s="149">
        <f>G1659</f>
        <v>0</v>
      </c>
      <c r="I1659" s="148">
        <f>H1659</f>
        <v>0</v>
      </c>
      <c r="J1659" s="74"/>
      <c r="K1659" s="74"/>
      <c r="L1659" s="74"/>
      <c r="M1659" s="74"/>
      <c r="N1659" s="152"/>
      <c r="O1659" s="30"/>
    </row>
    <row r="1660" spans="1:15">
      <c r="B1660" s="79" t="s">
        <v>174</v>
      </c>
      <c r="C1660" s="30"/>
      <c r="D1660" s="62"/>
      <c r="E1660" s="148"/>
      <c r="F1660" s="148"/>
      <c r="G1660" s="70">
        <f>H1660</f>
        <v>0</v>
      </c>
      <c r="H1660" s="10"/>
      <c r="I1660" s="148"/>
      <c r="J1660" s="74"/>
      <c r="K1660" s="74"/>
      <c r="L1660" s="74"/>
      <c r="M1660" s="74"/>
      <c r="N1660" s="152"/>
      <c r="O1660" s="30"/>
    </row>
    <row r="1661" spans="1:15">
      <c r="B1661" s="79" t="s">
        <v>175</v>
      </c>
      <c r="C1661" s="30"/>
      <c r="D1661" s="62"/>
      <c r="E1661" s="148"/>
      <c r="F1661" s="148"/>
      <c r="G1661" s="148"/>
      <c r="H1661" s="10">
        <v>0</v>
      </c>
      <c r="I1661" s="149">
        <f>H1661</f>
        <v>0</v>
      </c>
      <c r="J1661" s="74"/>
      <c r="K1661" s="74"/>
      <c r="L1661" s="74"/>
      <c r="M1661" s="74"/>
      <c r="N1661" s="152"/>
      <c r="O1661" s="30"/>
    </row>
    <row r="1662" spans="1:15">
      <c r="B1662" s="79" t="s">
        <v>176</v>
      </c>
      <c r="C1662" s="30"/>
      <c r="D1662" s="62"/>
      <c r="E1662" s="148"/>
      <c r="F1662" s="148"/>
      <c r="G1662" s="148"/>
      <c r="H1662" s="70"/>
      <c r="I1662" s="10"/>
      <c r="J1662" s="74"/>
      <c r="K1662" s="74"/>
      <c r="L1662" s="74"/>
      <c r="M1662" s="74"/>
      <c r="N1662" s="152"/>
      <c r="O1662" s="30"/>
    </row>
    <row r="1663" spans="1:15">
      <c r="B1663" s="79" t="s">
        <v>177</v>
      </c>
      <c r="C1663" s="30"/>
      <c r="D1663" s="62"/>
      <c r="E1663" s="148"/>
      <c r="F1663" s="148"/>
      <c r="G1663" s="148"/>
      <c r="H1663" s="148"/>
      <c r="I1663" s="207">
        <v>0</v>
      </c>
      <c r="J1663" s="150"/>
      <c r="K1663" s="74"/>
      <c r="L1663" s="74"/>
      <c r="M1663" s="74"/>
      <c r="N1663" s="152"/>
      <c r="O1663" s="30"/>
    </row>
    <row r="1664" spans="1:15">
      <c r="B1664" s="79" t="s">
        <v>168</v>
      </c>
      <c r="C1664" s="30"/>
      <c r="D1664" s="62"/>
      <c r="E1664" s="148"/>
      <c r="F1664" s="148"/>
      <c r="G1664" s="148"/>
      <c r="H1664" s="148"/>
      <c r="I1664" s="208">
        <f>J1663</f>
        <v>0</v>
      </c>
      <c r="J1664" s="151"/>
      <c r="K1664" s="74"/>
      <c r="L1664" s="74"/>
      <c r="M1664" s="74"/>
      <c r="N1664" s="152"/>
      <c r="O1664" s="30"/>
    </row>
    <row r="1665" spans="1:15">
      <c r="B1665" s="79" t="s">
        <v>169</v>
      </c>
      <c r="C1665" s="30"/>
      <c r="D1665" s="62"/>
      <c r="E1665" s="148"/>
      <c r="F1665" s="148"/>
      <c r="G1665" s="148"/>
      <c r="H1665" s="148"/>
      <c r="I1665" s="148"/>
      <c r="J1665" s="151">
        <v>0</v>
      </c>
      <c r="K1665" s="150"/>
      <c r="L1665" s="74"/>
      <c r="M1665" s="74"/>
      <c r="N1665" s="152"/>
      <c r="O1665" s="30"/>
    </row>
    <row r="1666" spans="1:15">
      <c r="B1666" s="79" t="s">
        <v>186</v>
      </c>
      <c r="C1666" s="30"/>
      <c r="D1666" s="62"/>
      <c r="E1666" s="148"/>
      <c r="F1666" s="148"/>
      <c r="G1666" s="148"/>
      <c r="H1666" s="148"/>
      <c r="I1666" s="148"/>
      <c r="J1666" s="228"/>
      <c r="K1666" s="151"/>
      <c r="L1666" s="74"/>
      <c r="M1666" s="74"/>
      <c r="N1666" s="152"/>
      <c r="O1666" s="30"/>
    </row>
    <row r="1667" spans="1:15">
      <c r="B1667" s="79" t="s">
        <v>187</v>
      </c>
      <c r="C1667" s="30"/>
      <c r="D1667" s="62"/>
      <c r="E1667" s="148"/>
      <c r="F1667" s="148"/>
      <c r="G1667" s="148"/>
      <c r="H1667" s="148"/>
      <c r="I1667" s="148"/>
      <c r="J1667" s="148"/>
      <c r="K1667" s="151"/>
      <c r="L1667" s="70"/>
      <c r="M1667" s="74"/>
      <c r="N1667" s="152"/>
      <c r="O1667" s="30"/>
    </row>
    <row r="1668" spans="1:15">
      <c r="B1668" s="79" t="s">
        <v>188</v>
      </c>
      <c r="C1668" s="30"/>
      <c r="D1668" s="62"/>
      <c r="E1668" s="148"/>
      <c r="F1668" s="148"/>
      <c r="G1668" s="148"/>
      <c r="H1668" s="148"/>
      <c r="I1668" s="148"/>
      <c r="J1668" s="148"/>
      <c r="K1668" s="150"/>
      <c r="L1668" s="151"/>
      <c r="M1668" s="132"/>
      <c r="N1668" s="233"/>
      <c r="O1668" s="30"/>
    </row>
    <row r="1669" spans="1:15">
      <c r="B1669" s="79" t="s">
        <v>189</v>
      </c>
      <c r="C1669" s="30"/>
      <c r="D1669" s="62"/>
      <c r="E1669" s="148"/>
      <c r="F1669" s="148"/>
      <c r="G1669" s="148"/>
      <c r="H1669" s="148"/>
      <c r="I1669" s="148"/>
      <c r="J1669" s="148"/>
      <c r="K1669" s="148"/>
      <c r="L1669" s="151"/>
      <c r="M1669" s="70"/>
      <c r="N1669" s="233"/>
      <c r="O1669" s="30"/>
    </row>
    <row r="1670" spans="1:15">
      <c r="B1670" s="79" t="s">
        <v>190</v>
      </c>
      <c r="C1670" s="30"/>
      <c r="D1670" s="62"/>
      <c r="E1670" s="148"/>
      <c r="F1670" s="148"/>
      <c r="G1670" s="148"/>
      <c r="H1670" s="148"/>
      <c r="I1670" s="148"/>
      <c r="J1670" s="148"/>
      <c r="K1670" s="148"/>
      <c r="L1670" s="145"/>
      <c r="M1670" s="151"/>
      <c r="N1670" s="178"/>
    </row>
    <row r="1671" spans="1:15">
      <c r="B1671" s="79" t="s">
        <v>191</v>
      </c>
      <c r="C1671" s="30"/>
      <c r="D1671" s="62"/>
      <c r="E1671" s="148"/>
      <c r="F1671" s="148"/>
      <c r="G1671" s="148"/>
      <c r="H1671" s="148"/>
      <c r="I1671" s="148"/>
      <c r="J1671" s="148"/>
      <c r="K1671" s="148"/>
      <c r="L1671" s="148"/>
      <c r="M1671" s="151"/>
      <c r="N1671" s="150">
        <f>M1671</f>
        <v>0</v>
      </c>
    </row>
    <row r="1672" spans="1:15">
      <c r="B1672" s="79" t="s">
        <v>201</v>
      </c>
      <c r="C1672" s="30"/>
      <c r="D1672" s="62"/>
      <c r="E1672" s="148"/>
      <c r="F1672" s="148"/>
      <c r="G1672" s="148"/>
      <c r="H1672" s="148"/>
      <c r="I1672" s="148"/>
      <c r="J1672" s="148"/>
      <c r="K1672" s="148"/>
      <c r="L1672" s="148"/>
      <c r="M1672" s="150"/>
      <c r="N1672" s="151"/>
    </row>
    <row r="1673" spans="1:15">
      <c r="B1673" s="79" t="s">
        <v>202</v>
      </c>
      <c r="C1673" s="30"/>
      <c r="D1673" s="63"/>
      <c r="E1673" s="133"/>
      <c r="F1673" s="133"/>
      <c r="G1673" s="133"/>
      <c r="H1673" s="133"/>
      <c r="I1673" s="133"/>
      <c r="J1673" s="133"/>
      <c r="K1673" s="133"/>
      <c r="L1673" s="133"/>
      <c r="M1673" s="133"/>
      <c r="N1673" s="153"/>
    </row>
    <row r="1674" spans="1:15">
      <c r="B1674" s="33" t="s">
        <v>17</v>
      </c>
      <c r="D1674" s="180">
        <f xml:space="preserve"> D1654 - D1653</f>
        <v>0</v>
      </c>
      <c r="E1674" s="180">
        <f xml:space="preserve"> E1653 + E1656 - E1655 - E1654</f>
        <v>0</v>
      </c>
      <c r="F1674" s="180">
        <f>F1655 - F1656 -F1657</f>
        <v>0</v>
      </c>
      <c r="G1674" s="180">
        <f>G1657-G1658-G1659</f>
        <v>0</v>
      </c>
      <c r="H1674" s="180">
        <f>H1659</f>
        <v>0</v>
      </c>
      <c r="I1674" s="180">
        <f>I1659</f>
        <v>0</v>
      </c>
      <c r="J1674" s="180">
        <f>J1663-J1664-J1665</f>
        <v>0</v>
      </c>
      <c r="K1674" s="180">
        <f t="shared" ref="K1674:L1674" si="711">K1663-K1664-K1665</f>
        <v>0</v>
      </c>
      <c r="L1674" s="180">
        <f t="shared" si="711"/>
        <v>0</v>
      </c>
      <c r="M1674" s="180">
        <f t="shared" ref="M1674:N1674" si="712">M1663-M1664-M1665</f>
        <v>0</v>
      </c>
      <c r="N1674" s="180">
        <f t="shared" si="712"/>
        <v>0</v>
      </c>
      <c r="O1674" s="30"/>
    </row>
    <row r="1675" spans="1:15">
      <c r="B1675" s="6"/>
      <c r="D1675" s="7"/>
      <c r="E1675" s="7"/>
      <c r="F1675" s="7"/>
      <c r="G1675" s="7"/>
      <c r="H1675" s="7"/>
      <c r="I1675" s="7"/>
      <c r="J1675" s="7"/>
      <c r="K1675" s="7"/>
      <c r="L1675" s="7"/>
      <c r="M1675" s="7"/>
      <c r="N1675" s="7"/>
      <c r="O1675" s="30"/>
    </row>
    <row r="1676" spans="1:15">
      <c r="B1676" s="76" t="s">
        <v>12</v>
      </c>
      <c r="C1676" s="71"/>
      <c r="D1676" s="99"/>
      <c r="E1676" s="100"/>
      <c r="F1676" s="100"/>
      <c r="G1676" s="100"/>
      <c r="H1676" s="100"/>
      <c r="I1676" s="100"/>
      <c r="J1676" s="100"/>
      <c r="K1676" s="100"/>
      <c r="L1676" s="100"/>
      <c r="M1676" s="101"/>
      <c r="N1676" s="101"/>
      <c r="O1676" s="30"/>
    </row>
    <row r="1677" spans="1:15">
      <c r="B1677" s="6"/>
      <c r="D1677" s="7"/>
      <c r="E1677" s="7"/>
      <c r="F1677" s="7"/>
      <c r="G1677" s="7"/>
      <c r="H1677" s="180"/>
      <c r="I1677" s="200"/>
      <c r="J1677" s="7"/>
      <c r="K1677" s="7"/>
      <c r="L1677" s="7"/>
      <c r="M1677" s="7"/>
      <c r="N1677" s="7"/>
      <c r="O1677" s="30"/>
    </row>
    <row r="1678" spans="1:15" ht="18.5">
      <c r="A1678" s="41" t="s">
        <v>26</v>
      </c>
      <c r="C1678" s="71"/>
      <c r="D1678" s="43">
        <f xml:space="preserve"> D1639 + D1644 - D1650 + D1674 + D1676</f>
        <v>0</v>
      </c>
      <c r="E1678" s="44">
        <v>142</v>
      </c>
      <c r="F1678" s="44">
        <f xml:space="preserve"> F1639 + F1644 - F1650 + F1674 + F1676</f>
        <v>102</v>
      </c>
      <c r="G1678" s="44">
        <f xml:space="preserve"> G1639 + G1644 - G1650 + G1674 + G1676</f>
        <v>109</v>
      </c>
      <c r="H1678" s="44">
        <f xml:space="preserve"> H1639 + H1644 - H1650 + H1674 + H1676</f>
        <v>86</v>
      </c>
      <c r="I1678" s="44">
        <f t="shared" ref="I1678:L1678" si="713" xml:space="preserve"> I1639 + I1644 - I1650 + I1674 + I1676</f>
        <v>95</v>
      </c>
      <c r="J1678" s="44">
        <f t="shared" si="713"/>
        <v>127</v>
      </c>
      <c r="K1678" s="44">
        <f t="shared" si="713"/>
        <v>84</v>
      </c>
      <c r="L1678" s="44">
        <f t="shared" si="713"/>
        <v>86.698869154149946</v>
      </c>
      <c r="M1678" s="45">
        <f t="shared" ref="M1678:N1678" si="714" xml:space="preserve"> M1639 + M1644 - M1650 + M1674 + M1676</f>
        <v>60.707719288352735</v>
      </c>
      <c r="N1678" s="45">
        <f t="shared" si="714"/>
        <v>107.19631639133135</v>
      </c>
      <c r="O1678" s="30"/>
    </row>
    <row r="1679" spans="1:15">
      <c r="B1679" s="6"/>
      <c r="D1679" s="7"/>
      <c r="E1679" s="7"/>
      <c r="F1679" s="7"/>
      <c r="G1679" s="28"/>
      <c r="H1679" s="28"/>
      <c r="I1679" s="28"/>
      <c r="J1679" s="28"/>
      <c r="K1679" s="28"/>
      <c r="L1679" s="28"/>
      <c r="M1679" s="28"/>
      <c r="N1679" s="28"/>
      <c r="O1679" s="30"/>
    </row>
    <row r="1680" spans="1:15" ht="15" thickBot="1">
      <c r="O1680" s="30"/>
    </row>
    <row r="1681" spans="1:14">
      <c r="A1681" s="8"/>
      <c r="B1681" s="8"/>
      <c r="C1681" s="8"/>
      <c r="D1681" s="8"/>
      <c r="E1681" s="8"/>
      <c r="F1681" s="8"/>
      <c r="G1681" s="8"/>
      <c r="H1681" s="8"/>
      <c r="I1681" s="8"/>
      <c r="J1681" s="8"/>
      <c r="K1681" s="8"/>
      <c r="L1681" s="8"/>
      <c r="M1681" s="8"/>
      <c r="N1681" s="8"/>
    </row>
    <row r="1682" spans="1:14" ht="15" thickBot="1"/>
    <row r="1683" spans="1:14" ht="21.5" thickBot="1">
      <c r="A1683" s="13" t="s">
        <v>4</v>
      </c>
      <c r="B1683" s="13"/>
      <c r="C1683" s="340" t="str">
        <f>B36</f>
        <v>Lower Snake – Phalen Gulch - REC Only</v>
      </c>
      <c r="D1683" s="341"/>
      <c r="E1683" s="342"/>
    </row>
    <row r="1685" spans="1:14" ht="18.5">
      <c r="A1685" s="9" t="s">
        <v>21</v>
      </c>
      <c r="B1685" s="9"/>
      <c r="D1685" s="2">
        <f>'Facility Detail'!$B$3082</f>
        <v>2011</v>
      </c>
      <c r="E1685" s="2">
        <f>D1685+1</f>
        <v>2012</v>
      </c>
      <c r="F1685" s="2">
        <f>E1685+1</f>
        <v>2013</v>
      </c>
      <c r="G1685" s="2">
        <f t="shared" ref="G1685:N1685" si="715">F1685+1</f>
        <v>2014</v>
      </c>
      <c r="H1685" s="2">
        <f t="shared" si="715"/>
        <v>2015</v>
      </c>
      <c r="I1685" s="2">
        <f t="shared" si="715"/>
        <v>2016</v>
      </c>
      <c r="J1685" s="2">
        <f t="shared" si="715"/>
        <v>2017</v>
      </c>
      <c r="K1685" s="2">
        <f t="shared" si="715"/>
        <v>2018</v>
      </c>
      <c r="L1685" s="2">
        <f t="shared" si="715"/>
        <v>2019</v>
      </c>
      <c r="M1685" s="2">
        <f t="shared" si="715"/>
        <v>2020</v>
      </c>
      <c r="N1685" s="2">
        <f t="shared" si="715"/>
        <v>2021</v>
      </c>
    </row>
    <row r="1686" spans="1:14">
      <c r="B1686" s="326" t="str">
        <f>"Total MWh Produced / Purchased from " &amp; C1683</f>
        <v>Total MWh Produced / Purchased from Lower Snake – Phalen Gulch - REC Only</v>
      </c>
      <c r="C1686" s="71"/>
      <c r="D1686" s="3"/>
      <c r="E1686" s="4"/>
      <c r="F1686" s="4"/>
      <c r="G1686" s="4"/>
      <c r="H1686" s="4">
        <v>1300</v>
      </c>
      <c r="I1686" s="4"/>
      <c r="J1686" s="4"/>
      <c r="K1686" s="4"/>
      <c r="L1686" s="4"/>
      <c r="M1686" s="4"/>
      <c r="N1686" s="4"/>
    </row>
    <row r="1687" spans="1:14">
      <c r="B1687" s="326" t="s">
        <v>25</v>
      </c>
      <c r="C1687" s="71"/>
      <c r="D1687" s="54"/>
      <c r="E1687" s="55"/>
      <c r="F1687" s="55"/>
      <c r="G1687" s="55"/>
      <c r="H1687" s="55">
        <v>1</v>
      </c>
      <c r="I1687" s="55"/>
      <c r="J1687" s="55"/>
      <c r="K1687" s="55"/>
      <c r="L1687" s="55"/>
      <c r="M1687" s="55"/>
      <c r="N1687" s="55"/>
    </row>
    <row r="1688" spans="1:14">
      <c r="B1688" s="326" t="s">
        <v>20</v>
      </c>
      <c r="C1688" s="71"/>
      <c r="D1688" s="48"/>
      <c r="E1688" s="49"/>
      <c r="F1688" s="49"/>
      <c r="G1688" s="49"/>
      <c r="H1688" s="49">
        <v>1</v>
      </c>
      <c r="I1688" s="49"/>
      <c r="J1688" s="49"/>
      <c r="K1688" s="49"/>
      <c r="L1688" s="49"/>
      <c r="M1688" s="49"/>
      <c r="N1688" s="49"/>
    </row>
    <row r="1689" spans="1:14">
      <c r="B1689" s="33" t="s">
        <v>22</v>
      </c>
      <c r="C1689" s="6"/>
      <c r="D1689" s="37">
        <f xml:space="preserve"> D1686 * D1687 * D1688</f>
        <v>0</v>
      </c>
      <c r="E1689" s="37">
        <f xml:space="preserve"> E1686 * E1687 * E1688</f>
        <v>0</v>
      </c>
      <c r="F1689" s="37">
        <f xml:space="preserve"> F1686 * F1687 * F1688</f>
        <v>0</v>
      </c>
      <c r="G1689" s="37">
        <f t="shared" ref="G1689:N1689" si="716" xml:space="preserve"> G1686 * G1687 * G1688</f>
        <v>0</v>
      </c>
      <c r="H1689" s="37">
        <v>1300</v>
      </c>
      <c r="I1689" s="37">
        <f t="shared" si="716"/>
        <v>0</v>
      </c>
      <c r="J1689" s="37">
        <f t="shared" si="716"/>
        <v>0</v>
      </c>
      <c r="K1689" s="37">
        <f t="shared" si="716"/>
        <v>0</v>
      </c>
      <c r="L1689" s="37">
        <f t="shared" si="716"/>
        <v>0</v>
      </c>
      <c r="M1689" s="37">
        <f t="shared" si="716"/>
        <v>0</v>
      </c>
      <c r="N1689" s="37">
        <f t="shared" si="716"/>
        <v>0</v>
      </c>
    </row>
    <row r="1690" spans="1:14">
      <c r="D1690" s="36"/>
      <c r="E1690" s="36"/>
      <c r="F1690" s="36"/>
      <c r="G1690" s="36"/>
      <c r="H1690" s="36"/>
      <c r="I1690" s="36"/>
      <c r="J1690" s="36"/>
      <c r="K1690" s="36"/>
      <c r="L1690" s="36"/>
      <c r="M1690" s="36"/>
      <c r="N1690" s="36"/>
    </row>
    <row r="1691" spans="1:14" ht="18.5">
      <c r="A1691" s="9" t="s">
        <v>119</v>
      </c>
      <c r="D1691" s="2">
        <f>'Facility Detail'!$B$3082</f>
        <v>2011</v>
      </c>
      <c r="E1691" s="2">
        <f>D1691+1</f>
        <v>2012</v>
      </c>
      <c r="F1691" s="2">
        <f>E1691+1</f>
        <v>2013</v>
      </c>
      <c r="G1691" s="2">
        <f t="shared" ref="G1691:N1691" si="717">F1691+1</f>
        <v>2014</v>
      </c>
      <c r="H1691" s="2">
        <f t="shared" si="717"/>
        <v>2015</v>
      </c>
      <c r="I1691" s="2">
        <f t="shared" si="717"/>
        <v>2016</v>
      </c>
      <c r="J1691" s="2">
        <f t="shared" si="717"/>
        <v>2017</v>
      </c>
      <c r="K1691" s="2">
        <f t="shared" si="717"/>
        <v>2018</v>
      </c>
      <c r="L1691" s="2">
        <f t="shared" si="717"/>
        <v>2019</v>
      </c>
      <c r="M1691" s="2">
        <f t="shared" si="717"/>
        <v>2020</v>
      </c>
      <c r="N1691" s="2">
        <f t="shared" si="717"/>
        <v>2021</v>
      </c>
    </row>
    <row r="1692" spans="1:14">
      <c r="B1692" s="326" t="s">
        <v>10</v>
      </c>
      <c r="C1692" s="71"/>
      <c r="D1692" s="51">
        <f>IF($E36 = "Eligible", D1689 * 'Facility Detail'!$B$3079, 0 )</f>
        <v>0</v>
      </c>
      <c r="E1692" s="51">
        <f>IF($E36 = "Eligible", E1689 * 'Facility Detail'!$B$3079, 0 )</f>
        <v>0</v>
      </c>
      <c r="F1692" s="51">
        <f>IF($E36 = "Eligible", F1689 * 'Facility Detail'!$B$3079, 0 )</f>
        <v>0</v>
      </c>
      <c r="G1692" s="51">
        <f>IF($E36 = "Eligible", G1689 * 'Facility Detail'!$B$3079, 0 )</f>
        <v>0</v>
      </c>
      <c r="H1692" s="51">
        <f>IF($E36 = "Eligible", H1689 * 'Facility Detail'!$B$3079, 0 )</f>
        <v>0</v>
      </c>
      <c r="I1692" s="51">
        <f>IF($E36 = "Eligible", I1689 * 'Facility Detail'!$B$3079, 0 )</f>
        <v>0</v>
      </c>
      <c r="J1692" s="51">
        <f>IF($E36 = "Eligible", J1689 * 'Facility Detail'!$B$3079, 0 )</f>
        <v>0</v>
      </c>
      <c r="K1692" s="51">
        <f>IF($E36 = "Eligible", K1689 * 'Facility Detail'!$B$3079, 0 )</f>
        <v>0</v>
      </c>
      <c r="L1692" s="51">
        <f>IF($E36 = "Eligible", L1689 * 'Facility Detail'!$B$3079, 0 )</f>
        <v>0</v>
      </c>
      <c r="M1692" s="51">
        <f>IF($E36 = "Eligible", M1689 * 'Facility Detail'!$B$3079, 0 )</f>
        <v>0</v>
      </c>
      <c r="N1692" s="51">
        <f>IF($E36 = "Eligible", N1689 * 'Facility Detail'!$B$3079, 0 )</f>
        <v>0</v>
      </c>
    </row>
    <row r="1693" spans="1:14">
      <c r="B1693" s="326" t="s">
        <v>6</v>
      </c>
      <c r="C1693" s="71"/>
      <c r="D1693" s="52">
        <f t="shared" ref="D1693:N1693" si="718">IF($F36= "Eligible", D1689, 0 )</f>
        <v>0</v>
      </c>
      <c r="E1693" s="52">
        <f t="shared" si="718"/>
        <v>0</v>
      </c>
      <c r="F1693" s="52">
        <f t="shared" si="718"/>
        <v>0</v>
      </c>
      <c r="G1693" s="52">
        <f t="shared" si="718"/>
        <v>0</v>
      </c>
      <c r="H1693" s="52">
        <f t="shared" si="718"/>
        <v>0</v>
      </c>
      <c r="I1693" s="52">
        <f t="shared" si="718"/>
        <v>0</v>
      </c>
      <c r="J1693" s="52">
        <f t="shared" si="718"/>
        <v>0</v>
      </c>
      <c r="K1693" s="52">
        <f t="shared" si="718"/>
        <v>0</v>
      </c>
      <c r="L1693" s="52">
        <f t="shared" si="718"/>
        <v>0</v>
      </c>
      <c r="M1693" s="52">
        <f t="shared" si="718"/>
        <v>0</v>
      </c>
      <c r="N1693" s="52">
        <f t="shared" si="718"/>
        <v>0</v>
      </c>
    </row>
    <row r="1694" spans="1:14">
      <c r="B1694" s="33" t="s">
        <v>121</v>
      </c>
      <c r="C1694" s="6"/>
      <c r="D1694" s="39">
        <f>SUM(D1692:D1693)</f>
        <v>0</v>
      </c>
      <c r="E1694" s="40">
        <f>SUM(E1692:E1693)</f>
        <v>0</v>
      </c>
      <c r="F1694" s="40">
        <f>SUM(F1692:F1693)</f>
        <v>0</v>
      </c>
      <c r="G1694" s="40">
        <f t="shared" ref="G1694:N1694" si="719">SUM(G1692:G1693)</f>
        <v>0</v>
      </c>
      <c r="H1694" s="40">
        <f t="shared" si="719"/>
        <v>0</v>
      </c>
      <c r="I1694" s="40">
        <f t="shared" si="719"/>
        <v>0</v>
      </c>
      <c r="J1694" s="40">
        <f t="shared" si="719"/>
        <v>0</v>
      </c>
      <c r="K1694" s="40">
        <f t="shared" si="719"/>
        <v>0</v>
      </c>
      <c r="L1694" s="40">
        <f t="shared" si="719"/>
        <v>0</v>
      </c>
      <c r="M1694" s="40">
        <f t="shared" si="719"/>
        <v>0</v>
      </c>
      <c r="N1694" s="40">
        <f t="shared" si="719"/>
        <v>0</v>
      </c>
    </row>
    <row r="1695" spans="1:14">
      <c r="D1695" s="38"/>
      <c r="E1695" s="31"/>
      <c r="F1695" s="31"/>
      <c r="G1695" s="31"/>
      <c r="H1695" s="31"/>
      <c r="I1695" s="31"/>
      <c r="J1695" s="31"/>
      <c r="K1695" s="31"/>
      <c r="L1695" s="31"/>
      <c r="M1695" s="31"/>
      <c r="N1695" s="31"/>
    </row>
    <row r="1696" spans="1:14" ht="18.5">
      <c r="A1696" s="9" t="s">
        <v>30</v>
      </c>
      <c r="D1696" s="2">
        <f>'Facility Detail'!$B$3082</f>
        <v>2011</v>
      </c>
      <c r="E1696" s="2">
        <f>D1696+1</f>
        <v>2012</v>
      </c>
      <c r="F1696" s="2">
        <f>E1696+1</f>
        <v>2013</v>
      </c>
      <c r="G1696" s="2">
        <f t="shared" ref="G1696:N1696" si="720">F1696+1</f>
        <v>2014</v>
      </c>
      <c r="H1696" s="2">
        <f t="shared" si="720"/>
        <v>2015</v>
      </c>
      <c r="I1696" s="2">
        <f t="shared" si="720"/>
        <v>2016</v>
      </c>
      <c r="J1696" s="2">
        <f t="shared" si="720"/>
        <v>2017</v>
      </c>
      <c r="K1696" s="2">
        <f t="shared" si="720"/>
        <v>2018</v>
      </c>
      <c r="L1696" s="2">
        <f t="shared" si="720"/>
        <v>2019</v>
      </c>
      <c r="M1696" s="2">
        <f t="shared" si="720"/>
        <v>2020</v>
      </c>
      <c r="N1696" s="2">
        <f t="shared" si="720"/>
        <v>2021</v>
      </c>
    </row>
    <row r="1697" spans="1:14">
      <c r="B1697" s="326" t="s">
        <v>47</v>
      </c>
      <c r="C1697" s="71"/>
      <c r="D1697" s="89"/>
      <c r="E1697" s="90"/>
      <c r="F1697" s="90"/>
      <c r="G1697" s="90"/>
      <c r="H1697" s="90"/>
      <c r="I1697" s="90"/>
      <c r="J1697" s="90"/>
      <c r="K1697" s="90"/>
      <c r="L1697" s="90"/>
      <c r="M1697" s="90"/>
      <c r="N1697" s="90"/>
    </row>
    <row r="1698" spans="1:14">
      <c r="B1698" s="330" t="s">
        <v>23</v>
      </c>
      <c r="C1698" s="331"/>
      <c r="D1698" s="92"/>
      <c r="E1698" s="93"/>
      <c r="F1698" s="93"/>
      <c r="G1698" s="93"/>
      <c r="H1698" s="93"/>
      <c r="I1698" s="93"/>
      <c r="J1698" s="93"/>
      <c r="K1698" s="93"/>
      <c r="L1698" s="93"/>
      <c r="M1698" s="93"/>
      <c r="N1698" s="93"/>
    </row>
    <row r="1699" spans="1:14">
      <c r="B1699" s="330" t="s">
        <v>89</v>
      </c>
      <c r="C1699" s="332"/>
      <c r="D1699" s="57"/>
      <c r="E1699" s="58"/>
      <c r="F1699" s="58"/>
      <c r="G1699" s="58"/>
      <c r="H1699" s="58"/>
      <c r="I1699" s="58"/>
      <c r="J1699" s="58"/>
      <c r="K1699" s="58"/>
      <c r="L1699" s="58"/>
      <c r="M1699" s="58"/>
      <c r="N1699" s="58"/>
    </row>
    <row r="1700" spans="1:14">
      <c r="B1700" s="33" t="s">
        <v>90</v>
      </c>
      <c r="D1700" s="7">
        <f>SUM(D1697:D1699)</f>
        <v>0</v>
      </c>
      <c r="E1700" s="7">
        <f>SUM(E1697:E1699)</f>
        <v>0</v>
      </c>
      <c r="F1700" s="7">
        <f>SUM(F1697:F1699)</f>
        <v>0</v>
      </c>
      <c r="G1700" s="7">
        <f t="shared" ref="G1700:N1700" si="721">SUM(G1697:G1699)</f>
        <v>0</v>
      </c>
      <c r="H1700" s="7">
        <f t="shared" si="721"/>
        <v>0</v>
      </c>
      <c r="I1700" s="7">
        <f t="shared" si="721"/>
        <v>0</v>
      </c>
      <c r="J1700" s="7">
        <f t="shared" si="721"/>
        <v>0</v>
      </c>
      <c r="K1700" s="7">
        <f t="shared" si="721"/>
        <v>0</v>
      </c>
      <c r="L1700" s="7">
        <f t="shared" si="721"/>
        <v>0</v>
      </c>
      <c r="M1700" s="7">
        <f t="shared" si="721"/>
        <v>0</v>
      </c>
      <c r="N1700" s="7">
        <f t="shared" si="721"/>
        <v>0</v>
      </c>
    </row>
    <row r="1701" spans="1:14">
      <c r="B1701" s="6"/>
      <c r="D1701" s="7"/>
      <c r="E1701" s="7"/>
      <c r="F1701" s="7"/>
      <c r="G1701" s="7"/>
      <c r="H1701" s="7"/>
      <c r="I1701" s="7"/>
      <c r="J1701" s="7"/>
      <c r="K1701" s="7"/>
      <c r="L1701" s="7"/>
      <c r="M1701" s="7"/>
      <c r="N1701" s="7"/>
    </row>
    <row r="1702" spans="1:14" ht="18.5">
      <c r="A1702" s="9" t="s">
        <v>100</v>
      </c>
      <c r="D1702" s="2">
        <f>'Facility Detail'!$B$3082</f>
        <v>2011</v>
      </c>
      <c r="E1702" s="2">
        <f>D1702+1</f>
        <v>2012</v>
      </c>
      <c r="F1702" s="2">
        <f>E1702+1</f>
        <v>2013</v>
      </c>
      <c r="G1702" s="2">
        <f t="shared" ref="G1702:N1702" si="722">F1702+1</f>
        <v>2014</v>
      </c>
      <c r="H1702" s="2">
        <f t="shared" si="722"/>
        <v>2015</v>
      </c>
      <c r="I1702" s="2">
        <f t="shared" si="722"/>
        <v>2016</v>
      </c>
      <c r="J1702" s="2">
        <f t="shared" si="722"/>
        <v>2017</v>
      </c>
      <c r="K1702" s="2">
        <f t="shared" si="722"/>
        <v>2018</v>
      </c>
      <c r="L1702" s="2">
        <f t="shared" si="722"/>
        <v>2019</v>
      </c>
      <c r="M1702" s="2">
        <f t="shared" si="722"/>
        <v>2020</v>
      </c>
      <c r="N1702" s="2">
        <f t="shared" si="722"/>
        <v>2021</v>
      </c>
    </row>
    <row r="1703" spans="1:14">
      <c r="B1703" s="326" t="s">
        <v>68</v>
      </c>
      <c r="C1703" s="71"/>
      <c r="D1703" s="3"/>
      <c r="E1703" s="60">
        <f>D1703</f>
        <v>0</v>
      </c>
      <c r="F1703" s="131"/>
      <c r="G1703" s="131"/>
      <c r="H1703" s="131"/>
      <c r="I1703" s="131"/>
      <c r="J1703" s="131"/>
      <c r="K1703" s="131"/>
      <c r="L1703" s="131"/>
      <c r="M1703" s="131"/>
      <c r="N1703" s="131"/>
    </row>
    <row r="1704" spans="1:14">
      <c r="B1704" s="326" t="s">
        <v>69</v>
      </c>
      <c r="C1704" s="71"/>
      <c r="D1704" s="164">
        <f>E1704</f>
        <v>0</v>
      </c>
      <c r="E1704" s="10"/>
      <c r="F1704" s="74"/>
      <c r="G1704" s="74"/>
      <c r="H1704" s="74"/>
      <c r="I1704" s="74"/>
      <c r="J1704" s="74"/>
      <c r="K1704" s="74"/>
      <c r="L1704" s="74"/>
      <c r="M1704" s="74"/>
      <c r="N1704" s="74"/>
    </row>
    <row r="1705" spans="1:14">
      <c r="B1705" s="326" t="s">
        <v>70</v>
      </c>
      <c r="C1705" s="71"/>
      <c r="D1705" s="62"/>
      <c r="E1705" s="10">
        <f>E1689</f>
        <v>0</v>
      </c>
      <c r="F1705" s="70">
        <f>E1705</f>
        <v>0</v>
      </c>
      <c r="G1705" s="74"/>
      <c r="H1705" s="74"/>
      <c r="I1705" s="74"/>
      <c r="J1705" s="74"/>
      <c r="K1705" s="74"/>
      <c r="L1705" s="74"/>
      <c r="M1705" s="74"/>
      <c r="N1705" s="74"/>
    </row>
    <row r="1706" spans="1:14">
      <c r="B1706" s="326" t="s">
        <v>71</v>
      </c>
      <c r="C1706" s="71"/>
      <c r="D1706" s="62"/>
      <c r="E1706" s="70">
        <f>F1706</f>
        <v>0</v>
      </c>
      <c r="F1706" s="163"/>
      <c r="G1706" s="74"/>
      <c r="H1706" s="74"/>
      <c r="I1706" s="74"/>
      <c r="J1706" s="74"/>
      <c r="K1706" s="74"/>
      <c r="L1706" s="74"/>
      <c r="M1706" s="74"/>
      <c r="N1706" s="74"/>
    </row>
    <row r="1707" spans="1:14">
      <c r="B1707" s="326" t="s">
        <v>171</v>
      </c>
      <c r="D1707" s="62"/>
      <c r="E1707" s="148"/>
      <c r="F1707" s="10">
        <f>F1689</f>
        <v>0</v>
      </c>
      <c r="G1707" s="149">
        <f>F1707</f>
        <v>0</v>
      </c>
      <c r="H1707" s="74"/>
      <c r="I1707" s="74"/>
      <c r="J1707" s="74"/>
      <c r="K1707" s="74"/>
      <c r="L1707" s="74"/>
      <c r="M1707" s="74"/>
      <c r="N1707" s="74"/>
    </row>
    <row r="1708" spans="1:14">
      <c r="B1708" s="326" t="s">
        <v>172</v>
      </c>
      <c r="D1708" s="62"/>
      <c r="E1708" s="148"/>
      <c r="F1708" s="70">
        <f>G1708</f>
        <v>0</v>
      </c>
      <c r="G1708" s="10"/>
      <c r="H1708" s="74"/>
      <c r="I1708" s="74"/>
      <c r="J1708" s="74"/>
      <c r="K1708" s="74"/>
      <c r="L1708" s="74"/>
      <c r="M1708" s="74"/>
      <c r="N1708" s="74"/>
    </row>
    <row r="1709" spans="1:14">
      <c r="B1709" s="326" t="s">
        <v>173</v>
      </c>
      <c r="D1709" s="62"/>
      <c r="E1709" s="148"/>
      <c r="F1709" s="148"/>
      <c r="G1709" s="10">
        <f>G1689</f>
        <v>0</v>
      </c>
      <c r="H1709" s="149">
        <f>G1709</f>
        <v>0</v>
      </c>
      <c r="I1709" s="148"/>
      <c r="J1709" s="148"/>
      <c r="K1709" s="148"/>
      <c r="L1709" s="148"/>
      <c r="M1709" s="148"/>
      <c r="N1709" s="148"/>
    </row>
    <row r="1710" spans="1:14">
      <c r="B1710" s="326" t="s">
        <v>174</v>
      </c>
      <c r="D1710" s="62"/>
      <c r="E1710" s="148"/>
      <c r="F1710" s="148"/>
      <c r="G1710" s="150"/>
      <c r="H1710" s="151"/>
      <c r="I1710" s="148"/>
      <c r="J1710" s="148"/>
      <c r="K1710" s="148"/>
      <c r="L1710" s="148"/>
      <c r="M1710" s="148"/>
      <c r="N1710" s="148"/>
    </row>
    <row r="1711" spans="1:14">
      <c r="B1711" s="326" t="s">
        <v>175</v>
      </c>
      <c r="D1711" s="62"/>
      <c r="E1711" s="148"/>
      <c r="F1711" s="148"/>
      <c r="G1711" s="148"/>
      <c r="H1711" s="151">
        <f>H1689</f>
        <v>1300</v>
      </c>
      <c r="I1711" s="149">
        <f>H1711</f>
        <v>1300</v>
      </c>
      <c r="J1711" s="149"/>
      <c r="K1711" s="149"/>
      <c r="L1711" s="149"/>
      <c r="M1711" s="149"/>
      <c r="N1711" s="149"/>
    </row>
    <row r="1712" spans="1:14">
      <c r="B1712" s="326" t="s">
        <v>176</v>
      </c>
      <c r="D1712" s="62"/>
      <c r="E1712" s="148"/>
      <c r="F1712" s="148"/>
      <c r="G1712" s="148"/>
      <c r="H1712" s="70"/>
      <c r="I1712" s="151"/>
      <c r="J1712" s="151"/>
      <c r="K1712" s="151"/>
      <c r="L1712" s="151"/>
      <c r="M1712" s="151"/>
      <c r="N1712" s="151"/>
    </row>
    <row r="1713" spans="1:15">
      <c r="B1713" s="326" t="s">
        <v>177</v>
      </c>
      <c r="D1713" s="62"/>
      <c r="E1713" s="148"/>
      <c r="F1713" s="148"/>
      <c r="G1713" s="148"/>
      <c r="H1713" s="148"/>
      <c r="I1713" s="151">
        <f>I1689</f>
        <v>0</v>
      </c>
      <c r="J1713" s="151">
        <f>I1713</f>
        <v>0</v>
      </c>
      <c r="K1713" s="151">
        <f>J1713</f>
        <v>0</v>
      </c>
      <c r="L1713" s="151">
        <f t="shared" ref="L1713" si="723">K1713</f>
        <v>0</v>
      </c>
      <c r="M1713" s="151">
        <f>K1713</f>
        <v>0</v>
      </c>
      <c r="N1713" s="151">
        <f>L1713</f>
        <v>0</v>
      </c>
    </row>
    <row r="1714" spans="1:15">
      <c r="B1714" s="326" t="s">
        <v>168</v>
      </c>
      <c r="D1714" s="62"/>
      <c r="E1714" s="148"/>
      <c r="F1714" s="148"/>
      <c r="G1714" s="148"/>
      <c r="H1714" s="148"/>
      <c r="I1714" s="70"/>
      <c r="J1714" s="70"/>
      <c r="K1714" s="70"/>
      <c r="L1714" s="70"/>
      <c r="M1714" s="70"/>
      <c r="N1714" s="70"/>
    </row>
    <row r="1715" spans="1:15">
      <c r="B1715" s="326" t="s">
        <v>169</v>
      </c>
      <c r="D1715" s="63"/>
      <c r="E1715" s="133"/>
      <c r="F1715" s="133"/>
      <c r="G1715" s="133"/>
      <c r="H1715" s="133"/>
      <c r="I1715" s="133"/>
      <c r="J1715" s="133"/>
      <c r="K1715" s="133"/>
      <c r="L1715" s="133"/>
      <c r="M1715" s="133"/>
      <c r="N1715" s="133"/>
    </row>
    <row r="1716" spans="1:15">
      <c r="B1716" s="33" t="s">
        <v>17</v>
      </c>
      <c r="D1716" s="180">
        <f xml:space="preserve"> D1709 - D1708</f>
        <v>0</v>
      </c>
      <c r="E1716" s="180">
        <f xml:space="preserve"> E1708 + E1711 - E1710 - E1709</f>
        <v>0</v>
      </c>
      <c r="F1716" s="180">
        <f>F1710 - F1711</f>
        <v>0</v>
      </c>
      <c r="G1716" s="180">
        <f t="shared" ref="G1716" si="724">G1710 - G1711</f>
        <v>0</v>
      </c>
      <c r="H1716" s="180">
        <f>H1709-H1710-H1711</f>
        <v>-1300</v>
      </c>
      <c r="I1716" s="180">
        <f>I1711-I1712-I1713</f>
        <v>1300</v>
      </c>
      <c r="J1716" s="180">
        <f>J1713-J1714-J1715</f>
        <v>0</v>
      </c>
      <c r="K1716" s="180">
        <f>K1715</f>
        <v>0</v>
      </c>
      <c r="L1716" s="180">
        <f t="shared" ref="L1716:N1716" si="725">L1715</f>
        <v>0</v>
      </c>
      <c r="M1716" s="180">
        <f t="shared" si="725"/>
        <v>0</v>
      </c>
      <c r="N1716" s="180">
        <f t="shared" si="725"/>
        <v>0</v>
      </c>
    </row>
    <row r="1717" spans="1:15">
      <c r="B1717" s="6"/>
      <c r="D1717" s="7"/>
      <c r="E1717" s="7"/>
      <c r="F1717" s="7"/>
      <c r="G1717" s="7"/>
      <c r="H1717" s="7"/>
      <c r="I1717" s="7"/>
      <c r="J1717" s="7"/>
      <c r="K1717" s="7"/>
      <c r="L1717" s="7"/>
      <c r="M1717" s="7"/>
      <c r="N1717" s="7"/>
    </row>
    <row r="1718" spans="1:15">
      <c r="B1718" s="33" t="s">
        <v>12</v>
      </c>
      <c r="C1718" s="71"/>
      <c r="D1718" s="99"/>
      <c r="E1718" s="100"/>
      <c r="F1718" s="100"/>
      <c r="G1718" s="100"/>
      <c r="H1718" s="100"/>
      <c r="I1718" s="100"/>
      <c r="J1718" s="100"/>
      <c r="K1718" s="100"/>
      <c r="L1718" s="100"/>
      <c r="M1718" s="100"/>
      <c r="N1718" s="100"/>
    </row>
    <row r="1719" spans="1:15">
      <c r="B1719" s="6"/>
      <c r="D1719" s="7"/>
      <c r="E1719" s="7"/>
      <c r="F1719" s="7"/>
      <c r="G1719" s="7"/>
      <c r="H1719" s="7"/>
      <c r="I1719" s="7"/>
      <c r="J1719" s="7"/>
      <c r="K1719" s="7"/>
      <c r="L1719" s="7"/>
      <c r="M1719" s="7"/>
      <c r="N1719" s="7"/>
    </row>
    <row r="1720" spans="1:15" ht="18.5">
      <c r="A1720" s="9" t="s">
        <v>26</v>
      </c>
      <c r="C1720" s="71"/>
      <c r="D1720" s="43">
        <f xml:space="preserve"> D1689 + D1694 - D1700 + D1716 + D1718</f>
        <v>0</v>
      </c>
      <c r="E1720" s="44">
        <f xml:space="preserve"> E1689 + E1694 - E1700 + E1716 + E1718</f>
        <v>0</v>
      </c>
      <c r="F1720" s="44">
        <f xml:space="preserve"> F1689 + F1694 - F1700 + F1716 + F1718</f>
        <v>0</v>
      </c>
      <c r="G1720" s="44">
        <f t="shared" ref="G1720:N1720" si="726" xml:space="preserve"> G1689 + G1694 - G1700 + G1716 + G1718</f>
        <v>0</v>
      </c>
      <c r="H1720" s="44">
        <f t="shared" si="726"/>
        <v>0</v>
      </c>
      <c r="I1720" s="44">
        <f t="shared" si="726"/>
        <v>1300</v>
      </c>
      <c r="J1720" s="44">
        <f t="shared" si="726"/>
        <v>0</v>
      </c>
      <c r="K1720" s="44">
        <f t="shared" si="726"/>
        <v>0</v>
      </c>
      <c r="L1720" s="44">
        <f t="shared" si="726"/>
        <v>0</v>
      </c>
      <c r="M1720" s="44">
        <f t="shared" si="726"/>
        <v>0</v>
      </c>
      <c r="N1720" s="44">
        <f t="shared" si="726"/>
        <v>0</v>
      </c>
    </row>
    <row r="1721" spans="1:15">
      <c r="B1721" s="6"/>
      <c r="D1721" s="7"/>
      <c r="E1721" s="7"/>
      <c r="F1721" s="7"/>
      <c r="G1721" s="28"/>
      <c r="H1721" s="28"/>
      <c r="I1721" s="28"/>
      <c r="J1721" s="28"/>
      <c r="K1721" s="28"/>
      <c r="L1721" s="28"/>
      <c r="M1721" s="28"/>
      <c r="N1721" s="28"/>
    </row>
    <row r="1722" spans="1:15" ht="15" thickBot="1"/>
    <row r="1723" spans="1:15">
      <c r="A1723" s="8"/>
      <c r="B1723" s="8"/>
      <c r="C1723" s="8"/>
      <c r="D1723" s="8"/>
      <c r="E1723" s="8"/>
      <c r="F1723" s="8"/>
      <c r="G1723" s="8"/>
      <c r="H1723" s="8"/>
      <c r="I1723" s="8"/>
      <c r="J1723" s="8"/>
      <c r="K1723" s="8"/>
      <c r="L1723" s="8"/>
      <c r="M1723" s="8"/>
      <c r="N1723" s="8"/>
      <c r="O1723" s="30"/>
    </row>
    <row r="1724" spans="1:15" ht="15" thickBot="1">
      <c r="B1724" s="30"/>
      <c r="C1724" s="30"/>
      <c r="D1724" s="30"/>
      <c r="E1724" s="30"/>
      <c r="F1724" s="30"/>
      <c r="G1724" s="30"/>
      <c r="H1724" s="30"/>
      <c r="I1724" s="30"/>
      <c r="J1724" s="30"/>
      <c r="K1724" s="30"/>
      <c r="L1724" s="30"/>
      <c r="M1724" s="30"/>
      <c r="N1724" s="30"/>
      <c r="O1724" s="30"/>
    </row>
    <row r="1725" spans="1:15" ht="21.5" thickBot="1">
      <c r="A1725" s="13" t="s">
        <v>4</v>
      </c>
      <c r="B1725" s="13"/>
      <c r="C1725" s="297" t="s">
        <v>131</v>
      </c>
      <c r="D1725" s="310"/>
      <c r="E1725" s="23"/>
      <c r="F1725" s="23"/>
      <c r="O1725" s="30"/>
    </row>
    <row r="1726" spans="1:15">
      <c r="O1726" s="30"/>
    </row>
    <row r="1727" spans="1:15" ht="18.5">
      <c r="A1727" s="9" t="s">
        <v>21</v>
      </c>
      <c r="B1727" s="9"/>
      <c r="D1727" s="2">
        <f>'Facility Detail'!$B$3082</f>
        <v>2011</v>
      </c>
      <c r="E1727" s="2">
        <f t="shared" ref="E1727:K1727" si="727">D1727+1</f>
        <v>2012</v>
      </c>
      <c r="F1727" s="2">
        <f t="shared" si="727"/>
        <v>2013</v>
      </c>
      <c r="G1727" s="2">
        <f t="shared" si="727"/>
        <v>2014</v>
      </c>
      <c r="H1727" s="2">
        <f t="shared" si="727"/>
        <v>2015</v>
      </c>
      <c r="I1727" s="2">
        <f t="shared" si="727"/>
        <v>2016</v>
      </c>
      <c r="J1727" s="2">
        <f t="shared" si="727"/>
        <v>2017</v>
      </c>
      <c r="K1727" s="2">
        <f t="shared" si="727"/>
        <v>2018</v>
      </c>
      <c r="L1727" s="2">
        <f t="shared" ref="L1727" si="728">K1727+1</f>
        <v>2019</v>
      </c>
      <c r="M1727" s="2">
        <f t="shared" ref="M1727" si="729">L1727+1</f>
        <v>2020</v>
      </c>
      <c r="N1727" s="2">
        <f t="shared" ref="N1727" si="730">M1727+1</f>
        <v>2021</v>
      </c>
      <c r="O1727" s="30"/>
    </row>
    <row r="1728" spans="1:15">
      <c r="B1728" s="79" t="str">
        <f>"Total MWh Produced / Purchased from " &amp; C1725</f>
        <v>Total MWh Produced / Purchased from Marengo I</v>
      </c>
      <c r="C1728" s="71"/>
      <c r="D1728" s="3">
        <v>403408</v>
      </c>
      <c r="E1728" s="4">
        <v>358669</v>
      </c>
      <c r="F1728" s="4">
        <v>331240</v>
      </c>
      <c r="G1728" s="4">
        <v>367390</v>
      </c>
      <c r="H1728" s="174">
        <v>298771</v>
      </c>
      <c r="I1728" s="90">
        <v>356053</v>
      </c>
      <c r="J1728" s="90">
        <v>315543</v>
      </c>
      <c r="K1728" s="225">
        <v>336426</v>
      </c>
      <c r="L1728" s="90">
        <v>145630</v>
      </c>
      <c r="M1728" s="280">
        <v>482194</v>
      </c>
      <c r="N1728" s="280">
        <v>469486</v>
      </c>
      <c r="O1728" s="30"/>
    </row>
    <row r="1729" spans="1:15">
      <c r="B1729" s="79" t="s">
        <v>25</v>
      </c>
      <c r="C1729" s="71"/>
      <c r="D1729" s="54">
        <v>1</v>
      </c>
      <c r="E1729" s="55">
        <v>1</v>
      </c>
      <c r="F1729" s="55">
        <v>1</v>
      </c>
      <c r="G1729" s="55">
        <v>1</v>
      </c>
      <c r="H1729" s="55">
        <v>1</v>
      </c>
      <c r="I1729" s="211">
        <v>1</v>
      </c>
      <c r="J1729" s="211">
        <v>1</v>
      </c>
      <c r="K1729" s="211">
        <v>1</v>
      </c>
      <c r="L1729" s="211">
        <v>1</v>
      </c>
      <c r="M1729" s="281">
        <v>1</v>
      </c>
      <c r="N1729" s="281">
        <v>1</v>
      </c>
      <c r="O1729" s="30"/>
    </row>
    <row r="1730" spans="1:15">
      <c r="B1730" s="79" t="s">
        <v>20</v>
      </c>
      <c r="C1730" s="71"/>
      <c r="D1730" s="48">
        <v>7.8921000000000005E-2</v>
      </c>
      <c r="E1730" s="48">
        <v>7.9619999999999996E-2</v>
      </c>
      <c r="F1730" s="48">
        <v>7.8747999999999999E-2</v>
      </c>
      <c r="G1730" s="48">
        <v>8.0235000000000001E-2</v>
      </c>
      <c r="H1730" s="48">
        <v>8.0535999999999996E-2</v>
      </c>
      <c r="I1730" s="48">
        <v>8.1698151927344531E-2</v>
      </c>
      <c r="J1730" s="48">
        <v>8.0833713568703974E-2</v>
      </c>
      <c r="K1730" s="48">
        <v>7.9451999999999995E-2</v>
      </c>
      <c r="L1730" s="48">
        <v>7.6724662968274293E-2</v>
      </c>
      <c r="M1730" s="284">
        <f>M1638</f>
        <v>8.1268700519883177E-2</v>
      </c>
      <c r="N1730" s="284">
        <f>N1638</f>
        <v>8.0780946790754593E-2</v>
      </c>
      <c r="O1730" s="30"/>
    </row>
    <row r="1731" spans="1:15">
      <c r="B1731" s="76" t="s">
        <v>22</v>
      </c>
      <c r="C1731" s="77"/>
      <c r="D1731" s="37">
        <v>31837</v>
      </c>
      <c r="E1731" s="37">
        <v>28557</v>
      </c>
      <c r="F1731" s="37">
        <v>26084</v>
      </c>
      <c r="G1731" s="37">
        <v>29478</v>
      </c>
      <c r="H1731" s="37">
        <v>24062</v>
      </c>
      <c r="I1731" s="226">
        <v>29087</v>
      </c>
      <c r="J1731" s="226">
        <v>25507</v>
      </c>
      <c r="K1731" s="37">
        <v>26729</v>
      </c>
      <c r="L1731" s="226">
        <f>L1728*L1730</f>
        <v>11173.412668069785</v>
      </c>
      <c r="M1731" s="226">
        <f>M1728*M1730</f>
        <v>39187.279778484546</v>
      </c>
      <c r="N1731" s="226">
        <f>N1728*N1730</f>
        <v>37925.523585004208</v>
      </c>
      <c r="O1731" s="30"/>
    </row>
    <row r="1732" spans="1:15">
      <c r="B1732" s="23"/>
      <c r="C1732" s="30"/>
      <c r="D1732" s="36"/>
      <c r="E1732" s="36"/>
      <c r="F1732" s="36"/>
      <c r="G1732" s="24"/>
      <c r="H1732" s="24"/>
      <c r="I1732" s="24"/>
      <c r="J1732" s="24"/>
      <c r="K1732" s="24"/>
      <c r="L1732" s="24"/>
      <c r="M1732" s="24"/>
      <c r="N1732" s="24"/>
      <c r="O1732" s="30"/>
    </row>
    <row r="1733" spans="1:15" ht="18.5">
      <c r="A1733" s="42" t="s">
        <v>119</v>
      </c>
      <c r="C1733" s="30"/>
      <c r="D1733" s="2">
        <f>'Facility Detail'!$B$3082</f>
        <v>2011</v>
      </c>
      <c r="E1733" s="2">
        <f>D1733+1</f>
        <v>2012</v>
      </c>
      <c r="F1733" s="2">
        <f>E1733+1</f>
        <v>2013</v>
      </c>
      <c r="G1733" s="2">
        <f>G1727</f>
        <v>2014</v>
      </c>
      <c r="H1733" s="2">
        <f>H1727</f>
        <v>2015</v>
      </c>
      <c r="I1733" s="2">
        <f>I1727</f>
        <v>2016</v>
      </c>
      <c r="J1733" s="2">
        <f>J1727</f>
        <v>2017</v>
      </c>
      <c r="K1733" s="2">
        <f>K1727</f>
        <v>2018</v>
      </c>
      <c r="L1733" s="2">
        <f t="shared" ref="L1733:N1733" si="731">L1727</f>
        <v>2019</v>
      </c>
      <c r="M1733" s="2">
        <f t="shared" si="731"/>
        <v>2020</v>
      </c>
      <c r="N1733" s="2">
        <f t="shared" si="731"/>
        <v>2021</v>
      </c>
      <c r="O1733" s="30"/>
    </row>
    <row r="1734" spans="1:15">
      <c r="B1734" s="79" t="s">
        <v>10</v>
      </c>
      <c r="C1734" s="71"/>
      <c r="D1734" s="51">
        <f>IF($E37 = "Eligible", D1731 * 'Facility Detail'!$B$3079, 0 )</f>
        <v>0</v>
      </c>
      <c r="E1734" s="51">
        <f>IF($E37 = "Eligible", E1731 * 'Facility Detail'!$B$3079, 0 )</f>
        <v>0</v>
      </c>
      <c r="F1734" s="51">
        <f>IF($E37 = "Eligible", F1731 * 'Facility Detail'!$B$3079, 0 )</f>
        <v>0</v>
      </c>
      <c r="G1734" s="51">
        <f>IF($E37 = "Eligible", G1731 * 'Facility Detail'!$B$3079, 0 )</f>
        <v>0</v>
      </c>
      <c r="H1734" s="51">
        <f>IF($E37 = "Eligible", H1731 * 'Facility Detail'!$B$3079, 0 )</f>
        <v>0</v>
      </c>
      <c r="I1734" s="51">
        <f>IF($E37 = "Eligible", I1731 * 'Facility Detail'!$B$3079, 0 )</f>
        <v>0</v>
      </c>
      <c r="J1734" s="51">
        <f>IF($E37 = "Eligible", J1731 * 'Facility Detail'!$B$3079, 0 )</f>
        <v>0</v>
      </c>
      <c r="K1734" s="51">
        <f>IF($E37 = "Eligible", K1731 * 'Facility Detail'!$B$3079, 0 )</f>
        <v>0</v>
      </c>
      <c r="L1734" s="51">
        <f>IF($E37 = "Eligible", L1731 * 'Facility Detail'!$B$3079, 0 )</f>
        <v>0</v>
      </c>
      <c r="M1734" s="51">
        <f>IF($E37 = "Eligible", M1731 * 'Facility Detail'!$B$3079, 0 )</f>
        <v>0</v>
      </c>
      <c r="N1734" s="51">
        <f>IF($E37 = "Eligible", N1731 * 'Facility Detail'!$B$3079, 0 )</f>
        <v>0</v>
      </c>
      <c r="O1734" s="30"/>
    </row>
    <row r="1735" spans="1:15">
      <c r="B1735" s="79" t="s">
        <v>6</v>
      </c>
      <c r="C1735" s="71"/>
      <c r="D1735" s="52">
        <f t="shared" ref="D1735:N1735" si="732">IF($F37= "Eligible", D1731, 0 )</f>
        <v>0</v>
      </c>
      <c r="E1735" s="52">
        <f t="shared" si="732"/>
        <v>0</v>
      </c>
      <c r="F1735" s="52">
        <f t="shared" si="732"/>
        <v>0</v>
      </c>
      <c r="G1735" s="52">
        <f t="shared" si="732"/>
        <v>0</v>
      </c>
      <c r="H1735" s="52">
        <f t="shared" si="732"/>
        <v>0</v>
      </c>
      <c r="I1735" s="52">
        <f t="shared" si="732"/>
        <v>0</v>
      </c>
      <c r="J1735" s="52">
        <f t="shared" si="732"/>
        <v>0</v>
      </c>
      <c r="K1735" s="52">
        <f t="shared" si="732"/>
        <v>0</v>
      </c>
      <c r="L1735" s="52">
        <f t="shared" si="732"/>
        <v>0</v>
      </c>
      <c r="M1735" s="52">
        <f t="shared" si="732"/>
        <v>0</v>
      </c>
      <c r="N1735" s="52">
        <f t="shared" si="732"/>
        <v>0</v>
      </c>
      <c r="O1735" s="30"/>
    </row>
    <row r="1736" spans="1:15">
      <c r="B1736" s="78" t="s">
        <v>121</v>
      </c>
      <c r="C1736" s="77"/>
      <c r="D1736" s="39">
        <f>SUM(D1734:D1735)</f>
        <v>0</v>
      </c>
      <c r="E1736" s="39">
        <f t="shared" ref="E1736:N1736" si="733">SUM(E1734:E1735)</f>
        <v>0</v>
      </c>
      <c r="F1736" s="39">
        <f t="shared" si="733"/>
        <v>0</v>
      </c>
      <c r="G1736" s="39">
        <f t="shared" si="733"/>
        <v>0</v>
      </c>
      <c r="H1736" s="39">
        <f t="shared" si="733"/>
        <v>0</v>
      </c>
      <c r="I1736" s="39">
        <f t="shared" si="733"/>
        <v>0</v>
      </c>
      <c r="J1736" s="39">
        <f t="shared" si="733"/>
        <v>0</v>
      </c>
      <c r="K1736" s="39">
        <f t="shared" si="733"/>
        <v>0</v>
      </c>
      <c r="L1736" s="39">
        <f t="shared" si="733"/>
        <v>0</v>
      </c>
      <c r="M1736" s="39">
        <f t="shared" si="733"/>
        <v>0</v>
      </c>
      <c r="N1736" s="39">
        <f t="shared" si="733"/>
        <v>0</v>
      </c>
      <c r="O1736" s="30"/>
    </row>
    <row r="1737" spans="1:15">
      <c r="B1737" s="30"/>
      <c r="C1737" s="30"/>
      <c r="D1737" s="38"/>
      <c r="E1737" s="31"/>
      <c r="F1737" s="31"/>
      <c r="G1737" s="24"/>
      <c r="H1737" s="24"/>
      <c r="I1737" s="24"/>
      <c r="J1737" s="24"/>
      <c r="K1737" s="24"/>
      <c r="L1737" s="24"/>
      <c r="M1737" s="24"/>
      <c r="N1737" s="24"/>
      <c r="O1737" s="30"/>
    </row>
    <row r="1738" spans="1:15" ht="18.5">
      <c r="A1738" s="41" t="s">
        <v>30</v>
      </c>
      <c r="C1738" s="30"/>
      <c r="D1738" s="2">
        <f>'Facility Detail'!$B$3082</f>
        <v>2011</v>
      </c>
      <c r="E1738" s="2">
        <f>D1738+1</f>
        <v>2012</v>
      </c>
      <c r="F1738" s="2">
        <f>E1738+1</f>
        <v>2013</v>
      </c>
      <c r="G1738" s="2">
        <f>G1727</f>
        <v>2014</v>
      </c>
      <c r="H1738" s="2">
        <f>H1727</f>
        <v>2015</v>
      </c>
      <c r="I1738" s="2">
        <f>I1727</f>
        <v>2016</v>
      </c>
      <c r="J1738" s="2">
        <f>J1727</f>
        <v>2017</v>
      </c>
      <c r="K1738" s="2">
        <f>K1727</f>
        <v>2018</v>
      </c>
      <c r="L1738" s="2">
        <f t="shared" ref="L1738:N1738" si="734">L1727</f>
        <v>2019</v>
      </c>
      <c r="M1738" s="2">
        <f t="shared" ref="M1738" si="735">M1727</f>
        <v>2020</v>
      </c>
      <c r="N1738" s="2">
        <f t="shared" si="734"/>
        <v>2021</v>
      </c>
      <c r="O1738" s="30"/>
    </row>
    <row r="1739" spans="1:15">
      <c r="B1739" s="79" t="s">
        <v>47</v>
      </c>
      <c r="C1739" s="71"/>
      <c r="D1739" s="89"/>
      <c r="E1739" s="90"/>
      <c r="F1739" s="90"/>
      <c r="G1739" s="90"/>
      <c r="H1739" s="90"/>
      <c r="I1739" s="90"/>
      <c r="J1739" s="90"/>
      <c r="K1739" s="90"/>
      <c r="L1739" s="90"/>
      <c r="M1739" s="91"/>
      <c r="N1739" s="91"/>
      <c r="O1739" s="30"/>
    </row>
    <row r="1740" spans="1:15">
      <c r="B1740" s="80" t="s">
        <v>23</v>
      </c>
      <c r="C1740" s="175"/>
      <c r="D1740" s="92"/>
      <c r="E1740" s="93"/>
      <c r="F1740" s="93"/>
      <c r="G1740" s="93"/>
      <c r="H1740" s="93"/>
      <c r="I1740" s="93"/>
      <c r="J1740" s="93"/>
      <c r="K1740" s="93"/>
      <c r="L1740" s="93"/>
      <c r="M1740" s="94"/>
      <c r="N1740" s="94"/>
      <c r="O1740" s="30"/>
    </row>
    <row r="1741" spans="1:15">
      <c r="B1741" s="95" t="s">
        <v>89</v>
      </c>
      <c r="C1741" s="173"/>
      <c r="D1741" s="57"/>
      <c r="E1741" s="58"/>
      <c r="F1741" s="58"/>
      <c r="G1741" s="58"/>
      <c r="H1741" s="58"/>
      <c r="I1741" s="58"/>
      <c r="J1741" s="58"/>
      <c r="K1741" s="58"/>
      <c r="L1741" s="58"/>
      <c r="M1741" s="59"/>
      <c r="N1741" s="59"/>
      <c r="O1741" s="30"/>
    </row>
    <row r="1742" spans="1:15">
      <c r="B1742" s="33" t="s">
        <v>90</v>
      </c>
      <c r="D1742" s="7">
        <f t="shared" ref="D1742:J1742" si="736">SUM(D1739:D1741)</f>
        <v>0</v>
      </c>
      <c r="E1742" s="7">
        <f t="shared" si="736"/>
        <v>0</v>
      </c>
      <c r="F1742" s="7">
        <f t="shared" si="736"/>
        <v>0</v>
      </c>
      <c r="G1742" s="7">
        <f t="shared" si="736"/>
        <v>0</v>
      </c>
      <c r="H1742" s="7">
        <f t="shared" si="736"/>
        <v>0</v>
      </c>
      <c r="I1742" s="7">
        <f t="shared" si="736"/>
        <v>0</v>
      </c>
      <c r="J1742" s="7">
        <f t="shared" si="736"/>
        <v>0</v>
      </c>
      <c r="K1742" s="7">
        <f t="shared" ref="K1742:L1742" si="737">SUM(K1739:K1741)</f>
        <v>0</v>
      </c>
      <c r="L1742" s="7">
        <f t="shared" si="737"/>
        <v>0</v>
      </c>
      <c r="M1742" s="7">
        <f t="shared" ref="M1742:N1742" si="738">SUM(M1739:M1741)</f>
        <v>0</v>
      </c>
      <c r="N1742" s="7">
        <f t="shared" si="738"/>
        <v>0</v>
      </c>
      <c r="O1742" s="30"/>
    </row>
    <row r="1743" spans="1:15">
      <c r="B1743" s="6"/>
      <c r="D1743" s="7"/>
      <c r="E1743" s="7"/>
      <c r="F1743" s="7"/>
      <c r="G1743" s="28"/>
      <c r="H1743" s="28"/>
      <c r="I1743" s="28"/>
      <c r="J1743" s="28"/>
      <c r="K1743" s="28"/>
      <c r="L1743" s="28"/>
      <c r="M1743" s="28"/>
      <c r="N1743" s="28"/>
      <c r="O1743" s="30"/>
    </row>
    <row r="1744" spans="1:15" ht="18.5">
      <c r="A1744" s="9" t="s">
        <v>100</v>
      </c>
      <c r="D1744" s="169">
        <f>'Facility Detail'!$B$3082</f>
        <v>2011</v>
      </c>
      <c r="E1744" s="169">
        <f t="shared" ref="E1744:K1744" si="739">D1744+1</f>
        <v>2012</v>
      </c>
      <c r="F1744" s="169">
        <f t="shared" si="739"/>
        <v>2013</v>
      </c>
      <c r="G1744" s="169">
        <f t="shared" si="739"/>
        <v>2014</v>
      </c>
      <c r="H1744" s="169">
        <f t="shared" si="739"/>
        <v>2015</v>
      </c>
      <c r="I1744" s="169">
        <f t="shared" si="739"/>
        <v>2016</v>
      </c>
      <c r="J1744" s="169">
        <f t="shared" si="739"/>
        <v>2017</v>
      </c>
      <c r="K1744" s="169">
        <f t="shared" si="739"/>
        <v>2018</v>
      </c>
      <c r="L1744" s="169">
        <f t="shared" ref="L1744" si="740">K1744+1</f>
        <v>2019</v>
      </c>
      <c r="M1744" s="169">
        <f t="shared" ref="M1744" si="741">L1744+1</f>
        <v>2020</v>
      </c>
      <c r="N1744" s="169">
        <f t="shared" ref="N1744" si="742">M1744+1</f>
        <v>2021</v>
      </c>
      <c r="O1744" s="30"/>
    </row>
    <row r="1745" spans="2:15">
      <c r="B1745" s="79" t="s">
        <v>68</v>
      </c>
      <c r="C1745" s="71"/>
      <c r="D1745" s="3">
        <v>31837</v>
      </c>
      <c r="E1745" s="60">
        <f>D1745</f>
        <v>31837</v>
      </c>
      <c r="F1745" s="131"/>
      <c r="G1745" s="131"/>
      <c r="H1745" s="131"/>
      <c r="I1745" s="131"/>
      <c r="J1745" s="131"/>
      <c r="K1745" s="131"/>
      <c r="L1745" s="131"/>
      <c r="M1745" s="131"/>
      <c r="N1745" s="61"/>
      <c r="O1745" s="30"/>
    </row>
    <row r="1746" spans="2:15">
      <c r="B1746" s="79" t="s">
        <v>69</v>
      </c>
      <c r="C1746" s="71"/>
      <c r="D1746" s="164">
        <f>E1746</f>
        <v>0</v>
      </c>
      <c r="E1746" s="10"/>
      <c r="F1746" s="74"/>
      <c r="G1746" s="74"/>
      <c r="H1746" s="74"/>
      <c r="I1746" s="74"/>
      <c r="J1746" s="74"/>
      <c r="K1746" s="74"/>
      <c r="L1746" s="74"/>
      <c r="M1746" s="74"/>
      <c r="N1746" s="165"/>
      <c r="O1746" s="30"/>
    </row>
    <row r="1747" spans="2:15">
      <c r="B1747" s="79" t="s">
        <v>70</v>
      </c>
      <c r="C1747" s="71"/>
      <c r="D1747" s="62"/>
      <c r="E1747" s="10">
        <f>E1731</f>
        <v>28557</v>
      </c>
      <c r="F1747" s="70">
        <f>E1747</f>
        <v>28557</v>
      </c>
      <c r="G1747" s="74"/>
      <c r="H1747" s="74"/>
      <c r="I1747" s="74"/>
      <c r="J1747" s="74"/>
      <c r="K1747" s="74"/>
      <c r="L1747" s="74"/>
      <c r="M1747" s="74"/>
      <c r="N1747" s="165"/>
      <c r="O1747" s="30"/>
    </row>
    <row r="1748" spans="2:15">
      <c r="B1748" s="79" t="s">
        <v>71</v>
      </c>
      <c r="C1748" s="71"/>
      <c r="D1748" s="62"/>
      <c r="E1748" s="70">
        <f>F1748</f>
        <v>0</v>
      </c>
      <c r="F1748" s="163"/>
      <c r="G1748" s="74"/>
      <c r="H1748" s="74"/>
      <c r="I1748" s="74"/>
      <c r="J1748" s="74"/>
      <c r="K1748" s="74"/>
      <c r="L1748" s="74"/>
      <c r="M1748" s="74"/>
      <c r="N1748" s="165"/>
      <c r="O1748" s="30"/>
    </row>
    <row r="1749" spans="2:15">
      <c r="B1749" s="79" t="s">
        <v>171</v>
      </c>
      <c r="C1749" s="71"/>
      <c r="D1749" s="62"/>
      <c r="E1749" s="148"/>
      <c r="F1749" s="10">
        <f>F1731</f>
        <v>26084</v>
      </c>
      <c r="G1749" s="149">
        <f>F1749</f>
        <v>26084</v>
      </c>
      <c r="H1749" s="74"/>
      <c r="I1749" s="74"/>
      <c r="J1749" s="74"/>
      <c r="K1749" s="74"/>
      <c r="L1749" s="74"/>
      <c r="M1749" s="74"/>
      <c r="N1749" s="165"/>
      <c r="O1749" s="30"/>
    </row>
    <row r="1750" spans="2:15">
      <c r="B1750" s="79" t="s">
        <v>172</v>
      </c>
      <c r="C1750" s="71"/>
      <c r="D1750" s="62"/>
      <c r="E1750" s="148"/>
      <c r="F1750" s="70">
        <f>G1750</f>
        <v>0</v>
      </c>
      <c r="G1750" s="10"/>
      <c r="H1750" s="74"/>
      <c r="I1750" s="74"/>
      <c r="J1750" s="74" t="s">
        <v>170</v>
      </c>
      <c r="K1750" s="74" t="s">
        <v>170</v>
      </c>
      <c r="L1750" s="74"/>
      <c r="M1750" s="74"/>
      <c r="N1750" s="165"/>
      <c r="O1750" s="30"/>
    </row>
    <row r="1751" spans="2:15">
      <c r="B1751" s="79" t="s">
        <v>173</v>
      </c>
      <c r="C1751" s="71"/>
      <c r="D1751" s="62"/>
      <c r="E1751" s="148"/>
      <c r="F1751" s="148"/>
      <c r="G1751" s="10">
        <f>G1731</f>
        <v>29478</v>
      </c>
      <c r="H1751" s="149">
        <f>G1751</f>
        <v>29478</v>
      </c>
      <c r="I1751" s="148"/>
      <c r="J1751" s="74"/>
      <c r="K1751" s="74"/>
      <c r="L1751" s="74"/>
      <c r="M1751" s="74"/>
      <c r="N1751" s="152"/>
      <c r="O1751" s="30"/>
    </row>
    <row r="1752" spans="2:15">
      <c r="B1752" s="79" t="s">
        <v>174</v>
      </c>
      <c r="C1752" s="71"/>
      <c r="D1752" s="62"/>
      <c r="E1752" s="148"/>
      <c r="F1752" s="148"/>
      <c r="G1752" s="70"/>
      <c r="H1752" s="10"/>
      <c r="I1752" s="148"/>
      <c r="J1752" s="74"/>
      <c r="K1752" s="74"/>
      <c r="L1752" s="74"/>
      <c r="M1752" s="74"/>
      <c r="N1752" s="152"/>
      <c r="O1752" s="30"/>
    </row>
    <row r="1753" spans="2:15">
      <c r="B1753" s="79" t="s">
        <v>175</v>
      </c>
      <c r="C1753" s="71"/>
      <c r="D1753" s="62"/>
      <c r="E1753" s="148"/>
      <c r="F1753" s="148"/>
      <c r="G1753" s="148"/>
      <c r="H1753" s="10">
        <f>H1731</f>
        <v>24062</v>
      </c>
      <c r="I1753" s="149">
        <f>H1753</f>
        <v>24062</v>
      </c>
      <c r="J1753" s="74"/>
      <c r="K1753" s="74"/>
      <c r="L1753" s="74"/>
      <c r="M1753" s="74"/>
      <c r="N1753" s="152"/>
      <c r="O1753" s="30"/>
    </row>
    <row r="1754" spans="2:15">
      <c r="B1754" s="79" t="s">
        <v>176</v>
      </c>
      <c r="C1754" s="71"/>
      <c r="D1754" s="62"/>
      <c r="E1754" s="148"/>
      <c r="F1754" s="148"/>
      <c r="G1754" s="148"/>
      <c r="H1754" s="70"/>
      <c r="I1754" s="10"/>
      <c r="J1754" s="74"/>
      <c r="K1754" s="74"/>
      <c r="L1754" s="74"/>
      <c r="M1754" s="74"/>
      <c r="N1754" s="152"/>
      <c r="O1754" s="30"/>
    </row>
    <row r="1755" spans="2:15">
      <c r="B1755" s="79" t="s">
        <v>177</v>
      </c>
      <c r="C1755" s="71"/>
      <c r="D1755" s="62"/>
      <c r="E1755" s="148"/>
      <c r="F1755" s="148"/>
      <c r="G1755" s="148"/>
      <c r="H1755" s="148"/>
      <c r="I1755" s="207"/>
      <c r="J1755" s="150">
        <f>I1755</f>
        <v>0</v>
      </c>
      <c r="K1755" s="74"/>
      <c r="L1755" s="74"/>
      <c r="M1755" s="74"/>
      <c r="N1755" s="152"/>
      <c r="O1755" s="30"/>
    </row>
    <row r="1756" spans="2:15">
      <c r="B1756" s="79" t="s">
        <v>168</v>
      </c>
      <c r="C1756" s="30"/>
      <c r="D1756" s="62"/>
      <c r="E1756" s="148"/>
      <c r="F1756" s="148"/>
      <c r="G1756" s="148"/>
      <c r="H1756" s="148"/>
      <c r="I1756" s="208">
        <v>0</v>
      </c>
      <c r="J1756" s="151"/>
      <c r="K1756" s="74"/>
      <c r="L1756" s="74"/>
      <c r="M1756" s="74"/>
      <c r="N1756" s="152"/>
      <c r="O1756" s="30"/>
    </row>
    <row r="1757" spans="2:15">
      <c r="B1757" s="79" t="s">
        <v>169</v>
      </c>
      <c r="C1757" s="30"/>
      <c r="D1757" s="62"/>
      <c r="E1757" s="148"/>
      <c r="F1757" s="148"/>
      <c r="G1757" s="148"/>
      <c r="H1757" s="148"/>
      <c r="I1757" s="148"/>
      <c r="J1757" s="151"/>
      <c r="K1757" s="150">
        <f>J1757</f>
        <v>0</v>
      </c>
      <c r="L1757" s="74"/>
      <c r="M1757" s="74"/>
      <c r="N1757" s="152"/>
      <c r="O1757" s="30"/>
    </row>
    <row r="1758" spans="2:15">
      <c r="B1758" s="79" t="s">
        <v>186</v>
      </c>
      <c r="C1758" s="30"/>
      <c r="D1758" s="62"/>
      <c r="E1758" s="148"/>
      <c r="F1758" s="148"/>
      <c r="G1758" s="148"/>
      <c r="H1758" s="148"/>
      <c r="I1758" s="148"/>
      <c r="J1758" s="228"/>
      <c r="K1758" s="151"/>
      <c r="L1758" s="74"/>
      <c r="M1758" s="74"/>
      <c r="N1758" s="152"/>
      <c r="O1758" s="30"/>
    </row>
    <row r="1759" spans="2:15">
      <c r="B1759" s="79" t="s">
        <v>187</v>
      </c>
      <c r="C1759" s="30"/>
      <c r="D1759" s="62"/>
      <c r="E1759" s="148"/>
      <c r="F1759" s="148"/>
      <c r="G1759" s="148"/>
      <c r="H1759" s="148"/>
      <c r="I1759" s="148"/>
      <c r="J1759" s="148"/>
      <c r="K1759" s="151"/>
      <c r="L1759" s="150">
        <f>K1759</f>
        <v>0</v>
      </c>
      <c r="M1759" s="74"/>
      <c r="N1759" s="152"/>
      <c r="O1759" s="30"/>
    </row>
    <row r="1760" spans="2:15">
      <c r="B1760" s="79" t="s">
        <v>188</v>
      </c>
      <c r="C1760" s="30"/>
      <c r="D1760" s="62"/>
      <c r="E1760" s="148"/>
      <c r="F1760" s="148"/>
      <c r="G1760" s="148"/>
      <c r="H1760" s="148"/>
      <c r="I1760" s="148"/>
      <c r="J1760" s="148"/>
      <c r="K1760" s="228"/>
      <c r="L1760" s="151"/>
      <c r="M1760" s="74"/>
      <c r="N1760" s="152"/>
      <c r="O1760" s="30"/>
    </row>
    <row r="1761" spans="1:15">
      <c r="B1761" s="79" t="s">
        <v>189</v>
      </c>
      <c r="C1761" s="30"/>
      <c r="D1761" s="62"/>
      <c r="E1761" s="148"/>
      <c r="F1761" s="148"/>
      <c r="G1761" s="148"/>
      <c r="H1761" s="148"/>
      <c r="I1761" s="148"/>
      <c r="J1761" s="148"/>
      <c r="K1761" s="148"/>
      <c r="L1761" s="151"/>
      <c r="M1761" s="150">
        <f>L1761</f>
        <v>0</v>
      </c>
      <c r="N1761" s="148"/>
      <c r="O1761" s="30"/>
    </row>
    <row r="1762" spans="1:15">
      <c r="B1762" s="79" t="s">
        <v>190</v>
      </c>
      <c r="C1762" s="30"/>
      <c r="D1762" s="62"/>
      <c r="E1762" s="148"/>
      <c r="F1762" s="148"/>
      <c r="G1762" s="148"/>
      <c r="H1762" s="148"/>
      <c r="I1762" s="148"/>
      <c r="J1762" s="148"/>
      <c r="K1762" s="148"/>
      <c r="L1762" s="150">
        <v>36231</v>
      </c>
      <c r="M1762" s="151">
        <v>36231</v>
      </c>
      <c r="N1762" s="148"/>
      <c r="O1762" s="30"/>
    </row>
    <row r="1763" spans="1:15">
      <c r="B1763" s="79" t="s">
        <v>191</v>
      </c>
      <c r="C1763" s="30"/>
      <c r="D1763" s="62"/>
      <c r="E1763" s="148"/>
      <c r="F1763" s="148"/>
      <c r="G1763" s="148"/>
      <c r="H1763" s="148"/>
      <c r="I1763" s="148"/>
      <c r="J1763" s="148"/>
      <c r="K1763" s="148"/>
      <c r="L1763" s="148"/>
      <c r="M1763" s="151"/>
      <c r="N1763" s="150">
        <f>M1763</f>
        <v>0</v>
      </c>
      <c r="O1763" s="30"/>
    </row>
    <row r="1764" spans="1:15">
      <c r="B1764" s="79" t="s">
        <v>201</v>
      </c>
      <c r="C1764" s="30"/>
      <c r="D1764" s="62"/>
      <c r="E1764" s="148"/>
      <c r="F1764" s="148"/>
      <c r="G1764" s="148"/>
      <c r="H1764" s="148"/>
      <c r="I1764" s="148"/>
      <c r="J1764" s="148"/>
      <c r="K1764" s="148"/>
      <c r="L1764" s="148"/>
      <c r="M1764" s="150">
        <v>25000</v>
      </c>
      <c r="N1764" s="151">
        <v>25000</v>
      </c>
      <c r="O1764" s="30"/>
    </row>
    <row r="1765" spans="1:15">
      <c r="B1765" s="79" t="s">
        <v>202</v>
      </c>
      <c r="C1765" s="30"/>
      <c r="D1765" s="63"/>
      <c r="E1765" s="133"/>
      <c r="F1765" s="133"/>
      <c r="G1765" s="133"/>
      <c r="H1765" s="133"/>
      <c r="I1765" s="133"/>
      <c r="J1765" s="133"/>
      <c r="K1765" s="133"/>
      <c r="L1765" s="133"/>
      <c r="M1765" s="133"/>
      <c r="N1765" s="153"/>
      <c r="O1765" s="30"/>
    </row>
    <row r="1766" spans="1:15">
      <c r="B1766" s="33" t="s">
        <v>17</v>
      </c>
      <c r="D1766" s="180">
        <f xml:space="preserve"> D1746 - D1745</f>
        <v>-31837</v>
      </c>
      <c r="E1766" s="180">
        <f xml:space="preserve"> E1745 + E1748 - E1747 - E1746</f>
        <v>3280</v>
      </c>
      <c r="F1766" s="180">
        <f>F1747 - F1748 - F1749</f>
        <v>2473</v>
      </c>
      <c r="G1766" s="180">
        <f>G1749-G1750-G1751</f>
        <v>-3394</v>
      </c>
      <c r="H1766" s="180">
        <f>H1751-H1752-H1753</f>
        <v>5416</v>
      </c>
      <c r="I1766" s="180">
        <f>I1753-I1754-I1755</f>
        <v>24062</v>
      </c>
      <c r="J1766" s="180">
        <f>J1755-J1756-J1757</f>
        <v>0</v>
      </c>
      <c r="K1766" s="180">
        <f>K1757-K1758-K1759</f>
        <v>0</v>
      </c>
      <c r="L1766" s="180">
        <f>L1759-L1760-L1761</f>
        <v>0</v>
      </c>
      <c r="M1766" s="180">
        <f>M1764+M1762</f>
        <v>61231</v>
      </c>
      <c r="N1766" s="180">
        <f>N1764*-1</f>
        <v>-25000</v>
      </c>
      <c r="O1766" s="30"/>
    </row>
    <row r="1767" spans="1:15">
      <c r="B1767" s="6"/>
      <c r="D1767" s="7"/>
      <c r="E1767" s="7"/>
      <c r="F1767" s="7"/>
      <c r="G1767" s="7"/>
      <c r="H1767" s="7"/>
      <c r="I1767" s="7"/>
      <c r="J1767" s="7"/>
      <c r="K1767" s="7"/>
      <c r="L1767" s="7"/>
      <c r="M1767" s="7"/>
      <c r="N1767" s="7"/>
      <c r="O1767" s="30"/>
    </row>
    <row r="1768" spans="1:15">
      <c r="B1768" s="76" t="s">
        <v>12</v>
      </c>
      <c r="C1768" s="71"/>
      <c r="D1768" s="99"/>
      <c r="E1768" s="100"/>
      <c r="F1768" s="100"/>
      <c r="G1768" s="100"/>
      <c r="H1768" s="159"/>
      <c r="I1768" s="100"/>
      <c r="J1768" s="100"/>
      <c r="K1768" s="100"/>
      <c r="L1768" s="100"/>
      <c r="M1768" s="101"/>
      <c r="N1768" s="101"/>
      <c r="O1768" s="30"/>
    </row>
    <row r="1769" spans="1:15">
      <c r="B1769" s="6"/>
      <c r="D1769" s="7"/>
      <c r="E1769" s="7"/>
      <c r="F1769" s="7"/>
      <c r="G1769" s="7"/>
      <c r="H1769" s="7"/>
      <c r="I1769" s="7"/>
      <c r="J1769" s="7"/>
      <c r="K1769" s="7"/>
      <c r="L1769" s="7"/>
      <c r="M1769" s="7"/>
      <c r="N1769" s="7"/>
      <c r="O1769" s="30"/>
    </row>
    <row r="1770" spans="1:15" ht="18.5">
      <c r="A1770" s="41" t="s">
        <v>26</v>
      </c>
      <c r="C1770" s="71"/>
      <c r="D1770" s="43">
        <f t="shared" ref="D1770:K1770" si="743" xml:space="preserve"> D1731 + D1736 - D1742 + D1766 + D1768</f>
        <v>0</v>
      </c>
      <c r="E1770" s="44">
        <f t="shared" si="743"/>
        <v>31837</v>
      </c>
      <c r="F1770" s="44">
        <f t="shared" si="743"/>
        <v>28557</v>
      </c>
      <c r="G1770" s="44">
        <f t="shared" si="743"/>
        <v>26084</v>
      </c>
      <c r="H1770" s="158">
        <f t="shared" si="743"/>
        <v>29478</v>
      </c>
      <c r="I1770" s="161">
        <f t="shared" si="743"/>
        <v>53149</v>
      </c>
      <c r="J1770" s="161">
        <f t="shared" si="743"/>
        <v>25507</v>
      </c>
      <c r="K1770" s="161">
        <f t="shared" si="743"/>
        <v>26729</v>
      </c>
      <c r="L1770" s="161">
        <f xml:space="preserve"> L1731 + L1736 - L1742 + L1766 + L1768+L1762</f>
        <v>47404.412668069781</v>
      </c>
      <c r="M1770" s="45">
        <f xml:space="preserve"> M1731 + M1736-M1762+M1764 - M1742 + M1768</f>
        <v>27956.279778484546</v>
      </c>
      <c r="N1770" s="45">
        <f>N1731+N1766</f>
        <v>12925.523585004208</v>
      </c>
      <c r="O1770" s="30"/>
    </row>
    <row r="1771" spans="1:15">
      <c r="B1771" s="6"/>
      <c r="D1771" s="7"/>
      <c r="E1771" s="7"/>
      <c r="F1771" s="7"/>
      <c r="G1771" s="28"/>
      <c r="H1771" s="28"/>
      <c r="I1771" s="28"/>
      <c r="J1771" s="28"/>
      <c r="K1771" s="28"/>
      <c r="L1771" s="28"/>
      <c r="M1771" s="28"/>
      <c r="N1771" s="28"/>
      <c r="O1771" s="30"/>
    </row>
    <row r="1772" spans="1:15" ht="15" thickBot="1">
      <c r="O1772" s="30"/>
    </row>
    <row r="1773" spans="1:15">
      <c r="A1773" s="8"/>
      <c r="B1773" s="8"/>
      <c r="C1773" s="8"/>
      <c r="D1773" s="8"/>
      <c r="E1773" s="8"/>
      <c r="F1773" s="8"/>
      <c r="G1773" s="8"/>
      <c r="H1773" s="8"/>
      <c r="I1773" s="8"/>
      <c r="J1773" s="8"/>
      <c r="K1773" s="8"/>
      <c r="L1773" s="8"/>
      <c r="M1773" s="8"/>
      <c r="N1773" s="8"/>
      <c r="O1773" s="30"/>
    </row>
    <row r="1774" spans="1:15" ht="15" thickBot="1">
      <c r="B1774" s="30"/>
      <c r="C1774" s="30"/>
      <c r="D1774" s="30"/>
      <c r="E1774" s="30"/>
      <c r="F1774" s="30"/>
      <c r="G1774" s="30"/>
      <c r="H1774" s="30"/>
      <c r="I1774" s="30"/>
      <c r="J1774" s="30"/>
      <c r="K1774" s="30"/>
      <c r="L1774" s="30"/>
      <c r="M1774" s="30"/>
      <c r="N1774" s="30"/>
      <c r="O1774" s="30"/>
    </row>
    <row r="1775" spans="1:15" ht="21.5" thickBot="1">
      <c r="A1775" s="13" t="s">
        <v>4</v>
      </c>
      <c r="B1775" s="13"/>
      <c r="C1775" s="313" t="s">
        <v>133</v>
      </c>
      <c r="D1775" s="310"/>
      <c r="E1775" s="23"/>
      <c r="F1775" s="23"/>
      <c r="O1775" s="30"/>
    </row>
    <row r="1776" spans="1:15">
      <c r="O1776" s="30"/>
    </row>
    <row r="1777" spans="1:15" ht="18.5">
      <c r="A1777" s="9" t="s">
        <v>21</v>
      </c>
      <c r="B1777" s="9"/>
      <c r="D1777" s="2">
        <f>'Facility Detail'!$B$3082</f>
        <v>2011</v>
      </c>
      <c r="E1777" s="2">
        <f t="shared" ref="E1777:K1777" si="744">D1777+1</f>
        <v>2012</v>
      </c>
      <c r="F1777" s="2">
        <f t="shared" si="744"/>
        <v>2013</v>
      </c>
      <c r="G1777" s="2">
        <f t="shared" si="744"/>
        <v>2014</v>
      </c>
      <c r="H1777" s="2">
        <f t="shared" si="744"/>
        <v>2015</v>
      </c>
      <c r="I1777" s="2">
        <f t="shared" si="744"/>
        <v>2016</v>
      </c>
      <c r="J1777" s="2">
        <f t="shared" si="744"/>
        <v>2017</v>
      </c>
      <c r="K1777" s="2">
        <f t="shared" si="744"/>
        <v>2018</v>
      </c>
      <c r="L1777" s="2">
        <f t="shared" ref="L1777" si="745">K1777+1</f>
        <v>2019</v>
      </c>
      <c r="M1777" s="2">
        <f t="shared" ref="M1777" si="746">L1777+1</f>
        <v>2020</v>
      </c>
      <c r="N1777" s="2">
        <f t="shared" ref="N1777" si="747">M1777+1</f>
        <v>2021</v>
      </c>
      <c r="O1777" s="30"/>
    </row>
    <row r="1778" spans="1:15">
      <c r="B1778" s="79" t="str">
        <f>"Total MWh Produced / Purchased from " &amp; C1775</f>
        <v>Total MWh Produced / Purchased from Marengo II</v>
      </c>
      <c r="C1778" s="71"/>
      <c r="D1778" s="3">
        <v>194378</v>
      </c>
      <c r="E1778" s="4">
        <v>177552</v>
      </c>
      <c r="F1778" s="4">
        <v>154612</v>
      </c>
      <c r="G1778" s="4">
        <v>174766</v>
      </c>
      <c r="H1778" s="4">
        <v>137848</v>
      </c>
      <c r="I1778" s="90">
        <v>170369</v>
      </c>
      <c r="J1778" s="225">
        <v>153361</v>
      </c>
      <c r="K1778" s="225">
        <v>164436</v>
      </c>
      <c r="L1778" s="225">
        <v>91366</v>
      </c>
      <c r="M1778" s="227">
        <v>211675</v>
      </c>
      <c r="N1778" s="227">
        <v>573599</v>
      </c>
      <c r="O1778" s="30"/>
    </row>
    <row r="1779" spans="1:15">
      <c r="B1779" s="79" t="s">
        <v>25</v>
      </c>
      <c r="C1779" s="71"/>
      <c r="D1779" s="54">
        <v>1</v>
      </c>
      <c r="E1779" s="55">
        <v>1</v>
      </c>
      <c r="F1779" s="55">
        <v>1</v>
      </c>
      <c r="G1779" s="55">
        <v>1</v>
      </c>
      <c r="H1779" s="55">
        <v>1</v>
      </c>
      <c r="I1779" s="211">
        <v>1</v>
      </c>
      <c r="J1779" s="211">
        <v>1</v>
      </c>
      <c r="K1779" s="211">
        <v>1</v>
      </c>
      <c r="L1779" s="211">
        <v>1</v>
      </c>
      <c r="M1779" s="281">
        <v>1</v>
      </c>
      <c r="N1779" s="281">
        <v>1</v>
      </c>
      <c r="O1779" s="30"/>
    </row>
    <row r="1780" spans="1:15">
      <c r="B1780" s="79" t="s">
        <v>20</v>
      </c>
      <c r="C1780" s="71"/>
      <c r="D1780" s="48">
        <v>7.8921000000000005E-2</v>
      </c>
      <c r="E1780" s="48">
        <v>7.9619999999999996E-2</v>
      </c>
      <c r="F1780" s="48">
        <v>7.8747999999999999E-2</v>
      </c>
      <c r="G1780" s="48">
        <v>8.0235000000000001E-2</v>
      </c>
      <c r="H1780" s="48">
        <v>8.0535999999999996E-2</v>
      </c>
      <c r="I1780" s="48">
        <v>8.1698151927344531E-2</v>
      </c>
      <c r="J1780" s="48">
        <v>8.0833713568703974E-2</v>
      </c>
      <c r="K1780" s="48">
        <v>7.9451999999999995E-2</v>
      </c>
      <c r="L1780" s="48">
        <v>7.6724662968274293E-2</v>
      </c>
      <c r="M1780" s="285">
        <f>M1730</f>
        <v>8.1268700519883177E-2</v>
      </c>
      <c r="N1780" s="285">
        <f>N1730</f>
        <v>8.0780946790754593E-2</v>
      </c>
      <c r="O1780" s="30"/>
    </row>
    <row r="1781" spans="1:15">
      <c r="B1781" s="76" t="s">
        <v>22</v>
      </c>
      <c r="C1781" s="77"/>
      <c r="D1781" s="37">
        <v>15341</v>
      </c>
      <c r="E1781" s="37">
        <v>14137</v>
      </c>
      <c r="F1781" s="37">
        <v>12175</v>
      </c>
      <c r="G1781" s="37">
        <v>14022</v>
      </c>
      <c r="H1781" s="37">
        <v>11102</v>
      </c>
      <c r="I1781" s="229">
        <v>13918</v>
      </c>
      <c r="J1781" s="229">
        <v>12396</v>
      </c>
      <c r="K1781" s="229">
        <v>13065</v>
      </c>
      <c r="L1781" s="229">
        <f>L1778*L1780</f>
        <v>7010.0255567593495</v>
      </c>
      <c r="M1781" s="229">
        <f>ROUND(M1778*M1780,0)</f>
        <v>17203</v>
      </c>
      <c r="N1781" s="229">
        <f>N1778*N1780</f>
        <v>46335.870298230046</v>
      </c>
      <c r="O1781" s="30"/>
    </row>
    <row r="1782" spans="1:15">
      <c r="B1782" s="23"/>
      <c r="C1782" s="30"/>
      <c r="D1782" s="36"/>
      <c r="E1782" s="36"/>
      <c r="F1782" s="36"/>
      <c r="G1782" s="24"/>
      <c r="H1782" s="24"/>
      <c r="I1782" s="24"/>
      <c r="J1782" s="24"/>
      <c r="K1782" s="24"/>
      <c r="L1782" s="24"/>
      <c r="M1782" s="24"/>
      <c r="N1782" s="24"/>
      <c r="O1782" s="30"/>
    </row>
    <row r="1783" spans="1:15" ht="18.5">
      <c r="A1783" s="42" t="s">
        <v>119</v>
      </c>
      <c r="C1783" s="30"/>
      <c r="D1783" s="2">
        <f>'Facility Detail'!$B$3082</f>
        <v>2011</v>
      </c>
      <c r="E1783" s="2">
        <f>D1783+1</f>
        <v>2012</v>
      </c>
      <c r="F1783" s="2">
        <f>E1783+1</f>
        <v>2013</v>
      </c>
      <c r="G1783" s="2">
        <f t="shared" ref="G1783:L1783" si="748">G1777</f>
        <v>2014</v>
      </c>
      <c r="H1783" s="2">
        <f t="shared" si="748"/>
        <v>2015</v>
      </c>
      <c r="I1783" s="2">
        <f t="shared" si="748"/>
        <v>2016</v>
      </c>
      <c r="J1783" s="2">
        <f t="shared" si="748"/>
        <v>2017</v>
      </c>
      <c r="K1783" s="2">
        <f t="shared" si="748"/>
        <v>2018</v>
      </c>
      <c r="L1783" s="2">
        <f t="shared" si="748"/>
        <v>2019</v>
      </c>
      <c r="M1783" s="2">
        <f t="shared" ref="M1783:N1783" si="749">M1777</f>
        <v>2020</v>
      </c>
      <c r="N1783" s="2">
        <f t="shared" si="749"/>
        <v>2021</v>
      </c>
      <c r="O1783" s="30"/>
    </row>
    <row r="1784" spans="1:15">
      <c r="B1784" s="79" t="s">
        <v>10</v>
      </c>
      <c r="C1784" s="71"/>
      <c r="D1784" s="51">
        <f>IF($E38= "Eligible", D1781 * 'Facility Detail'!$B$3079, 0 )</f>
        <v>0</v>
      </c>
      <c r="E1784" s="51">
        <f>IF($E38= "Eligible", E1781 * 'Facility Detail'!$B$3079, 0 )</f>
        <v>0</v>
      </c>
      <c r="F1784" s="51">
        <f>IF($E38= "Eligible", F1781 * 'Facility Detail'!$B$3079, 0 )</f>
        <v>0</v>
      </c>
      <c r="G1784" s="51">
        <f>IF($E38= "Eligible", G1781 * 'Facility Detail'!$B$3079, 0 )</f>
        <v>0</v>
      </c>
      <c r="H1784" s="51">
        <f>IF($E38= "Eligible", H1781 * 'Facility Detail'!$B$3079, 0 )</f>
        <v>0</v>
      </c>
      <c r="I1784" s="51">
        <f>IF($E38= "Eligible", I1781 * 'Facility Detail'!$B$3079, 0 )</f>
        <v>0</v>
      </c>
      <c r="J1784" s="51">
        <f>IF($E38= "Eligible", J1781 * 'Facility Detail'!$B$3079, 0 )</f>
        <v>0</v>
      </c>
      <c r="K1784" s="51">
        <f>IF($E38= "Eligible", K1781 * 'Facility Detail'!$B$3079, 0 )</f>
        <v>0</v>
      </c>
      <c r="L1784" s="51">
        <f>IF($E38= "Eligible", L1781 * 'Facility Detail'!$B$3079, 0 )</f>
        <v>0</v>
      </c>
      <c r="M1784" s="51">
        <f>IF($E38= "Eligible", M1781 * 'Facility Detail'!$B$3079, 0 )</f>
        <v>0</v>
      </c>
      <c r="N1784" s="51">
        <f>IF($E38= "Eligible", N1781 * 'Facility Detail'!$B$3079, 0 )</f>
        <v>0</v>
      </c>
      <c r="O1784" s="30"/>
    </row>
    <row r="1785" spans="1:15">
      <c r="B1785" s="79" t="s">
        <v>6</v>
      </c>
      <c r="C1785" s="71"/>
      <c r="D1785" s="52">
        <f t="shared" ref="D1785:N1785" si="750">IF($F38= "Eligible", D1781, 0 )</f>
        <v>0</v>
      </c>
      <c r="E1785" s="52">
        <f t="shared" si="750"/>
        <v>0</v>
      </c>
      <c r="F1785" s="52">
        <f t="shared" si="750"/>
        <v>0</v>
      </c>
      <c r="G1785" s="52">
        <f t="shared" si="750"/>
        <v>0</v>
      </c>
      <c r="H1785" s="52">
        <f t="shared" si="750"/>
        <v>0</v>
      </c>
      <c r="I1785" s="52">
        <f t="shared" si="750"/>
        <v>0</v>
      </c>
      <c r="J1785" s="52">
        <f t="shared" si="750"/>
        <v>0</v>
      </c>
      <c r="K1785" s="52">
        <f t="shared" si="750"/>
        <v>0</v>
      </c>
      <c r="L1785" s="52">
        <f t="shared" si="750"/>
        <v>0</v>
      </c>
      <c r="M1785" s="52">
        <f t="shared" si="750"/>
        <v>0</v>
      </c>
      <c r="N1785" s="52">
        <f t="shared" si="750"/>
        <v>0</v>
      </c>
      <c r="O1785" s="30"/>
    </row>
    <row r="1786" spans="1:15">
      <c r="B1786" s="78" t="s">
        <v>121</v>
      </c>
      <c r="C1786" s="77"/>
      <c r="D1786" s="39">
        <f>SUM(D1784:D1785)</f>
        <v>0</v>
      </c>
      <c r="E1786" s="39">
        <f t="shared" ref="E1786:N1786" si="751">SUM(E1784:E1785)</f>
        <v>0</v>
      </c>
      <c r="F1786" s="39">
        <f t="shared" si="751"/>
        <v>0</v>
      </c>
      <c r="G1786" s="39">
        <f t="shared" si="751"/>
        <v>0</v>
      </c>
      <c r="H1786" s="39">
        <f t="shared" si="751"/>
        <v>0</v>
      </c>
      <c r="I1786" s="39">
        <f t="shared" si="751"/>
        <v>0</v>
      </c>
      <c r="J1786" s="39">
        <f t="shared" si="751"/>
        <v>0</v>
      </c>
      <c r="K1786" s="39">
        <f t="shared" si="751"/>
        <v>0</v>
      </c>
      <c r="L1786" s="39">
        <f t="shared" si="751"/>
        <v>0</v>
      </c>
      <c r="M1786" s="39">
        <f t="shared" si="751"/>
        <v>0</v>
      </c>
      <c r="N1786" s="39">
        <f t="shared" si="751"/>
        <v>0</v>
      </c>
      <c r="O1786" s="30"/>
    </row>
    <row r="1787" spans="1:15">
      <c r="B1787" s="30"/>
      <c r="C1787" s="30"/>
      <c r="D1787" s="38"/>
      <c r="E1787" s="31"/>
      <c r="F1787" s="31"/>
      <c r="G1787" s="24"/>
      <c r="H1787" s="24"/>
      <c r="I1787" s="24"/>
      <c r="J1787" s="24"/>
      <c r="K1787" s="24"/>
      <c r="L1787" s="24"/>
      <c r="M1787" s="24"/>
      <c r="N1787" s="24"/>
      <c r="O1787" s="30"/>
    </row>
    <row r="1788" spans="1:15" ht="18.5">
      <c r="A1788" s="41" t="s">
        <v>30</v>
      </c>
      <c r="C1788" s="30"/>
      <c r="D1788" s="2">
        <f>'Facility Detail'!$B$3082</f>
        <v>2011</v>
      </c>
      <c r="E1788" s="2">
        <f>D1788+1</f>
        <v>2012</v>
      </c>
      <c r="F1788" s="2">
        <f>E1788+1</f>
        <v>2013</v>
      </c>
      <c r="G1788" s="2">
        <f t="shared" ref="G1788:L1788" si="752">G1777</f>
        <v>2014</v>
      </c>
      <c r="H1788" s="2">
        <f t="shared" si="752"/>
        <v>2015</v>
      </c>
      <c r="I1788" s="2">
        <f t="shared" si="752"/>
        <v>2016</v>
      </c>
      <c r="J1788" s="2">
        <f t="shared" si="752"/>
        <v>2017</v>
      </c>
      <c r="K1788" s="2">
        <f t="shared" si="752"/>
        <v>2018</v>
      </c>
      <c r="L1788" s="2">
        <f t="shared" si="752"/>
        <v>2019</v>
      </c>
      <c r="M1788" s="2">
        <f t="shared" ref="M1788:N1788" si="753">M1777</f>
        <v>2020</v>
      </c>
      <c r="N1788" s="2">
        <f t="shared" si="753"/>
        <v>2021</v>
      </c>
      <c r="O1788" s="30"/>
    </row>
    <row r="1789" spans="1:15">
      <c r="B1789" s="79" t="s">
        <v>47</v>
      </c>
      <c r="C1789" s="71"/>
      <c r="D1789" s="89"/>
      <c r="E1789" s="90"/>
      <c r="F1789" s="90"/>
      <c r="G1789" s="90"/>
      <c r="H1789" s="155"/>
      <c r="I1789" s="90"/>
      <c r="J1789" s="90"/>
      <c r="K1789" s="90"/>
      <c r="L1789" s="90"/>
      <c r="M1789" s="91"/>
      <c r="N1789" s="91"/>
      <c r="O1789" s="30"/>
    </row>
    <row r="1790" spans="1:15">
      <c r="B1790" s="80" t="s">
        <v>23</v>
      </c>
      <c r="C1790" s="175"/>
      <c r="D1790" s="92"/>
      <c r="E1790" s="93"/>
      <c r="F1790" s="93"/>
      <c r="G1790" s="93"/>
      <c r="H1790" s="156"/>
      <c r="I1790" s="93"/>
      <c r="J1790" s="93"/>
      <c r="K1790" s="93"/>
      <c r="L1790" s="93"/>
      <c r="M1790" s="94"/>
      <c r="N1790" s="94"/>
      <c r="O1790" s="30"/>
    </row>
    <row r="1791" spans="1:15">
      <c r="B1791" s="95" t="s">
        <v>89</v>
      </c>
      <c r="C1791" s="173"/>
      <c r="D1791" s="57"/>
      <c r="E1791" s="58"/>
      <c r="F1791" s="58"/>
      <c r="G1791" s="58"/>
      <c r="H1791" s="157"/>
      <c r="I1791" s="58"/>
      <c r="J1791" s="58"/>
      <c r="K1791" s="58"/>
      <c r="L1791" s="58"/>
      <c r="M1791" s="59"/>
      <c r="N1791" s="59"/>
      <c r="O1791" s="30"/>
    </row>
    <row r="1792" spans="1:15">
      <c r="B1792" s="33" t="s">
        <v>90</v>
      </c>
      <c r="D1792" s="7">
        <f t="shared" ref="D1792:J1792" si="754">SUM(D1789:D1791)</f>
        <v>0</v>
      </c>
      <c r="E1792" s="7">
        <f t="shared" si="754"/>
        <v>0</v>
      </c>
      <c r="F1792" s="7">
        <f t="shared" si="754"/>
        <v>0</v>
      </c>
      <c r="G1792" s="7">
        <f t="shared" si="754"/>
        <v>0</v>
      </c>
      <c r="H1792" s="40">
        <f t="shared" si="754"/>
        <v>0</v>
      </c>
      <c r="I1792" s="40">
        <f t="shared" si="754"/>
        <v>0</v>
      </c>
      <c r="J1792" s="7">
        <f t="shared" si="754"/>
        <v>0</v>
      </c>
      <c r="K1792" s="7">
        <f t="shared" ref="K1792:L1792" si="755">SUM(K1789:K1791)</f>
        <v>0</v>
      </c>
      <c r="L1792" s="7">
        <f t="shared" si="755"/>
        <v>0</v>
      </c>
      <c r="M1792" s="7">
        <f t="shared" ref="M1792:N1792" si="756">SUM(M1789:M1791)</f>
        <v>0</v>
      </c>
      <c r="N1792" s="7">
        <f t="shared" si="756"/>
        <v>0</v>
      </c>
      <c r="O1792" s="30"/>
    </row>
    <row r="1793" spans="1:15">
      <c r="B1793" s="6"/>
      <c r="D1793" s="7"/>
      <c r="E1793" s="7"/>
      <c r="F1793" s="7"/>
      <c r="G1793" s="28"/>
      <c r="H1793" s="28"/>
      <c r="I1793" s="28"/>
      <c r="J1793" s="28"/>
      <c r="K1793" s="28"/>
      <c r="L1793" s="28"/>
      <c r="M1793" s="28"/>
      <c r="N1793" s="28"/>
      <c r="O1793" s="30"/>
    </row>
    <row r="1794" spans="1:15" ht="18.5">
      <c r="A1794" s="9" t="s">
        <v>100</v>
      </c>
      <c r="D1794" s="169">
        <f>'Facility Detail'!$B$3082</f>
        <v>2011</v>
      </c>
      <c r="E1794" s="169">
        <f t="shared" ref="E1794:K1794" si="757">D1794+1</f>
        <v>2012</v>
      </c>
      <c r="F1794" s="169">
        <f t="shared" si="757"/>
        <v>2013</v>
      </c>
      <c r="G1794" s="169">
        <f t="shared" si="757"/>
        <v>2014</v>
      </c>
      <c r="H1794" s="169">
        <f t="shared" si="757"/>
        <v>2015</v>
      </c>
      <c r="I1794" s="169">
        <f t="shared" si="757"/>
        <v>2016</v>
      </c>
      <c r="J1794" s="169">
        <f t="shared" si="757"/>
        <v>2017</v>
      </c>
      <c r="K1794" s="169">
        <f t="shared" si="757"/>
        <v>2018</v>
      </c>
      <c r="L1794" s="169">
        <f t="shared" ref="L1794" si="758">K1794+1</f>
        <v>2019</v>
      </c>
      <c r="M1794" s="169">
        <f t="shared" ref="M1794" si="759">L1794+1</f>
        <v>2020</v>
      </c>
      <c r="N1794" s="169">
        <f t="shared" ref="N1794" si="760">M1794+1</f>
        <v>2021</v>
      </c>
      <c r="O1794" s="30"/>
    </row>
    <row r="1795" spans="1:15">
      <c r="B1795" s="79" t="s">
        <v>68</v>
      </c>
      <c r="C1795" s="71"/>
      <c r="D1795" s="3">
        <f>D1781</f>
        <v>15341</v>
      </c>
      <c r="E1795" s="60">
        <f>D1795</f>
        <v>15341</v>
      </c>
      <c r="F1795" s="131"/>
      <c r="G1795" s="131"/>
      <c r="H1795" s="131"/>
      <c r="I1795" s="131"/>
      <c r="J1795" s="131"/>
      <c r="K1795" s="131"/>
      <c r="L1795" s="131"/>
      <c r="M1795" s="131"/>
      <c r="N1795" s="61"/>
      <c r="O1795" s="30"/>
    </row>
    <row r="1796" spans="1:15">
      <c r="B1796" s="79" t="s">
        <v>69</v>
      </c>
      <c r="C1796" s="71"/>
      <c r="D1796" s="164">
        <f>E1796</f>
        <v>0</v>
      </c>
      <c r="E1796" s="10"/>
      <c r="F1796" s="74"/>
      <c r="G1796" s="74"/>
      <c r="H1796" s="74"/>
      <c r="I1796" s="74"/>
      <c r="J1796" s="74"/>
      <c r="K1796" s="74"/>
      <c r="L1796" s="74"/>
      <c r="M1796" s="74"/>
      <c r="N1796" s="165"/>
      <c r="O1796" s="30"/>
    </row>
    <row r="1797" spans="1:15">
      <c r="B1797" s="79" t="s">
        <v>70</v>
      </c>
      <c r="C1797" s="71"/>
      <c r="D1797" s="62"/>
      <c r="E1797" s="10">
        <f>E1781</f>
        <v>14137</v>
      </c>
      <c r="F1797" s="70">
        <f>E1797</f>
        <v>14137</v>
      </c>
      <c r="G1797" s="74"/>
      <c r="H1797" s="74"/>
      <c r="I1797" s="74"/>
      <c r="J1797" s="74"/>
      <c r="K1797" s="74"/>
      <c r="L1797" s="74"/>
      <c r="M1797" s="74"/>
      <c r="N1797" s="165"/>
      <c r="O1797" s="30"/>
    </row>
    <row r="1798" spans="1:15">
      <c r="B1798" s="79" t="s">
        <v>71</v>
      </c>
      <c r="C1798" s="71"/>
      <c r="D1798" s="62"/>
      <c r="E1798" s="70">
        <f>F1798</f>
        <v>0</v>
      </c>
      <c r="F1798" s="163"/>
      <c r="G1798" s="74"/>
      <c r="H1798" s="74"/>
      <c r="I1798" s="74"/>
      <c r="J1798" s="74"/>
      <c r="K1798" s="74"/>
      <c r="L1798" s="74"/>
      <c r="M1798" s="74"/>
      <c r="N1798" s="165"/>
      <c r="O1798" s="30"/>
    </row>
    <row r="1799" spans="1:15">
      <c r="B1799" s="79" t="s">
        <v>171</v>
      </c>
      <c r="C1799" s="71"/>
      <c r="D1799" s="62"/>
      <c r="E1799" s="148"/>
      <c r="F1799" s="10">
        <f>F1781</f>
        <v>12175</v>
      </c>
      <c r="G1799" s="149">
        <f>F1799</f>
        <v>12175</v>
      </c>
      <c r="H1799" s="74"/>
      <c r="I1799" s="74"/>
      <c r="J1799" s="74"/>
      <c r="K1799" s="74"/>
      <c r="L1799" s="74"/>
      <c r="M1799" s="74"/>
      <c r="N1799" s="165"/>
      <c r="O1799" s="30"/>
    </row>
    <row r="1800" spans="1:15">
      <c r="B1800" s="79" t="s">
        <v>172</v>
      </c>
      <c r="C1800" s="71"/>
      <c r="D1800" s="62"/>
      <c r="E1800" s="148"/>
      <c r="F1800" s="70">
        <f>G1800</f>
        <v>0</v>
      </c>
      <c r="G1800" s="10"/>
      <c r="H1800" s="74"/>
      <c r="I1800" s="74"/>
      <c r="J1800" s="74" t="s">
        <v>170</v>
      </c>
      <c r="K1800" s="74" t="s">
        <v>170</v>
      </c>
      <c r="L1800" s="74" t="s">
        <v>170</v>
      </c>
      <c r="M1800" s="74" t="s">
        <v>170</v>
      </c>
      <c r="N1800" s="165" t="s">
        <v>170</v>
      </c>
      <c r="O1800" s="30"/>
    </row>
    <row r="1801" spans="1:15">
      <c r="B1801" s="79" t="s">
        <v>173</v>
      </c>
      <c r="C1801" s="71"/>
      <c r="D1801" s="62"/>
      <c r="E1801" s="148"/>
      <c r="F1801" s="148"/>
      <c r="G1801" s="10">
        <f>G1781</f>
        <v>14022</v>
      </c>
      <c r="H1801" s="149">
        <f>G1801</f>
        <v>14022</v>
      </c>
      <c r="I1801" s="148"/>
      <c r="J1801" s="74"/>
      <c r="K1801" s="74"/>
      <c r="L1801" s="74"/>
      <c r="M1801" s="74"/>
      <c r="N1801" s="152"/>
      <c r="O1801" s="30"/>
    </row>
    <row r="1802" spans="1:15">
      <c r="B1802" s="79" t="s">
        <v>174</v>
      </c>
      <c r="C1802" s="71"/>
      <c r="D1802" s="62"/>
      <c r="E1802" s="148"/>
      <c r="F1802" s="148"/>
      <c r="G1802" s="70"/>
      <c r="H1802" s="10"/>
      <c r="I1802" s="148"/>
      <c r="J1802" s="74"/>
      <c r="K1802" s="74"/>
      <c r="L1802" s="74"/>
      <c r="M1802" s="74"/>
      <c r="N1802" s="152"/>
      <c r="O1802" s="30"/>
    </row>
    <row r="1803" spans="1:15">
      <c r="B1803" s="79" t="s">
        <v>175</v>
      </c>
      <c r="C1803" s="71"/>
      <c r="D1803" s="62"/>
      <c r="E1803" s="148"/>
      <c r="F1803" s="148"/>
      <c r="G1803" s="148"/>
      <c r="H1803" s="10">
        <f>H1781</f>
        <v>11102</v>
      </c>
      <c r="I1803" s="149">
        <f>H1803</f>
        <v>11102</v>
      </c>
      <c r="J1803" s="74"/>
      <c r="K1803" s="74"/>
      <c r="L1803" s="74"/>
      <c r="M1803" s="74"/>
      <c r="N1803" s="152"/>
      <c r="O1803" s="30"/>
    </row>
    <row r="1804" spans="1:15">
      <c r="B1804" s="79" t="s">
        <v>176</v>
      </c>
      <c r="C1804" s="71"/>
      <c r="D1804" s="62"/>
      <c r="E1804" s="148"/>
      <c r="F1804" s="148"/>
      <c r="G1804" s="148"/>
      <c r="H1804" s="70"/>
      <c r="I1804" s="10"/>
      <c r="J1804" s="74"/>
      <c r="K1804" s="74"/>
      <c r="L1804" s="74"/>
      <c r="M1804" s="74"/>
      <c r="N1804" s="152"/>
      <c r="O1804" s="30"/>
    </row>
    <row r="1805" spans="1:15">
      <c r="B1805" s="79" t="s">
        <v>177</v>
      </c>
      <c r="C1805" s="71"/>
      <c r="D1805" s="62"/>
      <c r="E1805" s="148"/>
      <c r="F1805" s="148"/>
      <c r="G1805" s="148"/>
      <c r="H1805" s="148"/>
      <c r="I1805" s="207"/>
      <c r="J1805" s="150">
        <f>I1805</f>
        <v>0</v>
      </c>
      <c r="K1805" s="74"/>
      <c r="L1805" s="74"/>
      <c r="M1805" s="74"/>
      <c r="N1805" s="152"/>
      <c r="O1805" s="30"/>
    </row>
    <row r="1806" spans="1:15">
      <c r="B1806" s="79" t="s">
        <v>168</v>
      </c>
      <c r="C1806" s="30"/>
      <c r="D1806" s="62"/>
      <c r="E1806" s="148"/>
      <c r="F1806" s="148"/>
      <c r="G1806" s="148"/>
      <c r="H1806" s="148"/>
      <c r="I1806" s="208"/>
      <c r="J1806" s="151"/>
      <c r="K1806" s="74"/>
      <c r="L1806" s="74"/>
      <c r="M1806" s="74"/>
      <c r="N1806" s="152"/>
      <c r="O1806" s="30"/>
    </row>
    <row r="1807" spans="1:15">
      <c r="B1807" s="79" t="s">
        <v>169</v>
      </c>
      <c r="C1807" s="30"/>
      <c r="D1807" s="62"/>
      <c r="E1807" s="148"/>
      <c r="F1807" s="148"/>
      <c r="G1807" s="148"/>
      <c r="H1807" s="148"/>
      <c r="I1807" s="148"/>
      <c r="J1807" s="151"/>
      <c r="K1807" s="150">
        <f>J1807</f>
        <v>0</v>
      </c>
      <c r="L1807" s="74"/>
      <c r="M1807" s="74"/>
      <c r="N1807" s="152"/>
      <c r="O1807" s="30"/>
    </row>
    <row r="1808" spans="1:15">
      <c r="B1808" s="79" t="s">
        <v>186</v>
      </c>
      <c r="C1808" s="30"/>
      <c r="D1808" s="62"/>
      <c r="E1808" s="148"/>
      <c r="F1808" s="148"/>
      <c r="G1808" s="148"/>
      <c r="H1808" s="148"/>
      <c r="I1808" s="148"/>
      <c r="J1808" s="228"/>
      <c r="K1808" s="151"/>
      <c r="L1808" s="74"/>
      <c r="M1808" s="74"/>
      <c r="N1808" s="152"/>
      <c r="O1808" s="30"/>
    </row>
    <row r="1809" spans="1:15">
      <c r="B1809" s="79" t="s">
        <v>187</v>
      </c>
      <c r="C1809" s="30"/>
      <c r="D1809" s="62"/>
      <c r="E1809" s="148"/>
      <c r="F1809" s="148"/>
      <c r="G1809" s="148"/>
      <c r="H1809" s="148"/>
      <c r="I1809" s="148"/>
      <c r="J1809" s="148"/>
      <c r="K1809" s="151"/>
      <c r="L1809" s="150">
        <f>K1809</f>
        <v>0</v>
      </c>
      <c r="M1809" s="74"/>
      <c r="N1809" s="152"/>
      <c r="O1809" s="30"/>
    </row>
    <row r="1810" spans="1:15">
      <c r="B1810" s="79" t="s">
        <v>188</v>
      </c>
      <c r="C1810" s="30"/>
      <c r="D1810" s="62"/>
      <c r="E1810" s="148"/>
      <c r="F1810" s="148"/>
      <c r="G1810" s="148"/>
      <c r="H1810" s="148"/>
      <c r="I1810" s="148"/>
      <c r="J1810" s="148"/>
      <c r="K1810" s="150"/>
      <c r="L1810" s="151"/>
      <c r="M1810" s="74"/>
      <c r="N1810" s="152"/>
      <c r="O1810" s="30"/>
    </row>
    <row r="1811" spans="1:15">
      <c r="B1811" s="79" t="s">
        <v>189</v>
      </c>
      <c r="C1811" s="30"/>
      <c r="D1811" s="62"/>
      <c r="E1811" s="148"/>
      <c r="F1811" s="148"/>
      <c r="G1811" s="148"/>
      <c r="H1811" s="148"/>
      <c r="I1811" s="148"/>
      <c r="J1811" s="148"/>
      <c r="K1811" s="148"/>
      <c r="L1811" s="151"/>
      <c r="M1811" s="150">
        <f>K1811</f>
        <v>0</v>
      </c>
      <c r="N1811" s="152"/>
      <c r="O1811" s="30"/>
    </row>
    <row r="1812" spans="1:15">
      <c r="B1812" s="79" t="s">
        <v>190</v>
      </c>
      <c r="C1812" s="30"/>
      <c r="D1812" s="62"/>
      <c r="E1812" s="148"/>
      <c r="F1812" s="148"/>
      <c r="G1812" s="148"/>
      <c r="H1812" s="148"/>
      <c r="I1812" s="148"/>
      <c r="J1812" s="148"/>
      <c r="K1812" s="148"/>
      <c r="L1812" s="150"/>
      <c r="M1812" s="151"/>
      <c r="N1812" s="152"/>
      <c r="O1812" s="30"/>
    </row>
    <row r="1813" spans="1:15">
      <c r="B1813" s="79" t="s">
        <v>191</v>
      </c>
      <c r="C1813" s="30"/>
      <c r="D1813" s="62"/>
      <c r="E1813" s="148"/>
      <c r="F1813" s="148"/>
      <c r="G1813" s="148"/>
      <c r="H1813" s="148"/>
      <c r="I1813" s="148"/>
      <c r="J1813" s="148"/>
      <c r="K1813" s="148"/>
      <c r="L1813" s="148"/>
      <c r="M1813" s="151"/>
      <c r="N1813" s="150">
        <f>M1813</f>
        <v>0</v>
      </c>
      <c r="O1813" s="30"/>
    </row>
    <row r="1814" spans="1:15">
      <c r="B1814" s="79" t="s">
        <v>201</v>
      </c>
      <c r="C1814" s="30"/>
      <c r="D1814" s="62"/>
      <c r="E1814" s="148"/>
      <c r="F1814" s="148"/>
      <c r="G1814" s="148"/>
      <c r="H1814" s="148"/>
      <c r="I1814" s="148"/>
      <c r="J1814" s="148"/>
      <c r="K1814" s="148"/>
      <c r="L1814" s="148"/>
      <c r="M1814" s="150">
        <v>11418</v>
      </c>
      <c r="N1814" s="151">
        <v>11418</v>
      </c>
      <c r="O1814" s="30"/>
    </row>
    <row r="1815" spans="1:15">
      <c r="B1815" s="79" t="s">
        <v>202</v>
      </c>
      <c r="C1815" s="30"/>
      <c r="D1815" s="63"/>
      <c r="E1815" s="133"/>
      <c r="F1815" s="133"/>
      <c r="G1815" s="133"/>
      <c r="H1815" s="133"/>
      <c r="I1815" s="133"/>
      <c r="J1815" s="133"/>
      <c r="K1815" s="133"/>
      <c r="L1815" s="133"/>
      <c r="M1815" s="133"/>
      <c r="N1815" s="153">
        <v>5995</v>
      </c>
      <c r="O1815" s="30"/>
    </row>
    <row r="1816" spans="1:15">
      <c r="B1816" s="33" t="s">
        <v>17</v>
      </c>
      <c r="D1816" s="180">
        <f xml:space="preserve"> D1796 - D1795</f>
        <v>-15341</v>
      </c>
      <c r="E1816" s="180">
        <f xml:space="preserve"> E1795 + E1798 - E1797 - E1796</f>
        <v>1204</v>
      </c>
      <c r="F1816" s="180">
        <f>F1797 - F1798 -F1799</f>
        <v>1962</v>
      </c>
      <c r="G1816" s="180">
        <f>G1799-G1800-G1801</f>
        <v>-1847</v>
      </c>
      <c r="H1816" s="180">
        <f>H1801-H1802-H1803</f>
        <v>2920</v>
      </c>
      <c r="I1816" s="180">
        <f>I1803-I1804-I1805</f>
        <v>11102</v>
      </c>
      <c r="J1816" s="180">
        <f>J1805-J1806-J1807</f>
        <v>0</v>
      </c>
      <c r="K1816" s="180">
        <f>K1807-K1808-K1809</f>
        <v>0</v>
      </c>
      <c r="L1816" s="180">
        <f>L1809-L1810-L1811</f>
        <v>0</v>
      </c>
      <c r="M1816" s="180">
        <f>M1814</f>
        <v>11418</v>
      </c>
      <c r="N1816" s="180">
        <f>N1814*-1+N1815*-1</f>
        <v>-17413</v>
      </c>
      <c r="O1816" s="30"/>
    </row>
    <row r="1817" spans="1:15">
      <c r="B1817" s="6"/>
      <c r="D1817" s="7"/>
      <c r="E1817" s="7"/>
      <c r="F1817" s="7"/>
      <c r="G1817" s="7"/>
      <c r="H1817" s="7"/>
      <c r="I1817" s="7"/>
      <c r="J1817" s="7"/>
      <c r="K1817" s="7"/>
      <c r="L1817" s="7"/>
      <c r="M1817" s="7"/>
      <c r="N1817" s="7"/>
      <c r="O1817" s="30"/>
    </row>
    <row r="1818" spans="1:15">
      <c r="B1818" s="76" t="s">
        <v>12</v>
      </c>
      <c r="C1818" s="71"/>
      <c r="D1818" s="99"/>
      <c r="E1818" s="100"/>
      <c r="F1818" s="100"/>
      <c r="G1818" s="100"/>
      <c r="H1818" s="159"/>
      <c r="I1818" s="160"/>
      <c r="J1818" s="160"/>
      <c r="K1818" s="160"/>
      <c r="L1818" s="160"/>
      <c r="M1818" s="101"/>
      <c r="N1818" s="101"/>
      <c r="O1818" s="30"/>
    </row>
    <row r="1819" spans="1:15">
      <c r="B1819" s="6"/>
      <c r="D1819" s="7"/>
      <c r="E1819" s="7"/>
      <c r="F1819" s="7"/>
      <c r="G1819" s="7"/>
      <c r="H1819" s="7"/>
      <c r="I1819" s="7"/>
      <c r="J1819" s="7"/>
      <c r="K1819" s="7"/>
      <c r="L1819" s="7"/>
      <c r="M1819" s="7"/>
      <c r="N1819" s="7"/>
      <c r="O1819" s="30"/>
    </row>
    <row r="1820" spans="1:15" ht="18.5">
      <c r="A1820" s="41" t="s">
        <v>26</v>
      </c>
      <c r="C1820" s="71"/>
      <c r="D1820" s="43">
        <f t="shared" ref="D1820:N1820" si="761" xml:space="preserve"> D1781 + D1786 - D1792 + D1816 + D1818</f>
        <v>0</v>
      </c>
      <c r="E1820" s="44">
        <f t="shared" si="761"/>
        <v>15341</v>
      </c>
      <c r="F1820" s="44">
        <f t="shared" si="761"/>
        <v>14137</v>
      </c>
      <c r="G1820" s="44">
        <f t="shared" si="761"/>
        <v>12175</v>
      </c>
      <c r="H1820" s="158">
        <f t="shared" si="761"/>
        <v>14022</v>
      </c>
      <c r="I1820" s="161">
        <f t="shared" si="761"/>
        <v>25020</v>
      </c>
      <c r="J1820" s="161">
        <f t="shared" si="761"/>
        <v>12396</v>
      </c>
      <c r="K1820" s="161">
        <f t="shared" si="761"/>
        <v>13065</v>
      </c>
      <c r="L1820" s="161">
        <f t="shared" si="761"/>
        <v>7010.0255567593495</v>
      </c>
      <c r="M1820" s="45">
        <f t="shared" si="761"/>
        <v>28621</v>
      </c>
      <c r="N1820" s="45">
        <f t="shared" si="761"/>
        <v>28922.870298230046</v>
      </c>
      <c r="O1820" s="30"/>
    </row>
    <row r="1821" spans="1:15">
      <c r="B1821" s="6"/>
      <c r="D1821" s="7"/>
      <c r="E1821" s="7"/>
      <c r="F1821" s="7"/>
      <c r="G1821" s="28"/>
      <c r="H1821" s="28"/>
      <c r="I1821" s="28"/>
      <c r="J1821" s="28"/>
      <c r="K1821" s="28"/>
      <c r="L1821" s="28"/>
      <c r="M1821" s="28"/>
      <c r="N1821" s="28"/>
      <c r="O1821" s="30"/>
    </row>
    <row r="1822" spans="1:15" ht="15" thickBot="1">
      <c r="O1822" s="30"/>
    </row>
    <row r="1823" spans="1:15" ht="15" thickBot="1">
      <c r="A1823" s="8"/>
      <c r="B1823" s="8"/>
      <c r="C1823" s="8"/>
      <c r="D1823" s="8"/>
      <c r="E1823" s="8"/>
      <c r="F1823" s="8"/>
      <c r="G1823" s="8"/>
      <c r="H1823" s="8"/>
      <c r="I1823" s="8"/>
      <c r="J1823" s="8"/>
      <c r="K1823" s="8"/>
      <c r="L1823" s="8"/>
      <c r="M1823" s="8"/>
      <c r="N1823" s="8"/>
    </row>
    <row r="1824" spans="1:15" ht="21.5" thickBot="1">
      <c r="A1824" s="13" t="s">
        <v>4</v>
      </c>
      <c r="B1824" s="13"/>
      <c r="C1824" s="313" t="s">
        <v>260</v>
      </c>
      <c r="D1824" s="310"/>
      <c r="E1824" s="23"/>
      <c r="F1824" s="23"/>
    </row>
    <row r="1826" spans="1:14" ht="18.5">
      <c r="A1826" s="9" t="s">
        <v>21</v>
      </c>
      <c r="B1826" s="9"/>
      <c r="D1826" s="2">
        <v>2011</v>
      </c>
      <c r="E1826" s="2">
        <f>D1826+1</f>
        <v>2012</v>
      </c>
      <c r="F1826" s="2">
        <f t="shared" ref="F1826" si="762">E1826+1</f>
        <v>2013</v>
      </c>
      <c r="G1826" s="2">
        <f t="shared" ref="G1826" si="763">F1826+1</f>
        <v>2014</v>
      </c>
      <c r="H1826" s="2">
        <f t="shared" ref="H1826" si="764">G1826+1</f>
        <v>2015</v>
      </c>
      <c r="I1826" s="2">
        <f t="shared" ref="I1826" si="765">H1826+1</f>
        <v>2016</v>
      </c>
      <c r="J1826" s="2">
        <f t="shared" ref="J1826" si="766">I1826+1</f>
        <v>2017</v>
      </c>
      <c r="K1826" s="2">
        <f t="shared" ref="K1826" si="767">J1826+1</f>
        <v>2018</v>
      </c>
      <c r="L1826" s="2">
        <f t="shared" ref="L1826" si="768">K1826+1</f>
        <v>2019</v>
      </c>
      <c r="M1826" s="2">
        <f t="shared" ref="M1826" si="769">L1826+1</f>
        <v>2020</v>
      </c>
      <c r="N1826" s="2">
        <f t="shared" ref="N1826" si="770">M1826+1</f>
        <v>2021</v>
      </c>
    </row>
    <row r="1827" spans="1:14">
      <c r="B1827" s="79" t="str">
        <f>"Total MWh Produced / Purchased from " &amp; C1824</f>
        <v xml:space="preserve">Total MWh Produced / Purchased from McFadden Ridge </v>
      </c>
      <c r="C1827" s="71"/>
      <c r="D1827" s="3"/>
      <c r="E1827" s="4"/>
      <c r="F1827" s="4"/>
      <c r="G1827" s="4"/>
      <c r="H1827" s="4"/>
      <c r="I1827" s="4"/>
      <c r="J1827" s="4"/>
      <c r="K1827" s="4"/>
      <c r="L1827" s="4"/>
      <c r="M1827" s="230"/>
      <c r="N1827" s="230">
        <v>113264</v>
      </c>
    </row>
    <row r="1828" spans="1:14">
      <c r="B1828" s="79" t="s">
        <v>25</v>
      </c>
      <c r="C1828" s="71"/>
      <c r="D1828" s="54"/>
      <c r="E1828" s="55"/>
      <c r="F1828" s="55"/>
      <c r="G1828" s="55"/>
      <c r="H1828" s="55"/>
      <c r="I1828" s="55"/>
      <c r="J1828" s="55"/>
      <c r="K1828" s="55"/>
      <c r="L1828" s="55"/>
      <c r="M1828" s="234"/>
      <c r="N1828" s="234">
        <v>1</v>
      </c>
    </row>
    <row r="1829" spans="1:14">
      <c r="B1829" s="79" t="s">
        <v>20</v>
      </c>
      <c r="C1829" s="71"/>
      <c r="D1829" s="48"/>
      <c r="E1829" s="49"/>
      <c r="F1829" s="49"/>
      <c r="G1829" s="49"/>
      <c r="H1829" s="49"/>
      <c r="I1829" s="49"/>
      <c r="J1829" s="49"/>
      <c r="K1829" s="49"/>
      <c r="L1829" s="49"/>
      <c r="M1829" s="243"/>
      <c r="N1829" s="243">
        <f>N1780</f>
        <v>8.0780946790754593E-2</v>
      </c>
    </row>
    <row r="1830" spans="1:14">
      <c r="B1830" s="76" t="s">
        <v>22</v>
      </c>
      <c r="C1830" s="77"/>
      <c r="D1830" s="37">
        <v>0</v>
      </c>
      <c r="E1830" s="37">
        <v>0</v>
      </c>
      <c r="F1830" s="37">
        <v>0</v>
      </c>
      <c r="G1830" s="37">
        <v>0</v>
      </c>
      <c r="H1830" s="37">
        <v>0</v>
      </c>
      <c r="I1830" s="37">
        <v>0</v>
      </c>
      <c r="J1830" s="37">
        <v>0</v>
      </c>
      <c r="K1830" s="37">
        <v>0</v>
      </c>
      <c r="L1830" s="37">
        <f>L1827*L1829</f>
        <v>0</v>
      </c>
      <c r="M1830" s="37">
        <f>M1827*M1829</f>
        <v>0</v>
      </c>
      <c r="N1830" s="37">
        <f>N1827*N1829</f>
        <v>9149.5731573080284</v>
      </c>
    </row>
    <row r="1831" spans="1:14">
      <c r="B1831" s="23"/>
      <c r="C1831" s="30"/>
      <c r="D1831" s="36"/>
      <c r="E1831" s="36"/>
      <c r="F1831" s="36"/>
      <c r="G1831" s="36"/>
      <c r="H1831" s="36"/>
      <c r="I1831" s="36"/>
      <c r="J1831" s="36"/>
      <c r="K1831" s="36"/>
      <c r="L1831" s="36"/>
      <c r="M1831" s="36"/>
      <c r="N1831" s="36"/>
    </row>
    <row r="1832" spans="1:14" ht="18.5">
      <c r="A1832" s="42" t="s">
        <v>119</v>
      </c>
      <c r="C1832" s="30"/>
      <c r="D1832" s="2">
        <v>2011</v>
      </c>
      <c r="E1832" s="2">
        <f>D1832+1</f>
        <v>2012</v>
      </c>
      <c r="F1832" s="2">
        <f t="shared" ref="F1832" si="771">E1832+1</f>
        <v>2013</v>
      </c>
      <c r="G1832" s="2">
        <f t="shared" ref="G1832" si="772">F1832+1</f>
        <v>2014</v>
      </c>
      <c r="H1832" s="2">
        <f t="shared" ref="H1832" si="773">G1832+1</f>
        <v>2015</v>
      </c>
      <c r="I1832" s="2">
        <f t="shared" ref="I1832" si="774">H1832+1</f>
        <v>2016</v>
      </c>
      <c r="J1832" s="2">
        <f t="shared" ref="J1832" si="775">I1832+1</f>
        <v>2017</v>
      </c>
      <c r="K1832" s="2">
        <f t="shared" ref="K1832" si="776">J1832+1</f>
        <v>2018</v>
      </c>
      <c r="L1832" s="2">
        <f t="shared" ref="L1832" si="777">K1832+1</f>
        <v>2019</v>
      </c>
      <c r="M1832" s="2">
        <f t="shared" ref="M1832" si="778">L1832+1</f>
        <v>2020</v>
      </c>
      <c r="N1832" s="2">
        <f t="shared" ref="N1832" si="779">M1832+1</f>
        <v>2021</v>
      </c>
    </row>
    <row r="1833" spans="1:14">
      <c r="B1833" s="79" t="s">
        <v>10</v>
      </c>
      <c r="C1833" s="71"/>
      <c r="D1833" s="51">
        <f>IF($E39= "Eligible", D1830 * 'Facility Detail'!$B$3079, 0 )</f>
        <v>0</v>
      </c>
      <c r="E1833" s="51">
        <f>IF($E39= "Eligible", E1830 * 'Facility Detail'!$B$3079, 0 )</f>
        <v>0</v>
      </c>
      <c r="F1833" s="51">
        <f>IF($E39= "Eligible", F1830 * 'Facility Detail'!$B$3079, 0 )</f>
        <v>0</v>
      </c>
      <c r="G1833" s="51">
        <f>IF($E39= "Eligible", G1830 * 'Facility Detail'!$B$3079, 0 )</f>
        <v>0</v>
      </c>
      <c r="H1833" s="51">
        <f>IF($E39= "Eligible", H1830 * 'Facility Detail'!$B$3079, 0 )</f>
        <v>0</v>
      </c>
      <c r="I1833" s="51">
        <f>IF($E39= "Eligible", I1830 * 'Facility Detail'!$B$3079, 0 )</f>
        <v>0</v>
      </c>
      <c r="J1833" s="51">
        <f>IF($E39= "Eligible", J1830 * 'Facility Detail'!$B$3079, 0 )</f>
        <v>0</v>
      </c>
      <c r="K1833" s="51">
        <f>IF($E39= "Eligible", K1830 * 'Facility Detail'!$B$3079, 0 )</f>
        <v>0</v>
      </c>
      <c r="L1833" s="51">
        <f>IF($E39= "Eligible", L1830 * 'Facility Detail'!$B$3079, 0 )</f>
        <v>0</v>
      </c>
      <c r="M1833" s="51">
        <f>IF($E39= "Eligible", M1830 * 'Facility Detail'!$B$3079, 0 )</f>
        <v>0</v>
      </c>
      <c r="N1833" s="51">
        <f>IF($E39= "Eligible", N1830 * 'Facility Detail'!$B$3079, 0 )</f>
        <v>0</v>
      </c>
    </row>
    <row r="1834" spans="1:14">
      <c r="B1834" s="79" t="s">
        <v>6</v>
      </c>
      <c r="C1834" s="71"/>
      <c r="D1834" s="52">
        <f t="shared" ref="D1834:N1834" si="780">IF($F39= "Eligible", D1830, 0 )</f>
        <v>0</v>
      </c>
      <c r="E1834" s="52">
        <f t="shared" si="780"/>
        <v>0</v>
      </c>
      <c r="F1834" s="52">
        <f t="shared" si="780"/>
        <v>0</v>
      </c>
      <c r="G1834" s="52">
        <f t="shared" si="780"/>
        <v>0</v>
      </c>
      <c r="H1834" s="52">
        <f t="shared" si="780"/>
        <v>0</v>
      </c>
      <c r="I1834" s="52">
        <f t="shared" si="780"/>
        <v>0</v>
      </c>
      <c r="J1834" s="52">
        <f t="shared" si="780"/>
        <v>0</v>
      </c>
      <c r="K1834" s="52">
        <f t="shared" si="780"/>
        <v>0</v>
      </c>
      <c r="L1834" s="52">
        <f t="shared" si="780"/>
        <v>0</v>
      </c>
      <c r="M1834" s="52">
        <f t="shared" si="780"/>
        <v>0</v>
      </c>
      <c r="N1834" s="52">
        <f t="shared" si="780"/>
        <v>0</v>
      </c>
    </row>
    <row r="1835" spans="1:14">
      <c r="B1835" s="78" t="s">
        <v>121</v>
      </c>
      <c r="C1835" s="77"/>
      <c r="D1835" s="39">
        <f>SUM(D1833:D1834)</f>
        <v>0</v>
      </c>
      <c r="E1835" s="39">
        <f t="shared" ref="E1835:N1835" si="781">SUM(E1833:E1834)</f>
        <v>0</v>
      </c>
      <c r="F1835" s="39">
        <f t="shared" si="781"/>
        <v>0</v>
      </c>
      <c r="G1835" s="39">
        <f t="shared" si="781"/>
        <v>0</v>
      </c>
      <c r="H1835" s="39">
        <f t="shared" si="781"/>
        <v>0</v>
      </c>
      <c r="I1835" s="39">
        <f t="shared" si="781"/>
        <v>0</v>
      </c>
      <c r="J1835" s="39">
        <f t="shared" si="781"/>
        <v>0</v>
      </c>
      <c r="K1835" s="39">
        <f t="shared" si="781"/>
        <v>0</v>
      </c>
      <c r="L1835" s="39">
        <f t="shared" si="781"/>
        <v>0</v>
      </c>
      <c r="M1835" s="39">
        <f t="shared" si="781"/>
        <v>0</v>
      </c>
      <c r="N1835" s="39">
        <f t="shared" si="781"/>
        <v>0</v>
      </c>
    </row>
    <row r="1836" spans="1:14">
      <c r="B1836" s="30"/>
      <c r="C1836" s="30"/>
      <c r="D1836" s="38"/>
      <c r="E1836" s="31"/>
      <c r="F1836" s="31"/>
      <c r="G1836" s="31"/>
      <c r="H1836" s="31"/>
      <c r="I1836" s="31"/>
      <c r="J1836" s="31"/>
      <c r="K1836" s="31"/>
      <c r="L1836" s="31"/>
      <c r="M1836" s="31"/>
      <c r="N1836" s="31"/>
    </row>
    <row r="1837" spans="1:14" ht="18.5">
      <c r="A1837" s="41" t="s">
        <v>30</v>
      </c>
      <c r="C1837" s="30"/>
      <c r="D1837" s="2">
        <v>2011</v>
      </c>
      <c r="E1837" s="2">
        <f>D1837+1</f>
        <v>2012</v>
      </c>
      <c r="F1837" s="2">
        <f t="shared" ref="F1837" si="782">E1837+1</f>
        <v>2013</v>
      </c>
      <c r="G1837" s="2">
        <f t="shared" ref="G1837" si="783">F1837+1</f>
        <v>2014</v>
      </c>
      <c r="H1837" s="2">
        <f t="shared" ref="H1837" si="784">G1837+1</f>
        <v>2015</v>
      </c>
      <c r="I1837" s="2">
        <f t="shared" ref="I1837" si="785">H1837+1</f>
        <v>2016</v>
      </c>
      <c r="J1837" s="2">
        <f t="shared" ref="J1837" si="786">I1837+1</f>
        <v>2017</v>
      </c>
      <c r="K1837" s="2">
        <f t="shared" ref="K1837" si="787">J1837+1</f>
        <v>2018</v>
      </c>
      <c r="L1837" s="2">
        <f t="shared" ref="L1837" si="788">K1837+1</f>
        <v>2019</v>
      </c>
      <c r="M1837" s="2">
        <f t="shared" ref="M1837" si="789">L1837+1</f>
        <v>2020</v>
      </c>
      <c r="N1837" s="2">
        <f t="shared" ref="N1837" si="790">M1837+1</f>
        <v>2021</v>
      </c>
    </row>
    <row r="1838" spans="1:14">
      <c r="B1838" s="79" t="s">
        <v>47</v>
      </c>
      <c r="C1838" s="71"/>
      <c r="D1838" s="89"/>
      <c r="E1838" s="90"/>
      <c r="F1838" s="90"/>
      <c r="G1838" s="90"/>
      <c r="H1838" s="90"/>
      <c r="I1838" s="90"/>
      <c r="J1838" s="90"/>
      <c r="K1838" s="90"/>
      <c r="L1838" s="90"/>
      <c r="M1838" s="90"/>
      <c r="N1838" s="90"/>
    </row>
    <row r="1839" spans="1:14">
      <c r="B1839" s="80" t="s">
        <v>23</v>
      </c>
      <c r="C1839" s="175"/>
      <c r="D1839" s="92"/>
      <c r="E1839" s="93"/>
      <c r="F1839" s="93"/>
      <c r="G1839" s="93"/>
      <c r="H1839" s="93"/>
      <c r="I1839" s="93"/>
      <c r="J1839" s="93"/>
      <c r="K1839" s="93"/>
      <c r="L1839" s="93"/>
      <c r="M1839" s="93"/>
      <c r="N1839" s="93"/>
    </row>
    <row r="1840" spans="1:14">
      <c r="B1840" s="95" t="s">
        <v>89</v>
      </c>
      <c r="C1840" s="173"/>
      <c r="D1840" s="57"/>
      <c r="E1840" s="58"/>
      <c r="F1840" s="58"/>
      <c r="G1840" s="58"/>
      <c r="H1840" s="58"/>
      <c r="I1840" s="58"/>
      <c r="J1840" s="58"/>
      <c r="K1840" s="58"/>
      <c r="L1840" s="58"/>
      <c r="M1840" s="58"/>
      <c r="N1840" s="58"/>
    </row>
    <row r="1841" spans="1:14">
      <c r="B1841" s="33" t="s">
        <v>90</v>
      </c>
      <c r="D1841" s="7">
        <v>0</v>
      </c>
      <c r="E1841" s="7">
        <v>0</v>
      </c>
      <c r="F1841" s="7">
        <v>0</v>
      </c>
      <c r="G1841" s="7">
        <v>0</v>
      </c>
      <c r="H1841" s="7">
        <v>0</v>
      </c>
      <c r="I1841" s="7">
        <v>0</v>
      </c>
      <c r="J1841" s="7">
        <v>0</v>
      </c>
      <c r="K1841" s="7">
        <v>0</v>
      </c>
      <c r="L1841" s="7">
        <v>0</v>
      </c>
      <c r="M1841" s="7">
        <v>0</v>
      </c>
      <c r="N1841" s="7">
        <v>0</v>
      </c>
    </row>
    <row r="1842" spans="1:14">
      <c r="B1842" s="6"/>
      <c r="D1842" s="7"/>
      <c r="E1842" s="7"/>
      <c r="F1842" s="7"/>
      <c r="G1842" s="28"/>
      <c r="H1842" s="28"/>
      <c r="I1842" s="28"/>
      <c r="J1842" s="28"/>
      <c r="K1842" s="28"/>
      <c r="L1842" s="28"/>
      <c r="M1842" s="28"/>
      <c r="N1842" s="28"/>
    </row>
    <row r="1843" spans="1:14" ht="18.5">
      <c r="A1843" s="9" t="s">
        <v>100</v>
      </c>
      <c r="D1843" s="2">
        <f>'Facility Detail'!$B$3082</f>
        <v>2011</v>
      </c>
      <c r="E1843" s="2">
        <f>D1843+1</f>
        <v>2012</v>
      </c>
      <c r="F1843" s="2">
        <f t="shared" ref="F1843" si="791">E1843+1</f>
        <v>2013</v>
      </c>
      <c r="G1843" s="2">
        <f t="shared" ref="G1843" si="792">F1843+1</f>
        <v>2014</v>
      </c>
      <c r="H1843" s="2">
        <f t="shared" ref="H1843" si="793">G1843+1</f>
        <v>2015</v>
      </c>
      <c r="I1843" s="2">
        <f t="shared" ref="I1843" si="794">H1843+1</f>
        <v>2016</v>
      </c>
      <c r="J1843" s="2">
        <f t="shared" ref="J1843" si="795">I1843+1</f>
        <v>2017</v>
      </c>
      <c r="K1843" s="2">
        <f t="shared" ref="K1843" si="796">J1843+1</f>
        <v>2018</v>
      </c>
      <c r="L1843" s="2">
        <f t="shared" ref="L1843" si="797">K1843+1</f>
        <v>2019</v>
      </c>
      <c r="M1843" s="2">
        <f t="shared" ref="M1843" si="798">L1843+1</f>
        <v>2020</v>
      </c>
      <c r="N1843" s="2">
        <f t="shared" ref="N1843" si="799">M1843+1</f>
        <v>2021</v>
      </c>
    </row>
    <row r="1844" spans="1:14">
      <c r="B1844" s="79" t="s">
        <v>68</v>
      </c>
      <c r="C1844" s="71"/>
      <c r="D1844" s="3"/>
      <c r="E1844" s="60">
        <f>D1844</f>
        <v>0</v>
      </c>
      <c r="F1844" s="131"/>
      <c r="G1844" s="131"/>
      <c r="H1844" s="131"/>
      <c r="I1844" s="131"/>
      <c r="J1844" s="131"/>
      <c r="K1844" s="131"/>
      <c r="L1844" s="131"/>
      <c r="M1844" s="131"/>
      <c r="N1844" s="61"/>
    </row>
    <row r="1845" spans="1:14">
      <c r="B1845" s="79" t="s">
        <v>69</v>
      </c>
      <c r="C1845" s="71"/>
      <c r="D1845" s="164">
        <f>E1845</f>
        <v>0</v>
      </c>
      <c r="E1845" s="10"/>
      <c r="F1845" s="74"/>
      <c r="G1845" s="74"/>
      <c r="H1845" s="74"/>
      <c r="I1845" s="74"/>
      <c r="J1845" s="74"/>
      <c r="K1845" s="74"/>
      <c r="L1845" s="74"/>
      <c r="M1845" s="74"/>
      <c r="N1845" s="165"/>
    </row>
    <row r="1846" spans="1:14">
      <c r="B1846" s="79" t="s">
        <v>70</v>
      </c>
      <c r="C1846" s="71"/>
      <c r="D1846" s="62"/>
      <c r="E1846" s="10">
        <f>E1830</f>
        <v>0</v>
      </c>
      <c r="F1846" s="70">
        <f>E1846</f>
        <v>0</v>
      </c>
      <c r="G1846" s="74"/>
      <c r="H1846" s="74"/>
      <c r="I1846" s="74"/>
      <c r="J1846" s="74"/>
      <c r="K1846" s="74"/>
      <c r="L1846" s="74"/>
      <c r="M1846" s="74"/>
      <c r="N1846" s="165"/>
    </row>
    <row r="1847" spans="1:14">
      <c r="B1847" s="79" t="s">
        <v>71</v>
      </c>
      <c r="C1847" s="71"/>
      <c r="D1847" s="62"/>
      <c r="E1847" s="70">
        <f>F1847</f>
        <v>0</v>
      </c>
      <c r="F1847" s="163"/>
      <c r="G1847" s="74"/>
      <c r="H1847" s="74"/>
      <c r="I1847" s="74"/>
      <c r="J1847" s="74"/>
      <c r="K1847" s="74"/>
      <c r="L1847" s="74"/>
      <c r="M1847" s="74"/>
      <c r="N1847" s="165"/>
    </row>
    <row r="1848" spans="1:14">
      <c r="B1848" s="79" t="s">
        <v>171</v>
      </c>
      <c r="C1848" s="30"/>
      <c r="D1848" s="62"/>
      <c r="E1848" s="148"/>
      <c r="F1848" s="10">
        <f>F1830</f>
        <v>0</v>
      </c>
      <c r="G1848" s="149">
        <f>F1848</f>
        <v>0</v>
      </c>
      <c r="H1848" s="74"/>
      <c r="I1848" s="74"/>
      <c r="J1848" s="74"/>
      <c r="K1848" s="74"/>
      <c r="L1848" s="74"/>
      <c r="M1848" s="74"/>
      <c r="N1848" s="165"/>
    </row>
    <row r="1849" spans="1:14">
      <c r="B1849" s="79" t="s">
        <v>172</v>
      </c>
      <c r="C1849" s="30"/>
      <c r="D1849" s="62"/>
      <c r="E1849" s="148"/>
      <c r="F1849" s="70">
        <f>G1849</f>
        <v>0</v>
      </c>
      <c r="G1849" s="10"/>
      <c r="H1849" s="74"/>
      <c r="I1849" s="74"/>
      <c r="J1849" s="74"/>
      <c r="K1849" s="74"/>
      <c r="L1849" s="74"/>
      <c r="M1849" s="74"/>
      <c r="N1849" s="165"/>
    </row>
    <row r="1850" spans="1:14">
      <c r="B1850" s="79" t="s">
        <v>173</v>
      </c>
      <c r="C1850" s="30"/>
      <c r="D1850" s="62"/>
      <c r="E1850" s="148"/>
      <c r="F1850" s="148"/>
      <c r="G1850" s="10">
        <f>G1830</f>
        <v>0</v>
      </c>
      <c r="H1850" s="149">
        <f>G1850</f>
        <v>0</v>
      </c>
      <c r="I1850" s="148"/>
      <c r="J1850" s="74"/>
      <c r="K1850" s="74"/>
      <c r="L1850" s="74"/>
      <c r="M1850" s="74"/>
      <c r="N1850" s="152"/>
    </row>
    <row r="1851" spans="1:14">
      <c r="B1851" s="79" t="s">
        <v>174</v>
      </c>
      <c r="C1851" s="30"/>
      <c r="D1851" s="62"/>
      <c r="E1851" s="148"/>
      <c r="F1851" s="148"/>
      <c r="G1851" s="70"/>
      <c r="H1851" s="10"/>
      <c r="I1851" s="148"/>
      <c r="J1851" s="74"/>
      <c r="K1851" s="74"/>
      <c r="L1851" s="74"/>
      <c r="M1851" s="74"/>
      <c r="N1851" s="152"/>
    </row>
    <row r="1852" spans="1:14">
      <c r="B1852" s="79" t="s">
        <v>175</v>
      </c>
      <c r="C1852" s="30"/>
      <c r="D1852" s="62"/>
      <c r="E1852" s="148"/>
      <c r="F1852" s="148"/>
      <c r="G1852" s="148"/>
      <c r="H1852" s="10">
        <v>0</v>
      </c>
      <c r="I1852" s="149">
        <f>H1852</f>
        <v>0</v>
      </c>
      <c r="J1852" s="74"/>
      <c r="K1852" s="74"/>
      <c r="L1852" s="74"/>
      <c r="M1852" s="74"/>
      <c r="N1852" s="152"/>
    </row>
    <row r="1853" spans="1:14">
      <c r="B1853" s="79" t="s">
        <v>176</v>
      </c>
      <c r="C1853" s="30"/>
      <c r="D1853" s="62"/>
      <c r="E1853" s="148"/>
      <c r="F1853" s="148"/>
      <c r="G1853" s="148"/>
      <c r="H1853" s="70"/>
      <c r="I1853" s="10"/>
      <c r="J1853" s="74"/>
      <c r="K1853" s="74"/>
      <c r="L1853" s="74"/>
      <c r="M1853" s="74"/>
      <c r="N1853" s="152"/>
    </row>
    <row r="1854" spans="1:14">
      <c r="B1854" s="79" t="s">
        <v>177</v>
      </c>
      <c r="C1854" s="30"/>
      <c r="D1854" s="62"/>
      <c r="E1854" s="148"/>
      <c r="F1854" s="148"/>
      <c r="G1854" s="148"/>
      <c r="H1854" s="148"/>
      <c r="I1854" s="207">
        <f>I1830</f>
        <v>0</v>
      </c>
      <c r="J1854" s="150">
        <f>I1854</f>
        <v>0</v>
      </c>
      <c r="K1854" s="74"/>
      <c r="L1854" s="74"/>
      <c r="M1854" s="74"/>
      <c r="N1854" s="152"/>
    </row>
    <row r="1855" spans="1:14">
      <c r="B1855" s="79" t="s">
        <v>168</v>
      </c>
      <c r="C1855" s="30"/>
      <c r="D1855" s="62"/>
      <c r="E1855" s="148"/>
      <c r="F1855" s="148"/>
      <c r="G1855" s="148"/>
      <c r="H1855" s="148"/>
      <c r="I1855" s="208"/>
      <c r="J1855" s="151"/>
      <c r="K1855" s="74"/>
      <c r="L1855" s="74"/>
      <c r="M1855" s="74"/>
      <c r="N1855" s="152"/>
    </row>
    <row r="1856" spans="1:14">
      <c r="B1856" s="79" t="s">
        <v>169</v>
      </c>
      <c r="C1856" s="30"/>
      <c r="D1856" s="62"/>
      <c r="E1856" s="148"/>
      <c r="F1856" s="148"/>
      <c r="G1856" s="148"/>
      <c r="H1856" s="148"/>
      <c r="I1856" s="148"/>
      <c r="J1856" s="151">
        <f>J1830</f>
        <v>0</v>
      </c>
      <c r="K1856" s="150">
        <f>J1856</f>
        <v>0</v>
      </c>
      <c r="L1856" s="74"/>
      <c r="M1856" s="74"/>
      <c r="N1856" s="152"/>
    </row>
    <row r="1857" spans="1:15">
      <c r="B1857" s="79" t="s">
        <v>186</v>
      </c>
      <c r="C1857" s="30"/>
      <c r="D1857" s="62"/>
      <c r="E1857" s="148"/>
      <c r="F1857" s="148"/>
      <c r="G1857" s="148"/>
      <c r="H1857" s="148"/>
      <c r="I1857" s="148"/>
      <c r="J1857" s="228"/>
      <c r="K1857" s="151"/>
      <c r="L1857" s="74"/>
      <c r="M1857" s="74"/>
      <c r="N1857" s="152"/>
    </row>
    <row r="1858" spans="1:15">
      <c r="B1858" s="79" t="s">
        <v>187</v>
      </c>
      <c r="C1858" s="30"/>
      <c r="D1858" s="62"/>
      <c r="E1858" s="148"/>
      <c r="F1858" s="148"/>
      <c r="G1858" s="148"/>
      <c r="H1858" s="148"/>
      <c r="I1858" s="148"/>
      <c r="J1858" s="148"/>
      <c r="K1858" s="151"/>
      <c r="L1858" s="150">
        <f>K1858</f>
        <v>0</v>
      </c>
      <c r="M1858" s="74"/>
      <c r="N1858" s="152"/>
    </row>
    <row r="1859" spans="1:15">
      <c r="B1859" s="79" t="s">
        <v>188</v>
      </c>
      <c r="C1859" s="30"/>
      <c r="D1859" s="62"/>
      <c r="E1859" s="148"/>
      <c r="F1859" s="148"/>
      <c r="G1859" s="148"/>
      <c r="H1859" s="148"/>
      <c r="I1859" s="148"/>
      <c r="J1859" s="148"/>
      <c r="K1859" s="145"/>
      <c r="L1859" s="151"/>
      <c r="M1859" s="74"/>
      <c r="N1859" s="74"/>
    </row>
    <row r="1860" spans="1:15">
      <c r="B1860" s="79" t="s">
        <v>189</v>
      </c>
      <c r="C1860" s="30"/>
      <c r="D1860" s="62"/>
      <c r="E1860" s="148"/>
      <c r="F1860" s="148"/>
      <c r="G1860" s="148"/>
      <c r="H1860" s="148"/>
      <c r="I1860" s="148"/>
      <c r="J1860" s="148"/>
      <c r="K1860" s="148"/>
      <c r="L1860" s="151"/>
      <c r="M1860" s="150">
        <f>L1860</f>
        <v>0</v>
      </c>
      <c r="N1860" s="74"/>
    </row>
    <row r="1861" spans="1:15">
      <c r="B1861" s="79" t="s">
        <v>190</v>
      </c>
      <c r="C1861" s="30"/>
      <c r="D1861" s="62"/>
      <c r="E1861" s="148"/>
      <c r="F1861" s="148"/>
      <c r="G1861" s="148"/>
      <c r="H1861" s="148"/>
      <c r="I1861" s="148"/>
      <c r="J1861" s="148"/>
      <c r="K1861" s="148"/>
      <c r="L1861" s="145">
        <f>M1830</f>
        <v>0</v>
      </c>
      <c r="M1861" s="151">
        <f>L1861</f>
        <v>0</v>
      </c>
      <c r="N1861" s="74"/>
    </row>
    <row r="1862" spans="1:15">
      <c r="B1862" s="79" t="s">
        <v>191</v>
      </c>
      <c r="C1862" s="30"/>
      <c r="D1862" s="62"/>
      <c r="E1862" s="148"/>
      <c r="F1862" s="148"/>
      <c r="G1862" s="148"/>
      <c r="H1862" s="148"/>
      <c r="I1862" s="148"/>
      <c r="J1862" s="148"/>
      <c r="K1862" s="148"/>
      <c r="L1862" s="148"/>
      <c r="M1862" s="151"/>
      <c r="N1862" s="150">
        <f>M1862</f>
        <v>0</v>
      </c>
    </row>
    <row r="1863" spans="1:15">
      <c r="B1863" s="79" t="s">
        <v>201</v>
      </c>
      <c r="C1863" s="30"/>
      <c r="D1863" s="62"/>
      <c r="E1863" s="148"/>
      <c r="F1863" s="148"/>
      <c r="G1863" s="148"/>
      <c r="H1863" s="148"/>
      <c r="I1863" s="148"/>
      <c r="J1863" s="148"/>
      <c r="K1863" s="148"/>
      <c r="L1863" s="148"/>
      <c r="M1863" s="145"/>
      <c r="N1863" s="151"/>
    </row>
    <row r="1864" spans="1:15">
      <c r="B1864" s="79" t="s">
        <v>202</v>
      </c>
      <c r="C1864" s="30"/>
      <c r="D1864" s="63"/>
      <c r="E1864" s="133"/>
      <c r="F1864" s="133"/>
      <c r="G1864" s="133"/>
      <c r="H1864" s="133"/>
      <c r="I1864" s="133"/>
      <c r="J1864" s="133"/>
      <c r="K1864" s="133"/>
      <c r="L1864" s="133"/>
      <c r="M1864" s="133"/>
      <c r="N1864" s="153"/>
    </row>
    <row r="1865" spans="1:15">
      <c r="B1865" s="33" t="s">
        <v>17</v>
      </c>
      <c r="D1865" s="218">
        <f xml:space="preserve"> D1850 - D1849</f>
        <v>0</v>
      </c>
      <c r="E1865" s="218">
        <f xml:space="preserve"> E1849 + E1852 - E1851 - E1850</f>
        <v>0</v>
      </c>
      <c r="F1865" s="218">
        <f>F1851 - F1852</f>
        <v>0</v>
      </c>
      <c r="G1865" s="218">
        <f>G1851 - G1852</f>
        <v>0</v>
      </c>
      <c r="H1865" s="218">
        <f>H1850-H1851-H1852</f>
        <v>0</v>
      </c>
      <c r="I1865" s="218">
        <f>I1852-I1853-I1854</f>
        <v>0</v>
      </c>
      <c r="J1865" s="218">
        <f>J1854-J1855-J1856</f>
        <v>0</v>
      </c>
      <c r="K1865" s="218">
        <f>K1856-K1857-K1858</f>
        <v>0</v>
      </c>
      <c r="L1865" s="218">
        <f>L1858+L1861-L1860-L1859</f>
        <v>0</v>
      </c>
      <c r="M1865" s="218">
        <f>M1860-M1861+M1863</f>
        <v>0</v>
      </c>
      <c r="N1865" s="218">
        <f>N1862-N1863-N1864</f>
        <v>0</v>
      </c>
    </row>
    <row r="1866" spans="1:15">
      <c r="B1866" s="6"/>
      <c r="D1866" s="218"/>
      <c r="E1866" s="218"/>
      <c r="F1866" s="218"/>
      <c r="G1866" s="218"/>
      <c r="H1866" s="218"/>
      <c r="I1866" s="218"/>
      <c r="J1866" s="218"/>
      <c r="K1866" s="218"/>
      <c r="L1866" s="218"/>
      <c r="M1866" s="218"/>
      <c r="N1866" s="218"/>
    </row>
    <row r="1867" spans="1:15">
      <c r="B1867" s="76" t="s">
        <v>12</v>
      </c>
      <c r="C1867" s="71"/>
      <c r="D1867" s="219"/>
      <c r="E1867" s="220"/>
      <c r="F1867" s="220"/>
      <c r="G1867" s="220"/>
      <c r="H1867" s="220"/>
      <c r="I1867" s="220"/>
      <c r="J1867" s="220"/>
      <c r="K1867" s="220"/>
      <c r="L1867" s="220"/>
      <c r="M1867" s="220"/>
      <c r="N1867" s="220"/>
    </row>
    <row r="1868" spans="1:15">
      <c r="B1868" s="6"/>
      <c r="D1868" s="218"/>
      <c r="E1868" s="218"/>
      <c r="F1868" s="218"/>
      <c r="G1868" s="218"/>
      <c r="H1868" s="218"/>
      <c r="I1868" s="218"/>
      <c r="J1868" s="218"/>
      <c r="K1868" s="218"/>
      <c r="L1868" s="218"/>
      <c r="M1868" s="218"/>
      <c r="N1868" s="218"/>
    </row>
    <row r="1869" spans="1:15" ht="18.5">
      <c r="A1869" s="41" t="s">
        <v>26</v>
      </c>
      <c r="C1869" s="71"/>
      <c r="D1869" s="221">
        <f t="shared" ref="D1869:N1869" si="800" xml:space="preserve"> D1830 + D1835 - D1841 + D1865 + D1867</f>
        <v>0</v>
      </c>
      <c r="E1869" s="222">
        <f t="shared" si="800"/>
        <v>0</v>
      </c>
      <c r="F1869" s="222">
        <f t="shared" si="800"/>
        <v>0</v>
      </c>
      <c r="G1869" s="222">
        <f t="shared" si="800"/>
        <v>0</v>
      </c>
      <c r="H1869" s="222">
        <f t="shared" si="800"/>
        <v>0</v>
      </c>
      <c r="I1869" s="222">
        <f t="shared" si="800"/>
        <v>0</v>
      </c>
      <c r="J1869" s="222">
        <f t="shared" si="800"/>
        <v>0</v>
      </c>
      <c r="K1869" s="222">
        <f t="shared" si="800"/>
        <v>0</v>
      </c>
      <c r="L1869" s="222">
        <f t="shared" si="800"/>
        <v>0</v>
      </c>
      <c r="M1869" s="222">
        <f t="shared" si="800"/>
        <v>0</v>
      </c>
      <c r="N1869" s="222">
        <f t="shared" si="800"/>
        <v>9149.5731573080284</v>
      </c>
      <c r="O1869" s="276"/>
    </row>
    <row r="1870" spans="1:15" ht="15" thickBot="1"/>
    <row r="1871" spans="1:15">
      <c r="A1871" s="8"/>
      <c r="B1871" s="8"/>
      <c r="C1871" s="8"/>
      <c r="D1871" s="8"/>
      <c r="E1871" s="8"/>
      <c r="F1871" s="8"/>
      <c r="G1871" s="8"/>
      <c r="H1871" s="8"/>
      <c r="I1871" s="8"/>
      <c r="J1871" s="8"/>
      <c r="K1871" s="8"/>
      <c r="L1871" s="8"/>
      <c r="M1871" s="8"/>
      <c r="N1871" s="8"/>
    </row>
    <row r="1872" spans="1:15" ht="15" thickBot="1"/>
    <row r="1873" spans="1:14" ht="21.5" thickBot="1">
      <c r="A1873" s="13" t="s">
        <v>4</v>
      </c>
      <c r="B1873" s="13"/>
      <c r="C1873" s="340" t="str">
        <f>B40</f>
        <v>Meadow Creek Wind Farm - Five Pine Project - REC Only</v>
      </c>
      <c r="D1873" s="349"/>
      <c r="E1873" s="350"/>
      <c r="F1873" s="342"/>
    </row>
    <row r="1875" spans="1:14" ht="18.5">
      <c r="A1875" s="9" t="s">
        <v>21</v>
      </c>
      <c r="B1875" s="9"/>
      <c r="D1875" s="2">
        <f>'Facility Detail'!$B$3082</f>
        <v>2011</v>
      </c>
      <c r="E1875" s="2">
        <f>D1875+1</f>
        <v>2012</v>
      </c>
      <c r="F1875" s="2">
        <f>E1875+1</f>
        <v>2013</v>
      </c>
      <c r="G1875" s="2">
        <f t="shared" ref="G1875:N1875" si="801">F1875+1</f>
        <v>2014</v>
      </c>
      <c r="H1875" s="2">
        <f t="shared" si="801"/>
        <v>2015</v>
      </c>
      <c r="I1875" s="2">
        <f t="shared" si="801"/>
        <v>2016</v>
      </c>
      <c r="J1875" s="2">
        <f t="shared" si="801"/>
        <v>2017</v>
      </c>
      <c r="K1875" s="2">
        <f t="shared" si="801"/>
        <v>2018</v>
      </c>
      <c r="L1875" s="2">
        <f t="shared" si="801"/>
        <v>2019</v>
      </c>
      <c r="M1875" s="2">
        <f t="shared" si="801"/>
        <v>2020</v>
      </c>
      <c r="N1875" s="2">
        <f t="shared" si="801"/>
        <v>2021</v>
      </c>
    </row>
    <row r="1876" spans="1:14">
      <c r="B1876" s="326" t="str">
        <f>"Total MWh Produced / Purchased from " &amp; C1873</f>
        <v>Total MWh Produced / Purchased from Meadow Creek Wind Farm - Five Pine Project - REC Only</v>
      </c>
      <c r="C1876" s="71"/>
      <c r="D1876" s="3"/>
      <c r="E1876" s="4"/>
      <c r="F1876" s="4"/>
      <c r="G1876" s="4"/>
      <c r="H1876" s="230"/>
      <c r="I1876" s="230">
        <f>2260+27459</f>
        <v>29719</v>
      </c>
      <c r="J1876" s="230"/>
      <c r="K1876" s="230"/>
      <c r="L1876" s="230"/>
      <c r="M1876" s="230"/>
      <c r="N1876" s="230"/>
    </row>
    <row r="1877" spans="1:14">
      <c r="B1877" s="326" t="s">
        <v>25</v>
      </c>
      <c r="C1877" s="71"/>
      <c r="D1877" s="54"/>
      <c r="E1877" s="55"/>
      <c r="F1877" s="55"/>
      <c r="G1877" s="55"/>
      <c r="H1877" s="234"/>
      <c r="I1877" s="234">
        <v>1</v>
      </c>
      <c r="J1877" s="234"/>
      <c r="K1877" s="234"/>
      <c r="L1877" s="234"/>
      <c r="M1877" s="234"/>
      <c r="N1877" s="234"/>
    </row>
    <row r="1878" spans="1:14">
      <c r="B1878" s="326" t="s">
        <v>20</v>
      </c>
      <c r="C1878" s="71"/>
      <c r="D1878" s="48"/>
      <c r="E1878" s="49"/>
      <c r="F1878" s="49"/>
      <c r="G1878" s="49"/>
      <c r="H1878" s="243"/>
      <c r="I1878" s="243">
        <v>1</v>
      </c>
      <c r="J1878" s="243"/>
      <c r="K1878" s="243"/>
      <c r="L1878" s="243"/>
      <c r="M1878" s="243"/>
      <c r="N1878" s="243"/>
    </row>
    <row r="1879" spans="1:14">
      <c r="B1879" s="33" t="s">
        <v>22</v>
      </c>
      <c r="C1879" s="6"/>
      <c r="D1879" s="37">
        <f xml:space="preserve"> D1876 * D1877 * D1878</f>
        <v>0</v>
      </c>
      <c r="E1879" s="37">
        <f xml:space="preserve"> E1876 * E1877 * E1878</f>
        <v>0</v>
      </c>
      <c r="F1879" s="37">
        <f xml:space="preserve"> F1876 * F1877 * F1878</f>
        <v>0</v>
      </c>
      <c r="G1879" s="37">
        <f t="shared" ref="G1879:H1879" si="802" xml:space="preserve"> G1876 * G1877 * G1878</f>
        <v>0</v>
      </c>
      <c r="H1879" s="229">
        <f t="shared" si="802"/>
        <v>0</v>
      </c>
      <c r="I1879" s="229">
        <v>29719</v>
      </c>
      <c r="J1879" s="229">
        <f t="shared" ref="J1879:N1879" si="803" xml:space="preserve"> J1876 * J1877 * J1878</f>
        <v>0</v>
      </c>
      <c r="K1879" s="229">
        <f t="shared" si="803"/>
        <v>0</v>
      </c>
      <c r="L1879" s="229">
        <f t="shared" si="803"/>
        <v>0</v>
      </c>
      <c r="M1879" s="229">
        <f t="shared" si="803"/>
        <v>0</v>
      </c>
      <c r="N1879" s="229">
        <f t="shared" si="803"/>
        <v>0</v>
      </c>
    </row>
    <row r="1880" spans="1:14">
      <c r="D1880" s="36"/>
      <c r="E1880" s="36"/>
      <c r="F1880" s="36"/>
      <c r="G1880" s="36"/>
      <c r="H1880" s="36"/>
      <c r="I1880" s="36"/>
      <c r="J1880" s="36"/>
      <c r="K1880" s="36"/>
      <c r="L1880" s="36"/>
      <c r="M1880" s="36"/>
      <c r="N1880" s="36"/>
    </row>
    <row r="1881" spans="1:14" ht="18.5">
      <c r="A1881" s="9" t="s">
        <v>119</v>
      </c>
      <c r="D1881" s="2">
        <f>'Facility Detail'!$B$3082</f>
        <v>2011</v>
      </c>
      <c r="E1881" s="2">
        <f>D1881+1</f>
        <v>2012</v>
      </c>
      <c r="F1881" s="2">
        <f>E1881+1</f>
        <v>2013</v>
      </c>
      <c r="G1881" s="2">
        <f t="shared" ref="G1881:N1881" si="804">F1881+1</f>
        <v>2014</v>
      </c>
      <c r="H1881" s="2">
        <f t="shared" si="804"/>
        <v>2015</v>
      </c>
      <c r="I1881" s="2">
        <f t="shared" si="804"/>
        <v>2016</v>
      </c>
      <c r="J1881" s="2">
        <f t="shared" si="804"/>
        <v>2017</v>
      </c>
      <c r="K1881" s="2">
        <f t="shared" si="804"/>
        <v>2018</v>
      </c>
      <c r="L1881" s="2">
        <f t="shared" si="804"/>
        <v>2019</v>
      </c>
      <c r="M1881" s="2">
        <f t="shared" si="804"/>
        <v>2020</v>
      </c>
      <c r="N1881" s="2">
        <f t="shared" si="804"/>
        <v>2021</v>
      </c>
    </row>
    <row r="1882" spans="1:14">
      <c r="B1882" s="326" t="s">
        <v>10</v>
      </c>
      <c r="C1882" s="71"/>
      <c r="D1882" s="51">
        <f>IF($E40= "Eligible", D1879 * 'Facility Detail'!$B$3079, 0 )</f>
        <v>0</v>
      </c>
      <c r="E1882" s="51">
        <f>IF($E40= "Eligible", E1879 * 'Facility Detail'!$B$3079, 0 )</f>
        <v>0</v>
      </c>
      <c r="F1882" s="51">
        <f>IF($E40= "Eligible", F1879 * 'Facility Detail'!$B$3079, 0 )</f>
        <v>0</v>
      </c>
      <c r="G1882" s="51">
        <f>IF($E40= "Eligible", G1879 * 'Facility Detail'!$B$3079, 0 )</f>
        <v>0</v>
      </c>
      <c r="H1882" s="51">
        <f>IF($E40= "Eligible", H1879 * 'Facility Detail'!$B$3079, 0 )</f>
        <v>0</v>
      </c>
      <c r="I1882" s="51">
        <f>IF($E40= "Eligible", I1879 * 'Facility Detail'!$B$3079, 0 )</f>
        <v>0</v>
      </c>
      <c r="J1882" s="51">
        <f>IF($E40= "Eligible", J1879 * 'Facility Detail'!$B$3079, 0 )</f>
        <v>0</v>
      </c>
      <c r="K1882" s="51">
        <f>IF($E40= "Eligible", K1879 * 'Facility Detail'!$B$3079, 0 )</f>
        <v>0</v>
      </c>
      <c r="L1882" s="51">
        <f>IF($E40= "Eligible", L1879 * 'Facility Detail'!$B$3079, 0 )</f>
        <v>0</v>
      </c>
      <c r="M1882" s="51">
        <f>IF($E40= "Eligible", M1879 * 'Facility Detail'!$B$3079, 0 )</f>
        <v>0</v>
      </c>
      <c r="N1882" s="51">
        <f>IF($E40= "Eligible", N1879 * 'Facility Detail'!$B$3079, 0 )</f>
        <v>0</v>
      </c>
    </row>
    <row r="1883" spans="1:14">
      <c r="B1883" s="326" t="s">
        <v>6</v>
      </c>
      <c r="C1883" s="71"/>
      <c r="D1883" s="52">
        <f t="shared" ref="D1883:N1883" si="805">IF($F40= "Eligible", D1879, 0 )</f>
        <v>0</v>
      </c>
      <c r="E1883" s="52">
        <f t="shared" si="805"/>
        <v>0</v>
      </c>
      <c r="F1883" s="52">
        <f t="shared" si="805"/>
        <v>0</v>
      </c>
      <c r="G1883" s="52">
        <f t="shared" si="805"/>
        <v>0</v>
      </c>
      <c r="H1883" s="52">
        <f t="shared" si="805"/>
        <v>0</v>
      </c>
      <c r="I1883" s="52">
        <f t="shared" si="805"/>
        <v>0</v>
      </c>
      <c r="J1883" s="52">
        <f t="shared" si="805"/>
        <v>0</v>
      </c>
      <c r="K1883" s="52">
        <f t="shared" si="805"/>
        <v>0</v>
      </c>
      <c r="L1883" s="52">
        <f t="shared" si="805"/>
        <v>0</v>
      </c>
      <c r="M1883" s="52">
        <f t="shared" si="805"/>
        <v>0</v>
      </c>
      <c r="N1883" s="52">
        <f t="shared" si="805"/>
        <v>0</v>
      </c>
    </row>
    <row r="1884" spans="1:14">
      <c r="B1884" s="33" t="s">
        <v>121</v>
      </c>
      <c r="C1884" s="6"/>
      <c r="D1884" s="39">
        <f>SUM(D1882:D1883)</f>
        <v>0</v>
      </c>
      <c r="E1884" s="40">
        <f>SUM(E1882:E1883)</f>
        <v>0</v>
      </c>
      <c r="F1884" s="40">
        <f>SUM(F1882:F1883)</f>
        <v>0</v>
      </c>
      <c r="G1884" s="40">
        <f t="shared" ref="G1884:N1884" si="806">SUM(G1882:G1883)</f>
        <v>0</v>
      </c>
      <c r="H1884" s="40">
        <f t="shared" si="806"/>
        <v>0</v>
      </c>
      <c r="I1884" s="40">
        <f t="shared" si="806"/>
        <v>0</v>
      </c>
      <c r="J1884" s="40">
        <f t="shared" si="806"/>
        <v>0</v>
      </c>
      <c r="K1884" s="40">
        <f t="shared" si="806"/>
        <v>0</v>
      </c>
      <c r="L1884" s="40">
        <f t="shared" si="806"/>
        <v>0</v>
      </c>
      <c r="M1884" s="40">
        <f t="shared" si="806"/>
        <v>0</v>
      </c>
      <c r="N1884" s="40">
        <f t="shared" si="806"/>
        <v>0</v>
      </c>
    </row>
    <row r="1885" spans="1:14">
      <c r="D1885" s="38"/>
      <c r="E1885" s="31"/>
      <c r="F1885" s="31"/>
      <c r="G1885" s="31"/>
      <c r="H1885" s="31"/>
      <c r="I1885" s="31"/>
      <c r="J1885" s="31"/>
      <c r="K1885" s="31"/>
      <c r="L1885" s="31"/>
      <c r="M1885" s="31"/>
      <c r="N1885" s="31"/>
    </row>
    <row r="1886" spans="1:14" ht="18.5">
      <c r="A1886" s="9" t="s">
        <v>30</v>
      </c>
      <c r="D1886" s="2">
        <f>'Facility Detail'!$B$3082</f>
        <v>2011</v>
      </c>
      <c r="E1886" s="2">
        <f>D1886+1</f>
        <v>2012</v>
      </c>
      <c r="F1886" s="2">
        <f>E1886+1</f>
        <v>2013</v>
      </c>
      <c r="G1886" s="2">
        <f t="shared" ref="G1886:N1886" si="807">F1886+1</f>
        <v>2014</v>
      </c>
      <c r="H1886" s="2">
        <f t="shared" si="807"/>
        <v>2015</v>
      </c>
      <c r="I1886" s="2">
        <f t="shared" si="807"/>
        <v>2016</v>
      </c>
      <c r="J1886" s="2">
        <f t="shared" si="807"/>
        <v>2017</v>
      </c>
      <c r="K1886" s="2">
        <f t="shared" si="807"/>
        <v>2018</v>
      </c>
      <c r="L1886" s="2">
        <f t="shared" si="807"/>
        <v>2019</v>
      </c>
      <c r="M1886" s="2">
        <f t="shared" si="807"/>
        <v>2020</v>
      </c>
      <c r="N1886" s="2">
        <f t="shared" si="807"/>
        <v>2021</v>
      </c>
    </row>
    <row r="1887" spans="1:14">
      <c r="B1887" s="326" t="s">
        <v>47</v>
      </c>
      <c r="C1887" s="71"/>
      <c r="D1887" s="89"/>
      <c r="E1887" s="90"/>
      <c r="F1887" s="90"/>
      <c r="G1887" s="90"/>
      <c r="H1887" s="90"/>
      <c r="I1887" s="90"/>
      <c r="J1887" s="90"/>
      <c r="K1887" s="90"/>
      <c r="L1887" s="90"/>
      <c r="M1887" s="90"/>
      <c r="N1887" s="90"/>
    </row>
    <row r="1888" spans="1:14">
      <c r="B1888" s="330" t="s">
        <v>23</v>
      </c>
      <c r="C1888" s="331"/>
      <c r="D1888" s="92"/>
      <c r="E1888" s="93"/>
      <c r="F1888" s="93"/>
      <c r="G1888" s="93"/>
      <c r="H1888" s="93"/>
      <c r="I1888" s="93"/>
      <c r="J1888" s="93"/>
      <c r="K1888" s="93"/>
      <c r="L1888" s="93"/>
      <c r="M1888" s="93"/>
      <c r="N1888" s="93"/>
    </row>
    <row r="1889" spans="1:14">
      <c r="B1889" s="330" t="s">
        <v>89</v>
      </c>
      <c r="C1889" s="332"/>
      <c r="D1889" s="57"/>
      <c r="E1889" s="58"/>
      <c r="F1889" s="58"/>
      <c r="G1889" s="58"/>
      <c r="H1889" s="58"/>
      <c r="I1889" s="58"/>
      <c r="J1889" s="58"/>
      <c r="K1889" s="58"/>
      <c r="L1889" s="58"/>
      <c r="M1889" s="58"/>
      <c r="N1889" s="58"/>
    </row>
    <row r="1890" spans="1:14">
      <c r="B1890" s="33" t="s">
        <v>90</v>
      </c>
      <c r="D1890" s="7">
        <f>SUM(D1887:D1889)</f>
        <v>0</v>
      </c>
      <c r="E1890" s="7">
        <f>SUM(E1887:E1889)</f>
        <v>0</v>
      </c>
      <c r="F1890" s="7">
        <f>SUM(F1887:F1889)</f>
        <v>0</v>
      </c>
      <c r="G1890" s="7">
        <f t="shared" ref="G1890:N1890" si="808">SUM(G1887:G1889)</f>
        <v>0</v>
      </c>
      <c r="H1890" s="7">
        <f t="shared" si="808"/>
        <v>0</v>
      </c>
      <c r="I1890" s="7">
        <f t="shared" si="808"/>
        <v>0</v>
      </c>
      <c r="J1890" s="7">
        <f t="shared" si="808"/>
        <v>0</v>
      </c>
      <c r="K1890" s="7">
        <f t="shared" si="808"/>
        <v>0</v>
      </c>
      <c r="L1890" s="7">
        <f t="shared" si="808"/>
        <v>0</v>
      </c>
      <c r="M1890" s="7">
        <f t="shared" si="808"/>
        <v>0</v>
      </c>
      <c r="N1890" s="7">
        <f t="shared" si="808"/>
        <v>0</v>
      </c>
    </row>
    <row r="1891" spans="1:14">
      <c r="B1891" s="6"/>
      <c r="D1891" s="7"/>
      <c r="E1891" s="7"/>
      <c r="F1891" s="7"/>
      <c r="G1891" s="7"/>
      <c r="H1891" s="7"/>
      <c r="I1891" s="7"/>
      <c r="J1891" s="7"/>
      <c r="K1891" s="7"/>
      <c r="L1891" s="7"/>
      <c r="M1891" s="7"/>
      <c r="N1891" s="7"/>
    </row>
    <row r="1892" spans="1:14" ht="18.5">
      <c r="A1892" s="9" t="s">
        <v>100</v>
      </c>
      <c r="D1892" s="2">
        <f>'Facility Detail'!$B$3082</f>
        <v>2011</v>
      </c>
      <c r="E1892" s="2">
        <f>D1892+1</f>
        <v>2012</v>
      </c>
      <c r="F1892" s="2">
        <f>E1892+1</f>
        <v>2013</v>
      </c>
      <c r="G1892" s="2">
        <f t="shared" ref="G1892:N1892" si="809">F1892+1</f>
        <v>2014</v>
      </c>
      <c r="H1892" s="2">
        <f t="shared" si="809"/>
        <v>2015</v>
      </c>
      <c r="I1892" s="2">
        <f t="shared" si="809"/>
        <v>2016</v>
      </c>
      <c r="J1892" s="2">
        <f t="shared" si="809"/>
        <v>2017</v>
      </c>
      <c r="K1892" s="2">
        <f t="shared" si="809"/>
        <v>2018</v>
      </c>
      <c r="L1892" s="2">
        <f t="shared" si="809"/>
        <v>2019</v>
      </c>
      <c r="M1892" s="2">
        <f t="shared" si="809"/>
        <v>2020</v>
      </c>
      <c r="N1892" s="2">
        <f t="shared" si="809"/>
        <v>2021</v>
      </c>
    </row>
    <row r="1893" spans="1:14">
      <c r="B1893" s="326" t="s">
        <v>68</v>
      </c>
      <c r="C1893" s="71"/>
      <c r="D1893" s="3"/>
      <c r="E1893" s="60">
        <f>D1893</f>
        <v>0</v>
      </c>
      <c r="F1893" s="131"/>
      <c r="G1893" s="131"/>
      <c r="H1893" s="131"/>
      <c r="I1893" s="131"/>
      <c r="J1893" s="131"/>
      <c r="K1893" s="131"/>
      <c r="L1893" s="131"/>
      <c r="M1893" s="131"/>
      <c r="N1893" s="131"/>
    </row>
    <row r="1894" spans="1:14">
      <c r="B1894" s="326" t="s">
        <v>69</v>
      </c>
      <c r="C1894" s="71"/>
      <c r="D1894" s="164">
        <f>E1894</f>
        <v>0</v>
      </c>
      <c r="E1894" s="10"/>
      <c r="F1894" s="74"/>
      <c r="G1894" s="74"/>
      <c r="H1894" s="74"/>
      <c r="I1894" s="74"/>
      <c r="J1894" s="74"/>
      <c r="K1894" s="74"/>
      <c r="L1894" s="74"/>
      <c r="M1894" s="74"/>
      <c r="N1894" s="74"/>
    </row>
    <row r="1895" spans="1:14">
      <c r="B1895" s="326" t="s">
        <v>70</v>
      </c>
      <c r="C1895" s="71"/>
      <c r="D1895" s="62"/>
      <c r="E1895" s="10">
        <f>E1879</f>
        <v>0</v>
      </c>
      <c r="F1895" s="70">
        <f>E1895</f>
        <v>0</v>
      </c>
      <c r="G1895" s="74"/>
      <c r="H1895" s="74"/>
      <c r="I1895" s="74"/>
      <c r="J1895" s="74"/>
      <c r="K1895" s="74"/>
      <c r="L1895" s="74"/>
      <c r="M1895" s="74"/>
      <c r="N1895" s="74"/>
    </row>
    <row r="1896" spans="1:14">
      <c r="B1896" s="326" t="s">
        <v>71</v>
      </c>
      <c r="C1896" s="71"/>
      <c r="D1896" s="62"/>
      <c r="E1896" s="70">
        <f>F1896</f>
        <v>0</v>
      </c>
      <c r="F1896" s="163"/>
      <c r="G1896" s="74"/>
      <c r="H1896" s="74"/>
      <c r="I1896" s="74"/>
      <c r="J1896" s="74"/>
      <c r="K1896" s="74"/>
      <c r="L1896" s="74"/>
      <c r="M1896" s="74"/>
      <c r="N1896" s="74"/>
    </row>
    <row r="1897" spans="1:14">
      <c r="B1897" s="326" t="s">
        <v>171</v>
      </c>
      <c r="D1897" s="62"/>
      <c r="E1897" s="148"/>
      <c r="F1897" s="10">
        <f>F1879</f>
        <v>0</v>
      </c>
      <c r="G1897" s="149">
        <f>F1897</f>
        <v>0</v>
      </c>
      <c r="H1897" s="74"/>
      <c r="I1897" s="74"/>
      <c r="J1897" s="74"/>
      <c r="K1897" s="74"/>
      <c r="L1897" s="74"/>
      <c r="M1897" s="74"/>
      <c r="N1897" s="74"/>
    </row>
    <row r="1898" spans="1:14">
      <c r="B1898" s="326" t="s">
        <v>172</v>
      </c>
      <c r="D1898" s="62"/>
      <c r="E1898" s="148"/>
      <c r="F1898" s="70">
        <f>G1898</f>
        <v>0</v>
      </c>
      <c r="G1898" s="10"/>
      <c r="H1898" s="74"/>
      <c r="I1898" s="74"/>
      <c r="J1898" s="74"/>
      <c r="K1898" s="74"/>
      <c r="L1898" s="74"/>
      <c r="M1898" s="74"/>
      <c r="N1898" s="74"/>
    </row>
    <row r="1899" spans="1:14">
      <c r="B1899" s="326" t="s">
        <v>173</v>
      </c>
      <c r="D1899" s="62"/>
      <c r="E1899" s="148"/>
      <c r="F1899" s="148"/>
      <c r="G1899" s="10">
        <f>G1879</f>
        <v>0</v>
      </c>
      <c r="H1899" s="149">
        <f>G1899</f>
        <v>0</v>
      </c>
      <c r="I1899" s="148">
        <f>H1899</f>
        <v>0</v>
      </c>
      <c r="J1899" s="148"/>
      <c r="K1899" s="148"/>
      <c r="L1899" s="148"/>
      <c r="M1899" s="148"/>
      <c r="N1899" s="148"/>
    </row>
    <row r="1900" spans="1:14">
      <c r="B1900" s="326" t="s">
        <v>174</v>
      </c>
      <c r="D1900" s="62"/>
      <c r="E1900" s="148"/>
      <c r="F1900" s="148"/>
      <c r="G1900" s="150"/>
      <c r="H1900" s="151"/>
      <c r="I1900" s="148"/>
      <c r="J1900" s="148"/>
      <c r="K1900" s="148"/>
      <c r="L1900" s="148"/>
      <c r="M1900" s="148"/>
      <c r="N1900" s="148"/>
    </row>
    <row r="1901" spans="1:14">
      <c r="B1901" s="326" t="s">
        <v>175</v>
      </c>
      <c r="D1901" s="62"/>
      <c r="E1901" s="148"/>
      <c r="F1901" s="148"/>
      <c r="G1901" s="148"/>
      <c r="H1901" s="151">
        <v>0</v>
      </c>
      <c r="I1901" s="149">
        <f>H1901</f>
        <v>0</v>
      </c>
      <c r="J1901" s="149"/>
      <c r="K1901" s="149"/>
      <c r="L1901" s="149"/>
      <c r="M1901" s="149"/>
      <c r="N1901" s="149"/>
    </row>
    <row r="1902" spans="1:14">
      <c r="B1902" s="326" t="s">
        <v>176</v>
      </c>
      <c r="D1902" s="62"/>
      <c r="E1902" s="148"/>
      <c r="F1902" s="148"/>
      <c r="G1902" s="148"/>
      <c r="H1902" s="70"/>
      <c r="I1902" s="151"/>
      <c r="J1902" s="151"/>
      <c r="K1902" s="151"/>
      <c r="L1902" s="151"/>
      <c r="M1902" s="151"/>
      <c r="N1902" s="151"/>
    </row>
    <row r="1903" spans="1:14">
      <c r="B1903" s="326" t="s">
        <v>177</v>
      </c>
      <c r="D1903" s="62"/>
      <c r="E1903" s="148"/>
      <c r="F1903" s="148"/>
      <c r="G1903" s="148"/>
      <c r="H1903" s="148"/>
      <c r="I1903" s="151">
        <f>I1879</f>
        <v>29719</v>
      </c>
      <c r="J1903" s="151">
        <f>I1903</f>
        <v>29719</v>
      </c>
      <c r="K1903" s="151"/>
      <c r="L1903" s="151"/>
      <c r="M1903" s="151"/>
      <c r="N1903" s="151"/>
    </row>
    <row r="1904" spans="1:14">
      <c r="B1904" s="326" t="s">
        <v>168</v>
      </c>
      <c r="D1904" s="62"/>
      <c r="E1904" s="148"/>
      <c r="F1904" s="148"/>
      <c r="G1904" s="148"/>
      <c r="H1904" s="148"/>
      <c r="I1904" s="149"/>
      <c r="J1904" s="149"/>
      <c r="K1904" s="149"/>
      <c r="L1904" s="149"/>
      <c r="M1904" s="149"/>
      <c r="N1904" s="149"/>
    </row>
    <row r="1905" spans="1:14">
      <c r="B1905" s="326" t="s">
        <v>169</v>
      </c>
      <c r="D1905" s="63"/>
      <c r="E1905" s="133"/>
      <c r="F1905" s="133"/>
      <c r="G1905" s="133"/>
      <c r="H1905" s="133"/>
      <c r="I1905" s="133"/>
      <c r="J1905" s="133"/>
      <c r="K1905" s="133"/>
      <c r="L1905" s="133"/>
      <c r="M1905" s="133"/>
      <c r="N1905" s="133"/>
    </row>
    <row r="1906" spans="1:14">
      <c r="B1906" s="33" t="s">
        <v>17</v>
      </c>
      <c r="D1906" s="180">
        <f xml:space="preserve"> D1899 - D1898</f>
        <v>0</v>
      </c>
      <c r="E1906" s="180">
        <f xml:space="preserve"> E1898 + E1901 - E1900 - E1899</f>
        <v>0</v>
      </c>
      <c r="F1906" s="180">
        <f>F1900 - F1901</f>
        <v>0</v>
      </c>
      <c r="G1906" s="180">
        <f t="shared" ref="G1906" si="810">G1900 - G1901</f>
        <v>0</v>
      </c>
      <c r="H1906" s="28">
        <f>H1899-H1900-H1901</f>
        <v>0</v>
      </c>
      <c r="I1906" s="28">
        <f>I1901-I1902-I1903</f>
        <v>-29719</v>
      </c>
      <c r="J1906" s="28">
        <f>J1903-J1904-J1905</f>
        <v>29719</v>
      </c>
      <c r="K1906" s="28">
        <f>K1905</f>
        <v>0</v>
      </c>
      <c r="L1906" s="28">
        <f t="shared" ref="L1906:N1906" si="811">L1905</f>
        <v>0</v>
      </c>
      <c r="M1906" s="28">
        <f t="shared" si="811"/>
        <v>0</v>
      </c>
      <c r="N1906" s="28">
        <f t="shared" si="811"/>
        <v>0</v>
      </c>
    </row>
    <row r="1907" spans="1:14">
      <c r="B1907" s="6"/>
      <c r="D1907" s="7"/>
      <c r="E1907" s="7"/>
      <c r="F1907" s="7"/>
      <c r="G1907" s="7"/>
      <c r="H1907" s="231"/>
      <c r="I1907" s="231"/>
      <c r="J1907" s="231"/>
      <c r="K1907" s="231"/>
      <c r="L1907" s="231"/>
      <c r="M1907" s="231"/>
      <c r="N1907" s="231"/>
    </row>
    <row r="1908" spans="1:14">
      <c r="B1908" s="33" t="s">
        <v>12</v>
      </c>
      <c r="C1908" s="71"/>
      <c r="D1908" s="99"/>
      <c r="E1908" s="100"/>
      <c r="F1908" s="100"/>
      <c r="G1908" s="100"/>
      <c r="H1908" s="100"/>
      <c r="I1908" s="100"/>
      <c r="J1908" s="100"/>
      <c r="K1908" s="100"/>
      <c r="L1908" s="100"/>
      <c r="M1908" s="100"/>
      <c r="N1908" s="100"/>
    </row>
    <row r="1909" spans="1:14">
      <c r="B1909" s="6"/>
      <c r="D1909" s="7"/>
      <c r="E1909" s="7"/>
      <c r="F1909" s="7"/>
      <c r="G1909" s="7"/>
      <c r="H1909" s="7"/>
      <c r="I1909" s="7"/>
      <c r="J1909" s="7"/>
      <c r="K1909" s="7"/>
      <c r="L1909" s="7"/>
      <c r="M1909" s="7"/>
      <c r="N1909" s="7"/>
    </row>
    <row r="1910" spans="1:14" ht="18.5">
      <c r="A1910" s="9" t="s">
        <v>26</v>
      </c>
      <c r="C1910" s="71"/>
      <c r="D1910" s="43">
        <f xml:space="preserve"> D1879 + D1884 - D1890 + D1906 + D1908</f>
        <v>0</v>
      </c>
      <c r="E1910" s="44">
        <f xml:space="preserve"> E1879 + E1884 - E1890 + E1906 + E1908</f>
        <v>0</v>
      </c>
      <c r="F1910" s="44">
        <f xml:space="preserve"> F1879 + F1884 - F1890 + F1906 + F1908</f>
        <v>0</v>
      </c>
      <c r="G1910" s="44">
        <f t="shared" ref="G1910:N1910" si="812" xml:space="preserve"> G1879 + G1884 - G1890 + G1906 + G1908</f>
        <v>0</v>
      </c>
      <c r="H1910" s="44">
        <f t="shared" si="812"/>
        <v>0</v>
      </c>
      <c r="I1910" s="44">
        <f t="shared" si="812"/>
        <v>0</v>
      </c>
      <c r="J1910" s="44">
        <f t="shared" si="812"/>
        <v>29719</v>
      </c>
      <c r="K1910" s="44">
        <f t="shared" si="812"/>
        <v>0</v>
      </c>
      <c r="L1910" s="44">
        <f t="shared" si="812"/>
        <v>0</v>
      </c>
      <c r="M1910" s="44">
        <f t="shared" si="812"/>
        <v>0</v>
      </c>
      <c r="N1910" s="44">
        <f t="shared" si="812"/>
        <v>0</v>
      </c>
    </row>
    <row r="1911" spans="1:14">
      <c r="B1911" s="6"/>
      <c r="D1911" s="7"/>
      <c r="E1911" s="7"/>
      <c r="F1911" s="7"/>
      <c r="G1911" s="28"/>
      <c r="H1911" s="28"/>
      <c r="I1911" s="28"/>
      <c r="J1911" s="28"/>
      <c r="K1911" s="28"/>
      <c r="L1911" s="28"/>
      <c r="M1911" s="28"/>
      <c r="N1911" s="28"/>
    </row>
    <row r="1912" spans="1:14" ht="15" thickBot="1"/>
    <row r="1913" spans="1:14">
      <c r="A1913" s="8"/>
      <c r="B1913" s="8"/>
      <c r="C1913" s="8"/>
      <c r="D1913" s="8"/>
      <c r="E1913" s="8"/>
      <c r="F1913" s="8"/>
      <c r="G1913" s="8"/>
      <c r="H1913" s="8"/>
      <c r="I1913" s="8"/>
      <c r="J1913" s="8"/>
      <c r="K1913" s="8"/>
      <c r="L1913" s="8"/>
      <c r="M1913" s="8"/>
      <c r="N1913" s="8"/>
    </row>
    <row r="1914" spans="1:14" ht="15" thickBot="1"/>
    <row r="1915" spans="1:14" ht="21.5" thickBot="1">
      <c r="A1915" s="13" t="s">
        <v>4</v>
      </c>
      <c r="B1915" s="13"/>
      <c r="C1915" s="340" t="str">
        <f>B41</f>
        <v>Meadow Creek Wind Farm - North Point Wind Farm - REC Only</v>
      </c>
      <c r="D1915" s="341"/>
      <c r="E1915" s="348"/>
      <c r="F1915" s="348"/>
      <c r="G1915" s="342"/>
    </row>
    <row r="1917" spans="1:14" ht="18.5">
      <c r="A1917" s="9" t="s">
        <v>21</v>
      </c>
      <c r="B1917" s="9"/>
      <c r="D1917" s="2">
        <f>'Facility Detail'!$B$3082</f>
        <v>2011</v>
      </c>
      <c r="E1917" s="2">
        <f>D1917+1</f>
        <v>2012</v>
      </c>
      <c r="F1917" s="2">
        <f t="shared" ref="F1917:N1917" si="813">E1917+1</f>
        <v>2013</v>
      </c>
      <c r="G1917" s="2">
        <f t="shared" si="813"/>
        <v>2014</v>
      </c>
      <c r="H1917" s="2">
        <f t="shared" si="813"/>
        <v>2015</v>
      </c>
      <c r="I1917" s="2">
        <f t="shared" si="813"/>
        <v>2016</v>
      </c>
      <c r="J1917" s="2">
        <f t="shared" si="813"/>
        <v>2017</v>
      </c>
      <c r="K1917" s="2">
        <f t="shared" si="813"/>
        <v>2018</v>
      </c>
      <c r="L1917" s="2">
        <f t="shared" si="813"/>
        <v>2019</v>
      </c>
      <c r="M1917" s="2">
        <f t="shared" si="813"/>
        <v>2020</v>
      </c>
      <c r="N1917" s="2">
        <f t="shared" si="813"/>
        <v>2021</v>
      </c>
    </row>
    <row r="1918" spans="1:14">
      <c r="B1918" s="326" t="str">
        <f>"Total MWh Produced / Purchased from " &amp; C1915</f>
        <v>Total MWh Produced / Purchased from Meadow Creek Wind Farm - North Point Wind Farm - REC Only</v>
      </c>
      <c r="C1918" s="71"/>
      <c r="D1918" s="3"/>
      <c r="E1918" s="4"/>
      <c r="F1918" s="4"/>
      <c r="G1918" s="4"/>
      <c r="H1918" s="230"/>
      <c r="I1918" s="230">
        <v>2644</v>
      </c>
      <c r="J1918" s="230"/>
      <c r="K1918" s="230"/>
      <c r="L1918" s="230"/>
      <c r="M1918" s="230"/>
      <c r="N1918" s="230"/>
    </row>
    <row r="1919" spans="1:14">
      <c r="B1919" s="326" t="s">
        <v>25</v>
      </c>
      <c r="C1919" s="71"/>
      <c r="D1919" s="54"/>
      <c r="E1919" s="55"/>
      <c r="F1919" s="55"/>
      <c r="G1919" s="55"/>
      <c r="H1919" s="234"/>
      <c r="I1919" s="234">
        <v>1</v>
      </c>
      <c r="J1919" s="234"/>
      <c r="K1919" s="234"/>
      <c r="L1919" s="234"/>
      <c r="M1919" s="234"/>
      <c r="N1919" s="234"/>
    </row>
    <row r="1920" spans="1:14">
      <c r="B1920" s="326" t="s">
        <v>20</v>
      </c>
      <c r="C1920" s="71"/>
      <c r="D1920" s="48"/>
      <c r="E1920" s="49"/>
      <c r="F1920" s="49"/>
      <c r="G1920" s="49"/>
      <c r="H1920" s="243"/>
      <c r="I1920" s="243">
        <v>1</v>
      </c>
      <c r="J1920" s="243"/>
      <c r="K1920" s="243"/>
      <c r="L1920" s="243"/>
      <c r="M1920" s="243"/>
      <c r="N1920" s="243"/>
    </row>
    <row r="1921" spans="1:14">
      <c r="B1921" s="33" t="s">
        <v>22</v>
      </c>
      <c r="C1921" s="6"/>
      <c r="D1921" s="37">
        <v>0</v>
      </c>
      <c r="E1921" s="37">
        <v>0</v>
      </c>
      <c r="F1921" s="37">
        <v>0</v>
      </c>
      <c r="G1921" s="37">
        <v>0</v>
      </c>
      <c r="H1921" s="229">
        <v>0</v>
      </c>
      <c r="I1921" s="229">
        <v>2644</v>
      </c>
      <c r="J1921" s="229">
        <v>0</v>
      </c>
      <c r="K1921" s="229">
        <v>0</v>
      </c>
      <c r="L1921" s="229">
        <v>0</v>
      </c>
      <c r="M1921" s="229">
        <v>0</v>
      </c>
      <c r="N1921" s="229">
        <v>0</v>
      </c>
    </row>
    <row r="1922" spans="1:14">
      <c r="D1922" s="36"/>
      <c r="E1922" s="36"/>
      <c r="F1922" s="36"/>
      <c r="G1922" s="36"/>
      <c r="H1922" s="24"/>
      <c r="I1922" s="24"/>
      <c r="J1922" s="24"/>
      <c r="K1922" s="24"/>
      <c r="L1922" s="24"/>
      <c r="M1922" s="24"/>
      <c r="N1922" s="24"/>
    </row>
    <row r="1923" spans="1:14" ht="18.5">
      <c r="A1923" s="9" t="s">
        <v>119</v>
      </c>
      <c r="D1923" s="2">
        <f>'Facility Detail'!$B$3082</f>
        <v>2011</v>
      </c>
      <c r="E1923" s="2">
        <f>D1923+1</f>
        <v>2012</v>
      </c>
      <c r="F1923" s="2">
        <f t="shared" ref="F1923:N1923" si="814">E1923+1</f>
        <v>2013</v>
      </c>
      <c r="G1923" s="2">
        <f t="shared" si="814"/>
        <v>2014</v>
      </c>
      <c r="H1923" s="2">
        <f t="shared" si="814"/>
        <v>2015</v>
      </c>
      <c r="I1923" s="2">
        <f t="shared" si="814"/>
        <v>2016</v>
      </c>
      <c r="J1923" s="2">
        <f t="shared" si="814"/>
        <v>2017</v>
      </c>
      <c r="K1923" s="2">
        <f t="shared" si="814"/>
        <v>2018</v>
      </c>
      <c r="L1923" s="2">
        <f t="shared" si="814"/>
        <v>2019</v>
      </c>
      <c r="M1923" s="2">
        <f t="shared" si="814"/>
        <v>2020</v>
      </c>
      <c r="N1923" s="2">
        <f t="shared" si="814"/>
        <v>2021</v>
      </c>
    </row>
    <row r="1924" spans="1:14">
      <c r="B1924" s="326" t="s">
        <v>10</v>
      </c>
      <c r="C1924" s="71"/>
      <c r="D1924" s="51">
        <f>IF($E41= "Eligible", D1921 * 'Facility Detail'!$B$3079, 0 )</f>
        <v>0</v>
      </c>
      <c r="E1924" s="11">
        <v>0</v>
      </c>
      <c r="F1924" s="11">
        <v>0</v>
      </c>
      <c r="G1924" s="11">
        <v>0</v>
      </c>
      <c r="H1924" s="11">
        <v>0</v>
      </c>
      <c r="I1924" s="11">
        <v>0</v>
      </c>
      <c r="J1924" s="11">
        <v>0</v>
      </c>
      <c r="K1924" s="11">
        <v>0</v>
      </c>
      <c r="L1924" s="11">
        <v>0</v>
      </c>
      <c r="M1924" s="11">
        <v>0</v>
      </c>
      <c r="N1924" s="11">
        <v>0</v>
      </c>
    </row>
    <row r="1925" spans="1:14">
      <c r="B1925" s="326" t="s">
        <v>6</v>
      </c>
      <c r="C1925" s="71"/>
      <c r="D1925" s="52">
        <f>IF($F41= "Eligible", D1921, 0 )</f>
        <v>0</v>
      </c>
      <c r="E1925" s="329">
        <v>0</v>
      </c>
      <c r="F1925" s="329">
        <v>0</v>
      </c>
      <c r="G1925" s="329">
        <v>0</v>
      </c>
      <c r="H1925" s="329">
        <v>0</v>
      </c>
      <c r="I1925" s="329">
        <v>0</v>
      </c>
      <c r="J1925" s="329">
        <v>0</v>
      </c>
      <c r="K1925" s="329">
        <v>0</v>
      </c>
      <c r="L1925" s="329">
        <v>0</v>
      </c>
      <c r="M1925" s="329">
        <v>0</v>
      </c>
      <c r="N1925" s="329">
        <v>0</v>
      </c>
    </row>
    <row r="1926" spans="1:14">
      <c r="B1926" s="33" t="s">
        <v>121</v>
      </c>
      <c r="C1926" s="6"/>
      <c r="D1926" s="39">
        <v>0</v>
      </c>
      <c r="E1926" s="40">
        <v>0</v>
      </c>
      <c r="F1926" s="40">
        <v>0</v>
      </c>
      <c r="G1926" s="40">
        <v>0</v>
      </c>
      <c r="H1926" s="40">
        <v>0</v>
      </c>
      <c r="I1926" s="40">
        <v>0</v>
      </c>
      <c r="J1926" s="40">
        <v>0</v>
      </c>
      <c r="K1926" s="40">
        <v>0</v>
      </c>
      <c r="L1926" s="40">
        <v>0</v>
      </c>
      <c r="M1926" s="40">
        <v>0</v>
      </c>
      <c r="N1926" s="40">
        <v>0</v>
      </c>
    </row>
    <row r="1927" spans="1:14">
      <c r="D1927" s="38"/>
      <c r="E1927" s="31"/>
      <c r="F1927" s="31"/>
      <c r="G1927" s="31"/>
      <c r="H1927" s="31"/>
      <c r="I1927" s="31"/>
      <c r="J1927" s="31"/>
      <c r="K1927" s="31"/>
      <c r="L1927" s="31"/>
      <c r="M1927" s="31"/>
      <c r="N1927" s="31"/>
    </row>
    <row r="1928" spans="1:14" ht="18.5">
      <c r="A1928" s="9" t="s">
        <v>30</v>
      </c>
      <c r="D1928" s="2">
        <f>'Facility Detail'!$B$3082</f>
        <v>2011</v>
      </c>
      <c r="E1928" s="2">
        <f>D1928+1</f>
        <v>2012</v>
      </c>
      <c r="F1928" s="2">
        <f t="shared" ref="F1928:N1928" si="815">E1928+1</f>
        <v>2013</v>
      </c>
      <c r="G1928" s="2">
        <f t="shared" si="815"/>
        <v>2014</v>
      </c>
      <c r="H1928" s="2">
        <f t="shared" si="815"/>
        <v>2015</v>
      </c>
      <c r="I1928" s="2">
        <f t="shared" si="815"/>
        <v>2016</v>
      </c>
      <c r="J1928" s="2">
        <f t="shared" si="815"/>
        <v>2017</v>
      </c>
      <c r="K1928" s="2">
        <f t="shared" si="815"/>
        <v>2018</v>
      </c>
      <c r="L1928" s="2">
        <f t="shared" si="815"/>
        <v>2019</v>
      </c>
      <c r="M1928" s="2">
        <f t="shared" si="815"/>
        <v>2020</v>
      </c>
      <c r="N1928" s="2">
        <f t="shared" si="815"/>
        <v>2021</v>
      </c>
    </row>
    <row r="1929" spans="1:14">
      <c r="B1929" s="326" t="s">
        <v>47</v>
      </c>
      <c r="C1929" s="71"/>
      <c r="D1929" s="89"/>
      <c r="E1929" s="90"/>
      <c r="F1929" s="90"/>
      <c r="G1929" s="90"/>
      <c r="H1929" s="90"/>
      <c r="I1929" s="90"/>
      <c r="J1929" s="90"/>
      <c r="K1929" s="90"/>
      <c r="L1929" s="90"/>
      <c r="M1929" s="90"/>
      <c r="N1929" s="90"/>
    </row>
    <row r="1930" spans="1:14">
      <c r="B1930" s="330" t="s">
        <v>23</v>
      </c>
      <c r="C1930" s="331"/>
      <c r="D1930" s="92"/>
      <c r="E1930" s="93"/>
      <c r="F1930" s="93"/>
      <c r="G1930" s="93"/>
      <c r="H1930" s="93"/>
      <c r="I1930" s="93"/>
      <c r="J1930" s="93"/>
      <c r="K1930" s="93"/>
      <c r="L1930" s="93"/>
      <c r="M1930" s="93"/>
      <c r="N1930" s="93"/>
    </row>
    <row r="1931" spans="1:14">
      <c r="B1931" s="330" t="s">
        <v>89</v>
      </c>
      <c r="C1931" s="332"/>
      <c r="D1931" s="57"/>
      <c r="E1931" s="58"/>
      <c r="F1931" s="58"/>
      <c r="G1931" s="58"/>
      <c r="H1931" s="58"/>
      <c r="I1931" s="58"/>
      <c r="J1931" s="58"/>
      <c r="K1931" s="58"/>
      <c r="L1931" s="58"/>
      <c r="M1931" s="58"/>
      <c r="N1931" s="58"/>
    </row>
    <row r="1932" spans="1:14">
      <c r="B1932" s="33" t="s">
        <v>90</v>
      </c>
      <c r="D1932" s="7">
        <v>0</v>
      </c>
      <c r="E1932" s="7">
        <v>0</v>
      </c>
      <c r="F1932" s="7">
        <v>0</v>
      </c>
      <c r="G1932" s="7">
        <v>0</v>
      </c>
      <c r="H1932" s="7">
        <v>0</v>
      </c>
      <c r="I1932" s="7">
        <v>0</v>
      </c>
      <c r="J1932" s="7">
        <v>0</v>
      </c>
      <c r="K1932" s="7">
        <v>0</v>
      </c>
      <c r="L1932" s="7">
        <v>0</v>
      </c>
      <c r="M1932" s="7">
        <v>0</v>
      </c>
      <c r="N1932" s="7">
        <v>0</v>
      </c>
    </row>
    <row r="1933" spans="1:14">
      <c r="B1933" s="6"/>
      <c r="D1933" s="7"/>
      <c r="E1933" s="7"/>
      <c r="F1933" s="7"/>
      <c r="G1933" s="28"/>
      <c r="H1933" s="28"/>
      <c r="I1933" s="28"/>
      <c r="J1933" s="28"/>
      <c r="K1933" s="28"/>
      <c r="L1933" s="28"/>
      <c r="M1933" s="28"/>
      <c r="N1933" s="28"/>
    </row>
    <row r="1934" spans="1:14" ht="18.5">
      <c r="A1934" s="9" t="s">
        <v>100</v>
      </c>
      <c r="D1934" s="2">
        <f>'Facility Detail'!$B$3082</f>
        <v>2011</v>
      </c>
      <c r="E1934" s="2">
        <f>D1934+1</f>
        <v>2012</v>
      </c>
      <c r="F1934" s="2">
        <f t="shared" ref="F1934:N1934" si="816">E1934+1</f>
        <v>2013</v>
      </c>
      <c r="G1934" s="2">
        <f t="shared" si="816"/>
        <v>2014</v>
      </c>
      <c r="H1934" s="2">
        <f t="shared" si="816"/>
        <v>2015</v>
      </c>
      <c r="I1934" s="2">
        <f t="shared" si="816"/>
        <v>2016</v>
      </c>
      <c r="J1934" s="2">
        <f t="shared" si="816"/>
        <v>2017</v>
      </c>
      <c r="K1934" s="2">
        <f t="shared" si="816"/>
        <v>2018</v>
      </c>
      <c r="L1934" s="2">
        <f t="shared" si="816"/>
        <v>2019</v>
      </c>
      <c r="M1934" s="2">
        <f t="shared" si="816"/>
        <v>2020</v>
      </c>
      <c r="N1934" s="2">
        <f t="shared" si="816"/>
        <v>2021</v>
      </c>
    </row>
    <row r="1935" spans="1:14">
      <c r="B1935" s="326" t="s">
        <v>68</v>
      </c>
      <c r="C1935" s="71"/>
      <c r="D1935" s="351"/>
      <c r="E1935" s="69">
        <f>D1935</f>
        <v>0</v>
      </c>
      <c r="F1935" s="352"/>
      <c r="G1935" s="352"/>
      <c r="H1935" s="352"/>
      <c r="I1935" s="352"/>
      <c r="J1935" s="352"/>
      <c r="K1935" s="352"/>
      <c r="L1935" s="352"/>
      <c r="M1935" s="352"/>
      <c r="N1935" s="352"/>
    </row>
    <row r="1936" spans="1:14">
      <c r="B1936" s="326" t="s">
        <v>69</v>
      </c>
      <c r="C1936" s="71"/>
      <c r="D1936" s="353">
        <f>E1936</f>
        <v>0</v>
      </c>
      <c r="E1936" s="354"/>
      <c r="F1936" s="355"/>
      <c r="G1936" s="355"/>
      <c r="H1936" s="355"/>
      <c r="I1936" s="355"/>
      <c r="J1936" s="355"/>
      <c r="K1936" s="355"/>
      <c r="L1936" s="355"/>
      <c r="M1936" s="355"/>
      <c r="N1936" s="355"/>
    </row>
    <row r="1937" spans="1:14">
      <c r="B1937" s="326" t="s">
        <v>70</v>
      </c>
      <c r="C1937" s="71"/>
      <c r="D1937" s="356"/>
      <c r="E1937" s="354">
        <f>E1921</f>
        <v>0</v>
      </c>
      <c r="F1937" s="357">
        <f>E1937</f>
        <v>0</v>
      </c>
      <c r="G1937" s="355"/>
      <c r="H1937" s="355"/>
      <c r="I1937" s="355"/>
      <c r="J1937" s="355"/>
      <c r="K1937" s="355"/>
      <c r="L1937" s="355"/>
      <c r="M1937" s="355"/>
      <c r="N1937" s="355"/>
    </row>
    <row r="1938" spans="1:14">
      <c r="B1938" s="326" t="s">
        <v>71</v>
      </c>
      <c r="C1938" s="71"/>
      <c r="D1938" s="356"/>
      <c r="E1938" s="357">
        <f>F1938</f>
        <v>0</v>
      </c>
      <c r="F1938" s="358"/>
      <c r="G1938" s="355"/>
      <c r="H1938" s="355"/>
      <c r="I1938" s="355"/>
      <c r="J1938" s="355"/>
      <c r="K1938" s="355"/>
      <c r="L1938" s="355"/>
      <c r="M1938" s="355"/>
      <c r="N1938" s="355"/>
    </row>
    <row r="1939" spans="1:14">
      <c r="B1939" s="326" t="s">
        <v>171</v>
      </c>
      <c r="D1939" s="356"/>
      <c r="E1939" s="359"/>
      <c r="F1939" s="354">
        <f>F1921</f>
        <v>0</v>
      </c>
      <c r="G1939" s="360">
        <f>F1939</f>
        <v>0</v>
      </c>
      <c r="H1939" s="355"/>
      <c r="I1939" s="355"/>
      <c r="J1939" s="355"/>
      <c r="K1939" s="355"/>
      <c r="L1939" s="355"/>
      <c r="M1939" s="355"/>
      <c r="N1939" s="355"/>
    </row>
    <row r="1940" spans="1:14">
      <c r="B1940" s="326" t="s">
        <v>172</v>
      </c>
      <c r="D1940" s="356"/>
      <c r="E1940" s="359"/>
      <c r="F1940" s="357">
        <f>G1940</f>
        <v>0</v>
      </c>
      <c r="G1940" s="354"/>
      <c r="H1940" s="355"/>
      <c r="I1940" s="355"/>
      <c r="J1940" s="355"/>
      <c r="K1940" s="355"/>
      <c r="L1940" s="355"/>
      <c r="M1940" s="355"/>
      <c r="N1940" s="355"/>
    </row>
    <row r="1941" spans="1:14">
      <c r="B1941" s="326" t="s">
        <v>173</v>
      </c>
      <c r="D1941" s="356"/>
      <c r="E1941" s="359"/>
      <c r="F1941" s="359"/>
      <c r="G1941" s="354">
        <f>G1921</f>
        <v>0</v>
      </c>
      <c r="H1941" s="360">
        <f>G1941</f>
        <v>0</v>
      </c>
      <c r="I1941" s="359">
        <f>H1941</f>
        <v>0</v>
      </c>
      <c r="J1941" s="359"/>
      <c r="K1941" s="359"/>
      <c r="L1941" s="359"/>
      <c r="M1941" s="359"/>
      <c r="N1941" s="359"/>
    </row>
    <row r="1942" spans="1:14">
      <c r="B1942" s="326" t="s">
        <v>174</v>
      </c>
      <c r="D1942" s="356"/>
      <c r="E1942" s="359"/>
      <c r="F1942" s="359"/>
      <c r="G1942" s="361"/>
      <c r="H1942" s="362"/>
      <c r="I1942" s="359"/>
      <c r="J1942" s="359"/>
      <c r="K1942" s="359"/>
      <c r="L1942" s="359"/>
      <c r="M1942" s="359"/>
      <c r="N1942" s="359"/>
    </row>
    <row r="1943" spans="1:14">
      <c r="B1943" s="326" t="s">
        <v>175</v>
      </c>
      <c r="D1943" s="356"/>
      <c r="E1943" s="359"/>
      <c r="F1943" s="359"/>
      <c r="G1943" s="359"/>
      <c r="H1943" s="362">
        <v>0</v>
      </c>
      <c r="I1943" s="360">
        <f>H1943</f>
        <v>0</v>
      </c>
      <c r="J1943" s="360"/>
      <c r="K1943" s="360"/>
      <c r="L1943" s="360"/>
      <c r="M1943" s="360"/>
      <c r="N1943" s="360"/>
    </row>
    <row r="1944" spans="1:14">
      <c r="B1944" s="326" t="s">
        <v>176</v>
      </c>
      <c r="D1944" s="356"/>
      <c r="E1944" s="359"/>
      <c r="F1944" s="359"/>
      <c r="G1944" s="359"/>
      <c r="H1944" s="357"/>
      <c r="I1944" s="362"/>
      <c r="J1944" s="362"/>
      <c r="K1944" s="362"/>
      <c r="L1944" s="362"/>
      <c r="M1944" s="362"/>
      <c r="N1944" s="362"/>
    </row>
    <row r="1945" spans="1:14">
      <c r="B1945" s="326" t="s">
        <v>177</v>
      </c>
      <c r="D1945" s="356"/>
      <c r="E1945" s="359"/>
      <c r="F1945" s="359"/>
      <c r="G1945" s="359"/>
      <c r="H1945" s="359"/>
      <c r="I1945" s="362">
        <f>I1921</f>
        <v>2644</v>
      </c>
      <c r="J1945" s="362">
        <f>I1945</f>
        <v>2644</v>
      </c>
      <c r="K1945" s="362"/>
      <c r="L1945" s="362"/>
      <c r="M1945" s="362"/>
      <c r="N1945" s="362"/>
    </row>
    <row r="1946" spans="1:14">
      <c r="B1946" s="326" t="s">
        <v>168</v>
      </c>
      <c r="D1946" s="356"/>
      <c r="E1946" s="359"/>
      <c r="F1946" s="359"/>
      <c r="G1946" s="359"/>
      <c r="H1946" s="359"/>
      <c r="I1946" s="363"/>
      <c r="J1946" s="149"/>
      <c r="K1946" s="149"/>
      <c r="L1946" s="149"/>
      <c r="M1946" s="149"/>
      <c r="N1946" s="149"/>
    </row>
    <row r="1947" spans="1:14">
      <c r="B1947" s="326" t="s">
        <v>169</v>
      </c>
      <c r="D1947" s="364"/>
      <c r="E1947" s="365"/>
      <c r="F1947" s="365"/>
      <c r="G1947" s="365"/>
      <c r="H1947" s="365"/>
      <c r="I1947" s="365"/>
      <c r="J1947" s="365"/>
      <c r="K1947" s="365"/>
      <c r="L1947" s="365"/>
      <c r="M1947" s="365"/>
      <c r="N1947" s="365"/>
    </row>
    <row r="1948" spans="1:14">
      <c r="B1948" s="33" t="s">
        <v>17</v>
      </c>
      <c r="D1948" s="218">
        <f xml:space="preserve"> D1941 - D1940</f>
        <v>0</v>
      </c>
      <c r="E1948" s="218">
        <f xml:space="preserve"> E1940 + E1943 - E1942 - E1941</f>
        <v>0</v>
      </c>
      <c r="F1948" s="218">
        <f>F1942 - F1943</f>
        <v>0</v>
      </c>
      <c r="G1948" s="218">
        <f t="shared" ref="G1948" si="817">G1942 - G1943</f>
        <v>0</v>
      </c>
      <c r="H1948" s="218">
        <f>H1941-H1942-H1943</f>
        <v>0</v>
      </c>
      <c r="I1948" s="237">
        <f>I1943-I1944-I1945</f>
        <v>-2644</v>
      </c>
      <c r="J1948" s="237">
        <f>J1945-J1946-J1947</f>
        <v>2644</v>
      </c>
      <c r="K1948" s="237">
        <f>K1947</f>
        <v>0</v>
      </c>
      <c r="L1948" s="237">
        <f t="shared" ref="L1948:N1948" si="818">L1947</f>
        <v>0</v>
      </c>
      <c r="M1948" s="237">
        <f t="shared" si="818"/>
        <v>0</v>
      </c>
      <c r="N1948" s="237">
        <f t="shared" si="818"/>
        <v>0</v>
      </c>
    </row>
    <row r="1949" spans="1:14">
      <c r="B1949" s="6"/>
      <c r="D1949" s="218"/>
      <c r="E1949" s="218"/>
      <c r="F1949" s="218"/>
      <c r="G1949" s="218"/>
      <c r="H1949" s="218"/>
      <c r="I1949" s="218"/>
      <c r="J1949" s="218"/>
      <c r="K1949" s="218"/>
      <c r="L1949" s="218"/>
      <c r="M1949" s="218"/>
      <c r="N1949" s="218"/>
    </row>
    <row r="1950" spans="1:14">
      <c r="B1950" s="33" t="s">
        <v>12</v>
      </c>
      <c r="C1950" s="71"/>
      <c r="D1950" s="219"/>
      <c r="E1950" s="220"/>
      <c r="F1950" s="220"/>
      <c r="G1950" s="220"/>
      <c r="H1950" s="220"/>
      <c r="I1950" s="220"/>
      <c r="J1950" s="220"/>
      <c r="K1950" s="220"/>
      <c r="L1950" s="220"/>
      <c r="M1950" s="220"/>
      <c r="N1950" s="220"/>
    </row>
    <row r="1951" spans="1:14">
      <c r="B1951" s="6"/>
      <c r="D1951" s="218"/>
      <c r="E1951" s="218"/>
      <c r="F1951" s="218"/>
      <c r="G1951" s="218"/>
      <c r="H1951" s="218"/>
      <c r="I1951" s="218"/>
      <c r="J1951" s="218"/>
      <c r="K1951" s="218"/>
      <c r="L1951" s="218"/>
      <c r="M1951" s="218"/>
      <c r="N1951" s="218"/>
    </row>
    <row r="1952" spans="1:14" ht="18.5">
      <c r="A1952" s="9" t="s">
        <v>26</v>
      </c>
      <c r="C1952" s="71"/>
      <c r="D1952" s="221">
        <f xml:space="preserve"> D1921 + D1926 - D1932 + D1948 + D1950</f>
        <v>0</v>
      </c>
      <c r="E1952" s="222">
        <f xml:space="preserve"> E1921 + E1926 - E1932 + E1948 + E1950</f>
        <v>0</v>
      </c>
      <c r="F1952" s="222">
        <f xml:space="preserve"> F1921 + F1926 - F1932 + F1948 + F1950</f>
        <v>0</v>
      </c>
      <c r="G1952" s="222">
        <f t="shared" ref="G1952:N1952" si="819" xml:space="preserve"> G1921 + G1926 - G1932 + G1948 + G1950</f>
        <v>0</v>
      </c>
      <c r="H1952" s="222">
        <f t="shared" si="819"/>
        <v>0</v>
      </c>
      <c r="I1952" s="222">
        <f t="shared" si="819"/>
        <v>0</v>
      </c>
      <c r="J1952" s="222">
        <f t="shared" si="819"/>
        <v>2644</v>
      </c>
      <c r="K1952" s="222">
        <f t="shared" si="819"/>
        <v>0</v>
      </c>
      <c r="L1952" s="222">
        <f t="shared" si="819"/>
        <v>0</v>
      </c>
      <c r="M1952" s="222">
        <f t="shared" si="819"/>
        <v>0</v>
      </c>
      <c r="N1952" s="222">
        <f t="shared" si="819"/>
        <v>0</v>
      </c>
    </row>
    <row r="1953" spans="1:14">
      <c r="B1953" s="6"/>
      <c r="D1953" s="7"/>
      <c r="E1953" s="7"/>
      <c r="F1953" s="7"/>
      <c r="G1953" s="28"/>
      <c r="H1953" s="28"/>
      <c r="I1953" s="28"/>
      <c r="J1953" s="28"/>
      <c r="K1953" s="28"/>
      <c r="L1953" s="28"/>
      <c r="M1953" s="28"/>
      <c r="N1953" s="28"/>
    </row>
    <row r="1954" spans="1:14" ht="15" thickBot="1"/>
    <row r="1955" spans="1:14" ht="15" thickBot="1">
      <c r="A1955" s="8"/>
      <c r="B1955" s="8"/>
      <c r="C1955" s="8"/>
      <c r="D1955" s="8"/>
      <c r="E1955" s="8"/>
      <c r="F1955" s="8"/>
      <c r="G1955" s="8"/>
      <c r="H1955" s="8"/>
      <c r="I1955" s="8"/>
      <c r="J1955" s="8"/>
      <c r="K1955" s="8"/>
      <c r="L1955" s="8"/>
      <c r="M1955" s="8"/>
      <c r="N1955" s="8"/>
    </row>
    <row r="1956" spans="1:14" ht="21.5" thickBot="1">
      <c r="A1956" s="13" t="s">
        <v>4</v>
      </c>
      <c r="B1956" s="13"/>
      <c r="C1956" s="313" t="s">
        <v>261</v>
      </c>
      <c r="D1956" s="310"/>
      <c r="E1956" s="23"/>
      <c r="F1956" s="23"/>
    </row>
    <row r="1958" spans="1:14" ht="18.5">
      <c r="A1958" s="9" t="s">
        <v>21</v>
      </c>
      <c r="B1958" s="9"/>
      <c r="D1958" s="2">
        <v>2011</v>
      </c>
      <c r="E1958" s="2">
        <f>D1958+1</f>
        <v>2012</v>
      </c>
      <c r="F1958" s="2">
        <f t="shared" ref="F1958" si="820">E1958+1</f>
        <v>2013</v>
      </c>
      <c r="G1958" s="2">
        <f t="shared" ref="G1958" si="821">F1958+1</f>
        <v>2014</v>
      </c>
      <c r="H1958" s="2">
        <f t="shared" ref="H1958" si="822">G1958+1</f>
        <v>2015</v>
      </c>
      <c r="I1958" s="2">
        <f t="shared" ref="I1958" si="823">H1958+1</f>
        <v>2016</v>
      </c>
      <c r="J1958" s="2">
        <f t="shared" ref="J1958" si="824">I1958+1</f>
        <v>2017</v>
      </c>
      <c r="K1958" s="2">
        <f t="shared" ref="K1958" si="825">J1958+1</f>
        <v>2018</v>
      </c>
      <c r="L1958" s="2">
        <f t="shared" ref="L1958" si="826">K1958+1</f>
        <v>2019</v>
      </c>
      <c r="M1958" s="2">
        <f t="shared" ref="M1958" si="827">L1958+1</f>
        <v>2020</v>
      </c>
      <c r="N1958" s="2">
        <f t="shared" ref="N1958" si="828">M1958+1</f>
        <v>2021</v>
      </c>
    </row>
    <row r="1959" spans="1:14">
      <c r="B1959" s="79" t="str">
        <f>"Total MWh Produced / Purchased from " &amp; C1956</f>
        <v>Total MWh Produced / Purchased from Mountain Wind I</v>
      </c>
      <c r="C1959" s="71"/>
      <c r="D1959" s="3"/>
      <c r="E1959" s="4"/>
      <c r="F1959" s="4"/>
      <c r="G1959" s="4"/>
      <c r="H1959" s="4"/>
      <c r="I1959" s="4"/>
      <c r="J1959" s="4"/>
      <c r="K1959" s="4"/>
      <c r="L1959" s="4"/>
      <c r="M1959" s="230"/>
      <c r="N1959" s="230">
        <v>155734</v>
      </c>
    </row>
    <row r="1960" spans="1:14">
      <c r="B1960" s="79" t="s">
        <v>25</v>
      </c>
      <c r="C1960" s="71"/>
      <c r="D1960" s="54"/>
      <c r="E1960" s="55"/>
      <c r="F1960" s="55"/>
      <c r="G1960" s="55"/>
      <c r="H1960" s="55"/>
      <c r="I1960" s="55"/>
      <c r="J1960" s="55"/>
      <c r="K1960" s="55"/>
      <c r="L1960" s="55"/>
      <c r="M1960" s="234"/>
      <c r="N1960" s="234">
        <v>1</v>
      </c>
    </row>
    <row r="1961" spans="1:14">
      <c r="B1961" s="79" t="s">
        <v>20</v>
      </c>
      <c r="C1961" s="71"/>
      <c r="D1961" s="48"/>
      <c r="E1961" s="49"/>
      <c r="F1961" s="49"/>
      <c r="G1961" s="49"/>
      <c r="H1961" s="49"/>
      <c r="I1961" s="49"/>
      <c r="J1961" s="49"/>
      <c r="K1961" s="49"/>
      <c r="L1961" s="49"/>
      <c r="M1961" s="243"/>
      <c r="N1961" s="243">
        <f>N1829</f>
        <v>8.0780946790754593E-2</v>
      </c>
    </row>
    <row r="1962" spans="1:14">
      <c r="B1962" s="76" t="s">
        <v>22</v>
      </c>
      <c r="C1962" s="77"/>
      <c r="D1962" s="37">
        <v>0</v>
      </c>
      <c r="E1962" s="37">
        <v>0</v>
      </c>
      <c r="F1962" s="37">
        <v>0</v>
      </c>
      <c r="G1962" s="37">
        <v>0</v>
      </c>
      <c r="H1962" s="37">
        <v>0</v>
      </c>
      <c r="I1962" s="37">
        <v>0</v>
      </c>
      <c r="J1962" s="37">
        <v>0</v>
      </c>
      <c r="K1962" s="37">
        <v>0</v>
      </c>
      <c r="L1962" s="37">
        <f>L1959*L1961</f>
        <v>0</v>
      </c>
      <c r="M1962" s="37">
        <f>M1959*M1961</f>
        <v>0</v>
      </c>
      <c r="N1962" s="37">
        <f>N1959*N1961</f>
        <v>12580.339967511376</v>
      </c>
    </row>
    <row r="1963" spans="1:14">
      <c r="B1963" s="23"/>
      <c r="C1963" s="30"/>
      <c r="D1963" s="36"/>
      <c r="E1963" s="36"/>
      <c r="F1963" s="36"/>
      <c r="G1963" s="36"/>
      <c r="H1963" s="36"/>
      <c r="I1963" s="36"/>
      <c r="J1963" s="36"/>
      <c r="K1963" s="36"/>
      <c r="L1963" s="36"/>
      <c r="M1963" s="36"/>
      <c r="N1963" s="36"/>
    </row>
    <row r="1964" spans="1:14" ht="18.5">
      <c r="A1964" s="42" t="s">
        <v>119</v>
      </c>
      <c r="C1964" s="30"/>
      <c r="D1964" s="2">
        <v>2011</v>
      </c>
      <c r="E1964" s="2">
        <f>D1964+1</f>
        <v>2012</v>
      </c>
      <c r="F1964" s="2">
        <f t="shared" ref="F1964" si="829">E1964+1</f>
        <v>2013</v>
      </c>
      <c r="G1964" s="2">
        <f t="shared" ref="G1964" si="830">F1964+1</f>
        <v>2014</v>
      </c>
      <c r="H1964" s="2">
        <f t="shared" ref="H1964" si="831">G1964+1</f>
        <v>2015</v>
      </c>
      <c r="I1964" s="2">
        <f t="shared" ref="I1964" si="832">H1964+1</f>
        <v>2016</v>
      </c>
      <c r="J1964" s="2">
        <f t="shared" ref="J1964" si="833">I1964+1</f>
        <v>2017</v>
      </c>
      <c r="K1964" s="2">
        <f t="shared" ref="K1964" si="834">J1964+1</f>
        <v>2018</v>
      </c>
      <c r="L1964" s="2">
        <f t="shared" ref="L1964" si="835">K1964+1</f>
        <v>2019</v>
      </c>
      <c r="M1964" s="2">
        <f t="shared" ref="M1964" si="836">L1964+1</f>
        <v>2020</v>
      </c>
      <c r="N1964" s="2">
        <f t="shared" ref="N1964" si="837">M1964+1</f>
        <v>2021</v>
      </c>
    </row>
    <row r="1965" spans="1:14">
      <c r="B1965" s="79" t="s">
        <v>10</v>
      </c>
      <c r="C1965" s="71"/>
      <c r="D1965" s="51">
        <f>IF($E42= "Eligible", D1962 * 'Facility Detail'!$B$3079, 0 )</f>
        <v>0</v>
      </c>
      <c r="E1965" s="51">
        <f>IF($E42= "Eligible", E1962 * 'Facility Detail'!$B$3079, 0 )</f>
        <v>0</v>
      </c>
      <c r="F1965" s="51">
        <f>IF($E42= "Eligible", F1962 * 'Facility Detail'!$B$3079, 0 )</f>
        <v>0</v>
      </c>
      <c r="G1965" s="51">
        <f>IF($E42= "Eligible", G1962 * 'Facility Detail'!$B$3079, 0 )</f>
        <v>0</v>
      </c>
      <c r="H1965" s="51">
        <f>IF($E42= "Eligible", H1962 * 'Facility Detail'!$B$3079, 0 )</f>
        <v>0</v>
      </c>
      <c r="I1965" s="51">
        <f>IF($E42= "Eligible", I1962 * 'Facility Detail'!$B$3079, 0 )</f>
        <v>0</v>
      </c>
      <c r="J1965" s="51">
        <f>IF($E42= "Eligible", J1962 * 'Facility Detail'!$B$3079, 0 )</f>
        <v>0</v>
      </c>
      <c r="K1965" s="51">
        <f>IF($E42= "Eligible", K1962 * 'Facility Detail'!$B$3079, 0 )</f>
        <v>0</v>
      </c>
      <c r="L1965" s="51">
        <f>IF($E42= "Eligible", L1962 * 'Facility Detail'!$B$3079, 0 )</f>
        <v>0</v>
      </c>
      <c r="M1965" s="51">
        <f>IF($E42= "Eligible", M1962 * 'Facility Detail'!$B$3079, 0 )</f>
        <v>0</v>
      </c>
      <c r="N1965" s="51">
        <f>IF($E42= "Eligible", N1962 * 'Facility Detail'!$B$3079, 0 )</f>
        <v>0</v>
      </c>
    </row>
    <row r="1966" spans="1:14">
      <c r="B1966" s="79" t="s">
        <v>6</v>
      </c>
      <c r="C1966" s="71"/>
      <c r="D1966" s="52">
        <f t="shared" ref="D1966:N1966" si="838">IF($F42= "Eligible", D1962, 0 )</f>
        <v>0</v>
      </c>
      <c r="E1966" s="52">
        <f t="shared" si="838"/>
        <v>0</v>
      </c>
      <c r="F1966" s="52">
        <f t="shared" si="838"/>
        <v>0</v>
      </c>
      <c r="G1966" s="52">
        <f t="shared" si="838"/>
        <v>0</v>
      </c>
      <c r="H1966" s="52">
        <f t="shared" si="838"/>
        <v>0</v>
      </c>
      <c r="I1966" s="52">
        <f t="shared" si="838"/>
        <v>0</v>
      </c>
      <c r="J1966" s="52">
        <f t="shared" si="838"/>
        <v>0</v>
      </c>
      <c r="K1966" s="52">
        <f t="shared" si="838"/>
        <v>0</v>
      </c>
      <c r="L1966" s="52">
        <f t="shared" si="838"/>
        <v>0</v>
      </c>
      <c r="M1966" s="52">
        <f t="shared" si="838"/>
        <v>0</v>
      </c>
      <c r="N1966" s="52">
        <f t="shared" si="838"/>
        <v>0</v>
      </c>
    </row>
    <row r="1967" spans="1:14">
      <c r="B1967" s="78" t="s">
        <v>121</v>
      </c>
      <c r="C1967" s="77"/>
      <c r="D1967" s="39">
        <f>SUM(D1965:D1966)</f>
        <v>0</v>
      </c>
      <c r="E1967" s="39">
        <f t="shared" ref="E1967:N1967" si="839">SUM(E1965:E1966)</f>
        <v>0</v>
      </c>
      <c r="F1967" s="39">
        <f t="shared" si="839"/>
        <v>0</v>
      </c>
      <c r="G1967" s="39">
        <f t="shared" si="839"/>
        <v>0</v>
      </c>
      <c r="H1967" s="39">
        <f t="shared" si="839"/>
        <v>0</v>
      </c>
      <c r="I1967" s="39">
        <f t="shared" si="839"/>
        <v>0</v>
      </c>
      <c r="J1967" s="39">
        <f t="shared" si="839"/>
        <v>0</v>
      </c>
      <c r="K1967" s="39">
        <f t="shared" si="839"/>
        <v>0</v>
      </c>
      <c r="L1967" s="39">
        <f t="shared" si="839"/>
        <v>0</v>
      </c>
      <c r="M1967" s="39">
        <f t="shared" si="839"/>
        <v>0</v>
      </c>
      <c r="N1967" s="39">
        <f t="shared" si="839"/>
        <v>0</v>
      </c>
    </row>
    <row r="1968" spans="1:14">
      <c r="B1968" s="30"/>
      <c r="C1968" s="30"/>
      <c r="D1968" s="38"/>
      <c r="E1968" s="31"/>
      <c r="F1968" s="31"/>
      <c r="G1968" s="31"/>
      <c r="H1968" s="31"/>
      <c r="I1968" s="31"/>
      <c r="J1968" s="31"/>
      <c r="K1968" s="31"/>
      <c r="L1968" s="31"/>
      <c r="M1968" s="31"/>
      <c r="N1968" s="31"/>
    </row>
    <row r="1969" spans="1:14" ht="18.5">
      <c r="A1969" s="41" t="s">
        <v>30</v>
      </c>
      <c r="C1969" s="30"/>
      <c r="D1969" s="2">
        <v>2011</v>
      </c>
      <c r="E1969" s="2">
        <f>D1969+1</f>
        <v>2012</v>
      </c>
      <c r="F1969" s="2">
        <f t="shared" ref="F1969" si="840">E1969+1</f>
        <v>2013</v>
      </c>
      <c r="G1969" s="2">
        <f t="shared" ref="G1969" si="841">F1969+1</f>
        <v>2014</v>
      </c>
      <c r="H1969" s="2">
        <f t="shared" ref="H1969" si="842">G1969+1</f>
        <v>2015</v>
      </c>
      <c r="I1969" s="2">
        <f t="shared" ref="I1969" si="843">H1969+1</f>
        <v>2016</v>
      </c>
      <c r="J1969" s="2">
        <f t="shared" ref="J1969" si="844">I1969+1</f>
        <v>2017</v>
      </c>
      <c r="K1969" s="2">
        <f t="shared" ref="K1969" si="845">J1969+1</f>
        <v>2018</v>
      </c>
      <c r="L1969" s="2">
        <f t="shared" ref="L1969" si="846">K1969+1</f>
        <v>2019</v>
      </c>
      <c r="M1969" s="2">
        <f t="shared" ref="M1969" si="847">L1969+1</f>
        <v>2020</v>
      </c>
      <c r="N1969" s="2">
        <f t="shared" ref="N1969" si="848">M1969+1</f>
        <v>2021</v>
      </c>
    </row>
    <row r="1970" spans="1:14">
      <c r="B1970" s="79" t="s">
        <v>47</v>
      </c>
      <c r="C1970" s="71"/>
      <c r="D1970" s="89"/>
      <c r="E1970" s="90"/>
      <c r="F1970" s="90"/>
      <c r="G1970" s="90"/>
      <c r="H1970" s="90"/>
      <c r="I1970" s="90"/>
      <c r="J1970" s="90"/>
      <c r="K1970" s="90"/>
      <c r="L1970" s="90"/>
      <c r="M1970" s="90"/>
      <c r="N1970" s="90"/>
    </row>
    <row r="1971" spans="1:14">
      <c r="B1971" s="80" t="s">
        <v>23</v>
      </c>
      <c r="C1971" s="175"/>
      <c r="D1971" s="92"/>
      <c r="E1971" s="93"/>
      <c r="F1971" s="93"/>
      <c r="G1971" s="93"/>
      <c r="H1971" s="93"/>
      <c r="I1971" s="93"/>
      <c r="J1971" s="93"/>
      <c r="K1971" s="93"/>
      <c r="L1971" s="93"/>
      <c r="M1971" s="93"/>
      <c r="N1971" s="93"/>
    </row>
    <row r="1972" spans="1:14">
      <c r="B1972" s="95" t="s">
        <v>89</v>
      </c>
      <c r="C1972" s="173"/>
      <c r="D1972" s="57"/>
      <c r="E1972" s="58"/>
      <c r="F1972" s="58"/>
      <c r="G1972" s="58"/>
      <c r="H1972" s="58"/>
      <c r="I1972" s="58"/>
      <c r="J1972" s="58"/>
      <c r="K1972" s="58"/>
      <c r="L1972" s="58"/>
      <c r="M1972" s="58"/>
      <c r="N1972" s="58"/>
    </row>
    <row r="1973" spans="1:14">
      <c r="B1973" s="33" t="s">
        <v>90</v>
      </c>
      <c r="D1973" s="7">
        <v>0</v>
      </c>
      <c r="E1973" s="7">
        <v>0</v>
      </c>
      <c r="F1973" s="7">
        <v>0</v>
      </c>
      <c r="G1973" s="7">
        <v>0</v>
      </c>
      <c r="H1973" s="7">
        <v>0</v>
      </c>
      <c r="I1973" s="7">
        <v>0</v>
      </c>
      <c r="J1973" s="7">
        <v>0</v>
      </c>
      <c r="K1973" s="7">
        <v>0</v>
      </c>
      <c r="L1973" s="7">
        <v>0</v>
      </c>
      <c r="M1973" s="7">
        <v>0</v>
      </c>
      <c r="N1973" s="7">
        <v>0</v>
      </c>
    </row>
    <row r="1974" spans="1:14">
      <c r="B1974" s="6"/>
      <c r="D1974" s="7"/>
      <c r="E1974" s="7"/>
      <c r="F1974" s="7"/>
      <c r="G1974" s="28"/>
      <c r="H1974" s="28"/>
      <c r="I1974" s="28"/>
      <c r="J1974" s="28"/>
      <c r="K1974" s="28"/>
      <c r="L1974" s="28"/>
      <c r="M1974" s="28"/>
      <c r="N1974" s="28"/>
    </row>
    <row r="1975" spans="1:14" ht="18.5">
      <c r="A1975" s="9" t="s">
        <v>100</v>
      </c>
      <c r="D1975" s="2">
        <f>'Facility Detail'!$B$3082</f>
        <v>2011</v>
      </c>
      <c r="E1975" s="2">
        <f>D1975+1</f>
        <v>2012</v>
      </c>
      <c r="F1975" s="2">
        <f t="shared" ref="F1975" si="849">E1975+1</f>
        <v>2013</v>
      </c>
      <c r="G1975" s="2">
        <f t="shared" ref="G1975" si="850">F1975+1</f>
        <v>2014</v>
      </c>
      <c r="H1975" s="2">
        <f t="shared" ref="H1975" si="851">G1975+1</f>
        <v>2015</v>
      </c>
      <c r="I1975" s="2">
        <f t="shared" ref="I1975" si="852">H1975+1</f>
        <v>2016</v>
      </c>
      <c r="J1975" s="2">
        <f t="shared" ref="J1975" si="853">I1975+1</f>
        <v>2017</v>
      </c>
      <c r="K1975" s="2">
        <f t="shared" ref="K1975" si="854">J1975+1</f>
        <v>2018</v>
      </c>
      <c r="L1975" s="2">
        <f t="shared" ref="L1975" si="855">K1975+1</f>
        <v>2019</v>
      </c>
      <c r="M1975" s="2">
        <f t="shared" ref="M1975" si="856">L1975+1</f>
        <v>2020</v>
      </c>
      <c r="N1975" s="169">
        <f t="shared" ref="N1975" si="857">M1975+1</f>
        <v>2021</v>
      </c>
    </row>
    <row r="1976" spans="1:14">
      <c r="B1976" s="79" t="s">
        <v>68</v>
      </c>
      <c r="C1976" s="71"/>
      <c r="D1976" s="3"/>
      <c r="E1976" s="60">
        <f>D1976</f>
        <v>0</v>
      </c>
      <c r="F1976" s="131"/>
      <c r="G1976" s="131"/>
      <c r="H1976" s="131"/>
      <c r="I1976" s="131"/>
      <c r="J1976" s="131"/>
      <c r="K1976" s="131"/>
      <c r="L1976" s="131"/>
      <c r="M1976" s="131"/>
      <c r="N1976" s="318"/>
    </row>
    <row r="1977" spans="1:14">
      <c r="B1977" s="79" t="s">
        <v>69</v>
      </c>
      <c r="C1977" s="71"/>
      <c r="D1977" s="164">
        <f>E1977</f>
        <v>0</v>
      </c>
      <c r="E1977" s="10"/>
      <c r="F1977" s="74"/>
      <c r="G1977" s="74"/>
      <c r="H1977" s="74"/>
      <c r="I1977" s="74"/>
      <c r="J1977" s="74"/>
      <c r="K1977" s="74"/>
      <c r="L1977" s="74"/>
      <c r="M1977" s="74"/>
      <c r="N1977" s="74"/>
    </row>
    <row r="1978" spans="1:14">
      <c r="B1978" s="79" t="s">
        <v>70</v>
      </c>
      <c r="C1978" s="71"/>
      <c r="D1978" s="62"/>
      <c r="E1978" s="10">
        <f>E1962</f>
        <v>0</v>
      </c>
      <c r="F1978" s="70">
        <f>E1978</f>
        <v>0</v>
      </c>
      <c r="G1978" s="74"/>
      <c r="H1978" s="74"/>
      <c r="I1978" s="74"/>
      <c r="J1978" s="74"/>
      <c r="K1978" s="74"/>
      <c r="L1978" s="74"/>
      <c r="M1978" s="74"/>
      <c r="N1978" s="74"/>
    </row>
    <row r="1979" spans="1:14">
      <c r="B1979" s="79" t="s">
        <v>71</v>
      </c>
      <c r="C1979" s="71"/>
      <c r="D1979" s="62"/>
      <c r="E1979" s="70">
        <f>F1979</f>
        <v>0</v>
      </c>
      <c r="F1979" s="163"/>
      <c r="G1979" s="74"/>
      <c r="H1979" s="74"/>
      <c r="I1979" s="74"/>
      <c r="J1979" s="74"/>
      <c r="K1979" s="74"/>
      <c r="L1979" s="74"/>
      <c r="M1979" s="74"/>
      <c r="N1979" s="74"/>
    </row>
    <row r="1980" spans="1:14">
      <c r="B1980" s="79" t="s">
        <v>171</v>
      </c>
      <c r="C1980" s="30"/>
      <c r="D1980" s="62"/>
      <c r="E1980" s="148"/>
      <c r="F1980" s="10">
        <f>F1962</f>
        <v>0</v>
      </c>
      <c r="G1980" s="149">
        <f>F1980</f>
        <v>0</v>
      </c>
      <c r="H1980" s="74"/>
      <c r="I1980" s="74"/>
      <c r="J1980" s="74"/>
      <c r="K1980" s="74"/>
      <c r="L1980" s="74"/>
      <c r="M1980" s="74"/>
      <c r="N1980" s="74"/>
    </row>
    <row r="1981" spans="1:14">
      <c r="B1981" s="79" t="s">
        <v>172</v>
      </c>
      <c r="C1981" s="30"/>
      <c r="D1981" s="62"/>
      <c r="E1981" s="148"/>
      <c r="F1981" s="70">
        <f>G1981</f>
        <v>0</v>
      </c>
      <c r="G1981" s="10"/>
      <c r="H1981" s="74"/>
      <c r="I1981" s="74"/>
      <c r="J1981" s="74"/>
      <c r="K1981" s="74"/>
      <c r="L1981" s="74"/>
      <c r="M1981" s="74"/>
      <c r="N1981" s="74"/>
    </row>
    <row r="1982" spans="1:14">
      <c r="B1982" s="79" t="s">
        <v>173</v>
      </c>
      <c r="C1982" s="30"/>
      <c r="D1982" s="62"/>
      <c r="E1982" s="148"/>
      <c r="F1982" s="148"/>
      <c r="G1982" s="10">
        <f>G1962</f>
        <v>0</v>
      </c>
      <c r="H1982" s="149">
        <f>G1982</f>
        <v>0</v>
      </c>
      <c r="I1982" s="148"/>
      <c r="J1982" s="74"/>
      <c r="K1982" s="74"/>
      <c r="L1982" s="74"/>
      <c r="M1982" s="74"/>
      <c r="N1982" s="74"/>
    </row>
    <row r="1983" spans="1:14">
      <c r="B1983" s="79" t="s">
        <v>174</v>
      </c>
      <c r="C1983" s="30"/>
      <c r="D1983" s="62"/>
      <c r="E1983" s="148"/>
      <c r="F1983" s="148"/>
      <c r="G1983" s="70"/>
      <c r="H1983" s="10"/>
      <c r="I1983" s="148"/>
      <c r="J1983" s="74"/>
      <c r="K1983" s="74"/>
      <c r="L1983" s="74"/>
      <c r="M1983" s="74"/>
      <c r="N1983" s="74"/>
    </row>
    <row r="1984" spans="1:14">
      <c r="B1984" s="79" t="s">
        <v>175</v>
      </c>
      <c r="C1984" s="30"/>
      <c r="D1984" s="62"/>
      <c r="E1984" s="148"/>
      <c r="F1984" s="148"/>
      <c r="G1984" s="148"/>
      <c r="H1984" s="10">
        <v>0</v>
      </c>
      <c r="I1984" s="149">
        <f>H1984</f>
        <v>0</v>
      </c>
      <c r="J1984" s="74"/>
      <c r="K1984" s="74"/>
      <c r="L1984" s="74"/>
      <c r="M1984" s="74"/>
      <c r="N1984" s="74"/>
    </row>
    <row r="1985" spans="2:14">
      <c r="B1985" s="79" t="s">
        <v>176</v>
      </c>
      <c r="C1985" s="30"/>
      <c r="D1985" s="62"/>
      <c r="E1985" s="148"/>
      <c r="F1985" s="148"/>
      <c r="G1985" s="148"/>
      <c r="H1985" s="70"/>
      <c r="I1985" s="10"/>
      <c r="J1985" s="74"/>
      <c r="K1985" s="74"/>
      <c r="L1985" s="74"/>
      <c r="M1985" s="74"/>
      <c r="N1985" s="74"/>
    </row>
    <row r="1986" spans="2:14">
      <c r="B1986" s="79" t="s">
        <v>177</v>
      </c>
      <c r="C1986" s="30"/>
      <c r="D1986" s="62"/>
      <c r="E1986" s="148"/>
      <c r="F1986" s="148"/>
      <c r="G1986" s="148"/>
      <c r="H1986" s="148"/>
      <c r="I1986" s="207">
        <f>I1962</f>
        <v>0</v>
      </c>
      <c r="J1986" s="150">
        <f>I1986</f>
        <v>0</v>
      </c>
      <c r="K1986" s="74"/>
      <c r="L1986" s="74"/>
      <c r="M1986" s="74"/>
      <c r="N1986" s="74"/>
    </row>
    <row r="1987" spans="2:14">
      <c r="B1987" s="79" t="s">
        <v>168</v>
      </c>
      <c r="C1987" s="30"/>
      <c r="D1987" s="62"/>
      <c r="E1987" s="148"/>
      <c r="F1987" s="148"/>
      <c r="G1987" s="148"/>
      <c r="H1987" s="148"/>
      <c r="I1987" s="208"/>
      <c r="J1987" s="151"/>
      <c r="K1987" s="74"/>
      <c r="L1987" s="74"/>
      <c r="M1987" s="74"/>
      <c r="N1987" s="74"/>
    </row>
    <row r="1988" spans="2:14">
      <c r="B1988" s="79" t="s">
        <v>169</v>
      </c>
      <c r="C1988" s="30"/>
      <c r="D1988" s="62"/>
      <c r="E1988" s="148"/>
      <c r="F1988" s="148"/>
      <c r="G1988" s="148"/>
      <c r="H1988" s="148"/>
      <c r="I1988" s="148"/>
      <c r="J1988" s="151">
        <f>J1962</f>
        <v>0</v>
      </c>
      <c r="K1988" s="150">
        <f>J1988</f>
        <v>0</v>
      </c>
      <c r="L1988" s="74"/>
      <c r="M1988" s="74"/>
      <c r="N1988" s="74"/>
    </row>
    <row r="1989" spans="2:14">
      <c r="B1989" s="79" t="s">
        <v>186</v>
      </c>
      <c r="C1989" s="30"/>
      <c r="D1989" s="62"/>
      <c r="E1989" s="148"/>
      <c r="F1989" s="148"/>
      <c r="G1989" s="148"/>
      <c r="H1989" s="148"/>
      <c r="I1989" s="148"/>
      <c r="J1989" s="228"/>
      <c r="K1989" s="151"/>
      <c r="L1989" s="74"/>
      <c r="M1989" s="74"/>
      <c r="N1989" s="74"/>
    </row>
    <row r="1990" spans="2:14">
      <c r="B1990" s="79" t="s">
        <v>187</v>
      </c>
      <c r="C1990" s="30"/>
      <c r="D1990" s="62"/>
      <c r="E1990" s="148"/>
      <c r="F1990" s="148"/>
      <c r="G1990" s="148"/>
      <c r="H1990" s="148"/>
      <c r="I1990" s="148"/>
      <c r="J1990" s="148"/>
      <c r="K1990" s="151"/>
      <c r="L1990" s="150">
        <f>K1990</f>
        <v>0</v>
      </c>
      <c r="M1990" s="74"/>
      <c r="N1990" s="74"/>
    </row>
    <row r="1991" spans="2:14">
      <c r="B1991" s="79" t="s">
        <v>188</v>
      </c>
      <c r="C1991" s="30"/>
      <c r="D1991" s="62"/>
      <c r="E1991" s="148"/>
      <c r="F1991" s="148"/>
      <c r="G1991" s="148"/>
      <c r="H1991" s="148"/>
      <c r="I1991" s="148"/>
      <c r="J1991" s="148"/>
      <c r="K1991" s="145"/>
      <c r="L1991" s="151"/>
      <c r="M1991" s="74"/>
      <c r="N1991" s="74"/>
    </row>
    <row r="1992" spans="2:14">
      <c r="B1992" s="79" t="s">
        <v>189</v>
      </c>
      <c r="C1992" s="30"/>
      <c r="D1992" s="62"/>
      <c r="E1992" s="148"/>
      <c r="F1992" s="148"/>
      <c r="G1992" s="148"/>
      <c r="H1992" s="148"/>
      <c r="I1992" s="148"/>
      <c r="J1992" s="148"/>
      <c r="K1992" s="148"/>
      <c r="L1992" s="151"/>
      <c r="M1992" s="150">
        <f>L1992</f>
        <v>0</v>
      </c>
      <c r="N1992" s="74"/>
    </row>
    <row r="1993" spans="2:14">
      <c r="B1993" s="79" t="s">
        <v>190</v>
      </c>
      <c r="C1993" s="30"/>
      <c r="D1993" s="62"/>
      <c r="E1993" s="148"/>
      <c r="F1993" s="148"/>
      <c r="G1993" s="148"/>
      <c r="H1993" s="148"/>
      <c r="I1993" s="148"/>
      <c r="J1993" s="148"/>
      <c r="K1993" s="148"/>
      <c r="L1993" s="145">
        <f>M1962</f>
        <v>0</v>
      </c>
      <c r="M1993" s="151">
        <f>L1993</f>
        <v>0</v>
      </c>
      <c r="N1993" s="74"/>
    </row>
    <row r="1994" spans="2:14">
      <c r="B1994" s="79" t="s">
        <v>191</v>
      </c>
      <c r="C1994" s="30"/>
      <c r="D1994" s="62"/>
      <c r="E1994" s="148"/>
      <c r="F1994" s="148"/>
      <c r="G1994" s="148"/>
      <c r="H1994" s="148"/>
      <c r="I1994" s="148"/>
      <c r="J1994" s="148"/>
      <c r="K1994" s="148"/>
      <c r="L1994" s="148"/>
      <c r="M1994" s="151"/>
      <c r="N1994" s="150">
        <f>M1994</f>
        <v>0</v>
      </c>
    </row>
    <row r="1995" spans="2:14">
      <c r="B1995" s="79" t="s">
        <v>201</v>
      </c>
      <c r="C1995" s="30"/>
      <c r="D1995" s="62"/>
      <c r="E1995" s="148"/>
      <c r="F1995" s="148"/>
      <c r="G1995" s="148"/>
      <c r="H1995" s="148"/>
      <c r="I1995" s="148"/>
      <c r="J1995" s="148"/>
      <c r="K1995" s="148"/>
      <c r="L1995" s="148"/>
      <c r="M1995" s="145"/>
      <c r="N1995" s="151"/>
    </row>
    <row r="1996" spans="2:14">
      <c r="B1996" s="79" t="s">
        <v>202</v>
      </c>
      <c r="C1996" s="30"/>
      <c r="D1996" s="63"/>
      <c r="E1996" s="133"/>
      <c r="F1996" s="133"/>
      <c r="G1996" s="133"/>
      <c r="H1996" s="133"/>
      <c r="I1996" s="133"/>
      <c r="J1996" s="133"/>
      <c r="K1996" s="133"/>
      <c r="L1996" s="133"/>
      <c r="M1996" s="133"/>
      <c r="N1996" s="153">
        <v>12580</v>
      </c>
    </row>
    <row r="1997" spans="2:14">
      <c r="B1997" s="33" t="s">
        <v>17</v>
      </c>
      <c r="D1997" s="218">
        <f xml:space="preserve"> D1982 - D1981</f>
        <v>0</v>
      </c>
      <c r="E1997" s="218">
        <f xml:space="preserve"> E1981 + E1984 - E1983 - E1982</f>
        <v>0</v>
      </c>
      <c r="F1997" s="218">
        <f>F1983 - F1984</f>
        <v>0</v>
      </c>
      <c r="G1997" s="218">
        <f>G1983 - G1984</f>
        <v>0</v>
      </c>
      <c r="H1997" s="218">
        <f>H1982-H1983-H1984</f>
        <v>0</v>
      </c>
      <c r="I1997" s="218">
        <f>I1984-I1985-I1986</f>
        <v>0</v>
      </c>
      <c r="J1997" s="218">
        <f>J1986-J1987-J1988</f>
        <v>0</v>
      </c>
      <c r="K1997" s="218">
        <f>K1988-K1989-K1990</f>
        <v>0</v>
      </c>
      <c r="L1997" s="218">
        <f>L1990+L1993-L1992-L1991</f>
        <v>0</v>
      </c>
      <c r="M1997" s="218">
        <f>M1992-M1993+M1995</f>
        <v>0</v>
      </c>
      <c r="N1997" s="218">
        <f>N1994-N1995-N1996</f>
        <v>-12580</v>
      </c>
    </row>
    <row r="1998" spans="2:14">
      <c r="B1998" s="6"/>
      <c r="D1998" s="218"/>
      <c r="E1998" s="218"/>
      <c r="F1998" s="218"/>
      <c r="G1998" s="218"/>
      <c r="H1998" s="218"/>
      <c r="I1998" s="218"/>
      <c r="J1998" s="218"/>
      <c r="K1998" s="218"/>
      <c r="L1998" s="218"/>
      <c r="M1998" s="218"/>
      <c r="N1998" s="218"/>
    </row>
    <row r="1999" spans="2:14">
      <c r="B1999" s="76" t="s">
        <v>12</v>
      </c>
      <c r="C1999" s="71"/>
      <c r="D1999" s="219"/>
      <c r="E1999" s="220"/>
      <c r="F1999" s="220"/>
      <c r="G1999" s="220"/>
      <c r="H1999" s="220"/>
      <c r="I1999" s="220"/>
      <c r="J1999" s="220"/>
      <c r="K1999" s="220"/>
      <c r="L1999" s="220"/>
      <c r="M1999" s="220"/>
      <c r="N1999" s="220"/>
    </row>
    <row r="2000" spans="2:14">
      <c r="B2000" s="6"/>
      <c r="D2000" s="218"/>
      <c r="E2000" s="218"/>
      <c r="F2000" s="218"/>
      <c r="G2000" s="218"/>
      <c r="H2000" s="218"/>
      <c r="I2000" s="218"/>
      <c r="J2000" s="218"/>
      <c r="K2000" s="218"/>
      <c r="L2000" s="218"/>
      <c r="M2000" s="218"/>
      <c r="N2000" s="218"/>
    </row>
    <row r="2001" spans="1:15" ht="18.5">
      <c r="A2001" s="41" t="s">
        <v>26</v>
      </c>
      <c r="C2001" s="71"/>
      <c r="D2001" s="221">
        <f t="shared" ref="D2001:N2001" si="858" xml:space="preserve"> D1962 + D1967 - D1973 + D1997 + D1999</f>
        <v>0</v>
      </c>
      <c r="E2001" s="222">
        <f t="shared" si="858"/>
        <v>0</v>
      </c>
      <c r="F2001" s="222">
        <f t="shared" si="858"/>
        <v>0</v>
      </c>
      <c r="G2001" s="222">
        <f t="shared" si="858"/>
        <v>0</v>
      </c>
      <c r="H2001" s="222">
        <f t="shared" si="858"/>
        <v>0</v>
      </c>
      <c r="I2001" s="222">
        <f t="shared" si="858"/>
        <v>0</v>
      </c>
      <c r="J2001" s="222">
        <f t="shared" si="858"/>
        <v>0</v>
      </c>
      <c r="K2001" s="222">
        <f t="shared" si="858"/>
        <v>0</v>
      </c>
      <c r="L2001" s="222">
        <f t="shared" si="858"/>
        <v>0</v>
      </c>
      <c r="M2001" s="222">
        <f t="shared" si="858"/>
        <v>0</v>
      </c>
      <c r="N2001" s="222">
        <f t="shared" si="858"/>
        <v>0.33996751137601677</v>
      </c>
      <c r="O2001" s="276"/>
    </row>
    <row r="2002" spans="1:15" ht="15" thickBot="1"/>
    <row r="2003" spans="1:15" ht="15" thickBot="1">
      <c r="A2003" s="8"/>
      <c r="B2003" s="8"/>
      <c r="C2003" s="8"/>
      <c r="D2003" s="8"/>
      <c r="E2003" s="8"/>
      <c r="F2003" s="8"/>
      <c r="G2003" s="8"/>
      <c r="H2003" s="8"/>
      <c r="I2003" s="8"/>
      <c r="J2003" s="8"/>
      <c r="K2003" s="8"/>
      <c r="L2003" s="8"/>
      <c r="M2003" s="8"/>
      <c r="N2003" s="8"/>
    </row>
    <row r="2004" spans="1:15" ht="21.5" thickBot="1">
      <c r="A2004" s="13" t="s">
        <v>4</v>
      </c>
      <c r="B2004" s="13"/>
      <c r="C2004" s="313" t="s">
        <v>262</v>
      </c>
      <c r="D2004" s="310"/>
      <c r="E2004" s="23"/>
      <c r="F2004" s="23"/>
    </row>
    <row r="2006" spans="1:15" ht="18.5">
      <c r="A2006" s="9" t="s">
        <v>21</v>
      </c>
      <c r="B2006" s="9"/>
      <c r="D2006" s="2">
        <v>2011</v>
      </c>
      <c r="E2006" s="2">
        <f>D2006+1</f>
        <v>2012</v>
      </c>
      <c r="F2006" s="2">
        <f t="shared" ref="F2006" si="859">E2006+1</f>
        <v>2013</v>
      </c>
      <c r="G2006" s="2">
        <f t="shared" ref="G2006" si="860">F2006+1</f>
        <v>2014</v>
      </c>
      <c r="H2006" s="2">
        <f t="shared" ref="H2006" si="861">G2006+1</f>
        <v>2015</v>
      </c>
      <c r="I2006" s="2">
        <f t="shared" ref="I2006" si="862">H2006+1</f>
        <v>2016</v>
      </c>
      <c r="J2006" s="2">
        <f t="shared" ref="J2006" si="863">I2006+1</f>
        <v>2017</v>
      </c>
      <c r="K2006" s="2">
        <f t="shared" ref="K2006" si="864">J2006+1</f>
        <v>2018</v>
      </c>
      <c r="L2006" s="2">
        <f t="shared" ref="L2006" si="865">K2006+1</f>
        <v>2019</v>
      </c>
      <c r="M2006" s="2">
        <f t="shared" ref="M2006" si="866">L2006+1</f>
        <v>2020</v>
      </c>
      <c r="N2006" s="2">
        <f t="shared" ref="N2006" si="867">M2006+1</f>
        <v>2021</v>
      </c>
    </row>
    <row r="2007" spans="1:15">
      <c r="B2007" s="79" t="str">
        <f>"Total MWh Produced / Purchased from " &amp; C2004</f>
        <v>Total MWh Produced / Purchased from Mountain Wind II</v>
      </c>
      <c r="C2007" s="71"/>
      <c r="D2007" s="3"/>
      <c r="E2007" s="4"/>
      <c r="F2007" s="4"/>
      <c r="G2007" s="4"/>
      <c r="H2007" s="4"/>
      <c r="I2007" s="4"/>
      <c r="J2007" s="4"/>
      <c r="K2007" s="4"/>
      <c r="L2007" s="4"/>
      <c r="M2007" s="230"/>
      <c r="N2007" s="230">
        <v>210448</v>
      </c>
    </row>
    <row r="2008" spans="1:15">
      <c r="B2008" s="79" t="s">
        <v>25</v>
      </c>
      <c r="C2008" s="71"/>
      <c r="D2008" s="54"/>
      <c r="E2008" s="55"/>
      <c r="F2008" s="55"/>
      <c r="G2008" s="55"/>
      <c r="H2008" s="55"/>
      <c r="I2008" s="55"/>
      <c r="J2008" s="55"/>
      <c r="K2008" s="55"/>
      <c r="L2008" s="55"/>
      <c r="M2008" s="234"/>
      <c r="N2008" s="234">
        <v>1</v>
      </c>
    </row>
    <row r="2009" spans="1:15">
      <c r="B2009" s="79" t="s">
        <v>20</v>
      </c>
      <c r="C2009" s="71"/>
      <c r="D2009" s="48"/>
      <c r="E2009" s="49"/>
      <c r="F2009" s="49"/>
      <c r="G2009" s="49"/>
      <c r="H2009" s="49"/>
      <c r="I2009" s="49"/>
      <c r="J2009" s="49"/>
      <c r="K2009" s="49"/>
      <c r="L2009" s="49"/>
      <c r="M2009" s="243"/>
      <c r="N2009" s="243">
        <f>N1961</f>
        <v>8.0780946790754593E-2</v>
      </c>
    </row>
    <row r="2010" spans="1:15">
      <c r="B2010" s="76" t="s">
        <v>22</v>
      </c>
      <c r="C2010" s="77"/>
      <c r="D2010" s="37">
        <v>0</v>
      </c>
      <c r="E2010" s="37">
        <v>0</v>
      </c>
      <c r="F2010" s="37">
        <v>0</v>
      </c>
      <c r="G2010" s="37">
        <v>0</v>
      </c>
      <c r="H2010" s="37">
        <v>0</v>
      </c>
      <c r="I2010" s="37">
        <v>0</v>
      </c>
      <c r="J2010" s="37">
        <v>0</v>
      </c>
      <c r="K2010" s="37">
        <v>0</v>
      </c>
      <c r="L2010" s="37">
        <f>L2007*L2009</f>
        <v>0</v>
      </c>
      <c r="M2010" s="37">
        <f>M2007*M2009</f>
        <v>0</v>
      </c>
      <c r="N2010" s="37">
        <f>N2007*N2009</f>
        <v>17000.188690220722</v>
      </c>
    </row>
    <row r="2011" spans="1:15">
      <c r="B2011" s="23"/>
      <c r="C2011" s="30"/>
      <c r="D2011" s="36"/>
      <c r="E2011" s="36"/>
      <c r="F2011" s="36"/>
      <c r="G2011" s="36"/>
      <c r="H2011" s="36"/>
      <c r="I2011" s="36"/>
      <c r="J2011" s="36"/>
      <c r="K2011" s="36"/>
      <c r="L2011" s="36"/>
      <c r="M2011" s="36"/>
      <c r="N2011" s="36"/>
    </row>
    <row r="2012" spans="1:15" ht="18.5">
      <c r="A2012" s="42" t="s">
        <v>119</v>
      </c>
      <c r="C2012" s="30"/>
      <c r="D2012" s="2">
        <v>2011</v>
      </c>
      <c r="E2012" s="2">
        <f>D2012+1</f>
        <v>2012</v>
      </c>
      <c r="F2012" s="2">
        <f t="shared" ref="F2012" si="868">E2012+1</f>
        <v>2013</v>
      </c>
      <c r="G2012" s="2">
        <f t="shared" ref="G2012" si="869">F2012+1</f>
        <v>2014</v>
      </c>
      <c r="H2012" s="2">
        <f t="shared" ref="H2012" si="870">G2012+1</f>
        <v>2015</v>
      </c>
      <c r="I2012" s="2">
        <f t="shared" ref="I2012" si="871">H2012+1</f>
        <v>2016</v>
      </c>
      <c r="J2012" s="2">
        <f t="shared" ref="J2012" si="872">I2012+1</f>
        <v>2017</v>
      </c>
      <c r="K2012" s="2">
        <f t="shared" ref="K2012" si="873">J2012+1</f>
        <v>2018</v>
      </c>
      <c r="L2012" s="2">
        <f t="shared" ref="L2012" si="874">K2012+1</f>
        <v>2019</v>
      </c>
      <c r="M2012" s="2">
        <f t="shared" ref="M2012" si="875">L2012+1</f>
        <v>2020</v>
      </c>
      <c r="N2012" s="2">
        <f t="shared" ref="N2012" si="876">M2012+1</f>
        <v>2021</v>
      </c>
    </row>
    <row r="2013" spans="1:15">
      <c r="B2013" s="79" t="s">
        <v>10</v>
      </c>
      <c r="C2013" s="71"/>
      <c r="D2013" s="51">
        <f>IF($E43= "Eligible", D2010 * 'Facility Detail'!$B$3079, 0 )</f>
        <v>0</v>
      </c>
      <c r="E2013" s="51">
        <f>IF($E43= "Eligible", E2010 * 'Facility Detail'!$B$3079, 0 )</f>
        <v>0</v>
      </c>
      <c r="F2013" s="51">
        <f>IF($E43= "Eligible", F2010 * 'Facility Detail'!$B$3079, 0 )</f>
        <v>0</v>
      </c>
      <c r="G2013" s="51">
        <f>IF($E43= "Eligible", G2010 * 'Facility Detail'!$B$3079, 0 )</f>
        <v>0</v>
      </c>
      <c r="H2013" s="51">
        <f>IF($E43= "Eligible", H2010 * 'Facility Detail'!$B$3079, 0 )</f>
        <v>0</v>
      </c>
      <c r="I2013" s="51">
        <f>IF($E43= "Eligible", I2010 * 'Facility Detail'!$B$3079, 0 )</f>
        <v>0</v>
      </c>
      <c r="J2013" s="51">
        <f>IF($E43= "Eligible", J2010 * 'Facility Detail'!$B$3079, 0 )</f>
        <v>0</v>
      </c>
      <c r="K2013" s="51">
        <f>IF($E43= "Eligible", K2010 * 'Facility Detail'!$B$3079, 0 )</f>
        <v>0</v>
      </c>
      <c r="L2013" s="51">
        <f>IF($E43= "Eligible", L2010 * 'Facility Detail'!$B$3079, 0 )</f>
        <v>0</v>
      </c>
      <c r="M2013" s="51">
        <f>IF($E43= "Eligible", M2010 * 'Facility Detail'!$B$3079, 0 )</f>
        <v>0</v>
      </c>
      <c r="N2013" s="51">
        <f>IF($E43= "Eligible", N2010 * 'Facility Detail'!$B$3079, 0 )</f>
        <v>0</v>
      </c>
    </row>
    <row r="2014" spans="1:15">
      <c r="B2014" s="79" t="s">
        <v>6</v>
      </c>
      <c r="C2014" s="71"/>
      <c r="D2014" s="52">
        <f t="shared" ref="D2014:N2014" si="877">IF($F43= "Eligible", D2010, 0 )</f>
        <v>0</v>
      </c>
      <c r="E2014" s="52">
        <f t="shared" si="877"/>
        <v>0</v>
      </c>
      <c r="F2014" s="52">
        <f t="shared" si="877"/>
        <v>0</v>
      </c>
      <c r="G2014" s="52">
        <f t="shared" si="877"/>
        <v>0</v>
      </c>
      <c r="H2014" s="52">
        <f t="shared" si="877"/>
        <v>0</v>
      </c>
      <c r="I2014" s="52">
        <f t="shared" si="877"/>
        <v>0</v>
      </c>
      <c r="J2014" s="52">
        <f t="shared" si="877"/>
        <v>0</v>
      </c>
      <c r="K2014" s="52">
        <f t="shared" si="877"/>
        <v>0</v>
      </c>
      <c r="L2014" s="52">
        <f t="shared" si="877"/>
        <v>0</v>
      </c>
      <c r="M2014" s="52">
        <f t="shared" si="877"/>
        <v>0</v>
      </c>
      <c r="N2014" s="52">
        <f t="shared" si="877"/>
        <v>0</v>
      </c>
    </row>
    <row r="2015" spans="1:15">
      <c r="B2015" s="78" t="s">
        <v>121</v>
      </c>
      <c r="C2015" s="77"/>
      <c r="D2015" s="39">
        <f>SUM(D2013:D2014)</f>
        <v>0</v>
      </c>
      <c r="E2015" s="39">
        <f t="shared" ref="E2015:N2015" si="878">SUM(E2013:E2014)</f>
        <v>0</v>
      </c>
      <c r="F2015" s="39">
        <f t="shared" si="878"/>
        <v>0</v>
      </c>
      <c r="G2015" s="39">
        <f t="shared" si="878"/>
        <v>0</v>
      </c>
      <c r="H2015" s="39">
        <f t="shared" si="878"/>
        <v>0</v>
      </c>
      <c r="I2015" s="39">
        <f t="shared" si="878"/>
        <v>0</v>
      </c>
      <c r="J2015" s="39">
        <f t="shared" si="878"/>
        <v>0</v>
      </c>
      <c r="K2015" s="39">
        <f t="shared" si="878"/>
        <v>0</v>
      </c>
      <c r="L2015" s="39">
        <f t="shared" si="878"/>
        <v>0</v>
      </c>
      <c r="M2015" s="39">
        <f t="shared" si="878"/>
        <v>0</v>
      </c>
      <c r="N2015" s="39">
        <f t="shared" si="878"/>
        <v>0</v>
      </c>
    </row>
    <row r="2016" spans="1:15">
      <c r="B2016" s="30"/>
      <c r="C2016" s="30"/>
      <c r="D2016" s="38"/>
      <c r="E2016" s="31"/>
      <c r="F2016" s="31"/>
      <c r="G2016" s="31"/>
      <c r="H2016" s="31"/>
      <c r="I2016" s="31"/>
      <c r="J2016" s="31"/>
      <c r="K2016" s="31"/>
      <c r="L2016" s="31"/>
      <c r="M2016" s="31"/>
      <c r="N2016" s="31"/>
    </row>
    <row r="2017" spans="1:14" ht="18.5">
      <c r="A2017" s="41" t="s">
        <v>30</v>
      </c>
      <c r="C2017" s="30"/>
      <c r="D2017" s="2">
        <v>2011</v>
      </c>
      <c r="E2017" s="2">
        <f>D2017+1</f>
        <v>2012</v>
      </c>
      <c r="F2017" s="2">
        <f t="shared" ref="F2017" si="879">E2017+1</f>
        <v>2013</v>
      </c>
      <c r="G2017" s="2">
        <f t="shared" ref="G2017" si="880">F2017+1</f>
        <v>2014</v>
      </c>
      <c r="H2017" s="2">
        <f t="shared" ref="H2017" si="881">G2017+1</f>
        <v>2015</v>
      </c>
      <c r="I2017" s="2">
        <f t="shared" ref="I2017" si="882">H2017+1</f>
        <v>2016</v>
      </c>
      <c r="J2017" s="2">
        <f t="shared" ref="J2017" si="883">I2017+1</f>
        <v>2017</v>
      </c>
      <c r="K2017" s="2">
        <f t="shared" ref="K2017" si="884">J2017+1</f>
        <v>2018</v>
      </c>
      <c r="L2017" s="2">
        <f t="shared" ref="L2017" si="885">K2017+1</f>
        <v>2019</v>
      </c>
      <c r="M2017" s="2">
        <f t="shared" ref="M2017" si="886">L2017+1</f>
        <v>2020</v>
      </c>
      <c r="N2017" s="2">
        <f t="shared" ref="N2017" si="887">M2017+1</f>
        <v>2021</v>
      </c>
    </row>
    <row r="2018" spans="1:14">
      <c r="B2018" s="79" t="s">
        <v>47</v>
      </c>
      <c r="C2018" s="71"/>
      <c r="D2018" s="89"/>
      <c r="E2018" s="90"/>
      <c r="F2018" s="90"/>
      <c r="G2018" s="90"/>
      <c r="H2018" s="90"/>
      <c r="I2018" s="90"/>
      <c r="J2018" s="90"/>
      <c r="K2018" s="90"/>
      <c r="L2018" s="90"/>
      <c r="M2018" s="90"/>
      <c r="N2018" s="90"/>
    </row>
    <row r="2019" spans="1:14">
      <c r="B2019" s="80" t="s">
        <v>23</v>
      </c>
      <c r="C2019" s="175"/>
      <c r="D2019" s="92"/>
      <c r="E2019" s="93"/>
      <c r="F2019" s="93"/>
      <c r="G2019" s="93"/>
      <c r="H2019" s="93"/>
      <c r="I2019" s="93"/>
      <c r="J2019" s="93"/>
      <c r="K2019" s="93"/>
      <c r="L2019" s="93"/>
      <c r="M2019" s="93"/>
      <c r="N2019" s="93"/>
    </row>
    <row r="2020" spans="1:14">
      <c r="B2020" s="95" t="s">
        <v>89</v>
      </c>
      <c r="C2020" s="173"/>
      <c r="D2020" s="57"/>
      <c r="E2020" s="58"/>
      <c r="F2020" s="58"/>
      <c r="G2020" s="58"/>
      <c r="H2020" s="58"/>
      <c r="I2020" s="58"/>
      <c r="J2020" s="58"/>
      <c r="K2020" s="58"/>
      <c r="L2020" s="58"/>
      <c r="M2020" s="58"/>
      <c r="N2020" s="58"/>
    </row>
    <row r="2021" spans="1:14">
      <c r="B2021" s="33" t="s">
        <v>90</v>
      </c>
      <c r="D2021" s="7">
        <v>0</v>
      </c>
      <c r="E2021" s="7">
        <v>0</v>
      </c>
      <c r="F2021" s="7">
        <v>0</v>
      </c>
      <c r="G2021" s="7">
        <v>0</v>
      </c>
      <c r="H2021" s="7">
        <v>0</v>
      </c>
      <c r="I2021" s="7">
        <v>0</v>
      </c>
      <c r="J2021" s="7">
        <v>0</v>
      </c>
      <c r="K2021" s="7">
        <v>0</v>
      </c>
      <c r="L2021" s="7">
        <v>0</v>
      </c>
      <c r="M2021" s="7">
        <v>0</v>
      </c>
      <c r="N2021" s="7">
        <v>0</v>
      </c>
    </row>
    <row r="2022" spans="1:14">
      <c r="B2022" s="6"/>
      <c r="D2022" s="7"/>
      <c r="E2022" s="7"/>
      <c r="F2022" s="7"/>
      <c r="G2022" s="28"/>
      <c r="H2022" s="28"/>
      <c r="I2022" s="28"/>
      <c r="J2022" s="28"/>
      <c r="K2022" s="28"/>
      <c r="L2022" s="28"/>
      <c r="M2022" s="28"/>
      <c r="N2022" s="28"/>
    </row>
    <row r="2023" spans="1:14" ht="18.5">
      <c r="A2023" s="9" t="s">
        <v>100</v>
      </c>
      <c r="D2023" s="2">
        <f>'Facility Detail'!$B$3082</f>
        <v>2011</v>
      </c>
      <c r="E2023" s="2">
        <f>D2023+1</f>
        <v>2012</v>
      </c>
      <c r="F2023" s="2">
        <f t="shared" ref="F2023" si="888">E2023+1</f>
        <v>2013</v>
      </c>
      <c r="G2023" s="2">
        <f t="shared" ref="G2023" si="889">F2023+1</f>
        <v>2014</v>
      </c>
      <c r="H2023" s="2">
        <f t="shared" ref="H2023" si="890">G2023+1</f>
        <v>2015</v>
      </c>
      <c r="I2023" s="2">
        <f t="shared" ref="I2023" si="891">H2023+1</f>
        <v>2016</v>
      </c>
      <c r="J2023" s="2">
        <f t="shared" ref="J2023" si="892">I2023+1</f>
        <v>2017</v>
      </c>
      <c r="K2023" s="2">
        <f t="shared" ref="K2023" si="893">J2023+1</f>
        <v>2018</v>
      </c>
      <c r="L2023" s="2">
        <f t="shared" ref="L2023" si="894">K2023+1</f>
        <v>2019</v>
      </c>
      <c r="M2023" s="2">
        <f t="shared" ref="M2023" si="895">L2023+1</f>
        <v>2020</v>
      </c>
      <c r="N2023" s="2">
        <f t="shared" ref="N2023" si="896">M2023+1</f>
        <v>2021</v>
      </c>
    </row>
    <row r="2024" spans="1:14">
      <c r="B2024" s="79" t="s">
        <v>68</v>
      </c>
      <c r="C2024" s="71"/>
      <c r="D2024" s="3"/>
      <c r="E2024" s="60">
        <f>D2024</f>
        <v>0</v>
      </c>
      <c r="F2024" s="131"/>
      <c r="G2024" s="131"/>
      <c r="H2024" s="131"/>
      <c r="I2024" s="131"/>
      <c r="J2024" s="131"/>
      <c r="K2024" s="131"/>
      <c r="L2024" s="131"/>
      <c r="M2024" s="131"/>
      <c r="N2024" s="61"/>
    </row>
    <row r="2025" spans="1:14">
      <c r="B2025" s="79" t="s">
        <v>69</v>
      </c>
      <c r="C2025" s="71"/>
      <c r="D2025" s="164">
        <f>E2025</f>
        <v>0</v>
      </c>
      <c r="E2025" s="10"/>
      <c r="F2025" s="74"/>
      <c r="G2025" s="74"/>
      <c r="H2025" s="74"/>
      <c r="I2025" s="74"/>
      <c r="J2025" s="74"/>
      <c r="K2025" s="74"/>
      <c r="L2025" s="74"/>
      <c r="M2025" s="74"/>
      <c r="N2025" s="165"/>
    </row>
    <row r="2026" spans="1:14">
      <c r="B2026" s="79" t="s">
        <v>70</v>
      </c>
      <c r="C2026" s="71"/>
      <c r="D2026" s="62"/>
      <c r="E2026" s="10">
        <f>E2010</f>
        <v>0</v>
      </c>
      <c r="F2026" s="70">
        <f>E2026</f>
        <v>0</v>
      </c>
      <c r="G2026" s="74"/>
      <c r="H2026" s="74"/>
      <c r="I2026" s="74"/>
      <c r="J2026" s="74"/>
      <c r="K2026" s="74"/>
      <c r="L2026" s="74"/>
      <c r="M2026" s="74"/>
      <c r="N2026" s="165"/>
    </row>
    <row r="2027" spans="1:14">
      <c r="B2027" s="79" t="s">
        <v>71</v>
      </c>
      <c r="C2027" s="71"/>
      <c r="D2027" s="62"/>
      <c r="E2027" s="70">
        <f>F2027</f>
        <v>0</v>
      </c>
      <c r="F2027" s="163"/>
      <c r="G2027" s="74"/>
      <c r="H2027" s="74"/>
      <c r="I2027" s="74"/>
      <c r="J2027" s="74"/>
      <c r="K2027" s="74"/>
      <c r="L2027" s="74"/>
      <c r="M2027" s="74"/>
      <c r="N2027" s="165"/>
    </row>
    <row r="2028" spans="1:14">
      <c r="B2028" s="79" t="s">
        <v>171</v>
      </c>
      <c r="C2028" s="30"/>
      <c r="D2028" s="62"/>
      <c r="E2028" s="148"/>
      <c r="F2028" s="10">
        <f>F2010</f>
        <v>0</v>
      </c>
      <c r="G2028" s="149">
        <f>F2028</f>
        <v>0</v>
      </c>
      <c r="H2028" s="74"/>
      <c r="I2028" s="74"/>
      <c r="J2028" s="74"/>
      <c r="K2028" s="74"/>
      <c r="L2028" s="74"/>
      <c r="M2028" s="74"/>
      <c r="N2028" s="165"/>
    </row>
    <row r="2029" spans="1:14">
      <c r="B2029" s="79" t="s">
        <v>172</v>
      </c>
      <c r="C2029" s="30"/>
      <c r="D2029" s="62"/>
      <c r="E2029" s="148"/>
      <c r="F2029" s="70">
        <f>G2029</f>
        <v>0</v>
      </c>
      <c r="G2029" s="10"/>
      <c r="H2029" s="74"/>
      <c r="I2029" s="74"/>
      <c r="J2029" s="74"/>
      <c r="K2029" s="74"/>
      <c r="L2029" s="74"/>
      <c r="M2029" s="74"/>
      <c r="N2029" s="165"/>
    </row>
    <row r="2030" spans="1:14">
      <c r="B2030" s="79" t="s">
        <v>173</v>
      </c>
      <c r="C2030" s="30"/>
      <c r="D2030" s="62"/>
      <c r="E2030" s="148"/>
      <c r="F2030" s="148"/>
      <c r="G2030" s="10">
        <f>G2010</f>
        <v>0</v>
      </c>
      <c r="H2030" s="149">
        <f>G2030</f>
        <v>0</v>
      </c>
      <c r="I2030" s="148"/>
      <c r="J2030" s="74"/>
      <c r="K2030" s="74"/>
      <c r="L2030" s="74"/>
      <c r="M2030" s="74"/>
      <c r="N2030" s="152"/>
    </row>
    <row r="2031" spans="1:14">
      <c r="B2031" s="79" t="s">
        <v>174</v>
      </c>
      <c r="C2031" s="30"/>
      <c r="D2031" s="62"/>
      <c r="E2031" s="148"/>
      <c r="F2031" s="148"/>
      <c r="G2031" s="70"/>
      <c r="H2031" s="10"/>
      <c r="I2031" s="148"/>
      <c r="J2031" s="74"/>
      <c r="K2031" s="74"/>
      <c r="L2031" s="74"/>
      <c r="M2031" s="74"/>
      <c r="N2031" s="152"/>
    </row>
    <row r="2032" spans="1:14">
      <c r="B2032" s="79" t="s">
        <v>175</v>
      </c>
      <c r="C2032" s="30"/>
      <c r="D2032" s="62"/>
      <c r="E2032" s="148"/>
      <c r="F2032" s="148"/>
      <c r="G2032" s="148"/>
      <c r="H2032" s="10">
        <v>0</v>
      </c>
      <c r="I2032" s="149">
        <f>H2032</f>
        <v>0</v>
      </c>
      <c r="J2032" s="74"/>
      <c r="K2032" s="74"/>
      <c r="L2032" s="74"/>
      <c r="M2032" s="74"/>
      <c r="N2032" s="152"/>
    </row>
    <row r="2033" spans="2:14">
      <c r="B2033" s="79" t="s">
        <v>176</v>
      </c>
      <c r="C2033" s="30"/>
      <c r="D2033" s="62"/>
      <c r="E2033" s="148"/>
      <c r="F2033" s="148"/>
      <c r="G2033" s="148"/>
      <c r="H2033" s="70"/>
      <c r="I2033" s="10"/>
      <c r="J2033" s="74"/>
      <c r="K2033" s="74"/>
      <c r="L2033" s="74"/>
      <c r="M2033" s="74"/>
      <c r="N2033" s="152"/>
    </row>
    <row r="2034" spans="2:14">
      <c r="B2034" s="79" t="s">
        <v>177</v>
      </c>
      <c r="C2034" s="30"/>
      <c r="D2034" s="62"/>
      <c r="E2034" s="148"/>
      <c r="F2034" s="148"/>
      <c r="G2034" s="148"/>
      <c r="H2034" s="148"/>
      <c r="I2034" s="207">
        <f>I2010</f>
        <v>0</v>
      </c>
      <c r="J2034" s="150">
        <f>I2034</f>
        <v>0</v>
      </c>
      <c r="K2034" s="74"/>
      <c r="L2034" s="74"/>
      <c r="M2034" s="74"/>
      <c r="N2034" s="152"/>
    </row>
    <row r="2035" spans="2:14">
      <c r="B2035" s="79" t="s">
        <v>168</v>
      </c>
      <c r="C2035" s="30"/>
      <c r="D2035" s="62"/>
      <c r="E2035" s="148"/>
      <c r="F2035" s="148"/>
      <c r="G2035" s="148"/>
      <c r="H2035" s="148"/>
      <c r="I2035" s="208"/>
      <c r="J2035" s="151"/>
      <c r="K2035" s="74"/>
      <c r="L2035" s="74"/>
      <c r="M2035" s="74"/>
      <c r="N2035" s="152"/>
    </row>
    <row r="2036" spans="2:14">
      <c r="B2036" s="79" t="s">
        <v>169</v>
      </c>
      <c r="C2036" s="30"/>
      <c r="D2036" s="62"/>
      <c r="E2036" s="148"/>
      <c r="F2036" s="148"/>
      <c r="G2036" s="148"/>
      <c r="H2036" s="148"/>
      <c r="I2036" s="148"/>
      <c r="J2036" s="151">
        <f>J2010</f>
        <v>0</v>
      </c>
      <c r="K2036" s="150">
        <f>J2036</f>
        <v>0</v>
      </c>
      <c r="L2036" s="74"/>
      <c r="M2036" s="74"/>
      <c r="N2036" s="152"/>
    </row>
    <row r="2037" spans="2:14">
      <c r="B2037" s="79" t="s">
        <v>186</v>
      </c>
      <c r="C2037" s="30"/>
      <c r="D2037" s="62"/>
      <c r="E2037" s="148"/>
      <c r="F2037" s="148"/>
      <c r="G2037" s="148"/>
      <c r="H2037" s="148"/>
      <c r="I2037" s="148"/>
      <c r="J2037" s="228"/>
      <c r="K2037" s="151"/>
      <c r="L2037" s="74"/>
      <c r="M2037" s="74"/>
      <c r="N2037" s="152"/>
    </row>
    <row r="2038" spans="2:14">
      <c r="B2038" s="79" t="s">
        <v>187</v>
      </c>
      <c r="C2038" s="30"/>
      <c r="D2038" s="62"/>
      <c r="E2038" s="148"/>
      <c r="F2038" s="148"/>
      <c r="G2038" s="148"/>
      <c r="H2038" s="148"/>
      <c r="I2038" s="148"/>
      <c r="J2038" s="148"/>
      <c r="K2038" s="151"/>
      <c r="L2038" s="150">
        <f>K2038</f>
        <v>0</v>
      </c>
      <c r="M2038" s="74"/>
      <c r="N2038" s="152"/>
    </row>
    <row r="2039" spans="2:14">
      <c r="B2039" s="79" t="s">
        <v>188</v>
      </c>
      <c r="C2039" s="30"/>
      <c r="D2039" s="62"/>
      <c r="E2039" s="148"/>
      <c r="F2039" s="148"/>
      <c r="G2039" s="148"/>
      <c r="H2039" s="148"/>
      <c r="I2039" s="148"/>
      <c r="J2039" s="148"/>
      <c r="K2039" s="145"/>
      <c r="L2039" s="151"/>
      <c r="M2039" s="74"/>
      <c r="N2039" s="74"/>
    </row>
    <row r="2040" spans="2:14">
      <c r="B2040" s="79" t="s">
        <v>189</v>
      </c>
      <c r="C2040" s="30"/>
      <c r="D2040" s="62"/>
      <c r="E2040" s="148"/>
      <c r="F2040" s="148"/>
      <c r="G2040" s="148"/>
      <c r="H2040" s="148"/>
      <c r="I2040" s="148"/>
      <c r="J2040" s="148"/>
      <c r="K2040" s="148"/>
      <c r="L2040" s="151"/>
      <c r="M2040" s="150">
        <f>L2040</f>
        <v>0</v>
      </c>
      <c r="N2040" s="74"/>
    </row>
    <row r="2041" spans="2:14">
      <c r="B2041" s="79" t="s">
        <v>190</v>
      </c>
      <c r="C2041" s="30"/>
      <c r="D2041" s="62"/>
      <c r="E2041" s="148"/>
      <c r="F2041" s="148"/>
      <c r="G2041" s="148"/>
      <c r="H2041" s="148"/>
      <c r="I2041" s="148"/>
      <c r="J2041" s="148"/>
      <c r="K2041" s="148"/>
      <c r="L2041" s="145">
        <f>M2010</f>
        <v>0</v>
      </c>
      <c r="M2041" s="151">
        <f>L2041</f>
        <v>0</v>
      </c>
      <c r="N2041" s="74"/>
    </row>
    <row r="2042" spans="2:14">
      <c r="B2042" s="79" t="s">
        <v>191</v>
      </c>
      <c r="C2042" s="30"/>
      <c r="D2042" s="62"/>
      <c r="E2042" s="148"/>
      <c r="F2042" s="148"/>
      <c r="G2042" s="148"/>
      <c r="H2042" s="148"/>
      <c r="I2042" s="148"/>
      <c r="J2042" s="148"/>
      <c r="K2042" s="148"/>
      <c r="L2042" s="148"/>
      <c r="M2042" s="151"/>
      <c r="N2042" s="150">
        <f>M2042</f>
        <v>0</v>
      </c>
    </row>
    <row r="2043" spans="2:14">
      <c r="B2043" s="79" t="s">
        <v>201</v>
      </c>
      <c r="C2043" s="30"/>
      <c r="D2043" s="62"/>
      <c r="E2043" s="148"/>
      <c r="F2043" s="148"/>
      <c r="G2043" s="148"/>
      <c r="H2043" s="148"/>
      <c r="I2043" s="148"/>
      <c r="J2043" s="148"/>
      <c r="K2043" s="148"/>
      <c r="L2043" s="148"/>
      <c r="M2043" s="145"/>
      <c r="N2043" s="151"/>
    </row>
    <row r="2044" spans="2:14">
      <c r="B2044" s="79" t="s">
        <v>202</v>
      </c>
      <c r="C2044" s="30"/>
      <c r="D2044" s="63"/>
      <c r="E2044" s="133"/>
      <c r="F2044" s="133"/>
      <c r="G2044" s="133"/>
      <c r="H2044" s="133"/>
      <c r="I2044" s="133"/>
      <c r="J2044" s="133"/>
      <c r="K2044" s="133"/>
      <c r="L2044" s="133"/>
      <c r="M2044" s="133"/>
      <c r="N2044" s="153">
        <v>17000</v>
      </c>
    </row>
    <row r="2045" spans="2:14">
      <c r="B2045" s="33" t="s">
        <v>17</v>
      </c>
      <c r="D2045" s="218">
        <f xml:space="preserve"> D2030 - D2029</f>
        <v>0</v>
      </c>
      <c r="E2045" s="218">
        <f xml:space="preserve"> E2029 + E2032 - E2031 - E2030</f>
        <v>0</v>
      </c>
      <c r="F2045" s="218">
        <f>F2031 - F2032</f>
        <v>0</v>
      </c>
      <c r="G2045" s="218">
        <f>G2031 - G2032</f>
        <v>0</v>
      </c>
      <c r="H2045" s="218">
        <f>H2030-H2031-H2032</f>
        <v>0</v>
      </c>
      <c r="I2045" s="218">
        <f>I2032-I2033-I2034</f>
        <v>0</v>
      </c>
      <c r="J2045" s="218">
        <f>J2034-J2035-J2036</f>
        <v>0</v>
      </c>
      <c r="K2045" s="218">
        <f>K2036-K2037-K2038</f>
        <v>0</v>
      </c>
      <c r="L2045" s="218">
        <f>L2038+L2041-L2040-L2039</f>
        <v>0</v>
      </c>
      <c r="M2045" s="218">
        <f>M2040-M2041+M2043</f>
        <v>0</v>
      </c>
      <c r="N2045" s="218">
        <f>N2042-N2043-N2044</f>
        <v>-17000</v>
      </c>
    </row>
    <row r="2046" spans="2:14">
      <c r="B2046" s="6"/>
      <c r="D2046" s="218"/>
      <c r="E2046" s="218"/>
      <c r="F2046" s="218"/>
      <c r="G2046" s="218"/>
      <c r="H2046" s="218"/>
      <c r="I2046" s="218"/>
      <c r="J2046" s="218"/>
      <c r="K2046" s="218"/>
      <c r="L2046" s="218"/>
      <c r="M2046" s="218"/>
      <c r="N2046" s="218"/>
    </row>
    <row r="2047" spans="2:14">
      <c r="B2047" s="76" t="s">
        <v>12</v>
      </c>
      <c r="C2047" s="71"/>
      <c r="D2047" s="219"/>
      <c r="E2047" s="220"/>
      <c r="F2047" s="220"/>
      <c r="G2047" s="220"/>
      <c r="H2047" s="220"/>
      <c r="I2047" s="220"/>
      <c r="J2047" s="220"/>
      <c r="K2047" s="220"/>
      <c r="L2047" s="220"/>
      <c r="M2047" s="220"/>
      <c r="N2047" s="220"/>
    </row>
    <row r="2048" spans="2:14">
      <c r="B2048" s="6"/>
      <c r="D2048" s="218"/>
      <c r="E2048" s="218"/>
      <c r="F2048" s="218"/>
      <c r="G2048" s="218"/>
      <c r="H2048" s="218"/>
      <c r="I2048" s="218"/>
      <c r="J2048" s="218"/>
      <c r="K2048" s="218"/>
      <c r="L2048" s="218"/>
      <c r="M2048" s="218"/>
      <c r="N2048" s="218"/>
    </row>
    <row r="2049" spans="1:15" ht="18.5">
      <c r="A2049" s="41" t="s">
        <v>26</v>
      </c>
      <c r="C2049" s="71"/>
      <c r="D2049" s="221">
        <f t="shared" ref="D2049:N2049" si="897" xml:space="preserve"> D2010 + D2015 - D2021 + D2045 + D2047</f>
        <v>0</v>
      </c>
      <c r="E2049" s="222">
        <f t="shared" si="897"/>
        <v>0</v>
      </c>
      <c r="F2049" s="222">
        <f t="shared" si="897"/>
        <v>0</v>
      </c>
      <c r="G2049" s="222">
        <f t="shared" si="897"/>
        <v>0</v>
      </c>
      <c r="H2049" s="222">
        <f t="shared" si="897"/>
        <v>0</v>
      </c>
      <c r="I2049" s="222">
        <f t="shared" si="897"/>
        <v>0</v>
      </c>
      <c r="J2049" s="222">
        <f t="shared" si="897"/>
        <v>0</v>
      </c>
      <c r="K2049" s="222">
        <f t="shared" si="897"/>
        <v>0</v>
      </c>
      <c r="L2049" s="222">
        <f t="shared" si="897"/>
        <v>0</v>
      </c>
      <c r="M2049" s="222">
        <f t="shared" si="897"/>
        <v>0</v>
      </c>
      <c r="N2049" s="222">
        <f t="shared" si="897"/>
        <v>0.18869022072249209</v>
      </c>
      <c r="O2049" s="276"/>
    </row>
    <row r="2050" spans="1:15" ht="15" thickBot="1"/>
    <row r="2051" spans="1:15">
      <c r="A2051" s="8"/>
      <c r="B2051" s="8"/>
      <c r="C2051" s="8"/>
      <c r="D2051" s="8"/>
      <c r="E2051" s="8"/>
      <c r="F2051" s="8"/>
      <c r="G2051" s="8"/>
      <c r="H2051" s="8"/>
      <c r="I2051" s="8"/>
      <c r="J2051" s="8"/>
      <c r="K2051" s="8"/>
      <c r="L2051" s="8"/>
      <c r="M2051" s="8"/>
      <c r="N2051" s="8"/>
    </row>
    <row r="2052" spans="1:15" ht="15" thickBot="1"/>
    <row r="2053" spans="1:15" ht="21.5" thickBot="1">
      <c r="A2053" s="13" t="s">
        <v>4</v>
      </c>
      <c r="B2053" s="13"/>
      <c r="C2053" s="340" t="str">
        <f>B44</f>
        <v>Nine Canyon Wind Project - REC Only</v>
      </c>
      <c r="D2053" s="341"/>
      <c r="E2053" s="342"/>
    </row>
    <row r="2055" spans="1:15" ht="18.5">
      <c r="A2055" s="9" t="s">
        <v>21</v>
      </c>
      <c r="B2055" s="9"/>
      <c r="D2055" s="2">
        <v>2011</v>
      </c>
      <c r="E2055" s="2">
        <f t="shared" ref="E2055:N2055" si="898">D2055+1</f>
        <v>2012</v>
      </c>
      <c r="F2055" s="2">
        <f t="shared" si="898"/>
        <v>2013</v>
      </c>
      <c r="G2055" s="2">
        <f t="shared" si="898"/>
        <v>2014</v>
      </c>
      <c r="H2055" s="2">
        <f t="shared" si="898"/>
        <v>2015</v>
      </c>
      <c r="I2055" s="2">
        <f t="shared" si="898"/>
        <v>2016</v>
      </c>
      <c r="J2055" s="2">
        <f t="shared" si="898"/>
        <v>2017</v>
      </c>
      <c r="K2055" s="2">
        <f t="shared" si="898"/>
        <v>2018</v>
      </c>
      <c r="L2055" s="2">
        <f t="shared" si="898"/>
        <v>2019</v>
      </c>
      <c r="M2055" s="2">
        <f t="shared" si="898"/>
        <v>2020</v>
      </c>
      <c r="N2055" s="2">
        <f t="shared" si="898"/>
        <v>2021</v>
      </c>
    </row>
    <row r="2056" spans="1:15">
      <c r="B2056" s="326" t="str">
        <f>"Total MWh Produced / Purchased from " &amp; C2053</f>
        <v>Total MWh Produced / Purchased from Nine Canyon Wind Project - REC Only</v>
      </c>
      <c r="C2056" s="71"/>
      <c r="D2056" s="3"/>
      <c r="E2056" s="4"/>
      <c r="F2056" s="4"/>
      <c r="G2056" s="4"/>
      <c r="H2056" s="4">
        <v>2500</v>
      </c>
      <c r="I2056" s="230">
        <v>8225</v>
      </c>
      <c r="J2056" s="90"/>
      <c r="K2056" s="90"/>
      <c r="L2056" s="90"/>
      <c r="M2056" s="140"/>
      <c r="N2056" s="140"/>
    </row>
    <row r="2057" spans="1:15">
      <c r="B2057" s="326" t="s">
        <v>25</v>
      </c>
      <c r="C2057" s="71"/>
      <c r="D2057" s="54"/>
      <c r="E2057" s="55"/>
      <c r="F2057" s="55"/>
      <c r="G2057" s="55"/>
      <c r="H2057" s="55">
        <v>1</v>
      </c>
      <c r="I2057" s="55">
        <v>1</v>
      </c>
      <c r="J2057" s="55"/>
      <c r="K2057" s="55"/>
      <c r="L2057" s="55"/>
      <c r="M2057" s="56"/>
      <c r="N2057" s="56"/>
    </row>
    <row r="2058" spans="1:15">
      <c r="B2058" s="326" t="s">
        <v>20</v>
      </c>
      <c r="C2058" s="71"/>
      <c r="D2058" s="48"/>
      <c r="E2058" s="49"/>
      <c r="F2058" s="49"/>
      <c r="G2058" s="49"/>
      <c r="H2058" s="337">
        <v>1</v>
      </c>
      <c r="I2058" s="337">
        <v>1</v>
      </c>
      <c r="J2058" s="214"/>
      <c r="K2058" s="214"/>
      <c r="L2058" s="214"/>
      <c r="M2058" s="215"/>
      <c r="N2058" s="215"/>
    </row>
    <row r="2059" spans="1:15">
      <c r="B2059" s="33" t="s">
        <v>22</v>
      </c>
      <c r="C2059" s="6"/>
      <c r="D2059" s="37">
        <f xml:space="preserve"> D2056 * D2057 * D2058</f>
        <v>0</v>
      </c>
      <c r="E2059" s="37">
        <f xml:space="preserve"> E2056 * E2057 * E2058</f>
        <v>0</v>
      </c>
      <c r="F2059" s="37">
        <f xml:space="preserve"> F2056 * F2057 * F2058</f>
        <v>0</v>
      </c>
      <c r="G2059" s="37">
        <f t="shared" ref="G2059:N2059" si="899">G2056 * G2057 * G2058</f>
        <v>0</v>
      </c>
      <c r="H2059" s="37">
        <v>2500</v>
      </c>
      <c r="I2059" s="229">
        <v>8225</v>
      </c>
      <c r="J2059" s="37">
        <f t="shared" si="899"/>
        <v>0</v>
      </c>
      <c r="K2059" s="37">
        <f t="shared" si="899"/>
        <v>0</v>
      </c>
      <c r="L2059" s="37">
        <f t="shared" si="899"/>
        <v>0</v>
      </c>
      <c r="M2059" s="37">
        <f t="shared" si="899"/>
        <v>0</v>
      </c>
      <c r="N2059" s="37">
        <f t="shared" si="899"/>
        <v>0</v>
      </c>
    </row>
    <row r="2060" spans="1:15">
      <c r="D2060" s="36"/>
      <c r="E2060" s="36"/>
      <c r="F2060" s="36"/>
      <c r="G2060" s="24"/>
      <c r="H2060" s="24"/>
      <c r="I2060" s="24"/>
      <c r="J2060" s="24"/>
      <c r="K2060" s="24"/>
      <c r="L2060" s="24"/>
      <c r="M2060" s="24"/>
      <c r="N2060" s="24"/>
    </row>
    <row r="2061" spans="1:15" ht="18.5">
      <c r="A2061" s="9" t="s">
        <v>119</v>
      </c>
      <c r="D2061" s="2">
        <v>2011</v>
      </c>
      <c r="E2061" s="2">
        <f>D2061+1</f>
        <v>2012</v>
      </c>
      <c r="F2061" s="2">
        <f>E2061+1</f>
        <v>2013</v>
      </c>
      <c r="G2061" s="2">
        <f t="shared" ref="G2061:N2061" si="900">G2055</f>
        <v>2014</v>
      </c>
      <c r="H2061" s="2">
        <f t="shared" si="900"/>
        <v>2015</v>
      </c>
      <c r="I2061" s="2">
        <f t="shared" si="900"/>
        <v>2016</v>
      </c>
      <c r="J2061" s="2">
        <f t="shared" si="900"/>
        <v>2017</v>
      </c>
      <c r="K2061" s="2">
        <f t="shared" si="900"/>
        <v>2018</v>
      </c>
      <c r="L2061" s="2">
        <f t="shared" si="900"/>
        <v>2019</v>
      </c>
      <c r="M2061" s="2">
        <f t="shared" si="900"/>
        <v>2020</v>
      </c>
      <c r="N2061" s="2">
        <f t="shared" si="900"/>
        <v>2021</v>
      </c>
    </row>
    <row r="2062" spans="1:15">
      <c r="B2062" s="326" t="s">
        <v>10</v>
      </c>
      <c r="C2062" s="71"/>
      <c r="D2062" s="51">
        <f>IF($E44= "Eligible", D2059 * 'Facility Detail'!$B$3079, 0 )</f>
        <v>0</v>
      </c>
      <c r="E2062" s="51">
        <f>IF($E44= "Eligible", E2059 * 'Facility Detail'!$B$3079, 0 )</f>
        <v>0</v>
      </c>
      <c r="F2062" s="51">
        <f>IF($E44= "Eligible", F2059 * 'Facility Detail'!$B$3079, 0 )</f>
        <v>0</v>
      </c>
      <c r="G2062" s="51">
        <f>IF($E44= "Eligible", G2059 * 'Facility Detail'!$B$3079, 0 )</f>
        <v>0</v>
      </c>
      <c r="H2062" s="51">
        <f>IF($E44= "Eligible", H2059 * 'Facility Detail'!$B$3079, 0 )</f>
        <v>0</v>
      </c>
      <c r="I2062" s="51">
        <f>IF($E44= "Eligible", I2059 * 'Facility Detail'!$B$3079, 0 )</f>
        <v>0</v>
      </c>
      <c r="J2062" s="51">
        <f>IF($E44= "Eligible", J2059 * 'Facility Detail'!$B$3079, 0 )</f>
        <v>0</v>
      </c>
      <c r="K2062" s="51">
        <f>IF($E44= "Eligible", K2059 * 'Facility Detail'!$B$3079, 0 )</f>
        <v>0</v>
      </c>
      <c r="L2062" s="51">
        <f>IF($E44= "Eligible", L2059 * 'Facility Detail'!$B$3079, 0 )</f>
        <v>0</v>
      </c>
      <c r="M2062" s="51">
        <f>IF($E44= "Eligible", M2059 * 'Facility Detail'!$B$3079, 0 )</f>
        <v>0</v>
      </c>
      <c r="N2062" s="51">
        <f>IF($E44= "Eligible", N2059 * 'Facility Detail'!$B$3079, 0 )</f>
        <v>0</v>
      </c>
    </row>
    <row r="2063" spans="1:15">
      <c r="B2063" s="326" t="s">
        <v>6</v>
      </c>
      <c r="C2063" s="71"/>
      <c r="D2063" s="52">
        <f t="shared" ref="D2063:N2063" si="901">IF($F44= "Eligible", D2059, 0 )</f>
        <v>0</v>
      </c>
      <c r="E2063" s="52">
        <f t="shared" si="901"/>
        <v>0</v>
      </c>
      <c r="F2063" s="52">
        <f t="shared" si="901"/>
        <v>0</v>
      </c>
      <c r="G2063" s="52">
        <f t="shared" si="901"/>
        <v>0</v>
      </c>
      <c r="H2063" s="52">
        <f t="shared" si="901"/>
        <v>0</v>
      </c>
      <c r="I2063" s="52">
        <f t="shared" si="901"/>
        <v>0</v>
      </c>
      <c r="J2063" s="52">
        <f t="shared" si="901"/>
        <v>0</v>
      </c>
      <c r="K2063" s="52">
        <f t="shared" si="901"/>
        <v>0</v>
      </c>
      <c r="L2063" s="52">
        <f t="shared" si="901"/>
        <v>0</v>
      </c>
      <c r="M2063" s="52">
        <f t="shared" si="901"/>
        <v>0</v>
      </c>
      <c r="N2063" s="52">
        <f t="shared" si="901"/>
        <v>0</v>
      </c>
    </row>
    <row r="2064" spans="1:15">
      <c r="B2064" s="33" t="s">
        <v>121</v>
      </c>
      <c r="C2064" s="6"/>
      <c r="D2064" s="39">
        <f t="shared" ref="D2064:I2064" si="902">SUM(D2062:D2063)</f>
        <v>0</v>
      </c>
      <c r="E2064" s="40">
        <f t="shared" si="902"/>
        <v>0</v>
      </c>
      <c r="F2064" s="40">
        <f t="shared" si="902"/>
        <v>0</v>
      </c>
      <c r="G2064" s="40">
        <f t="shared" si="902"/>
        <v>0</v>
      </c>
      <c r="H2064" s="40">
        <f t="shared" si="902"/>
        <v>0</v>
      </c>
      <c r="I2064" s="40">
        <f t="shared" si="902"/>
        <v>0</v>
      </c>
      <c r="J2064" s="40">
        <f t="shared" ref="J2064" si="903">SUM(J2062:J2063)</f>
        <v>0</v>
      </c>
      <c r="K2064" s="40"/>
      <c r="L2064" s="40"/>
      <c r="M2064" s="40"/>
      <c r="N2064" s="40"/>
    </row>
    <row r="2065" spans="1:14">
      <c r="D2065" s="38"/>
      <c r="E2065" s="31"/>
      <c r="F2065" s="31"/>
      <c r="G2065" s="24"/>
      <c r="H2065" s="24"/>
      <c r="I2065" s="24"/>
      <c r="J2065" s="24"/>
      <c r="K2065" s="24"/>
      <c r="L2065" s="24"/>
      <c r="M2065" s="24"/>
      <c r="N2065" s="24"/>
    </row>
    <row r="2066" spans="1:14" ht="18.5">
      <c r="A2066" s="9" t="s">
        <v>30</v>
      </c>
      <c r="D2066" s="2">
        <v>2011</v>
      </c>
      <c r="E2066" s="2">
        <f>D2066+1</f>
        <v>2012</v>
      </c>
      <c r="F2066" s="2">
        <f>E2066+1</f>
        <v>2013</v>
      </c>
      <c r="G2066" s="2">
        <f t="shared" ref="G2066:N2066" si="904">G2055</f>
        <v>2014</v>
      </c>
      <c r="H2066" s="2">
        <f t="shared" si="904"/>
        <v>2015</v>
      </c>
      <c r="I2066" s="2">
        <f t="shared" si="904"/>
        <v>2016</v>
      </c>
      <c r="J2066" s="2">
        <f t="shared" si="904"/>
        <v>2017</v>
      </c>
      <c r="K2066" s="2">
        <f t="shared" si="904"/>
        <v>2018</v>
      </c>
      <c r="L2066" s="2">
        <f t="shared" si="904"/>
        <v>2019</v>
      </c>
      <c r="M2066" s="2">
        <f t="shared" si="904"/>
        <v>2020</v>
      </c>
      <c r="N2066" s="2">
        <f t="shared" si="904"/>
        <v>2021</v>
      </c>
    </row>
    <row r="2067" spans="1:14">
      <c r="B2067" s="326" t="s">
        <v>47</v>
      </c>
      <c r="C2067" s="71"/>
      <c r="D2067" s="89"/>
      <c r="E2067" s="90"/>
      <c r="F2067" s="90"/>
      <c r="G2067" s="90"/>
      <c r="H2067" s="90"/>
      <c r="I2067" s="90"/>
      <c r="J2067" s="90"/>
      <c r="K2067" s="90"/>
      <c r="L2067" s="90"/>
      <c r="M2067" s="140"/>
      <c r="N2067" s="140"/>
    </row>
    <row r="2068" spans="1:14">
      <c r="B2068" s="330" t="s">
        <v>23</v>
      </c>
      <c r="C2068" s="331"/>
      <c r="D2068" s="92"/>
      <c r="E2068" s="93"/>
      <c r="F2068" s="93"/>
      <c r="G2068" s="93"/>
      <c r="H2068" s="93"/>
      <c r="I2068" s="93"/>
      <c r="J2068" s="93"/>
      <c r="K2068" s="93"/>
      <c r="L2068" s="93"/>
      <c r="M2068" s="141"/>
      <c r="N2068" s="141"/>
    </row>
    <row r="2069" spans="1:14">
      <c r="B2069" s="330" t="s">
        <v>89</v>
      </c>
      <c r="C2069" s="332"/>
      <c r="D2069" s="57"/>
      <c r="E2069" s="58"/>
      <c r="F2069" s="58"/>
      <c r="G2069" s="58"/>
      <c r="H2069" s="58"/>
      <c r="I2069" s="58"/>
      <c r="J2069" s="58"/>
      <c r="K2069" s="58"/>
      <c r="L2069" s="58"/>
      <c r="M2069" s="142"/>
      <c r="N2069" s="142"/>
    </row>
    <row r="2070" spans="1:14">
      <c r="B2070" s="33" t="s">
        <v>90</v>
      </c>
      <c r="D2070" s="7">
        <f t="shared" ref="D2070:J2070" si="905">SUM(D2067:D2069)</f>
        <v>0</v>
      </c>
      <c r="E2070" s="7">
        <f t="shared" si="905"/>
        <v>0</v>
      </c>
      <c r="F2070" s="7">
        <f t="shared" si="905"/>
        <v>0</v>
      </c>
      <c r="G2070" s="7">
        <f t="shared" si="905"/>
        <v>0</v>
      </c>
      <c r="H2070" s="7">
        <f t="shared" si="905"/>
        <v>0</v>
      </c>
      <c r="I2070" s="7">
        <f t="shared" si="905"/>
        <v>0</v>
      </c>
      <c r="J2070" s="7">
        <f t="shared" si="905"/>
        <v>0</v>
      </c>
      <c r="K2070" s="7"/>
      <c r="L2070" s="7"/>
      <c r="M2070" s="7"/>
      <c r="N2070" s="7"/>
    </row>
    <row r="2071" spans="1:14">
      <c r="B2071" s="6"/>
      <c r="D2071" s="7"/>
      <c r="E2071" s="7"/>
      <c r="F2071" s="7"/>
      <c r="G2071" s="28"/>
      <c r="H2071" s="28"/>
      <c r="I2071" s="28"/>
      <c r="J2071" s="28"/>
      <c r="K2071" s="28"/>
      <c r="L2071" s="28"/>
      <c r="M2071" s="28"/>
      <c r="N2071" s="28"/>
    </row>
    <row r="2072" spans="1:14" ht="18.5">
      <c r="A2072" s="9" t="s">
        <v>100</v>
      </c>
      <c r="D2072" s="2">
        <v>2011</v>
      </c>
      <c r="E2072" s="2">
        <f t="shared" ref="E2072:N2072" si="906">D2072+1</f>
        <v>2012</v>
      </c>
      <c r="F2072" s="2">
        <f t="shared" si="906"/>
        <v>2013</v>
      </c>
      <c r="G2072" s="2">
        <f t="shared" si="906"/>
        <v>2014</v>
      </c>
      <c r="H2072" s="2">
        <f t="shared" si="906"/>
        <v>2015</v>
      </c>
      <c r="I2072" s="2">
        <f t="shared" si="906"/>
        <v>2016</v>
      </c>
      <c r="J2072" s="2">
        <f t="shared" si="906"/>
        <v>2017</v>
      </c>
      <c r="K2072" s="2">
        <f t="shared" si="906"/>
        <v>2018</v>
      </c>
      <c r="L2072" s="2">
        <f t="shared" si="906"/>
        <v>2019</v>
      </c>
      <c r="M2072" s="2">
        <f t="shared" si="906"/>
        <v>2020</v>
      </c>
      <c r="N2072" s="2">
        <f t="shared" si="906"/>
        <v>2021</v>
      </c>
    </row>
    <row r="2073" spans="1:14">
      <c r="B2073" s="326" t="str">
        <f xml:space="preserve"> '[1]Facility Detail'!$B$1917 &amp; " Surplus Applied to " &amp; ( '[1]Facility Detail'!$B$1917 + 1 )</f>
        <v>2011 Surplus Applied to 2012</v>
      </c>
      <c r="C2073" s="71"/>
      <c r="D2073" s="3">
        <f>D2059</f>
        <v>0</v>
      </c>
      <c r="E2073" s="60">
        <f>D2073</f>
        <v>0</v>
      </c>
      <c r="F2073" s="131"/>
      <c r="G2073" s="131"/>
      <c r="H2073" s="131"/>
      <c r="I2073" s="131"/>
      <c r="J2073" s="131"/>
      <c r="K2073" s="131"/>
      <c r="L2073" s="131"/>
      <c r="M2073" s="61"/>
      <c r="N2073" s="61"/>
    </row>
    <row r="2074" spans="1:14">
      <c r="B2074" s="326" t="str">
        <f xml:space="preserve"> ( '[1]Facility Detail'!$B$1917 + 1 ) &amp; " Surplus Applied to " &amp; ( '[1]Facility Detail'!$B$1917 )</f>
        <v>2012 Surplus Applied to 2011</v>
      </c>
      <c r="C2074" s="71"/>
      <c r="D2074" s="164">
        <f>E2074</f>
        <v>0</v>
      </c>
      <c r="E2074" s="10"/>
      <c r="F2074" s="74"/>
      <c r="G2074" s="74"/>
      <c r="H2074" s="74"/>
      <c r="I2074" s="74"/>
      <c r="J2074" s="74"/>
      <c r="K2074" s="74"/>
      <c r="L2074" s="74"/>
      <c r="M2074" s="165"/>
      <c r="N2074" s="165"/>
    </row>
    <row r="2075" spans="1:14">
      <c r="B2075" s="326" t="str">
        <f xml:space="preserve"> ( '[1]Facility Detail'!$B$1917 + 1 ) &amp; " Surplus Applied to " &amp; ( '[1]Facility Detail'!$B$1917 + 2 )</f>
        <v>2012 Surplus Applied to 2013</v>
      </c>
      <c r="C2075" s="71"/>
      <c r="D2075" s="62"/>
      <c r="E2075" s="10">
        <f>E2059</f>
        <v>0</v>
      </c>
      <c r="F2075" s="70">
        <f>E2075</f>
        <v>0</v>
      </c>
      <c r="G2075" s="74"/>
      <c r="H2075" s="74"/>
      <c r="I2075" s="74"/>
      <c r="J2075" s="74"/>
      <c r="K2075" s="74"/>
      <c r="L2075" s="74"/>
      <c r="M2075" s="165"/>
      <c r="N2075" s="165"/>
    </row>
    <row r="2076" spans="1:14">
      <c r="B2076" s="326" t="str">
        <f xml:space="preserve"> ( '[1]Facility Detail'!$B$1917 + 2 ) &amp; " Surplus Applied to " &amp; ( '[1]Facility Detail'!$B$1917 + 1 )</f>
        <v>2013 Surplus Applied to 2012</v>
      </c>
      <c r="C2076" s="71"/>
      <c r="D2076" s="62"/>
      <c r="E2076" s="70">
        <f>F2076</f>
        <v>0</v>
      </c>
      <c r="F2076" s="163"/>
      <c r="G2076" s="74"/>
      <c r="H2076" s="74"/>
      <c r="I2076" s="74"/>
      <c r="J2076" s="74"/>
      <c r="K2076" s="74"/>
      <c r="L2076" s="74"/>
      <c r="M2076" s="165"/>
      <c r="N2076" s="165"/>
    </row>
    <row r="2077" spans="1:14">
      <c r="B2077" s="326" t="str">
        <f xml:space="preserve"> ( '[1]Facility Detail'!$B$1917 + 2 ) &amp; " Surplus Applied to " &amp; ( '[1]Facility Detail'!$B$1917 + 3 )</f>
        <v>2013 Surplus Applied to 2014</v>
      </c>
      <c r="C2077" s="71"/>
      <c r="D2077" s="62"/>
      <c r="E2077" s="148"/>
      <c r="F2077" s="10">
        <f>F2059</f>
        <v>0</v>
      </c>
      <c r="G2077" s="149">
        <f>F2077</f>
        <v>0</v>
      </c>
      <c r="H2077" s="74"/>
      <c r="I2077" s="74"/>
      <c r="J2077" s="74"/>
      <c r="K2077" s="74"/>
      <c r="L2077" s="74"/>
      <c r="M2077" s="165"/>
      <c r="N2077" s="165"/>
    </row>
    <row r="2078" spans="1:14">
      <c r="B2078" s="326" t="str">
        <f xml:space="preserve"> ( '[1]Facility Detail'!$B$1917 + 3 ) &amp; " Surplus Applied to " &amp; ( '[1]Facility Detail'!$B$1917 + 2 )</f>
        <v>2014 Surplus Applied to 2013</v>
      </c>
      <c r="C2078" s="71"/>
      <c r="D2078" s="62"/>
      <c r="E2078" s="148"/>
      <c r="F2078" s="70">
        <f>G2078</f>
        <v>0</v>
      </c>
      <c r="G2078" s="10"/>
      <c r="H2078" s="74"/>
      <c r="I2078" s="74"/>
      <c r="J2078" s="74" t="s">
        <v>170</v>
      </c>
      <c r="K2078" s="74" t="s">
        <v>170</v>
      </c>
      <c r="L2078" s="74" t="s">
        <v>170</v>
      </c>
      <c r="M2078" s="165"/>
      <c r="N2078" s="165"/>
    </row>
    <row r="2079" spans="1:14">
      <c r="B2079" s="326" t="str">
        <f xml:space="preserve"> ( '[1]Facility Detail'!$B$1917 + 3 ) &amp; " Surplus Applied to " &amp; ( '[1]Facility Detail'!$B$1917 + 4 )</f>
        <v>2014 Surplus Applied to 2015</v>
      </c>
      <c r="C2079" s="71"/>
      <c r="D2079" s="62"/>
      <c r="E2079" s="148"/>
      <c r="F2079" s="148"/>
      <c r="G2079" s="10">
        <f>G2059</f>
        <v>0</v>
      </c>
      <c r="H2079" s="149">
        <f>G2079</f>
        <v>0</v>
      </c>
      <c r="I2079" s="148"/>
      <c r="J2079" s="148"/>
      <c r="K2079" s="148"/>
      <c r="L2079" s="148"/>
      <c r="M2079" s="152"/>
      <c r="N2079" s="152"/>
    </row>
    <row r="2080" spans="1:14">
      <c r="B2080" s="326" t="str">
        <f xml:space="preserve"> ( '[1]Facility Detail'!$B$1917 + 4 ) &amp; " Surplus Applied to " &amp; ( '[1]Facility Detail'!$B$1917 + 3 )</f>
        <v>2015 Surplus Applied to 2014</v>
      </c>
      <c r="C2080" s="71"/>
      <c r="D2080" s="62"/>
      <c r="E2080" s="148"/>
      <c r="F2080" s="148"/>
      <c r="G2080" s="150"/>
      <c r="H2080" s="10"/>
      <c r="I2080" s="148"/>
      <c r="J2080" s="148"/>
      <c r="K2080" s="148"/>
      <c r="L2080" s="148"/>
      <c r="M2080" s="152"/>
      <c r="N2080" s="152"/>
    </row>
    <row r="2081" spans="1:14">
      <c r="B2081" s="326" t="str">
        <f xml:space="preserve"> ( '[1]Facility Detail'!$B$1917 + 4 ) &amp; " Surplus Applied to " &amp; ( '[1]Facility Detail'!$B$1917 + 5 )</f>
        <v>2015 Surplus Applied to 2016</v>
      </c>
      <c r="C2081" s="71"/>
      <c r="D2081" s="62"/>
      <c r="E2081" s="148"/>
      <c r="F2081" s="148"/>
      <c r="G2081" s="148"/>
      <c r="H2081" s="10">
        <f>H2059</f>
        <v>2500</v>
      </c>
      <c r="I2081" s="149">
        <f>H2081</f>
        <v>2500</v>
      </c>
      <c r="J2081" s="74"/>
      <c r="K2081" s="74"/>
      <c r="L2081" s="74"/>
      <c r="M2081" s="152"/>
      <c r="N2081" s="152"/>
    </row>
    <row r="2082" spans="1:14">
      <c r="B2082" s="326" t="str">
        <f xml:space="preserve"> ( '[1]Facility Detail'!$B$1917 + 5 ) &amp; " Surplus Applied to " &amp; ( '[1]Facility Detail'!$B$1917 + 4 )</f>
        <v>2016 Surplus Applied to 2015</v>
      </c>
      <c r="D2082" s="62"/>
      <c r="E2082" s="148"/>
      <c r="F2082" s="148"/>
      <c r="G2082" s="148"/>
      <c r="H2082" s="70"/>
      <c r="I2082" s="151"/>
      <c r="J2082" s="74"/>
      <c r="K2082" s="74"/>
      <c r="L2082" s="74"/>
      <c r="M2082" s="152"/>
      <c r="N2082" s="152"/>
    </row>
    <row r="2083" spans="1:14">
      <c r="B2083" s="326" t="str">
        <f xml:space="preserve"> ( '[1]Facility Detail'!$B$1917 + 5 ) &amp; " Surplus Applied to " &amp; ( '[1]Facility Detail'!$B$1917 + 6 )</f>
        <v>2016 Surplus Applied to 2017</v>
      </c>
      <c r="D2083" s="62"/>
      <c r="E2083" s="148"/>
      <c r="F2083" s="148"/>
      <c r="G2083" s="148"/>
      <c r="H2083" s="148"/>
      <c r="I2083" s="151">
        <f>I2059</f>
        <v>8225</v>
      </c>
      <c r="J2083" s="70">
        <f>I2083</f>
        <v>8225</v>
      </c>
      <c r="K2083" s="74"/>
      <c r="L2083" s="74"/>
      <c r="M2083" s="165"/>
      <c r="N2083" s="165"/>
    </row>
    <row r="2084" spans="1:14">
      <c r="B2084" s="326" t="s">
        <v>168</v>
      </c>
      <c r="D2084" s="62"/>
      <c r="E2084" s="148"/>
      <c r="F2084" s="148"/>
      <c r="G2084" s="148"/>
      <c r="H2084" s="148"/>
      <c r="I2084" s="150"/>
      <c r="J2084" s="151"/>
      <c r="K2084" s="74"/>
      <c r="L2084" s="74"/>
      <c r="M2084" s="165"/>
      <c r="N2084" s="165"/>
    </row>
    <row r="2085" spans="1:14">
      <c r="B2085" s="326" t="s">
        <v>169</v>
      </c>
      <c r="D2085" s="63"/>
      <c r="E2085" s="133"/>
      <c r="F2085" s="133"/>
      <c r="G2085" s="133"/>
      <c r="H2085" s="133"/>
      <c r="I2085" s="133"/>
      <c r="J2085" s="153"/>
      <c r="K2085" s="338"/>
      <c r="L2085" s="338"/>
      <c r="M2085" s="339"/>
      <c r="N2085" s="339"/>
    </row>
    <row r="2086" spans="1:14">
      <c r="B2086" s="33" t="s">
        <v>17</v>
      </c>
      <c r="D2086" s="7">
        <f xml:space="preserve"> D2074 - D2073</f>
        <v>0</v>
      </c>
      <c r="E2086" s="7">
        <f xml:space="preserve"> E2073 + E2076 - E2075 - E2074</f>
        <v>0</v>
      </c>
      <c r="F2086" s="7">
        <f>F2075 - F2076 -F2077</f>
        <v>0</v>
      </c>
      <c r="G2086" s="7">
        <f>G2077-G2078-G2079</f>
        <v>0</v>
      </c>
      <c r="H2086" s="7">
        <f>H2079-H2080-H2081</f>
        <v>-2500</v>
      </c>
      <c r="I2086" s="231">
        <f>I2081-I2082-I2083</f>
        <v>-5725</v>
      </c>
      <c r="J2086" s="231">
        <f>J2083-J2084-J2085</f>
        <v>8225</v>
      </c>
      <c r="K2086" s="7">
        <f>K2085</f>
        <v>0</v>
      </c>
      <c r="L2086" s="7">
        <f>L2085</f>
        <v>0</v>
      </c>
      <c r="M2086" s="7">
        <f>M2085</f>
        <v>0</v>
      </c>
      <c r="N2086" s="7">
        <f>N2085</f>
        <v>0</v>
      </c>
    </row>
    <row r="2087" spans="1:14">
      <c r="B2087" s="6"/>
      <c r="D2087" s="7"/>
      <c r="E2087" s="7"/>
      <c r="F2087" s="7"/>
      <c r="G2087" s="28"/>
      <c r="H2087" s="28"/>
      <c r="I2087" s="28"/>
      <c r="J2087" s="28"/>
      <c r="K2087" s="28"/>
      <c r="L2087" s="28"/>
      <c r="M2087" s="28"/>
      <c r="N2087" s="28"/>
    </row>
    <row r="2088" spans="1:14">
      <c r="B2088" s="33" t="s">
        <v>12</v>
      </c>
      <c r="C2088" s="71"/>
      <c r="D2088" s="99"/>
      <c r="E2088" s="100"/>
      <c r="F2088" s="100"/>
      <c r="G2088" s="100"/>
      <c r="H2088" s="100"/>
      <c r="I2088" s="100"/>
      <c r="J2088" s="100"/>
      <c r="K2088" s="100"/>
      <c r="L2088" s="100"/>
      <c r="M2088" s="335"/>
      <c r="N2088" s="335"/>
    </row>
    <row r="2089" spans="1:14">
      <c r="B2089" s="6"/>
      <c r="D2089" s="7"/>
      <c r="E2089" s="7"/>
      <c r="F2089" s="7"/>
      <c r="G2089" s="28"/>
      <c r="H2089" s="28"/>
      <c r="I2089" s="28"/>
      <c r="J2089" s="28"/>
      <c r="K2089" s="28"/>
      <c r="L2089" s="28"/>
      <c r="M2089" s="28"/>
      <c r="N2089" s="28"/>
    </row>
    <row r="2090" spans="1:14" ht="18.5">
      <c r="A2090" s="9" t="s">
        <v>26</v>
      </c>
      <c r="C2090" s="71"/>
      <c r="D2090" s="43">
        <f t="shared" ref="D2090:N2090" si="907" xml:space="preserve"> D2059 + D2064 - D2070 + D2086 + D2088</f>
        <v>0</v>
      </c>
      <c r="E2090" s="44">
        <f t="shared" si="907"/>
        <v>0</v>
      </c>
      <c r="F2090" s="44">
        <f t="shared" si="907"/>
        <v>0</v>
      </c>
      <c r="G2090" s="44">
        <f t="shared" si="907"/>
        <v>0</v>
      </c>
      <c r="H2090" s="44">
        <f t="shared" si="907"/>
        <v>0</v>
      </c>
      <c r="I2090" s="44">
        <f t="shared" si="907"/>
        <v>2500</v>
      </c>
      <c r="J2090" s="44">
        <f t="shared" si="907"/>
        <v>8225</v>
      </c>
      <c r="K2090" s="44">
        <f t="shared" si="907"/>
        <v>0</v>
      </c>
      <c r="L2090" s="44">
        <f t="shared" si="907"/>
        <v>0</v>
      </c>
      <c r="M2090" s="45">
        <f t="shared" si="907"/>
        <v>0</v>
      </c>
      <c r="N2090" s="45">
        <f t="shared" si="907"/>
        <v>0</v>
      </c>
    </row>
    <row r="2091" spans="1:14">
      <c r="B2091" s="6"/>
      <c r="D2091" s="7"/>
      <c r="E2091" s="7"/>
      <c r="F2091" s="7"/>
      <c r="G2091" s="28"/>
      <c r="H2091" s="28"/>
      <c r="I2091" s="28"/>
      <c r="J2091" s="28"/>
      <c r="K2091" s="28"/>
      <c r="L2091" s="28"/>
      <c r="M2091" s="28"/>
      <c r="N2091" s="28"/>
    </row>
    <row r="2092" spans="1:14" ht="15" thickBot="1"/>
    <row r="2093" spans="1:14" ht="15" thickBot="1">
      <c r="A2093" s="8"/>
      <c r="B2093" s="8"/>
      <c r="C2093" s="8"/>
      <c r="D2093" s="8"/>
      <c r="E2093" s="8"/>
      <c r="F2093" s="8"/>
      <c r="G2093" s="8"/>
      <c r="H2093" s="8"/>
      <c r="I2093" s="8"/>
      <c r="J2093" s="8"/>
      <c r="K2093" s="8"/>
      <c r="L2093" s="8"/>
      <c r="M2093" s="8"/>
      <c r="N2093" s="8"/>
    </row>
    <row r="2094" spans="1:14" ht="21.5" thickBot="1">
      <c r="A2094" s="13" t="s">
        <v>4</v>
      </c>
      <c r="B2094" s="13"/>
      <c r="C2094" s="340" t="str">
        <f>B45</f>
        <v>Nine Canyon Wind Project - Nine Canyon Phase 3 - REC Only</v>
      </c>
      <c r="D2094" s="341"/>
      <c r="E2094" s="348"/>
      <c r="F2094" s="342"/>
    </row>
    <row r="2096" spans="1:14" ht="18.5">
      <c r="A2096" s="9" t="s">
        <v>21</v>
      </c>
      <c r="B2096" s="9"/>
      <c r="D2096" s="2">
        <v>2011</v>
      </c>
      <c r="E2096" s="2">
        <f>D2096+1</f>
        <v>2012</v>
      </c>
      <c r="F2096" s="2">
        <f t="shared" ref="F2096:N2096" si="908">E2096+1</f>
        <v>2013</v>
      </c>
      <c r="G2096" s="2">
        <f t="shared" si="908"/>
        <v>2014</v>
      </c>
      <c r="H2096" s="2">
        <f t="shared" si="908"/>
        <v>2015</v>
      </c>
      <c r="I2096" s="2">
        <f t="shared" si="908"/>
        <v>2016</v>
      </c>
      <c r="J2096" s="2">
        <f t="shared" si="908"/>
        <v>2017</v>
      </c>
      <c r="K2096" s="2">
        <f t="shared" si="908"/>
        <v>2018</v>
      </c>
      <c r="L2096" s="2">
        <f t="shared" si="908"/>
        <v>2019</v>
      </c>
      <c r="M2096" s="2">
        <f t="shared" si="908"/>
        <v>2020</v>
      </c>
      <c r="N2096" s="2">
        <f t="shared" si="908"/>
        <v>2021</v>
      </c>
    </row>
    <row r="2097" spans="1:14">
      <c r="B2097" s="326" t="str">
        <f>"Total MWh Produced / Purchased from " &amp; C2094</f>
        <v>Total MWh Produced / Purchased from Nine Canyon Wind Project - Nine Canyon Phase 3 - REC Only</v>
      </c>
      <c r="C2097" s="71"/>
      <c r="D2097" s="3"/>
      <c r="E2097" s="4"/>
      <c r="F2097" s="4"/>
      <c r="G2097" s="4"/>
      <c r="H2097" s="4"/>
      <c r="I2097" s="230">
        <v>4668</v>
      </c>
      <c r="J2097" s="230"/>
      <c r="K2097" s="230"/>
      <c r="L2097" s="230"/>
      <c r="M2097" s="230"/>
      <c r="N2097" s="230"/>
    </row>
    <row r="2098" spans="1:14">
      <c r="B2098" s="326" t="s">
        <v>25</v>
      </c>
      <c r="C2098" s="71"/>
      <c r="D2098" s="54"/>
      <c r="E2098" s="55"/>
      <c r="F2098" s="55"/>
      <c r="G2098" s="55"/>
      <c r="H2098" s="55"/>
      <c r="I2098" s="55">
        <v>1</v>
      </c>
      <c r="J2098" s="55"/>
      <c r="K2098" s="55"/>
      <c r="L2098" s="55"/>
      <c r="M2098" s="55"/>
      <c r="N2098" s="55"/>
    </row>
    <row r="2099" spans="1:14">
      <c r="B2099" s="326" t="s">
        <v>20</v>
      </c>
      <c r="C2099" s="71"/>
      <c r="D2099" s="48"/>
      <c r="E2099" s="49"/>
      <c r="F2099" s="49"/>
      <c r="G2099" s="49"/>
      <c r="H2099" s="49"/>
      <c r="I2099" s="49">
        <v>1</v>
      </c>
      <c r="J2099" s="49"/>
      <c r="K2099" s="49"/>
      <c r="L2099" s="49"/>
      <c r="M2099" s="49"/>
      <c r="N2099" s="49"/>
    </row>
    <row r="2100" spans="1:14">
      <c r="B2100" s="33" t="s">
        <v>22</v>
      </c>
      <c r="C2100" s="6"/>
      <c r="D2100" s="37">
        <v>0</v>
      </c>
      <c r="E2100" s="37">
        <v>0</v>
      </c>
      <c r="F2100" s="37">
        <v>0</v>
      </c>
      <c r="G2100" s="37">
        <v>0</v>
      </c>
      <c r="H2100" s="229">
        <v>0</v>
      </c>
      <c r="I2100" s="229">
        <v>4668</v>
      </c>
      <c r="J2100" s="229">
        <v>0</v>
      </c>
      <c r="K2100" s="229">
        <v>0</v>
      </c>
      <c r="L2100" s="229">
        <v>0</v>
      </c>
      <c r="M2100" s="229">
        <v>0</v>
      </c>
      <c r="N2100" s="229">
        <v>0</v>
      </c>
    </row>
    <row r="2101" spans="1:14">
      <c r="D2101" s="36"/>
      <c r="E2101" s="36"/>
      <c r="F2101" s="36"/>
      <c r="G2101" s="36"/>
      <c r="H2101" s="36"/>
      <c r="I2101" s="36"/>
      <c r="J2101" s="36"/>
      <c r="K2101" s="36"/>
      <c r="L2101" s="36"/>
      <c r="M2101" s="36"/>
      <c r="N2101" s="36"/>
    </row>
    <row r="2102" spans="1:14" ht="18.5">
      <c r="A2102" s="9" t="s">
        <v>119</v>
      </c>
      <c r="D2102" s="2">
        <v>2011</v>
      </c>
      <c r="E2102" s="2">
        <f>D2102+1</f>
        <v>2012</v>
      </c>
      <c r="F2102" s="2">
        <f t="shared" ref="F2102:N2102" si="909">E2102+1</f>
        <v>2013</v>
      </c>
      <c r="G2102" s="2">
        <f t="shared" si="909"/>
        <v>2014</v>
      </c>
      <c r="H2102" s="2">
        <f t="shared" si="909"/>
        <v>2015</v>
      </c>
      <c r="I2102" s="2">
        <f t="shared" si="909"/>
        <v>2016</v>
      </c>
      <c r="J2102" s="2">
        <f t="shared" si="909"/>
        <v>2017</v>
      </c>
      <c r="K2102" s="2">
        <f t="shared" si="909"/>
        <v>2018</v>
      </c>
      <c r="L2102" s="2">
        <f t="shared" si="909"/>
        <v>2019</v>
      </c>
      <c r="M2102" s="2">
        <f t="shared" si="909"/>
        <v>2020</v>
      </c>
      <c r="N2102" s="2">
        <f t="shared" si="909"/>
        <v>2021</v>
      </c>
    </row>
    <row r="2103" spans="1:14">
      <c r="B2103" s="326" t="s">
        <v>10</v>
      </c>
      <c r="C2103" s="71"/>
      <c r="D2103" s="51">
        <f>IF($E45= "Eligible", D2100 * 'Facility Detail'!$B$3079, 0 )</f>
        <v>0</v>
      </c>
      <c r="E2103" s="11">
        <v>0</v>
      </c>
      <c r="F2103" s="11">
        <v>0</v>
      </c>
      <c r="G2103" s="11">
        <v>0</v>
      </c>
      <c r="H2103" s="11">
        <v>0</v>
      </c>
      <c r="I2103" s="11">
        <v>0</v>
      </c>
      <c r="J2103" s="11">
        <v>0</v>
      </c>
      <c r="K2103" s="11">
        <v>0</v>
      </c>
      <c r="L2103" s="11">
        <v>0</v>
      </c>
      <c r="M2103" s="11">
        <v>0</v>
      </c>
      <c r="N2103" s="11">
        <v>0</v>
      </c>
    </row>
    <row r="2104" spans="1:14">
      <c r="B2104" s="326" t="s">
        <v>6</v>
      </c>
      <c r="C2104" s="71"/>
      <c r="D2104" s="52">
        <f>IF($F45= "Eligible", D2100, 0 )</f>
        <v>0</v>
      </c>
      <c r="E2104" s="329">
        <v>0</v>
      </c>
      <c r="F2104" s="329">
        <v>0</v>
      </c>
      <c r="G2104" s="329">
        <v>0</v>
      </c>
      <c r="H2104" s="329">
        <v>0</v>
      </c>
      <c r="I2104" s="329">
        <v>0</v>
      </c>
      <c r="J2104" s="329">
        <v>0</v>
      </c>
      <c r="K2104" s="329">
        <v>0</v>
      </c>
      <c r="L2104" s="329">
        <v>0</v>
      </c>
      <c r="M2104" s="329">
        <v>0</v>
      </c>
      <c r="N2104" s="329">
        <v>0</v>
      </c>
    </row>
    <row r="2105" spans="1:14">
      <c r="B2105" s="33" t="s">
        <v>121</v>
      </c>
      <c r="C2105" s="6"/>
      <c r="D2105" s="39">
        <v>0</v>
      </c>
      <c r="E2105" s="40">
        <v>0</v>
      </c>
      <c r="F2105" s="40">
        <v>0</v>
      </c>
      <c r="G2105" s="40">
        <v>0</v>
      </c>
      <c r="H2105" s="40">
        <v>0</v>
      </c>
      <c r="I2105" s="40">
        <v>0</v>
      </c>
      <c r="J2105" s="40">
        <v>0</v>
      </c>
      <c r="K2105" s="40">
        <v>0</v>
      </c>
      <c r="L2105" s="40">
        <v>0</v>
      </c>
      <c r="M2105" s="40">
        <v>0</v>
      </c>
      <c r="N2105" s="40">
        <v>0</v>
      </c>
    </row>
    <row r="2106" spans="1:14">
      <c r="D2106" s="38"/>
      <c r="E2106" s="31"/>
      <c r="F2106" s="31"/>
      <c r="G2106" s="31"/>
      <c r="H2106" s="31"/>
      <c r="I2106" s="31"/>
      <c r="J2106" s="31"/>
      <c r="K2106" s="31"/>
      <c r="L2106" s="31"/>
      <c r="M2106" s="31"/>
      <c r="N2106" s="31"/>
    </row>
    <row r="2107" spans="1:14" ht="18.5">
      <c r="A2107" s="9" t="s">
        <v>30</v>
      </c>
      <c r="D2107" s="2">
        <v>2011</v>
      </c>
      <c r="E2107" s="2">
        <f>D2107+1</f>
        <v>2012</v>
      </c>
      <c r="F2107" s="2">
        <f t="shared" ref="F2107:N2107" si="910">E2107+1</f>
        <v>2013</v>
      </c>
      <c r="G2107" s="2">
        <f t="shared" si="910"/>
        <v>2014</v>
      </c>
      <c r="H2107" s="2">
        <f t="shared" si="910"/>
        <v>2015</v>
      </c>
      <c r="I2107" s="2">
        <f t="shared" si="910"/>
        <v>2016</v>
      </c>
      <c r="J2107" s="2">
        <f t="shared" si="910"/>
        <v>2017</v>
      </c>
      <c r="K2107" s="2">
        <f t="shared" si="910"/>
        <v>2018</v>
      </c>
      <c r="L2107" s="2">
        <f t="shared" si="910"/>
        <v>2019</v>
      </c>
      <c r="M2107" s="2">
        <f t="shared" si="910"/>
        <v>2020</v>
      </c>
      <c r="N2107" s="2">
        <f t="shared" si="910"/>
        <v>2021</v>
      </c>
    </row>
    <row r="2108" spans="1:14">
      <c r="B2108" s="326" t="s">
        <v>47</v>
      </c>
      <c r="C2108" s="71"/>
      <c r="D2108" s="89"/>
      <c r="E2108" s="90"/>
      <c r="F2108" s="90"/>
      <c r="G2108" s="90"/>
      <c r="H2108" s="90"/>
      <c r="I2108" s="90"/>
      <c r="J2108" s="90"/>
      <c r="K2108" s="90"/>
      <c r="L2108" s="90"/>
      <c r="M2108" s="90"/>
      <c r="N2108" s="90"/>
    </row>
    <row r="2109" spans="1:14">
      <c r="B2109" s="330" t="s">
        <v>23</v>
      </c>
      <c r="C2109" s="331"/>
      <c r="D2109" s="92"/>
      <c r="E2109" s="93"/>
      <c r="F2109" s="93"/>
      <c r="G2109" s="93"/>
      <c r="H2109" s="93"/>
      <c r="I2109" s="93"/>
      <c r="J2109" s="93"/>
      <c r="K2109" s="93"/>
      <c r="L2109" s="93"/>
      <c r="M2109" s="93"/>
      <c r="N2109" s="93"/>
    </row>
    <row r="2110" spans="1:14">
      <c r="B2110" s="330" t="s">
        <v>89</v>
      </c>
      <c r="C2110" s="332"/>
      <c r="D2110" s="57"/>
      <c r="E2110" s="58"/>
      <c r="F2110" s="58"/>
      <c r="G2110" s="58"/>
      <c r="H2110" s="58"/>
      <c r="I2110" s="58"/>
      <c r="J2110" s="58"/>
      <c r="K2110" s="58"/>
      <c r="L2110" s="58"/>
      <c r="M2110" s="58"/>
      <c r="N2110" s="58"/>
    </row>
    <row r="2111" spans="1:14">
      <c r="B2111" s="33" t="s">
        <v>90</v>
      </c>
      <c r="D2111" s="7">
        <v>0</v>
      </c>
      <c r="E2111" s="7">
        <v>0</v>
      </c>
      <c r="F2111" s="7">
        <v>0</v>
      </c>
      <c r="G2111" s="7">
        <v>0</v>
      </c>
      <c r="H2111" s="7">
        <v>0</v>
      </c>
      <c r="I2111" s="7">
        <v>0</v>
      </c>
      <c r="J2111" s="7">
        <v>0</v>
      </c>
      <c r="K2111" s="7">
        <v>0</v>
      </c>
      <c r="L2111" s="7">
        <v>0</v>
      </c>
      <c r="M2111" s="7">
        <v>0</v>
      </c>
      <c r="N2111" s="7">
        <v>0</v>
      </c>
    </row>
    <row r="2112" spans="1:14">
      <c r="B2112" s="6"/>
      <c r="D2112" s="7"/>
      <c r="E2112" s="7"/>
      <c r="F2112" s="7"/>
      <c r="G2112" s="28"/>
      <c r="H2112" s="28"/>
      <c r="I2112" s="28"/>
      <c r="J2112" s="28"/>
      <c r="K2112" s="28"/>
      <c r="L2112" s="28"/>
      <c r="M2112" s="28"/>
      <c r="N2112" s="28"/>
    </row>
    <row r="2113" spans="1:14" ht="18.5">
      <c r="A2113" s="9" t="s">
        <v>100</v>
      </c>
      <c r="D2113" s="2">
        <v>2011</v>
      </c>
      <c r="E2113" s="2">
        <f>D2113+1</f>
        <v>2012</v>
      </c>
      <c r="F2113" s="2">
        <f t="shared" ref="F2113:N2113" si="911">E2113+1</f>
        <v>2013</v>
      </c>
      <c r="G2113" s="2">
        <f t="shared" si="911"/>
        <v>2014</v>
      </c>
      <c r="H2113" s="2">
        <f t="shared" si="911"/>
        <v>2015</v>
      </c>
      <c r="I2113" s="2">
        <f t="shared" si="911"/>
        <v>2016</v>
      </c>
      <c r="J2113" s="2">
        <f t="shared" si="911"/>
        <v>2017</v>
      </c>
      <c r="K2113" s="2">
        <f t="shared" si="911"/>
        <v>2018</v>
      </c>
      <c r="L2113" s="2">
        <f t="shared" si="911"/>
        <v>2019</v>
      </c>
      <c r="M2113" s="2">
        <f t="shared" si="911"/>
        <v>2020</v>
      </c>
      <c r="N2113" s="2">
        <f t="shared" si="911"/>
        <v>2021</v>
      </c>
    </row>
    <row r="2114" spans="1:14">
      <c r="B2114" s="326" t="s">
        <v>68</v>
      </c>
      <c r="C2114" s="71"/>
      <c r="D2114" s="351"/>
      <c r="E2114" s="69">
        <f>D2114</f>
        <v>0</v>
      </c>
      <c r="F2114" s="352"/>
      <c r="G2114" s="352"/>
      <c r="H2114" s="352"/>
      <c r="I2114" s="352"/>
      <c r="J2114" s="352"/>
      <c r="K2114" s="352"/>
      <c r="L2114" s="352"/>
      <c r="M2114" s="352"/>
      <c r="N2114" s="352"/>
    </row>
    <row r="2115" spans="1:14">
      <c r="B2115" s="326" t="s">
        <v>69</v>
      </c>
      <c r="C2115" s="71"/>
      <c r="D2115" s="353">
        <f>E2115</f>
        <v>0</v>
      </c>
      <c r="E2115" s="354"/>
      <c r="F2115" s="355"/>
      <c r="G2115" s="355"/>
      <c r="H2115" s="355"/>
      <c r="I2115" s="355"/>
      <c r="J2115" s="355"/>
      <c r="K2115" s="355"/>
      <c r="L2115" s="355"/>
      <c r="M2115" s="355"/>
      <c r="N2115" s="355"/>
    </row>
    <row r="2116" spans="1:14">
      <c r="B2116" s="326" t="s">
        <v>70</v>
      </c>
      <c r="C2116" s="71"/>
      <c r="D2116" s="356"/>
      <c r="E2116" s="354">
        <f>E2100</f>
        <v>0</v>
      </c>
      <c r="F2116" s="357">
        <f>E2116</f>
        <v>0</v>
      </c>
      <c r="G2116" s="355"/>
      <c r="H2116" s="355"/>
      <c r="I2116" s="355"/>
      <c r="J2116" s="355"/>
      <c r="K2116" s="355"/>
      <c r="L2116" s="355"/>
      <c r="M2116" s="355"/>
      <c r="N2116" s="355"/>
    </row>
    <row r="2117" spans="1:14">
      <c r="B2117" s="326" t="s">
        <v>71</v>
      </c>
      <c r="C2117" s="71"/>
      <c r="D2117" s="356"/>
      <c r="E2117" s="357">
        <f>F2117</f>
        <v>0</v>
      </c>
      <c r="F2117" s="358"/>
      <c r="G2117" s="355"/>
      <c r="H2117" s="355"/>
      <c r="I2117" s="355"/>
      <c r="J2117" s="355"/>
      <c r="K2117" s="355"/>
      <c r="L2117" s="355"/>
      <c r="M2117" s="355"/>
      <c r="N2117" s="355"/>
    </row>
    <row r="2118" spans="1:14">
      <c r="B2118" s="326" t="s">
        <v>171</v>
      </c>
      <c r="D2118" s="356"/>
      <c r="E2118" s="359"/>
      <c r="F2118" s="354">
        <f>F2100</f>
        <v>0</v>
      </c>
      <c r="G2118" s="360">
        <f>F2118</f>
        <v>0</v>
      </c>
      <c r="H2118" s="355"/>
      <c r="I2118" s="355"/>
      <c r="J2118" s="355"/>
      <c r="K2118" s="355"/>
      <c r="L2118" s="355"/>
      <c r="M2118" s="355"/>
      <c r="N2118" s="355"/>
    </row>
    <row r="2119" spans="1:14">
      <c r="B2119" s="326" t="s">
        <v>172</v>
      </c>
      <c r="D2119" s="356"/>
      <c r="E2119" s="359"/>
      <c r="F2119" s="357">
        <f>G2119</f>
        <v>0</v>
      </c>
      <c r="G2119" s="354"/>
      <c r="H2119" s="355"/>
      <c r="I2119" s="355"/>
      <c r="J2119" s="355"/>
      <c r="K2119" s="355"/>
      <c r="L2119" s="355"/>
      <c r="M2119" s="355"/>
      <c r="N2119" s="355"/>
    </row>
    <row r="2120" spans="1:14">
      <c r="B2120" s="326" t="s">
        <v>173</v>
      </c>
      <c r="D2120" s="356"/>
      <c r="E2120" s="359"/>
      <c r="F2120" s="359"/>
      <c r="G2120" s="354">
        <f>G2100</f>
        <v>0</v>
      </c>
      <c r="H2120" s="360">
        <f>G2120</f>
        <v>0</v>
      </c>
      <c r="I2120" s="359">
        <f>H2120</f>
        <v>0</v>
      </c>
      <c r="J2120" s="359"/>
      <c r="K2120" s="359"/>
      <c r="L2120" s="359"/>
      <c r="M2120" s="359"/>
      <c r="N2120" s="359"/>
    </row>
    <row r="2121" spans="1:14">
      <c r="B2121" s="326" t="s">
        <v>174</v>
      </c>
      <c r="D2121" s="356"/>
      <c r="E2121" s="359"/>
      <c r="F2121" s="359"/>
      <c r="G2121" s="361"/>
      <c r="H2121" s="362"/>
      <c r="I2121" s="359"/>
      <c r="J2121" s="359"/>
      <c r="K2121" s="359"/>
      <c r="L2121" s="359"/>
      <c r="M2121" s="359"/>
      <c r="N2121" s="359"/>
    </row>
    <row r="2122" spans="1:14">
      <c r="B2122" s="326" t="s">
        <v>175</v>
      </c>
      <c r="D2122" s="356"/>
      <c r="E2122" s="359"/>
      <c r="F2122" s="359"/>
      <c r="G2122" s="359"/>
      <c r="H2122" s="362">
        <v>0</v>
      </c>
      <c r="I2122" s="360">
        <f>H2122</f>
        <v>0</v>
      </c>
      <c r="J2122" s="360"/>
      <c r="K2122" s="355"/>
      <c r="L2122" s="355"/>
      <c r="M2122" s="355"/>
      <c r="N2122" s="355"/>
    </row>
    <row r="2123" spans="1:14">
      <c r="B2123" s="326" t="s">
        <v>176</v>
      </c>
      <c r="D2123" s="356"/>
      <c r="E2123" s="359"/>
      <c r="F2123" s="359"/>
      <c r="G2123" s="359"/>
      <c r="H2123" s="357"/>
      <c r="I2123" s="362"/>
      <c r="J2123" s="362"/>
      <c r="K2123" s="355"/>
      <c r="L2123" s="355"/>
      <c r="M2123" s="355"/>
      <c r="N2123" s="355"/>
    </row>
    <row r="2124" spans="1:14">
      <c r="B2124" s="326" t="s">
        <v>177</v>
      </c>
      <c r="D2124" s="356"/>
      <c r="E2124" s="359"/>
      <c r="F2124" s="359"/>
      <c r="G2124" s="359"/>
      <c r="H2124" s="359"/>
      <c r="I2124" s="362">
        <f>I2100</f>
        <v>4668</v>
      </c>
      <c r="J2124" s="362">
        <f>I2124</f>
        <v>4668</v>
      </c>
      <c r="K2124" s="355"/>
      <c r="L2124" s="355"/>
      <c r="M2124" s="355"/>
      <c r="N2124" s="355"/>
    </row>
    <row r="2125" spans="1:14">
      <c r="B2125" s="326" t="s">
        <v>168</v>
      </c>
      <c r="D2125" s="356"/>
      <c r="E2125" s="359"/>
      <c r="F2125" s="359"/>
      <c r="G2125" s="359"/>
      <c r="H2125" s="359"/>
      <c r="I2125" s="363"/>
      <c r="J2125" s="149"/>
      <c r="K2125" s="355"/>
      <c r="L2125" s="355"/>
      <c r="M2125" s="355"/>
      <c r="N2125" s="355"/>
    </row>
    <row r="2126" spans="1:14">
      <c r="B2126" s="326" t="s">
        <v>169</v>
      </c>
      <c r="D2126" s="364"/>
      <c r="E2126" s="365"/>
      <c r="F2126" s="365"/>
      <c r="G2126" s="365"/>
      <c r="H2126" s="365"/>
      <c r="I2126" s="365"/>
      <c r="J2126" s="365"/>
      <c r="K2126" s="365"/>
      <c r="L2126" s="365"/>
      <c r="M2126" s="365"/>
      <c r="N2126" s="365"/>
    </row>
    <row r="2127" spans="1:14">
      <c r="B2127" s="33" t="s">
        <v>17</v>
      </c>
      <c r="D2127" s="218">
        <f xml:space="preserve"> D2120 - D2119</f>
        <v>0</v>
      </c>
      <c r="E2127" s="218">
        <f xml:space="preserve"> E2119 + E2122 - E2121 - E2120</f>
        <v>0</v>
      </c>
      <c r="F2127" s="218">
        <f>F2121 - F2122</f>
        <v>0</v>
      </c>
      <c r="G2127" s="218">
        <f t="shared" ref="G2127" si="912">G2121 - G2122</f>
        <v>0</v>
      </c>
      <c r="H2127" s="237">
        <f>H2120-H2121-H2122</f>
        <v>0</v>
      </c>
      <c r="I2127" s="237">
        <f>I2122-I2123-I2124</f>
        <v>-4668</v>
      </c>
      <c r="J2127" s="237">
        <f>J2124-J2125-J2126</f>
        <v>4668</v>
      </c>
      <c r="K2127" s="237">
        <f>K2126</f>
        <v>0</v>
      </c>
      <c r="L2127" s="237">
        <f t="shared" ref="L2127:N2127" si="913">L2126</f>
        <v>0</v>
      </c>
      <c r="M2127" s="237">
        <f t="shared" si="913"/>
        <v>0</v>
      </c>
      <c r="N2127" s="237">
        <f t="shared" si="913"/>
        <v>0</v>
      </c>
    </row>
    <row r="2128" spans="1:14">
      <c r="B2128" s="6"/>
      <c r="D2128" s="218"/>
      <c r="E2128" s="218"/>
      <c r="F2128" s="218"/>
      <c r="G2128" s="218"/>
      <c r="H2128" s="237"/>
      <c r="I2128" s="237"/>
      <c r="J2128" s="237"/>
      <c r="K2128" s="237"/>
      <c r="L2128" s="237"/>
      <c r="M2128" s="237"/>
      <c r="N2128" s="237"/>
    </row>
    <row r="2129" spans="1:14">
      <c r="B2129" s="33" t="s">
        <v>12</v>
      </c>
      <c r="C2129" s="71"/>
      <c r="D2129" s="219"/>
      <c r="E2129" s="220"/>
      <c r="F2129" s="220"/>
      <c r="G2129" s="220"/>
      <c r="H2129" s="220"/>
      <c r="I2129" s="220"/>
      <c r="J2129" s="220"/>
      <c r="K2129" s="220"/>
      <c r="L2129" s="220"/>
      <c r="M2129" s="220"/>
      <c r="N2129" s="220"/>
    </row>
    <row r="2130" spans="1:14">
      <c r="B2130" s="6"/>
      <c r="D2130" s="218"/>
      <c r="E2130" s="218"/>
      <c r="F2130" s="218"/>
      <c r="G2130" s="218"/>
      <c r="H2130" s="218"/>
      <c r="I2130" s="218"/>
      <c r="J2130" s="218"/>
      <c r="K2130" s="218"/>
      <c r="L2130" s="218"/>
      <c r="M2130" s="218"/>
      <c r="N2130" s="218"/>
    </row>
    <row r="2131" spans="1:14" ht="18.5">
      <c r="A2131" s="9" t="s">
        <v>26</v>
      </c>
      <c r="C2131" s="71"/>
      <c r="D2131" s="221">
        <f xml:space="preserve"> D2100 + D2105 - D2111 + D2127 + D2129</f>
        <v>0</v>
      </c>
      <c r="E2131" s="222">
        <f xml:space="preserve"> E2100 + E2105 - E2111 + E2127 + E2129</f>
        <v>0</v>
      </c>
      <c r="F2131" s="222">
        <f xml:space="preserve"> F2100 + F2105 - F2111 + F2127 + F2129</f>
        <v>0</v>
      </c>
      <c r="G2131" s="222">
        <f t="shared" ref="G2131:N2131" si="914" xml:space="preserve"> G2100 + G2105 - G2111 + G2127 + G2129</f>
        <v>0</v>
      </c>
      <c r="H2131" s="222">
        <f t="shared" si="914"/>
        <v>0</v>
      </c>
      <c r="I2131" s="222">
        <f t="shared" si="914"/>
        <v>0</v>
      </c>
      <c r="J2131" s="222">
        <f t="shared" si="914"/>
        <v>4668</v>
      </c>
      <c r="K2131" s="222">
        <f t="shared" si="914"/>
        <v>0</v>
      </c>
      <c r="L2131" s="222">
        <f t="shared" si="914"/>
        <v>0</v>
      </c>
      <c r="M2131" s="222">
        <f t="shared" si="914"/>
        <v>0</v>
      </c>
      <c r="N2131" s="222">
        <f t="shared" si="914"/>
        <v>0</v>
      </c>
    </row>
    <row r="2132" spans="1:14">
      <c r="B2132" s="6"/>
      <c r="D2132" s="7"/>
      <c r="E2132" s="7"/>
      <c r="F2132" s="7"/>
      <c r="G2132" s="28"/>
      <c r="H2132" s="28"/>
      <c r="I2132" s="28"/>
      <c r="J2132" s="28"/>
      <c r="K2132" s="28"/>
      <c r="L2132" s="28"/>
      <c r="M2132" s="28"/>
      <c r="N2132" s="28"/>
    </row>
    <row r="2133" spans="1:14" ht="15" thickBot="1"/>
    <row r="2134" spans="1:14" ht="15" thickBot="1">
      <c r="A2134" s="8"/>
      <c r="B2134" s="8"/>
      <c r="C2134" s="8"/>
      <c r="D2134" s="8"/>
      <c r="E2134" s="8"/>
      <c r="F2134" s="8"/>
      <c r="G2134" s="8"/>
      <c r="H2134" s="8"/>
      <c r="I2134" s="8"/>
      <c r="J2134" s="8"/>
      <c r="K2134" s="8"/>
      <c r="L2134" s="8"/>
      <c r="M2134" s="8"/>
      <c r="N2134" s="8"/>
    </row>
    <row r="2135" spans="1:14" ht="21.5" thickBot="1">
      <c r="A2135" s="13" t="s">
        <v>4</v>
      </c>
      <c r="B2135" s="13"/>
      <c r="C2135" s="313" t="s">
        <v>183</v>
      </c>
      <c r="D2135" s="310"/>
      <c r="E2135" s="23"/>
      <c r="F2135" s="23"/>
    </row>
    <row r="2136" spans="1:14">
      <c r="I2136" s="12"/>
    </row>
    <row r="2137" spans="1:14" ht="18.5">
      <c r="A2137" s="9" t="s">
        <v>21</v>
      </c>
      <c r="B2137" s="9"/>
      <c r="D2137" s="2">
        <v>2011</v>
      </c>
      <c r="E2137" s="2">
        <f>D2137+1</f>
        <v>2012</v>
      </c>
      <c r="F2137" s="2">
        <f t="shared" ref="F2137:N2137" si="915">E2137+1</f>
        <v>2013</v>
      </c>
      <c r="G2137" s="2">
        <f t="shared" si="915"/>
        <v>2014</v>
      </c>
      <c r="H2137" s="2">
        <f t="shared" si="915"/>
        <v>2015</v>
      </c>
      <c r="I2137" s="2">
        <f t="shared" si="915"/>
        <v>2016</v>
      </c>
      <c r="J2137" s="2">
        <f t="shared" si="915"/>
        <v>2017</v>
      </c>
      <c r="K2137" s="2">
        <f t="shared" si="915"/>
        <v>2018</v>
      </c>
      <c r="L2137" s="2">
        <f t="shared" si="915"/>
        <v>2019</v>
      </c>
      <c r="M2137" s="2">
        <f t="shared" si="915"/>
        <v>2020</v>
      </c>
      <c r="N2137" s="2">
        <f t="shared" si="915"/>
        <v>2021</v>
      </c>
    </row>
    <row r="2138" spans="1:14">
      <c r="B2138" s="79" t="str">
        <f>"Total MWh Produced / Purchased from " &amp; C2135</f>
        <v>Total MWh Produced / Purchased from Pavant Solar</v>
      </c>
      <c r="C2138" s="71"/>
      <c r="D2138" s="3"/>
      <c r="E2138" s="4"/>
      <c r="F2138" s="4"/>
      <c r="G2138" s="4"/>
      <c r="H2138" s="4">
        <v>1391</v>
      </c>
      <c r="I2138" s="4">
        <v>109951</v>
      </c>
      <c r="J2138" s="4">
        <v>118002</v>
      </c>
      <c r="K2138" s="4">
        <v>121657</v>
      </c>
      <c r="L2138" s="4">
        <v>110948</v>
      </c>
      <c r="M2138" s="230">
        <v>119320</v>
      </c>
      <c r="N2138" s="230">
        <v>121338</v>
      </c>
    </row>
    <row r="2139" spans="1:14">
      <c r="B2139" s="79" t="s">
        <v>25</v>
      </c>
      <c r="C2139" s="71"/>
      <c r="D2139" s="54"/>
      <c r="E2139" s="55"/>
      <c r="F2139" s="55"/>
      <c r="G2139" s="55"/>
      <c r="H2139" s="55"/>
      <c r="I2139" s="55">
        <v>1</v>
      </c>
      <c r="J2139" s="55">
        <v>1</v>
      </c>
      <c r="K2139" s="55">
        <v>1</v>
      </c>
      <c r="L2139" s="55">
        <v>1</v>
      </c>
      <c r="M2139" s="234">
        <v>1</v>
      </c>
      <c r="N2139" s="234">
        <v>1</v>
      </c>
    </row>
    <row r="2140" spans="1:14">
      <c r="B2140" s="79" t="s">
        <v>20</v>
      </c>
      <c r="C2140" s="71"/>
      <c r="D2140" s="48"/>
      <c r="E2140" s="49"/>
      <c r="F2140" s="49"/>
      <c r="G2140" s="49"/>
      <c r="H2140" s="49">
        <v>0.22597768807094501</v>
      </c>
      <c r="I2140" s="49">
        <v>0.22741888098063476</v>
      </c>
      <c r="J2140" s="49">
        <v>0.22498369104255439</v>
      </c>
      <c r="K2140" s="49">
        <v>0.22007817037432531</v>
      </c>
      <c r="L2140" s="49">
        <v>0.2223660721260575</v>
      </c>
      <c r="M2140" s="243">
        <f>M880</f>
        <v>0.22351563443464154</v>
      </c>
      <c r="N2140" s="243">
        <f>N880</f>
        <v>0.22326821036945171</v>
      </c>
    </row>
    <row r="2141" spans="1:14">
      <c r="B2141" s="76" t="s">
        <v>22</v>
      </c>
      <c r="C2141" s="77"/>
      <c r="D2141" s="37">
        <v>0</v>
      </c>
      <c r="E2141" s="37">
        <v>0</v>
      </c>
      <c r="F2141" s="37">
        <v>0</v>
      </c>
      <c r="G2141" s="37">
        <v>0</v>
      </c>
      <c r="H2141" s="37">
        <v>316</v>
      </c>
      <c r="I2141" s="236">
        <v>25003</v>
      </c>
      <c r="J2141" s="236">
        <v>26549</v>
      </c>
      <c r="K2141" s="236">
        <v>26773</v>
      </c>
      <c r="L2141" s="236">
        <f>L2138*L2140</f>
        <v>24671.070970241828</v>
      </c>
      <c r="M2141" s="236">
        <f t="shared" ref="M2141:N2141" si="916">M2138*M2140</f>
        <v>26669.885500741428</v>
      </c>
      <c r="N2141" s="236">
        <f t="shared" si="916"/>
        <v>27090.918109808532</v>
      </c>
    </row>
    <row r="2142" spans="1:14">
      <c r="B2142" s="23"/>
      <c r="C2142" s="30"/>
      <c r="D2142" s="36"/>
      <c r="E2142" s="36"/>
      <c r="F2142" s="36"/>
      <c r="G2142" s="36"/>
      <c r="H2142" s="36"/>
      <c r="I2142" s="36"/>
      <c r="J2142" s="36"/>
      <c r="K2142" s="36"/>
      <c r="L2142" s="36"/>
      <c r="M2142" s="36"/>
      <c r="N2142" s="36"/>
    </row>
    <row r="2143" spans="1:14" ht="18.5">
      <c r="A2143" s="42" t="s">
        <v>119</v>
      </c>
      <c r="C2143" s="30"/>
      <c r="D2143" s="2">
        <v>2011</v>
      </c>
      <c r="E2143" s="2">
        <f>D2143+1</f>
        <v>2012</v>
      </c>
      <c r="F2143" s="2">
        <f t="shared" ref="F2143:N2143" si="917">E2143+1</f>
        <v>2013</v>
      </c>
      <c r="G2143" s="2">
        <f t="shared" si="917"/>
        <v>2014</v>
      </c>
      <c r="H2143" s="2">
        <f t="shared" si="917"/>
        <v>2015</v>
      </c>
      <c r="I2143" s="2">
        <f t="shared" si="917"/>
        <v>2016</v>
      </c>
      <c r="J2143" s="2">
        <f t="shared" si="917"/>
        <v>2017</v>
      </c>
      <c r="K2143" s="2">
        <f t="shared" si="917"/>
        <v>2018</v>
      </c>
      <c r="L2143" s="2">
        <f t="shared" si="917"/>
        <v>2019</v>
      </c>
      <c r="M2143" s="2">
        <f t="shared" si="917"/>
        <v>2020</v>
      </c>
      <c r="N2143" s="2">
        <f t="shared" si="917"/>
        <v>2021</v>
      </c>
    </row>
    <row r="2144" spans="1:14">
      <c r="B2144" s="79" t="s">
        <v>10</v>
      </c>
      <c r="C2144" s="71"/>
      <c r="D2144" s="51">
        <f>IF($E46= "Eligible", D2141 * 'Facility Detail'!$B$3079, 0 )</f>
        <v>0</v>
      </c>
      <c r="E2144" s="51">
        <f>IF($E46= "Eligible", E2141 * 'Facility Detail'!$B$3079, 0 )</f>
        <v>0</v>
      </c>
      <c r="F2144" s="51">
        <f>IF($E46= "Eligible", F2141 * 'Facility Detail'!$B$3079, 0 )</f>
        <v>0</v>
      </c>
      <c r="G2144" s="51">
        <f>IF($E46= "Eligible", G2141 * 'Facility Detail'!$B$3079, 0 )</f>
        <v>0</v>
      </c>
      <c r="H2144" s="51">
        <f>IF($E46= "Eligible", H2141 * 'Facility Detail'!$B$3079, 0 )</f>
        <v>0</v>
      </c>
      <c r="I2144" s="51">
        <f>IF($E46= "Eligible", I2141 * 'Facility Detail'!$B$3079, 0 )</f>
        <v>0</v>
      </c>
      <c r="J2144" s="51">
        <f>IF($E46= "Eligible", J2141 * 'Facility Detail'!$B$3079, 0 )</f>
        <v>0</v>
      </c>
      <c r="K2144" s="51">
        <f>IF($E46= "Eligible", K2141 * 'Facility Detail'!$B$3079, 0 )</f>
        <v>0</v>
      </c>
      <c r="L2144" s="51">
        <f>IF($E46= "Eligible", L2141 * 'Facility Detail'!$B$3079, 0 )</f>
        <v>0</v>
      </c>
      <c r="M2144" s="51">
        <f>IF($E46= "Eligible", M2141 * 'Facility Detail'!$B$3079, 0 )</f>
        <v>0</v>
      </c>
      <c r="N2144" s="51">
        <f>IF($E46= "Eligible", N2141 * 'Facility Detail'!$B$3079, 0 )</f>
        <v>0</v>
      </c>
    </row>
    <row r="2145" spans="1:14">
      <c r="B2145" s="79" t="s">
        <v>6</v>
      </c>
      <c r="C2145" s="71"/>
      <c r="D2145" s="52">
        <f t="shared" ref="D2145:N2145" si="918">IF($F46= "Eligible", D2141, 0 )</f>
        <v>0</v>
      </c>
      <c r="E2145" s="52">
        <f t="shared" si="918"/>
        <v>0</v>
      </c>
      <c r="F2145" s="52">
        <f t="shared" si="918"/>
        <v>0</v>
      </c>
      <c r="G2145" s="52">
        <f t="shared" si="918"/>
        <v>0</v>
      </c>
      <c r="H2145" s="52">
        <f t="shared" si="918"/>
        <v>0</v>
      </c>
      <c r="I2145" s="52">
        <f t="shared" si="918"/>
        <v>0</v>
      </c>
      <c r="J2145" s="52">
        <f t="shared" si="918"/>
        <v>0</v>
      </c>
      <c r="K2145" s="52">
        <f t="shared" si="918"/>
        <v>0</v>
      </c>
      <c r="L2145" s="52">
        <f t="shared" si="918"/>
        <v>0</v>
      </c>
      <c r="M2145" s="52">
        <f t="shared" si="918"/>
        <v>0</v>
      </c>
      <c r="N2145" s="52">
        <f t="shared" si="918"/>
        <v>0</v>
      </c>
    </row>
    <row r="2146" spans="1:14">
      <c r="B2146" s="78" t="s">
        <v>121</v>
      </c>
      <c r="C2146" s="77"/>
      <c r="D2146" s="39">
        <f>SUM(D2144:D2145)</f>
        <v>0</v>
      </c>
      <c r="E2146" s="39">
        <f t="shared" ref="E2146:N2146" si="919">SUM(E2144:E2145)</f>
        <v>0</v>
      </c>
      <c r="F2146" s="39">
        <f t="shared" si="919"/>
        <v>0</v>
      </c>
      <c r="G2146" s="39">
        <f t="shared" si="919"/>
        <v>0</v>
      </c>
      <c r="H2146" s="39">
        <f t="shared" si="919"/>
        <v>0</v>
      </c>
      <c r="I2146" s="39">
        <f t="shared" si="919"/>
        <v>0</v>
      </c>
      <c r="J2146" s="39">
        <f t="shared" si="919"/>
        <v>0</v>
      </c>
      <c r="K2146" s="39">
        <f t="shared" si="919"/>
        <v>0</v>
      </c>
      <c r="L2146" s="39">
        <f t="shared" si="919"/>
        <v>0</v>
      </c>
      <c r="M2146" s="39">
        <f t="shared" si="919"/>
        <v>0</v>
      </c>
      <c r="N2146" s="39">
        <f t="shared" si="919"/>
        <v>0</v>
      </c>
    </row>
    <row r="2147" spans="1:14">
      <c r="B2147" s="30"/>
      <c r="C2147" s="30"/>
      <c r="D2147" s="38"/>
      <c r="E2147" s="31"/>
      <c r="F2147" s="31"/>
      <c r="G2147" s="31"/>
      <c r="H2147" s="31"/>
      <c r="I2147" s="31"/>
      <c r="J2147" s="31"/>
      <c r="K2147" s="31"/>
      <c r="L2147" s="31"/>
      <c r="M2147" s="31"/>
      <c r="N2147" s="31"/>
    </row>
    <row r="2148" spans="1:14" ht="18.5">
      <c r="A2148" s="41" t="s">
        <v>30</v>
      </c>
      <c r="C2148" s="30"/>
      <c r="D2148" s="2">
        <v>2011</v>
      </c>
      <c r="E2148" s="2">
        <f>D2148+1</f>
        <v>2012</v>
      </c>
      <c r="F2148" s="2">
        <f t="shared" ref="F2148:N2148" si="920">E2148+1</f>
        <v>2013</v>
      </c>
      <c r="G2148" s="2">
        <f t="shared" si="920"/>
        <v>2014</v>
      </c>
      <c r="H2148" s="2">
        <f t="shared" si="920"/>
        <v>2015</v>
      </c>
      <c r="I2148" s="2">
        <f t="shared" si="920"/>
        <v>2016</v>
      </c>
      <c r="J2148" s="2">
        <f t="shared" si="920"/>
        <v>2017</v>
      </c>
      <c r="K2148" s="2">
        <f t="shared" si="920"/>
        <v>2018</v>
      </c>
      <c r="L2148" s="2">
        <f t="shared" si="920"/>
        <v>2019</v>
      </c>
      <c r="M2148" s="2">
        <f t="shared" si="920"/>
        <v>2020</v>
      </c>
      <c r="N2148" s="2">
        <f t="shared" si="920"/>
        <v>2021</v>
      </c>
    </row>
    <row r="2149" spans="1:14">
      <c r="B2149" s="79" t="s">
        <v>47</v>
      </c>
      <c r="C2149" s="71"/>
      <c r="D2149" s="89"/>
      <c r="E2149" s="90"/>
      <c r="F2149" s="90"/>
      <c r="G2149" s="90"/>
      <c r="H2149" s="90"/>
      <c r="I2149" s="90"/>
      <c r="J2149" s="90"/>
      <c r="K2149" s="90"/>
      <c r="L2149" s="90"/>
      <c r="M2149" s="90"/>
      <c r="N2149" s="90"/>
    </row>
    <row r="2150" spans="1:14">
      <c r="B2150" s="80" t="s">
        <v>23</v>
      </c>
      <c r="C2150" s="175"/>
      <c r="D2150" s="92"/>
      <c r="E2150" s="93"/>
      <c r="F2150" s="93"/>
      <c r="G2150" s="93"/>
      <c r="H2150" s="93"/>
      <c r="I2150" s="93"/>
      <c r="J2150" s="93"/>
      <c r="K2150" s="93"/>
      <c r="L2150" s="93"/>
      <c r="M2150" s="93"/>
      <c r="N2150" s="93"/>
    </row>
    <row r="2151" spans="1:14">
      <c r="B2151" s="95" t="s">
        <v>89</v>
      </c>
      <c r="C2151" s="173"/>
      <c r="D2151" s="57"/>
      <c r="E2151" s="58"/>
      <c r="F2151" s="58"/>
      <c r="G2151" s="58"/>
      <c r="H2151" s="58"/>
      <c r="I2151" s="58"/>
      <c r="J2151" s="58"/>
      <c r="K2151" s="58"/>
      <c r="L2151" s="58"/>
      <c r="M2151" s="58"/>
      <c r="N2151" s="58"/>
    </row>
    <row r="2152" spans="1:14">
      <c r="B2152" s="33" t="s">
        <v>90</v>
      </c>
      <c r="D2152" s="7">
        <v>0</v>
      </c>
      <c r="E2152" s="7">
        <v>0</v>
      </c>
      <c r="F2152" s="7">
        <v>0</v>
      </c>
      <c r="G2152" s="7">
        <v>0</v>
      </c>
      <c r="H2152" s="7">
        <v>0</v>
      </c>
      <c r="I2152" s="7">
        <v>0</v>
      </c>
      <c r="J2152" s="7">
        <v>0</v>
      </c>
      <c r="K2152" s="7">
        <v>0</v>
      </c>
      <c r="L2152" s="7">
        <v>0</v>
      </c>
      <c r="M2152" s="7">
        <v>0</v>
      </c>
      <c r="N2152" s="7">
        <v>0</v>
      </c>
    </row>
    <row r="2153" spans="1:14">
      <c r="B2153" s="6"/>
      <c r="D2153" s="7"/>
      <c r="E2153" s="7"/>
      <c r="F2153" s="7"/>
      <c r="G2153" s="28"/>
      <c r="H2153" s="28"/>
      <c r="I2153" s="28"/>
      <c r="J2153" s="28"/>
      <c r="K2153" s="28"/>
      <c r="L2153" s="28"/>
      <c r="M2153" s="28"/>
      <c r="N2153" s="28"/>
    </row>
    <row r="2154" spans="1:14" ht="18.5">
      <c r="A2154" s="9" t="s">
        <v>100</v>
      </c>
      <c r="D2154" s="2">
        <f>'Facility Detail'!$B$3082</f>
        <v>2011</v>
      </c>
      <c r="E2154" s="2">
        <f>D2154+1</f>
        <v>2012</v>
      </c>
      <c r="F2154" s="2">
        <f t="shared" ref="F2154:N2154" si="921">E2154+1</f>
        <v>2013</v>
      </c>
      <c r="G2154" s="2">
        <f t="shared" si="921"/>
        <v>2014</v>
      </c>
      <c r="H2154" s="2">
        <f t="shared" si="921"/>
        <v>2015</v>
      </c>
      <c r="I2154" s="2">
        <f t="shared" si="921"/>
        <v>2016</v>
      </c>
      <c r="J2154" s="2">
        <f t="shared" si="921"/>
        <v>2017</v>
      </c>
      <c r="K2154" s="2">
        <f t="shared" si="921"/>
        <v>2018</v>
      </c>
      <c r="L2154" s="2">
        <f t="shared" si="921"/>
        <v>2019</v>
      </c>
      <c r="M2154" s="2">
        <f t="shared" si="921"/>
        <v>2020</v>
      </c>
      <c r="N2154" s="2">
        <f t="shared" si="921"/>
        <v>2021</v>
      </c>
    </row>
    <row r="2155" spans="1:14">
      <c r="B2155" s="79" t="s">
        <v>68</v>
      </c>
      <c r="C2155" s="71"/>
      <c r="D2155" s="3"/>
      <c r="E2155" s="60">
        <f>D2155</f>
        <v>0</v>
      </c>
      <c r="F2155" s="131"/>
      <c r="G2155" s="131"/>
      <c r="H2155" s="131"/>
      <c r="I2155" s="131"/>
      <c r="J2155" s="131"/>
      <c r="K2155" s="131"/>
      <c r="L2155" s="131"/>
      <c r="M2155" s="131"/>
      <c r="N2155" s="61"/>
    </row>
    <row r="2156" spans="1:14">
      <c r="B2156" s="79" t="s">
        <v>69</v>
      </c>
      <c r="C2156" s="71"/>
      <c r="D2156" s="164">
        <f>E2156</f>
        <v>0</v>
      </c>
      <c r="E2156" s="10"/>
      <c r="F2156" s="74"/>
      <c r="G2156" s="74"/>
      <c r="H2156" s="74"/>
      <c r="I2156" s="74"/>
      <c r="J2156" s="74"/>
      <c r="K2156" s="74"/>
      <c r="L2156" s="74"/>
      <c r="M2156" s="74"/>
      <c r="N2156" s="165"/>
    </row>
    <row r="2157" spans="1:14">
      <c r="B2157" s="79" t="s">
        <v>70</v>
      </c>
      <c r="C2157" s="71"/>
      <c r="D2157" s="62"/>
      <c r="E2157" s="10">
        <f>E2141</f>
        <v>0</v>
      </c>
      <c r="F2157" s="70">
        <f>E2157</f>
        <v>0</v>
      </c>
      <c r="G2157" s="74"/>
      <c r="H2157" s="74"/>
      <c r="I2157" s="74"/>
      <c r="J2157" s="74"/>
      <c r="K2157" s="74"/>
      <c r="L2157" s="74"/>
      <c r="M2157" s="74"/>
      <c r="N2157" s="165"/>
    </row>
    <row r="2158" spans="1:14">
      <c r="B2158" s="79" t="s">
        <v>71</v>
      </c>
      <c r="C2158" s="71"/>
      <c r="D2158" s="62"/>
      <c r="E2158" s="70">
        <f>F2158</f>
        <v>0</v>
      </c>
      <c r="F2158" s="163"/>
      <c r="G2158" s="74"/>
      <c r="H2158" s="74"/>
      <c r="I2158" s="74"/>
      <c r="J2158" s="74"/>
      <c r="K2158" s="74"/>
      <c r="L2158" s="74"/>
      <c r="M2158" s="74"/>
      <c r="N2158" s="165"/>
    </row>
    <row r="2159" spans="1:14">
      <c r="B2159" s="79" t="s">
        <v>171</v>
      </c>
      <c r="C2159" s="30"/>
      <c r="D2159" s="62"/>
      <c r="E2159" s="148"/>
      <c r="F2159" s="10">
        <f>F2141</f>
        <v>0</v>
      </c>
      <c r="G2159" s="149">
        <f>F2159</f>
        <v>0</v>
      </c>
      <c r="H2159" s="74"/>
      <c r="I2159" s="74"/>
      <c r="J2159" s="74"/>
      <c r="K2159" s="74"/>
      <c r="L2159" s="74"/>
      <c r="M2159" s="74"/>
      <c r="N2159" s="165"/>
    </row>
    <row r="2160" spans="1:14">
      <c r="B2160" s="79" t="s">
        <v>172</v>
      </c>
      <c r="C2160" s="30"/>
      <c r="D2160" s="62"/>
      <c r="E2160" s="148"/>
      <c r="F2160" s="70">
        <f>G2160</f>
        <v>0</v>
      </c>
      <c r="G2160" s="10"/>
      <c r="H2160" s="74"/>
      <c r="I2160" s="74"/>
      <c r="J2160" s="74"/>
      <c r="K2160" s="74"/>
      <c r="L2160" s="74"/>
      <c r="M2160" s="74"/>
      <c r="N2160" s="165"/>
    </row>
    <row r="2161" spans="2:14">
      <c r="B2161" s="79" t="s">
        <v>173</v>
      </c>
      <c r="C2161" s="30"/>
      <c r="D2161" s="62"/>
      <c r="E2161" s="148"/>
      <c r="F2161" s="148"/>
      <c r="G2161" s="10">
        <f>G2141</f>
        <v>0</v>
      </c>
      <c r="H2161" s="149">
        <f>G2161</f>
        <v>0</v>
      </c>
      <c r="I2161" s="148">
        <f>H2161</f>
        <v>0</v>
      </c>
      <c r="J2161" s="74"/>
      <c r="K2161" s="74"/>
      <c r="L2161" s="74"/>
      <c r="M2161" s="74"/>
      <c r="N2161" s="152"/>
    </row>
    <row r="2162" spans="2:14">
      <c r="B2162" s="79" t="s">
        <v>174</v>
      </c>
      <c r="C2162" s="30"/>
      <c r="D2162" s="62"/>
      <c r="E2162" s="148"/>
      <c r="F2162" s="148"/>
      <c r="G2162" s="70"/>
      <c r="H2162" s="10"/>
      <c r="I2162" s="148"/>
      <c r="J2162" s="74"/>
      <c r="K2162" s="74"/>
      <c r="L2162" s="74"/>
      <c r="M2162" s="74"/>
      <c r="N2162" s="152"/>
    </row>
    <row r="2163" spans="2:14">
      <c r="B2163" s="79" t="s">
        <v>175</v>
      </c>
      <c r="C2163" s="30"/>
      <c r="D2163" s="62"/>
      <c r="E2163" s="148"/>
      <c r="F2163" s="148"/>
      <c r="G2163" s="148"/>
      <c r="H2163" s="10">
        <v>316</v>
      </c>
      <c r="I2163" s="149">
        <f>H2163</f>
        <v>316</v>
      </c>
      <c r="J2163" s="74"/>
      <c r="K2163" s="74"/>
      <c r="L2163" s="74"/>
      <c r="M2163" s="74"/>
      <c r="N2163" s="152"/>
    </row>
    <row r="2164" spans="2:14">
      <c r="B2164" s="79" t="s">
        <v>176</v>
      </c>
      <c r="C2164" s="30"/>
      <c r="D2164" s="62"/>
      <c r="E2164" s="148"/>
      <c r="F2164" s="148"/>
      <c r="G2164" s="148"/>
      <c r="H2164" s="70">
        <v>0</v>
      </c>
      <c r="I2164" s="10"/>
      <c r="J2164" s="74"/>
      <c r="K2164" s="74"/>
      <c r="L2164" s="74"/>
      <c r="M2164" s="74"/>
      <c r="N2164" s="152"/>
    </row>
    <row r="2165" spans="2:14">
      <c r="B2165" s="79" t="s">
        <v>177</v>
      </c>
      <c r="C2165" s="30"/>
      <c r="D2165" s="62"/>
      <c r="E2165" s="148"/>
      <c r="F2165" s="148"/>
      <c r="G2165" s="148"/>
      <c r="H2165" s="148"/>
      <c r="I2165" s="207">
        <f>I2141</f>
        <v>25003</v>
      </c>
      <c r="J2165" s="150">
        <f>I2165</f>
        <v>25003</v>
      </c>
      <c r="K2165" s="74"/>
      <c r="L2165" s="74"/>
      <c r="M2165" s="74"/>
      <c r="N2165" s="152"/>
    </row>
    <row r="2166" spans="2:14">
      <c r="B2166" s="79" t="s">
        <v>168</v>
      </c>
      <c r="C2166" s="30"/>
      <c r="D2166" s="62"/>
      <c r="E2166" s="148"/>
      <c r="F2166" s="148"/>
      <c r="G2166" s="148"/>
      <c r="H2166" s="148"/>
      <c r="I2166" s="208">
        <v>0</v>
      </c>
      <c r="J2166" s="151"/>
      <c r="K2166" s="74"/>
      <c r="L2166" s="74"/>
      <c r="M2166" s="74"/>
      <c r="N2166" s="152"/>
    </row>
    <row r="2167" spans="2:14">
      <c r="B2167" s="79" t="s">
        <v>169</v>
      </c>
      <c r="C2167" s="30"/>
      <c r="D2167" s="62"/>
      <c r="E2167" s="148"/>
      <c r="F2167" s="148"/>
      <c r="G2167" s="148"/>
      <c r="H2167" s="148"/>
      <c r="I2167" s="148"/>
      <c r="J2167" s="151">
        <v>26549</v>
      </c>
      <c r="K2167" s="150">
        <f>J2167</f>
        <v>26549</v>
      </c>
      <c r="L2167" s="74"/>
      <c r="M2167" s="74"/>
      <c r="N2167" s="152"/>
    </row>
    <row r="2168" spans="2:14">
      <c r="B2168" s="79" t="s">
        <v>186</v>
      </c>
      <c r="C2168" s="30"/>
      <c r="D2168" s="62"/>
      <c r="E2168" s="148"/>
      <c r="F2168" s="148"/>
      <c r="G2168" s="148"/>
      <c r="H2168" s="148"/>
      <c r="I2168" s="148"/>
      <c r="J2168" s="148"/>
      <c r="K2168" s="151"/>
      <c r="L2168" s="74"/>
      <c r="M2168" s="74"/>
      <c r="N2168" s="152"/>
    </row>
    <row r="2169" spans="2:14">
      <c r="B2169" s="79" t="s">
        <v>187</v>
      </c>
      <c r="C2169" s="30"/>
      <c r="D2169" s="62"/>
      <c r="E2169" s="148"/>
      <c r="F2169" s="148"/>
      <c r="G2169" s="148"/>
      <c r="H2169" s="148"/>
      <c r="I2169" s="148"/>
      <c r="J2169" s="148"/>
      <c r="K2169" s="151">
        <f>K2141</f>
        <v>26773</v>
      </c>
      <c r="L2169" s="150">
        <f>K2169</f>
        <v>26773</v>
      </c>
      <c r="M2169" s="74"/>
      <c r="N2169" s="152"/>
    </row>
    <row r="2170" spans="2:14">
      <c r="B2170" s="79" t="s">
        <v>188</v>
      </c>
      <c r="C2170" s="30"/>
      <c r="D2170" s="62"/>
      <c r="E2170" s="148"/>
      <c r="F2170" s="148"/>
      <c r="G2170" s="148"/>
      <c r="H2170" s="148"/>
      <c r="I2170" s="148"/>
      <c r="J2170" s="148"/>
      <c r="K2170" s="275"/>
      <c r="L2170" s="151"/>
      <c r="M2170" s="74"/>
      <c r="N2170" s="233"/>
    </row>
    <row r="2171" spans="2:14">
      <c r="B2171" s="79" t="s">
        <v>189</v>
      </c>
      <c r="C2171" s="30"/>
      <c r="D2171" s="62"/>
      <c r="E2171" s="148"/>
      <c r="F2171" s="148"/>
      <c r="G2171" s="148"/>
      <c r="H2171" s="148"/>
      <c r="I2171" s="148"/>
      <c r="J2171" s="148"/>
      <c r="K2171" s="148"/>
      <c r="L2171" s="151"/>
      <c r="M2171" s="150">
        <f>L2171</f>
        <v>0</v>
      </c>
      <c r="N2171" s="152"/>
    </row>
    <row r="2172" spans="2:14">
      <c r="B2172" s="79" t="s">
        <v>190</v>
      </c>
      <c r="C2172" s="30"/>
      <c r="D2172" s="62"/>
      <c r="E2172" s="148"/>
      <c r="F2172" s="148"/>
      <c r="G2172" s="148"/>
      <c r="H2172" s="148"/>
      <c r="I2172" s="148"/>
      <c r="J2172" s="148"/>
      <c r="K2172" s="148"/>
      <c r="L2172" s="150">
        <v>16956</v>
      </c>
      <c r="M2172" s="151">
        <v>16956</v>
      </c>
      <c r="N2172" s="152"/>
    </row>
    <row r="2173" spans="2:14">
      <c r="B2173" s="79" t="s">
        <v>191</v>
      </c>
      <c r="C2173" s="30"/>
      <c r="D2173" s="62"/>
      <c r="E2173" s="148"/>
      <c r="F2173" s="148"/>
      <c r="G2173" s="148"/>
      <c r="H2173" s="148"/>
      <c r="I2173" s="148"/>
      <c r="J2173" s="148"/>
      <c r="K2173" s="148"/>
      <c r="L2173" s="148"/>
      <c r="M2173" s="151"/>
      <c r="N2173" s="150">
        <f>M2173</f>
        <v>0</v>
      </c>
    </row>
    <row r="2174" spans="2:14">
      <c r="B2174" s="79" t="s">
        <v>201</v>
      </c>
      <c r="C2174" s="30"/>
      <c r="D2174" s="62"/>
      <c r="E2174" s="148"/>
      <c r="F2174" s="148"/>
      <c r="G2174" s="148"/>
      <c r="H2174" s="148"/>
      <c r="I2174" s="148"/>
      <c r="J2174" s="148"/>
      <c r="K2174" s="148"/>
      <c r="L2174" s="148"/>
      <c r="M2174" s="150">
        <v>0</v>
      </c>
      <c r="N2174" s="151"/>
    </row>
    <row r="2175" spans="2:14">
      <c r="B2175" s="79" t="s">
        <v>202</v>
      </c>
      <c r="C2175" s="30"/>
      <c r="D2175" s="63"/>
      <c r="E2175" s="133"/>
      <c r="F2175" s="133"/>
      <c r="G2175" s="133"/>
      <c r="H2175" s="133"/>
      <c r="I2175" s="133"/>
      <c r="J2175" s="133"/>
      <c r="K2175" s="133"/>
      <c r="L2175" s="133"/>
      <c r="M2175" s="133"/>
      <c r="N2175" s="153"/>
    </row>
    <row r="2176" spans="2:14">
      <c r="B2176" s="33" t="s">
        <v>17</v>
      </c>
      <c r="D2176" s="218">
        <f xml:space="preserve"> D2161 - D2160</f>
        <v>0</v>
      </c>
      <c r="E2176" s="218">
        <f xml:space="preserve"> E2160 + E2163 - E2162 - E2161</f>
        <v>0</v>
      </c>
      <c r="F2176" s="218">
        <f>F2162 - F2163</f>
        <v>0</v>
      </c>
      <c r="G2176" s="218">
        <f>G2162 - G2163</f>
        <v>0</v>
      </c>
      <c r="H2176" s="237">
        <f>H2161-H2162-H2163</f>
        <v>-316</v>
      </c>
      <c r="I2176" s="237">
        <f>I2163-I2164-I2165</f>
        <v>-24687</v>
      </c>
      <c r="J2176" s="237">
        <f>J2165-J2166-J2167</f>
        <v>-1546</v>
      </c>
      <c r="K2176" s="237">
        <f>K2167-K2168-K2169</f>
        <v>-224</v>
      </c>
      <c r="L2176" s="237">
        <f>L2169-L2170-L2171+L2172</f>
        <v>43729</v>
      </c>
      <c r="M2176" s="237">
        <f>M2171-M2172-M2173+M2174</f>
        <v>-16956</v>
      </c>
      <c r="N2176" s="237">
        <f>N2174*-1</f>
        <v>0</v>
      </c>
    </row>
    <row r="2177" spans="1:15">
      <c r="B2177" s="6"/>
      <c r="D2177" s="218"/>
      <c r="E2177" s="218"/>
      <c r="F2177" s="218"/>
      <c r="G2177" s="218"/>
      <c r="H2177" s="218"/>
      <c r="I2177" s="218"/>
      <c r="J2177" s="218"/>
      <c r="K2177" s="218"/>
      <c r="L2177" s="218"/>
      <c r="M2177" s="218"/>
      <c r="N2177" s="218"/>
    </row>
    <row r="2178" spans="1:15">
      <c r="B2178" s="76" t="s">
        <v>12</v>
      </c>
      <c r="C2178" s="71"/>
      <c r="D2178" s="219"/>
      <c r="E2178" s="220"/>
      <c r="F2178" s="220"/>
      <c r="G2178" s="220"/>
      <c r="H2178" s="220"/>
      <c r="I2178" s="220"/>
      <c r="J2178" s="220"/>
      <c r="K2178" s="220"/>
      <c r="L2178" s="220"/>
      <c r="M2178" s="220"/>
      <c r="N2178" s="220"/>
    </row>
    <row r="2179" spans="1:15">
      <c r="B2179" s="6"/>
      <c r="D2179" s="218"/>
      <c r="E2179" s="218"/>
      <c r="F2179" s="218"/>
      <c r="G2179" s="218"/>
      <c r="H2179" s="218"/>
      <c r="I2179" s="218"/>
      <c r="J2179" s="218"/>
      <c r="K2179" s="218"/>
      <c r="L2179" s="218"/>
      <c r="M2179" s="218"/>
      <c r="N2179" s="218"/>
    </row>
    <row r="2180" spans="1:15" ht="18.5">
      <c r="A2180" s="41" t="s">
        <v>26</v>
      </c>
      <c r="C2180" s="71"/>
      <c r="D2180" s="249">
        <f t="shared" ref="D2180:N2180" si="922" xml:space="preserve"> D2141 + D2146 - D2152 + D2176 + D2178</f>
        <v>0</v>
      </c>
      <c r="E2180" s="248">
        <f t="shared" si="922"/>
        <v>0</v>
      </c>
      <c r="F2180" s="248">
        <f t="shared" si="922"/>
        <v>0</v>
      </c>
      <c r="G2180" s="248">
        <f t="shared" si="922"/>
        <v>0</v>
      </c>
      <c r="H2180" s="248">
        <f t="shared" si="922"/>
        <v>0</v>
      </c>
      <c r="I2180" s="248">
        <f t="shared" si="922"/>
        <v>316</v>
      </c>
      <c r="J2180" s="248">
        <f t="shared" si="922"/>
        <v>25003</v>
      </c>
      <c r="K2180" s="248">
        <f t="shared" si="922"/>
        <v>26549</v>
      </c>
      <c r="L2180" s="248">
        <f t="shared" si="922"/>
        <v>68400.070970241824</v>
      </c>
      <c r="M2180" s="248">
        <f t="shared" si="922"/>
        <v>9713.8855007414277</v>
      </c>
      <c r="N2180" s="248">
        <f t="shared" si="922"/>
        <v>27090.918109808532</v>
      </c>
    </row>
    <row r="2181" spans="1:15" ht="15.75" customHeight="1" thickBot="1">
      <c r="O2181" s="30"/>
    </row>
    <row r="2182" spans="1:15" ht="15" thickBot="1">
      <c r="A2182" s="8"/>
      <c r="B2182" s="8"/>
      <c r="C2182" s="8"/>
      <c r="D2182" s="8"/>
      <c r="E2182" s="8"/>
      <c r="F2182" s="8"/>
      <c r="G2182" s="8"/>
      <c r="H2182" s="8"/>
      <c r="I2182" s="8"/>
      <c r="J2182" s="8"/>
      <c r="K2182" s="8"/>
      <c r="L2182" s="8"/>
      <c r="M2182" s="8"/>
      <c r="N2182" s="8"/>
    </row>
    <row r="2183" spans="1:15" ht="21.5" thickBot="1">
      <c r="A2183" s="13" t="s">
        <v>4</v>
      </c>
      <c r="B2183" s="13"/>
      <c r="C2183" s="313" t="s">
        <v>263</v>
      </c>
      <c r="D2183" s="310"/>
      <c r="E2183" s="23"/>
      <c r="F2183" s="23"/>
    </row>
    <row r="2185" spans="1:15" ht="18.5">
      <c r="A2185" s="9" t="s">
        <v>21</v>
      </c>
      <c r="B2185" s="9"/>
      <c r="D2185" s="2">
        <v>2011</v>
      </c>
      <c r="E2185" s="2">
        <f>D2185+1</f>
        <v>2012</v>
      </c>
      <c r="F2185" s="2">
        <f t="shared" ref="F2185" si="923">E2185+1</f>
        <v>2013</v>
      </c>
      <c r="G2185" s="2">
        <f t="shared" ref="G2185" si="924">F2185+1</f>
        <v>2014</v>
      </c>
      <c r="H2185" s="2">
        <f t="shared" ref="H2185" si="925">G2185+1</f>
        <v>2015</v>
      </c>
      <c r="I2185" s="2">
        <f t="shared" ref="I2185" si="926">H2185+1</f>
        <v>2016</v>
      </c>
      <c r="J2185" s="2">
        <f t="shared" ref="J2185" si="927">I2185+1</f>
        <v>2017</v>
      </c>
      <c r="K2185" s="2">
        <f t="shared" ref="K2185" si="928">J2185+1</f>
        <v>2018</v>
      </c>
      <c r="L2185" s="2">
        <f t="shared" ref="L2185" si="929">K2185+1</f>
        <v>2019</v>
      </c>
      <c r="M2185" s="2">
        <f t="shared" ref="M2185" si="930">L2185+1</f>
        <v>2020</v>
      </c>
      <c r="N2185" s="2">
        <f t="shared" ref="N2185" si="931">M2185+1</f>
        <v>2021</v>
      </c>
    </row>
    <row r="2186" spans="1:15">
      <c r="B2186" s="79" t="str">
        <f>"Total MWh Produced / Purchased from " &amp; C2183</f>
        <v>Total MWh Produced / Purchased from Pavant Solar II</v>
      </c>
      <c r="C2186" s="71"/>
      <c r="D2186" s="3"/>
      <c r="E2186" s="4"/>
      <c r="F2186" s="4"/>
      <c r="G2186" s="4"/>
      <c r="H2186" s="4"/>
      <c r="I2186" s="4"/>
      <c r="J2186" s="4"/>
      <c r="K2186" s="4"/>
      <c r="L2186" s="4"/>
      <c r="M2186" s="230"/>
      <c r="N2186" s="230">
        <v>127688</v>
      </c>
    </row>
    <row r="2187" spans="1:15">
      <c r="B2187" s="79" t="s">
        <v>25</v>
      </c>
      <c r="C2187" s="71"/>
      <c r="D2187" s="54"/>
      <c r="E2187" s="55"/>
      <c r="F2187" s="55"/>
      <c r="G2187" s="55"/>
      <c r="H2187" s="55"/>
      <c r="I2187" s="55"/>
      <c r="J2187" s="55"/>
      <c r="K2187" s="55"/>
      <c r="L2187" s="55"/>
      <c r="M2187" s="234"/>
      <c r="N2187" s="234">
        <v>1</v>
      </c>
    </row>
    <row r="2188" spans="1:15">
      <c r="B2188" s="79" t="s">
        <v>20</v>
      </c>
      <c r="C2188" s="71"/>
      <c r="D2188" s="48"/>
      <c r="E2188" s="49"/>
      <c r="F2188" s="49"/>
      <c r="G2188" s="49"/>
      <c r="H2188" s="49"/>
      <c r="I2188" s="49"/>
      <c r="J2188" s="49"/>
      <c r="K2188" s="49"/>
      <c r="L2188" s="49"/>
      <c r="M2188" s="243"/>
      <c r="N2188" s="243">
        <f>N2009</f>
        <v>8.0780946790754593E-2</v>
      </c>
    </row>
    <row r="2189" spans="1:15">
      <c r="B2189" s="76" t="s">
        <v>22</v>
      </c>
      <c r="C2189" s="77"/>
      <c r="D2189" s="37">
        <v>0</v>
      </c>
      <c r="E2189" s="37">
        <v>0</v>
      </c>
      <c r="F2189" s="37">
        <v>0</v>
      </c>
      <c r="G2189" s="37">
        <v>0</v>
      </c>
      <c r="H2189" s="37">
        <v>0</v>
      </c>
      <c r="I2189" s="37">
        <v>0</v>
      </c>
      <c r="J2189" s="37">
        <v>0</v>
      </c>
      <c r="K2189" s="37">
        <v>0</v>
      </c>
      <c r="L2189" s="37">
        <f>L2186*L2188</f>
        <v>0</v>
      </c>
      <c r="M2189" s="37">
        <f>M2186*M2188</f>
        <v>0</v>
      </c>
      <c r="N2189" s="37">
        <f>N2186*N2188</f>
        <v>10314.757533817872</v>
      </c>
    </row>
    <row r="2190" spans="1:15">
      <c r="B2190" s="23"/>
      <c r="C2190" s="30"/>
      <c r="D2190" s="36"/>
      <c r="E2190" s="36"/>
      <c r="F2190" s="36"/>
      <c r="G2190" s="36"/>
      <c r="H2190" s="36"/>
      <c r="I2190" s="36"/>
      <c r="J2190" s="36"/>
      <c r="K2190" s="36"/>
      <c r="L2190" s="36"/>
      <c r="M2190" s="36"/>
      <c r="N2190" s="36"/>
    </row>
    <row r="2191" spans="1:15" ht="18.5">
      <c r="A2191" s="42" t="s">
        <v>119</v>
      </c>
      <c r="C2191" s="30"/>
      <c r="D2191" s="2">
        <v>2011</v>
      </c>
      <c r="E2191" s="2">
        <f>D2191+1</f>
        <v>2012</v>
      </c>
      <c r="F2191" s="2">
        <f t="shared" ref="F2191" si="932">E2191+1</f>
        <v>2013</v>
      </c>
      <c r="G2191" s="2">
        <f t="shared" ref="G2191" si="933">F2191+1</f>
        <v>2014</v>
      </c>
      <c r="H2191" s="2">
        <f t="shared" ref="H2191" si="934">G2191+1</f>
        <v>2015</v>
      </c>
      <c r="I2191" s="2">
        <f t="shared" ref="I2191" si="935">H2191+1</f>
        <v>2016</v>
      </c>
      <c r="J2191" s="2">
        <f t="shared" ref="J2191" si="936">I2191+1</f>
        <v>2017</v>
      </c>
      <c r="K2191" s="2">
        <f t="shared" ref="K2191" si="937">J2191+1</f>
        <v>2018</v>
      </c>
      <c r="L2191" s="2">
        <f t="shared" ref="L2191" si="938">K2191+1</f>
        <v>2019</v>
      </c>
      <c r="M2191" s="2">
        <f t="shared" ref="M2191" si="939">L2191+1</f>
        <v>2020</v>
      </c>
      <c r="N2191" s="2">
        <f t="shared" ref="N2191" si="940">M2191+1</f>
        <v>2021</v>
      </c>
    </row>
    <row r="2192" spans="1:15">
      <c r="B2192" s="79" t="s">
        <v>10</v>
      </c>
      <c r="C2192" s="71"/>
      <c r="D2192" s="51">
        <f>IF($E47= "Eligible", D2189 * 'Facility Detail'!$B$3079, 0 )</f>
        <v>0</v>
      </c>
      <c r="E2192" s="51">
        <f>IF($E47= "Eligible", E2189 * 'Facility Detail'!$B$3079, 0 )</f>
        <v>0</v>
      </c>
      <c r="F2192" s="51">
        <f>IF($E47= "Eligible", F2189 * 'Facility Detail'!$B$3079, 0 )</f>
        <v>0</v>
      </c>
      <c r="G2192" s="51">
        <f>IF($E47= "Eligible", G2189 * 'Facility Detail'!$B$3079, 0 )</f>
        <v>0</v>
      </c>
      <c r="H2192" s="51">
        <f>IF($E47= "Eligible", H2189 * 'Facility Detail'!$B$3079, 0 )</f>
        <v>0</v>
      </c>
      <c r="I2192" s="51">
        <f>IF($E47= "Eligible", I2189 * 'Facility Detail'!$B$3079, 0 )</f>
        <v>0</v>
      </c>
      <c r="J2192" s="51">
        <f>IF($E47= "Eligible", J2189 * 'Facility Detail'!$B$3079, 0 )</f>
        <v>0</v>
      </c>
      <c r="K2192" s="51">
        <f>IF($E47= "Eligible", K2189 * 'Facility Detail'!$B$3079, 0 )</f>
        <v>0</v>
      </c>
      <c r="L2192" s="51">
        <f>IF($E47= "Eligible", L2189 * 'Facility Detail'!$B$3079, 0 )</f>
        <v>0</v>
      </c>
      <c r="M2192" s="51">
        <f>IF($E47= "Eligible", M2189 * 'Facility Detail'!$B$3079, 0 )</f>
        <v>0</v>
      </c>
      <c r="N2192" s="51">
        <f>IF($E47= "Eligible", N2189 * 'Facility Detail'!$B$3079, 0 )</f>
        <v>0</v>
      </c>
    </row>
    <row r="2193" spans="1:14">
      <c r="B2193" s="79" t="s">
        <v>6</v>
      </c>
      <c r="C2193" s="71"/>
      <c r="D2193" s="52">
        <f t="shared" ref="D2193:N2193" si="941">IF($F47= "Eligible", D2189, 0 )</f>
        <v>0</v>
      </c>
      <c r="E2193" s="52">
        <f t="shared" si="941"/>
        <v>0</v>
      </c>
      <c r="F2193" s="52">
        <f t="shared" si="941"/>
        <v>0</v>
      </c>
      <c r="G2193" s="52">
        <f t="shared" si="941"/>
        <v>0</v>
      </c>
      <c r="H2193" s="52">
        <f t="shared" si="941"/>
        <v>0</v>
      </c>
      <c r="I2193" s="52">
        <f t="shared" si="941"/>
        <v>0</v>
      </c>
      <c r="J2193" s="52">
        <f t="shared" si="941"/>
        <v>0</v>
      </c>
      <c r="K2193" s="52">
        <f t="shared" si="941"/>
        <v>0</v>
      </c>
      <c r="L2193" s="52">
        <f t="shared" si="941"/>
        <v>0</v>
      </c>
      <c r="M2193" s="52">
        <f t="shared" si="941"/>
        <v>0</v>
      </c>
      <c r="N2193" s="52">
        <f t="shared" si="941"/>
        <v>0</v>
      </c>
    </row>
    <row r="2194" spans="1:14">
      <c r="B2194" s="78" t="s">
        <v>121</v>
      </c>
      <c r="C2194" s="77"/>
      <c r="D2194" s="39">
        <f>SUM(D2192:D2193)</f>
        <v>0</v>
      </c>
      <c r="E2194" s="39">
        <f t="shared" ref="E2194:N2194" si="942">SUM(E2192:E2193)</f>
        <v>0</v>
      </c>
      <c r="F2194" s="39">
        <f t="shared" si="942"/>
        <v>0</v>
      </c>
      <c r="G2194" s="39">
        <f t="shared" si="942"/>
        <v>0</v>
      </c>
      <c r="H2194" s="39">
        <f t="shared" si="942"/>
        <v>0</v>
      </c>
      <c r="I2194" s="39">
        <f t="shared" si="942"/>
        <v>0</v>
      </c>
      <c r="J2194" s="39">
        <f t="shared" si="942"/>
        <v>0</v>
      </c>
      <c r="K2194" s="39">
        <f t="shared" si="942"/>
        <v>0</v>
      </c>
      <c r="L2194" s="39">
        <f t="shared" si="942"/>
        <v>0</v>
      </c>
      <c r="M2194" s="39">
        <f t="shared" si="942"/>
        <v>0</v>
      </c>
      <c r="N2194" s="39">
        <f t="shared" si="942"/>
        <v>0</v>
      </c>
    </row>
    <row r="2195" spans="1:14">
      <c r="B2195" s="30"/>
      <c r="C2195" s="30"/>
      <c r="D2195" s="38"/>
      <c r="E2195" s="31"/>
      <c r="F2195" s="31"/>
      <c r="G2195" s="31"/>
      <c r="H2195" s="31"/>
      <c r="I2195" s="31"/>
      <c r="J2195" s="31"/>
      <c r="K2195" s="31"/>
      <c r="L2195" s="31"/>
      <c r="M2195" s="31"/>
      <c r="N2195" s="31"/>
    </row>
    <row r="2196" spans="1:14" ht="18.5">
      <c r="A2196" s="41" t="s">
        <v>30</v>
      </c>
      <c r="C2196" s="30"/>
      <c r="D2196" s="2">
        <v>2011</v>
      </c>
      <c r="E2196" s="2">
        <f>D2196+1</f>
        <v>2012</v>
      </c>
      <c r="F2196" s="2">
        <f t="shared" ref="F2196" si="943">E2196+1</f>
        <v>2013</v>
      </c>
      <c r="G2196" s="2">
        <f t="shared" ref="G2196" si="944">F2196+1</f>
        <v>2014</v>
      </c>
      <c r="H2196" s="2">
        <f t="shared" ref="H2196" si="945">G2196+1</f>
        <v>2015</v>
      </c>
      <c r="I2196" s="2">
        <f t="shared" ref="I2196" si="946">H2196+1</f>
        <v>2016</v>
      </c>
      <c r="J2196" s="2">
        <f t="shared" ref="J2196" si="947">I2196+1</f>
        <v>2017</v>
      </c>
      <c r="K2196" s="2">
        <f t="shared" ref="K2196" si="948">J2196+1</f>
        <v>2018</v>
      </c>
      <c r="L2196" s="2">
        <f t="shared" ref="L2196" si="949">K2196+1</f>
        <v>2019</v>
      </c>
      <c r="M2196" s="2">
        <f t="shared" ref="M2196" si="950">L2196+1</f>
        <v>2020</v>
      </c>
      <c r="N2196" s="2">
        <f t="shared" ref="N2196" si="951">M2196+1</f>
        <v>2021</v>
      </c>
    </row>
    <row r="2197" spans="1:14">
      <c r="B2197" s="79" t="s">
        <v>47</v>
      </c>
      <c r="C2197" s="71"/>
      <c r="D2197" s="89"/>
      <c r="E2197" s="90"/>
      <c r="F2197" s="90"/>
      <c r="G2197" s="90"/>
      <c r="H2197" s="90"/>
      <c r="I2197" s="90"/>
      <c r="J2197" s="90"/>
      <c r="K2197" s="90"/>
      <c r="L2197" s="90"/>
      <c r="M2197" s="90"/>
      <c r="N2197" s="90"/>
    </row>
    <row r="2198" spans="1:14">
      <c r="B2198" s="80" t="s">
        <v>23</v>
      </c>
      <c r="C2198" s="175"/>
      <c r="D2198" s="92"/>
      <c r="E2198" s="93"/>
      <c r="F2198" s="93"/>
      <c r="G2198" s="93"/>
      <c r="H2198" s="93"/>
      <c r="I2198" s="93"/>
      <c r="J2198" s="93"/>
      <c r="K2198" s="93"/>
      <c r="L2198" s="93"/>
      <c r="M2198" s="93"/>
      <c r="N2198" s="93"/>
    </row>
    <row r="2199" spans="1:14">
      <c r="B2199" s="95" t="s">
        <v>89</v>
      </c>
      <c r="C2199" s="173"/>
      <c r="D2199" s="57"/>
      <c r="E2199" s="58"/>
      <c r="F2199" s="58"/>
      <c r="G2199" s="58"/>
      <c r="H2199" s="58"/>
      <c r="I2199" s="58"/>
      <c r="J2199" s="58"/>
      <c r="K2199" s="58"/>
      <c r="L2199" s="58"/>
      <c r="M2199" s="58"/>
      <c r="N2199" s="58"/>
    </row>
    <row r="2200" spans="1:14">
      <c r="B2200" s="33" t="s">
        <v>90</v>
      </c>
      <c r="D2200" s="7">
        <v>0</v>
      </c>
      <c r="E2200" s="7">
        <v>0</v>
      </c>
      <c r="F2200" s="7">
        <v>0</v>
      </c>
      <c r="G2200" s="7">
        <v>0</v>
      </c>
      <c r="H2200" s="7">
        <v>0</v>
      </c>
      <c r="I2200" s="7">
        <v>0</v>
      </c>
      <c r="J2200" s="7">
        <v>0</v>
      </c>
      <c r="K2200" s="7">
        <v>0</v>
      </c>
      <c r="L2200" s="7">
        <v>0</v>
      </c>
      <c r="M2200" s="7">
        <v>0</v>
      </c>
      <c r="N2200" s="7">
        <v>0</v>
      </c>
    </row>
    <row r="2201" spans="1:14">
      <c r="B2201" s="6"/>
      <c r="D2201" s="7"/>
      <c r="E2201" s="7"/>
      <c r="F2201" s="7"/>
      <c r="G2201" s="28"/>
      <c r="H2201" s="28"/>
      <c r="I2201" s="28"/>
      <c r="J2201" s="28"/>
      <c r="K2201" s="28"/>
      <c r="L2201" s="28"/>
      <c r="M2201" s="28"/>
      <c r="N2201" s="28"/>
    </row>
    <row r="2202" spans="1:14" ht="18.5">
      <c r="A2202" s="9" t="s">
        <v>100</v>
      </c>
      <c r="D2202" s="2">
        <f>'Facility Detail'!$B$3082</f>
        <v>2011</v>
      </c>
      <c r="E2202" s="2">
        <f>D2202+1</f>
        <v>2012</v>
      </c>
      <c r="F2202" s="2">
        <f t="shared" ref="F2202" si="952">E2202+1</f>
        <v>2013</v>
      </c>
      <c r="G2202" s="2">
        <f t="shared" ref="G2202" si="953">F2202+1</f>
        <v>2014</v>
      </c>
      <c r="H2202" s="2">
        <f t="shared" ref="H2202" si="954">G2202+1</f>
        <v>2015</v>
      </c>
      <c r="I2202" s="2">
        <f t="shared" ref="I2202" si="955">H2202+1</f>
        <v>2016</v>
      </c>
      <c r="J2202" s="2">
        <f t="shared" ref="J2202" si="956">I2202+1</f>
        <v>2017</v>
      </c>
      <c r="K2202" s="2">
        <f t="shared" ref="K2202" si="957">J2202+1</f>
        <v>2018</v>
      </c>
      <c r="L2202" s="2">
        <f t="shared" ref="L2202" si="958">K2202+1</f>
        <v>2019</v>
      </c>
      <c r="M2202" s="2">
        <f t="shared" ref="M2202" si="959">L2202+1</f>
        <v>2020</v>
      </c>
      <c r="N2202" s="2">
        <f t="shared" ref="N2202" si="960">M2202+1</f>
        <v>2021</v>
      </c>
    </row>
    <row r="2203" spans="1:14">
      <c r="B2203" s="79" t="s">
        <v>68</v>
      </c>
      <c r="C2203" s="71"/>
      <c r="D2203" s="3"/>
      <c r="E2203" s="60">
        <f>D2203</f>
        <v>0</v>
      </c>
      <c r="F2203" s="131"/>
      <c r="G2203" s="131"/>
      <c r="H2203" s="131"/>
      <c r="I2203" s="131"/>
      <c r="J2203" s="131"/>
      <c r="K2203" s="131"/>
      <c r="L2203" s="131"/>
      <c r="M2203" s="131"/>
      <c r="N2203" s="61"/>
    </row>
    <row r="2204" spans="1:14">
      <c r="B2204" s="79" t="s">
        <v>69</v>
      </c>
      <c r="C2204" s="71"/>
      <c r="D2204" s="164">
        <f>E2204</f>
        <v>0</v>
      </c>
      <c r="E2204" s="10"/>
      <c r="F2204" s="74"/>
      <c r="G2204" s="74"/>
      <c r="H2204" s="74"/>
      <c r="I2204" s="74"/>
      <c r="J2204" s="74"/>
      <c r="K2204" s="74"/>
      <c r="L2204" s="74"/>
      <c r="M2204" s="74"/>
      <c r="N2204" s="165"/>
    </row>
    <row r="2205" spans="1:14">
      <c r="B2205" s="79" t="s">
        <v>70</v>
      </c>
      <c r="C2205" s="71"/>
      <c r="D2205" s="62"/>
      <c r="E2205" s="10">
        <f>E2189</f>
        <v>0</v>
      </c>
      <c r="F2205" s="70">
        <f>E2205</f>
        <v>0</v>
      </c>
      <c r="G2205" s="74"/>
      <c r="H2205" s="74"/>
      <c r="I2205" s="74"/>
      <c r="J2205" s="74"/>
      <c r="K2205" s="74"/>
      <c r="L2205" s="74"/>
      <c r="M2205" s="74"/>
      <c r="N2205" s="165"/>
    </row>
    <row r="2206" spans="1:14">
      <c r="B2206" s="79" t="s">
        <v>71</v>
      </c>
      <c r="C2206" s="71"/>
      <c r="D2206" s="62"/>
      <c r="E2206" s="70">
        <f>F2206</f>
        <v>0</v>
      </c>
      <c r="F2206" s="163"/>
      <c r="G2206" s="74"/>
      <c r="H2206" s="74"/>
      <c r="I2206" s="74"/>
      <c r="J2206" s="74"/>
      <c r="K2206" s="74"/>
      <c r="L2206" s="74"/>
      <c r="M2206" s="74"/>
      <c r="N2206" s="165"/>
    </row>
    <row r="2207" spans="1:14">
      <c r="B2207" s="79" t="s">
        <v>171</v>
      </c>
      <c r="C2207" s="30"/>
      <c r="D2207" s="62"/>
      <c r="E2207" s="148"/>
      <c r="F2207" s="10">
        <f>F2189</f>
        <v>0</v>
      </c>
      <c r="G2207" s="149">
        <f>F2207</f>
        <v>0</v>
      </c>
      <c r="H2207" s="74"/>
      <c r="I2207" s="74"/>
      <c r="J2207" s="74"/>
      <c r="K2207" s="74"/>
      <c r="L2207" s="74"/>
      <c r="M2207" s="74"/>
      <c r="N2207" s="165"/>
    </row>
    <row r="2208" spans="1:14">
      <c r="B2208" s="79" t="s">
        <v>172</v>
      </c>
      <c r="C2208" s="30"/>
      <c r="D2208" s="62"/>
      <c r="E2208" s="148"/>
      <c r="F2208" s="70">
        <f>G2208</f>
        <v>0</v>
      </c>
      <c r="G2208" s="10"/>
      <c r="H2208" s="74"/>
      <c r="I2208" s="74"/>
      <c r="J2208" s="74"/>
      <c r="K2208" s="74"/>
      <c r="L2208" s="74"/>
      <c r="M2208" s="74"/>
      <c r="N2208" s="165"/>
    </row>
    <row r="2209" spans="2:14">
      <c r="B2209" s="79" t="s">
        <v>173</v>
      </c>
      <c r="C2209" s="30"/>
      <c r="D2209" s="62"/>
      <c r="E2209" s="148"/>
      <c r="F2209" s="148"/>
      <c r="G2209" s="10">
        <f>G2189</f>
        <v>0</v>
      </c>
      <c r="H2209" s="149">
        <f>G2209</f>
        <v>0</v>
      </c>
      <c r="I2209" s="148"/>
      <c r="J2209" s="74"/>
      <c r="K2209" s="74"/>
      <c r="L2209" s="74"/>
      <c r="M2209" s="74"/>
      <c r="N2209" s="152"/>
    </row>
    <row r="2210" spans="2:14">
      <c r="B2210" s="79" t="s">
        <v>174</v>
      </c>
      <c r="C2210" s="30"/>
      <c r="D2210" s="62"/>
      <c r="E2210" s="148"/>
      <c r="F2210" s="148"/>
      <c r="G2210" s="70"/>
      <c r="H2210" s="10"/>
      <c r="I2210" s="148"/>
      <c r="J2210" s="74"/>
      <c r="K2210" s="74"/>
      <c r="L2210" s="74"/>
      <c r="M2210" s="74"/>
      <c r="N2210" s="152"/>
    </row>
    <row r="2211" spans="2:14">
      <c r="B2211" s="79" t="s">
        <v>175</v>
      </c>
      <c r="C2211" s="30"/>
      <c r="D2211" s="62"/>
      <c r="E2211" s="148"/>
      <c r="F2211" s="148"/>
      <c r="G2211" s="148"/>
      <c r="H2211" s="10">
        <v>0</v>
      </c>
      <c r="I2211" s="149">
        <f>H2211</f>
        <v>0</v>
      </c>
      <c r="J2211" s="74"/>
      <c r="K2211" s="74"/>
      <c r="L2211" s="74"/>
      <c r="M2211" s="74"/>
      <c r="N2211" s="152"/>
    </row>
    <row r="2212" spans="2:14">
      <c r="B2212" s="79" t="s">
        <v>176</v>
      </c>
      <c r="C2212" s="30"/>
      <c r="D2212" s="62"/>
      <c r="E2212" s="148"/>
      <c r="F2212" s="148"/>
      <c r="G2212" s="148"/>
      <c r="H2212" s="70"/>
      <c r="I2212" s="10"/>
      <c r="J2212" s="74"/>
      <c r="K2212" s="74"/>
      <c r="L2212" s="74"/>
      <c r="M2212" s="74"/>
      <c r="N2212" s="152"/>
    </row>
    <row r="2213" spans="2:14">
      <c r="B2213" s="79" t="s">
        <v>177</v>
      </c>
      <c r="C2213" s="30"/>
      <c r="D2213" s="62"/>
      <c r="E2213" s="148"/>
      <c r="F2213" s="148"/>
      <c r="G2213" s="148"/>
      <c r="H2213" s="148"/>
      <c r="I2213" s="207">
        <f>I2189</f>
        <v>0</v>
      </c>
      <c r="J2213" s="150">
        <f>I2213</f>
        <v>0</v>
      </c>
      <c r="K2213" s="74"/>
      <c r="L2213" s="74"/>
      <c r="M2213" s="74"/>
      <c r="N2213" s="152"/>
    </row>
    <row r="2214" spans="2:14">
      <c r="B2214" s="79" t="s">
        <v>168</v>
      </c>
      <c r="C2214" s="30"/>
      <c r="D2214" s="62"/>
      <c r="E2214" s="148"/>
      <c r="F2214" s="148"/>
      <c r="G2214" s="148"/>
      <c r="H2214" s="148"/>
      <c r="I2214" s="208"/>
      <c r="J2214" s="151"/>
      <c r="K2214" s="74"/>
      <c r="L2214" s="74"/>
      <c r="M2214" s="74"/>
      <c r="N2214" s="152"/>
    </row>
    <row r="2215" spans="2:14">
      <c r="B2215" s="79" t="s">
        <v>169</v>
      </c>
      <c r="C2215" s="30"/>
      <c r="D2215" s="62"/>
      <c r="E2215" s="148"/>
      <c r="F2215" s="148"/>
      <c r="G2215" s="148"/>
      <c r="H2215" s="148"/>
      <c r="I2215" s="148"/>
      <c r="J2215" s="151">
        <f>J2189</f>
        <v>0</v>
      </c>
      <c r="K2215" s="150">
        <f>J2215</f>
        <v>0</v>
      </c>
      <c r="L2215" s="74"/>
      <c r="M2215" s="74"/>
      <c r="N2215" s="152"/>
    </row>
    <row r="2216" spans="2:14">
      <c r="B2216" s="79" t="s">
        <v>186</v>
      </c>
      <c r="C2216" s="30"/>
      <c r="D2216" s="62"/>
      <c r="E2216" s="148"/>
      <c r="F2216" s="148"/>
      <c r="G2216" s="148"/>
      <c r="H2216" s="148"/>
      <c r="I2216" s="148"/>
      <c r="J2216" s="228"/>
      <c r="K2216" s="151"/>
      <c r="L2216" s="74"/>
      <c r="M2216" s="74"/>
      <c r="N2216" s="152"/>
    </row>
    <row r="2217" spans="2:14">
      <c r="B2217" s="79" t="s">
        <v>187</v>
      </c>
      <c r="C2217" s="30"/>
      <c r="D2217" s="62"/>
      <c r="E2217" s="148"/>
      <c r="F2217" s="148"/>
      <c r="G2217" s="148"/>
      <c r="H2217" s="148"/>
      <c r="I2217" s="148"/>
      <c r="J2217" s="148"/>
      <c r="K2217" s="151"/>
      <c r="L2217" s="150">
        <f>K2217</f>
        <v>0</v>
      </c>
      <c r="M2217" s="74"/>
      <c r="N2217" s="152"/>
    </row>
    <row r="2218" spans="2:14">
      <c r="B2218" s="79" t="s">
        <v>188</v>
      </c>
      <c r="C2218" s="30"/>
      <c r="D2218" s="62"/>
      <c r="E2218" s="148"/>
      <c r="F2218" s="148"/>
      <c r="G2218" s="148"/>
      <c r="H2218" s="148"/>
      <c r="I2218" s="148"/>
      <c r="J2218" s="148"/>
      <c r="K2218" s="145"/>
      <c r="L2218" s="151"/>
      <c r="M2218" s="74"/>
      <c r="N2218" s="74"/>
    </row>
    <row r="2219" spans="2:14">
      <c r="B2219" s="79" t="s">
        <v>189</v>
      </c>
      <c r="C2219" s="30"/>
      <c r="D2219" s="62"/>
      <c r="E2219" s="148"/>
      <c r="F2219" s="148"/>
      <c r="G2219" s="148"/>
      <c r="H2219" s="148"/>
      <c r="I2219" s="148"/>
      <c r="J2219" s="148"/>
      <c r="K2219" s="148"/>
      <c r="L2219" s="151"/>
      <c r="M2219" s="150">
        <f>L2219</f>
        <v>0</v>
      </c>
      <c r="N2219" s="74"/>
    </row>
    <row r="2220" spans="2:14">
      <c r="B2220" s="79" t="s">
        <v>190</v>
      </c>
      <c r="C2220" s="30"/>
      <c r="D2220" s="62"/>
      <c r="E2220" s="148"/>
      <c r="F2220" s="148"/>
      <c r="G2220" s="148"/>
      <c r="H2220" s="148"/>
      <c r="I2220" s="148"/>
      <c r="J2220" s="148"/>
      <c r="K2220" s="148"/>
      <c r="L2220" s="145">
        <f>M2189</f>
        <v>0</v>
      </c>
      <c r="M2220" s="151">
        <f>L2220</f>
        <v>0</v>
      </c>
      <c r="N2220" s="74"/>
    </row>
    <row r="2221" spans="2:14">
      <c r="B2221" s="79" t="s">
        <v>191</v>
      </c>
      <c r="C2221" s="30"/>
      <c r="D2221" s="62"/>
      <c r="E2221" s="148"/>
      <c r="F2221" s="148"/>
      <c r="G2221" s="148"/>
      <c r="H2221" s="148"/>
      <c r="I2221" s="148"/>
      <c r="J2221" s="148"/>
      <c r="K2221" s="148"/>
      <c r="L2221" s="148"/>
      <c r="M2221" s="151"/>
      <c r="N2221" s="150">
        <f>M2221</f>
        <v>0</v>
      </c>
    </row>
    <row r="2222" spans="2:14">
      <c r="B2222" s="79" t="s">
        <v>201</v>
      </c>
      <c r="C2222" s="30"/>
      <c r="D2222" s="62"/>
      <c r="E2222" s="148"/>
      <c r="F2222" s="148"/>
      <c r="G2222" s="148"/>
      <c r="H2222" s="148"/>
      <c r="I2222" s="148"/>
      <c r="J2222" s="148"/>
      <c r="K2222" s="148"/>
      <c r="L2222" s="148"/>
      <c r="M2222" s="145"/>
      <c r="N2222" s="151"/>
    </row>
    <row r="2223" spans="2:14">
      <c r="B2223" s="79" t="s">
        <v>202</v>
      </c>
      <c r="C2223" s="30"/>
      <c r="D2223" s="63"/>
      <c r="E2223" s="133"/>
      <c r="F2223" s="133"/>
      <c r="G2223" s="133"/>
      <c r="H2223" s="133"/>
      <c r="I2223" s="133"/>
      <c r="J2223" s="133"/>
      <c r="K2223" s="133"/>
      <c r="L2223" s="133"/>
      <c r="M2223" s="133"/>
      <c r="N2223" s="153"/>
    </row>
    <row r="2224" spans="2:14">
      <c r="B2224" s="33" t="s">
        <v>17</v>
      </c>
      <c r="D2224" s="218">
        <f xml:space="preserve"> D2209 - D2208</f>
        <v>0</v>
      </c>
      <c r="E2224" s="218">
        <f xml:space="preserve"> E2208 + E2211 - E2210 - E2209</f>
        <v>0</v>
      </c>
      <c r="F2224" s="218">
        <f>F2210 - F2211</f>
        <v>0</v>
      </c>
      <c r="G2224" s="218">
        <f>G2210 - G2211</f>
        <v>0</v>
      </c>
      <c r="H2224" s="218">
        <f>H2209-H2210-H2211</f>
        <v>0</v>
      </c>
      <c r="I2224" s="218">
        <f>I2211-I2212-I2213</f>
        <v>0</v>
      </c>
      <c r="J2224" s="218">
        <f>J2213-J2214-J2215</f>
        <v>0</v>
      </c>
      <c r="K2224" s="218">
        <f>K2215-K2216-K2217</f>
        <v>0</v>
      </c>
      <c r="L2224" s="218">
        <f>L2217+L2220-L2219-L2218</f>
        <v>0</v>
      </c>
      <c r="M2224" s="218">
        <f>M2219-M2220+M2222</f>
        <v>0</v>
      </c>
      <c r="N2224" s="218">
        <f>N2221-N2222-N2223</f>
        <v>0</v>
      </c>
    </row>
    <row r="2225" spans="1:15">
      <c r="B2225" s="6"/>
      <c r="D2225" s="218"/>
      <c r="E2225" s="218"/>
      <c r="F2225" s="218"/>
      <c r="G2225" s="218"/>
      <c r="H2225" s="218"/>
      <c r="I2225" s="218"/>
      <c r="J2225" s="218"/>
      <c r="K2225" s="218"/>
      <c r="L2225" s="218"/>
      <c r="M2225" s="218"/>
      <c r="N2225" s="218"/>
    </row>
    <row r="2226" spans="1:15">
      <c r="B2226" s="76" t="s">
        <v>12</v>
      </c>
      <c r="C2226" s="71"/>
      <c r="D2226" s="219"/>
      <c r="E2226" s="220"/>
      <c r="F2226" s="220"/>
      <c r="G2226" s="220"/>
      <c r="H2226" s="220"/>
      <c r="I2226" s="220"/>
      <c r="J2226" s="220"/>
      <c r="K2226" s="220"/>
      <c r="L2226" s="220"/>
      <c r="M2226" s="220"/>
      <c r="N2226" s="220"/>
    </row>
    <row r="2227" spans="1:15">
      <c r="B2227" s="6"/>
      <c r="D2227" s="218"/>
      <c r="E2227" s="218"/>
      <c r="F2227" s="218"/>
      <c r="G2227" s="218"/>
      <c r="H2227" s="218"/>
      <c r="I2227" s="218"/>
      <c r="J2227" s="218"/>
      <c r="K2227" s="218"/>
      <c r="L2227" s="218"/>
      <c r="M2227" s="218"/>
      <c r="N2227" s="218"/>
    </row>
    <row r="2228" spans="1:15" ht="18.5">
      <c r="A2228" s="41" t="s">
        <v>26</v>
      </c>
      <c r="C2228" s="71"/>
      <c r="D2228" s="221">
        <f t="shared" ref="D2228:N2228" si="961" xml:space="preserve"> D2189 + D2194 - D2200 + D2224 + D2226</f>
        <v>0</v>
      </c>
      <c r="E2228" s="222">
        <f t="shared" si="961"/>
        <v>0</v>
      </c>
      <c r="F2228" s="222">
        <f t="shared" si="961"/>
        <v>0</v>
      </c>
      <c r="G2228" s="222">
        <f t="shared" si="961"/>
        <v>0</v>
      </c>
      <c r="H2228" s="222">
        <f t="shared" si="961"/>
        <v>0</v>
      </c>
      <c r="I2228" s="222">
        <f t="shared" si="961"/>
        <v>0</v>
      </c>
      <c r="J2228" s="222">
        <f t="shared" si="961"/>
        <v>0</v>
      </c>
      <c r="K2228" s="222">
        <f t="shared" si="961"/>
        <v>0</v>
      </c>
      <c r="L2228" s="222">
        <f t="shared" si="961"/>
        <v>0</v>
      </c>
      <c r="M2228" s="222">
        <f t="shared" si="961"/>
        <v>0</v>
      </c>
      <c r="N2228" s="222">
        <f t="shared" si="961"/>
        <v>10314.757533817872</v>
      </c>
      <c r="O2228" s="276"/>
    </row>
    <row r="2229" spans="1:15" ht="15" thickBot="1"/>
    <row r="2230" spans="1:15" ht="15" thickBot="1">
      <c r="A2230" s="8"/>
      <c r="B2230" s="8"/>
      <c r="C2230" s="8"/>
      <c r="D2230" s="8"/>
      <c r="E2230" s="8"/>
      <c r="F2230" s="8"/>
      <c r="G2230" s="8"/>
      <c r="H2230" s="8"/>
      <c r="I2230" s="8"/>
      <c r="J2230" s="8"/>
      <c r="K2230" s="8"/>
      <c r="L2230" s="8"/>
      <c r="M2230" s="8"/>
      <c r="N2230" s="8"/>
    </row>
    <row r="2231" spans="1:15" ht="21.5" thickBot="1">
      <c r="A2231" s="13" t="s">
        <v>4</v>
      </c>
      <c r="B2231" s="13"/>
      <c r="C2231" s="313" t="s">
        <v>264</v>
      </c>
      <c r="D2231" s="310"/>
      <c r="E2231" s="23"/>
      <c r="F2231" s="23"/>
    </row>
    <row r="2233" spans="1:15" ht="18.5">
      <c r="A2233" s="9" t="s">
        <v>21</v>
      </c>
      <c r="B2233" s="9"/>
      <c r="D2233" s="2">
        <v>2011</v>
      </c>
      <c r="E2233" s="2">
        <f>D2233+1</f>
        <v>2012</v>
      </c>
      <c r="F2233" s="2">
        <f t="shared" ref="F2233" si="962">E2233+1</f>
        <v>2013</v>
      </c>
      <c r="G2233" s="2">
        <f t="shared" ref="G2233" si="963">F2233+1</f>
        <v>2014</v>
      </c>
      <c r="H2233" s="2">
        <f t="shared" ref="H2233" si="964">G2233+1</f>
        <v>2015</v>
      </c>
      <c r="I2233" s="2">
        <f t="shared" ref="I2233" si="965">H2233+1</f>
        <v>2016</v>
      </c>
      <c r="J2233" s="2">
        <f t="shared" ref="J2233" si="966">I2233+1</f>
        <v>2017</v>
      </c>
      <c r="K2233" s="2">
        <f t="shared" ref="K2233" si="967">J2233+1</f>
        <v>2018</v>
      </c>
      <c r="L2233" s="2">
        <f t="shared" ref="L2233" si="968">K2233+1</f>
        <v>2019</v>
      </c>
      <c r="M2233" s="2">
        <f t="shared" ref="M2233" si="969">L2233+1</f>
        <v>2020</v>
      </c>
      <c r="N2233" s="2">
        <f t="shared" ref="N2233" si="970">M2233+1</f>
        <v>2021</v>
      </c>
    </row>
    <row r="2234" spans="1:15">
      <c r="B2234" s="79" t="str">
        <f>"Total MWh Produced / Purchased from " &amp; C2231</f>
        <v>Total MWh Produced / Purchased from Pioneer Wind Park</v>
      </c>
      <c r="C2234" s="71"/>
      <c r="D2234" s="3"/>
      <c r="E2234" s="4"/>
      <c r="F2234" s="4"/>
      <c r="G2234" s="4"/>
      <c r="H2234" s="4"/>
      <c r="I2234" s="4"/>
      <c r="J2234" s="4"/>
      <c r="K2234" s="4"/>
      <c r="L2234" s="4"/>
      <c r="M2234" s="230"/>
      <c r="N2234" s="230">
        <v>270924</v>
      </c>
    </row>
    <row r="2235" spans="1:15">
      <c r="B2235" s="79" t="s">
        <v>25</v>
      </c>
      <c r="C2235" s="71"/>
      <c r="D2235" s="54"/>
      <c r="E2235" s="55"/>
      <c r="F2235" s="55"/>
      <c r="G2235" s="55"/>
      <c r="H2235" s="55"/>
      <c r="I2235" s="55"/>
      <c r="J2235" s="55"/>
      <c r="K2235" s="55"/>
      <c r="L2235" s="55"/>
      <c r="M2235" s="234"/>
      <c r="N2235" s="234">
        <v>1</v>
      </c>
    </row>
    <row r="2236" spans="1:15">
      <c r="B2236" s="79" t="s">
        <v>20</v>
      </c>
      <c r="C2236" s="71"/>
      <c r="D2236" s="48"/>
      <c r="E2236" s="49"/>
      <c r="F2236" s="49"/>
      <c r="G2236" s="49"/>
      <c r="H2236" s="49"/>
      <c r="I2236" s="49"/>
      <c r="J2236" s="49"/>
      <c r="K2236" s="49"/>
      <c r="L2236" s="49"/>
      <c r="M2236" s="243"/>
      <c r="N2236" s="243">
        <f>N2188</f>
        <v>8.0780946790754593E-2</v>
      </c>
    </row>
    <row r="2237" spans="1:15">
      <c r="B2237" s="76" t="s">
        <v>22</v>
      </c>
      <c r="C2237" s="77"/>
      <c r="D2237" s="37">
        <v>0</v>
      </c>
      <c r="E2237" s="37">
        <v>0</v>
      </c>
      <c r="F2237" s="37">
        <v>0</v>
      </c>
      <c r="G2237" s="37">
        <v>0</v>
      </c>
      <c r="H2237" s="37">
        <v>0</v>
      </c>
      <c r="I2237" s="37">
        <v>0</v>
      </c>
      <c r="J2237" s="37">
        <v>0</v>
      </c>
      <c r="K2237" s="37">
        <v>0</v>
      </c>
      <c r="L2237" s="37">
        <f>L2234*L2236</f>
        <v>0</v>
      </c>
      <c r="M2237" s="37">
        <f>M2234*M2236</f>
        <v>0</v>
      </c>
      <c r="N2237" s="37">
        <f>N2234*N2236</f>
        <v>21885.497228338398</v>
      </c>
    </row>
    <row r="2238" spans="1:15">
      <c r="B2238" s="23"/>
      <c r="C2238" s="30"/>
      <c r="D2238" s="36"/>
      <c r="E2238" s="36"/>
      <c r="F2238" s="36"/>
      <c r="G2238" s="36"/>
      <c r="H2238" s="36"/>
      <c r="I2238" s="36"/>
      <c r="J2238" s="36"/>
      <c r="K2238" s="36"/>
      <c r="L2238" s="36"/>
      <c r="M2238" s="36"/>
      <c r="N2238" s="36"/>
    </row>
    <row r="2239" spans="1:15" ht="18.5">
      <c r="A2239" s="42" t="s">
        <v>119</v>
      </c>
      <c r="C2239" s="30"/>
      <c r="D2239" s="2">
        <v>2011</v>
      </c>
      <c r="E2239" s="2">
        <f>D2239+1</f>
        <v>2012</v>
      </c>
      <c r="F2239" s="2">
        <f t="shared" ref="F2239" si="971">E2239+1</f>
        <v>2013</v>
      </c>
      <c r="G2239" s="2">
        <f t="shared" ref="G2239" si="972">F2239+1</f>
        <v>2014</v>
      </c>
      <c r="H2239" s="2">
        <f t="shared" ref="H2239" si="973">G2239+1</f>
        <v>2015</v>
      </c>
      <c r="I2239" s="2">
        <f t="shared" ref="I2239" si="974">H2239+1</f>
        <v>2016</v>
      </c>
      <c r="J2239" s="2">
        <f t="shared" ref="J2239" si="975">I2239+1</f>
        <v>2017</v>
      </c>
      <c r="K2239" s="2">
        <f t="shared" ref="K2239" si="976">J2239+1</f>
        <v>2018</v>
      </c>
      <c r="L2239" s="2">
        <f t="shared" ref="L2239" si="977">K2239+1</f>
        <v>2019</v>
      </c>
      <c r="M2239" s="2">
        <f t="shared" ref="M2239" si="978">L2239+1</f>
        <v>2020</v>
      </c>
      <c r="N2239" s="2">
        <f t="shared" ref="N2239" si="979">M2239+1</f>
        <v>2021</v>
      </c>
    </row>
    <row r="2240" spans="1:15">
      <c r="B2240" s="79" t="s">
        <v>10</v>
      </c>
      <c r="C2240" s="71"/>
      <c r="D2240" s="51">
        <f>IF($E48= "Eligible", D2237 * 'Facility Detail'!$B$3079, 0 )</f>
        <v>0</v>
      </c>
      <c r="E2240" s="51">
        <f>IF($E48= "Eligible", E2237 * 'Facility Detail'!$B$3079, 0 )</f>
        <v>0</v>
      </c>
      <c r="F2240" s="51">
        <f>IF($E48= "Eligible", F2237 * 'Facility Detail'!$B$3079, 0 )</f>
        <v>0</v>
      </c>
      <c r="G2240" s="51">
        <f>IF($E48= "Eligible", G2237 * 'Facility Detail'!$B$3079, 0 )</f>
        <v>0</v>
      </c>
      <c r="H2240" s="51">
        <f>IF($E48= "Eligible", H2237 * 'Facility Detail'!$B$3079, 0 )</f>
        <v>0</v>
      </c>
      <c r="I2240" s="51">
        <f>IF($E48= "Eligible", I2237 * 'Facility Detail'!$B$3079, 0 )</f>
        <v>0</v>
      </c>
      <c r="J2240" s="51">
        <f>IF($E48= "Eligible", J2237 * 'Facility Detail'!$B$3079, 0 )</f>
        <v>0</v>
      </c>
      <c r="K2240" s="51">
        <f>IF($E48= "Eligible", K2237 * 'Facility Detail'!$B$3079, 0 )</f>
        <v>0</v>
      </c>
      <c r="L2240" s="51">
        <f>IF($E48= "Eligible", L2237 * 'Facility Detail'!$B$3079, 0 )</f>
        <v>0</v>
      </c>
      <c r="M2240" s="51">
        <f>IF($E48= "Eligible", M2237 * 'Facility Detail'!$B$3079, 0 )</f>
        <v>0</v>
      </c>
      <c r="N2240" s="51">
        <f>IF($E48= "Eligible", N2237 * 'Facility Detail'!$B$3079, 0 )</f>
        <v>0</v>
      </c>
    </row>
    <row r="2241" spans="1:14">
      <c r="B2241" s="79" t="s">
        <v>6</v>
      </c>
      <c r="C2241" s="71"/>
      <c r="D2241" s="52">
        <f t="shared" ref="D2241:N2241" si="980">IF($F48= "Eligible", D2237, 0 )</f>
        <v>0</v>
      </c>
      <c r="E2241" s="52">
        <f t="shared" si="980"/>
        <v>0</v>
      </c>
      <c r="F2241" s="52">
        <f t="shared" si="980"/>
        <v>0</v>
      </c>
      <c r="G2241" s="52">
        <f t="shared" si="980"/>
        <v>0</v>
      </c>
      <c r="H2241" s="52">
        <f t="shared" si="980"/>
        <v>0</v>
      </c>
      <c r="I2241" s="52">
        <f t="shared" si="980"/>
        <v>0</v>
      </c>
      <c r="J2241" s="52">
        <f t="shared" si="980"/>
        <v>0</v>
      </c>
      <c r="K2241" s="52">
        <f t="shared" si="980"/>
        <v>0</v>
      </c>
      <c r="L2241" s="52">
        <f t="shared" si="980"/>
        <v>0</v>
      </c>
      <c r="M2241" s="52">
        <f t="shared" si="980"/>
        <v>0</v>
      </c>
      <c r="N2241" s="52">
        <f t="shared" si="980"/>
        <v>0</v>
      </c>
    </row>
    <row r="2242" spans="1:14">
      <c r="B2242" s="78" t="s">
        <v>121</v>
      </c>
      <c r="C2242" s="77"/>
      <c r="D2242" s="39">
        <f>SUM(D2240:D2241)</f>
        <v>0</v>
      </c>
      <c r="E2242" s="39">
        <f t="shared" ref="E2242:N2242" si="981">SUM(E2240:E2241)</f>
        <v>0</v>
      </c>
      <c r="F2242" s="39">
        <f t="shared" si="981"/>
        <v>0</v>
      </c>
      <c r="G2242" s="39">
        <f t="shared" si="981"/>
        <v>0</v>
      </c>
      <c r="H2242" s="39">
        <f t="shared" si="981"/>
        <v>0</v>
      </c>
      <c r="I2242" s="39">
        <f t="shared" si="981"/>
        <v>0</v>
      </c>
      <c r="J2242" s="39">
        <f t="shared" si="981"/>
        <v>0</v>
      </c>
      <c r="K2242" s="39">
        <f t="shared" si="981"/>
        <v>0</v>
      </c>
      <c r="L2242" s="39">
        <f t="shared" si="981"/>
        <v>0</v>
      </c>
      <c r="M2242" s="39">
        <f t="shared" si="981"/>
        <v>0</v>
      </c>
      <c r="N2242" s="39">
        <f t="shared" si="981"/>
        <v>0</v>
      </c>
    </row>
    <row r="2243" spans="1:14">
      <c r="B2243" s="30"/>
      <c r="C2243" s="30"/>
      <c r="D2243" s="38"/>
      <c r="E2243" s="31"/>
      <c r="F2243" s="31"/>
      <c r="G2243" s="31"/>
      <c r="H2243" s="31"/>
      <c r="I2243" s="31"/>
      <c r="J2243" s="31"/>
      <c r="K2243" s="31"/>
      <c r="L2243" s="31"/>
      <c r="M2243" s="31"/>
      <c r="N2243" s="31"/>
    </row>
    <row r="2244" spans="1:14" ht="18.5">
      <c r="A2244" s="41" t="s">
        <v>30</v>
      </c>
      <c r="C2244" s="30"/>
      <c r="D2244" s="2">
        <v>2011</v>
      </c>
      <c r="E2244" s="2">
        <f>D2244+1</f>
        <v>2012</v>
      </c>
      <c r="F2244" s="2">
        <f t="shared" ref="F2244" si="982">E2244+1</f>
        <v>2013</v>
      </c>
      <c r="G2244" s="2">
        <f t="shared" ref="G2244" si="983">F2244+1</f>
        <v>2014</v>
      </c>
      <c r="H2244" s="2">
        <f t="shared" ref="H2244" si="984">G2244+1</f>
        <v>2015</v>
      </c>
      <c r="I2244" s="2">
        <f t="shared" ref="I2244" si="985">H2244+1</f>
        <v>2016</v>
      </c>
      <c r="J2244" s="2">
        <f t="shared" ref="J2244" si="986">I2244+1</f>
        <v>2017</v>
      </c>
      <c r="K2244" s="2">
        <f t="shared" ref="K2244" si="987">J2244+1</f>
        <v>2018</v>
      </c>
      <c r="L2244" s="2">
        <f t="shared" ref="L2244" si="988">K2244+1</f>
        <v>2019</v>
      </c>
      <c r="M2244" s="2">
        <f t="shared" ref="M2244" si="989">L2244+1</f>
        <v>2020</v>
      </c>
      <c r="N2244" s="2">
        <f t="shared" ref="N2244" si="990">M2244+1</f>
        <v>2021</v>
      </c>
    </row>
    <row r="2245" spans="1:14">
      <c r="B2245" s="79" t="s">
        <v>47</v>
      </c>
      <c r="C2245" s="71"/>
      <c r="D2245" s="89"/>
      <c r="E2245" s="90"/>
      <c r="F2245" s="90"/>
      <c r="G2245" s="90"/>
      <c r="H2245" s="90"/>
      <c r="I2245" s="90"/>
      <c r="J2245" s="90"/>
      <c r="K2245" s="90"/>
      <c r="L2245" s="90"/>
      <c r="M2245" s="90"/>
      <c r="N2245" s="90"/>
    </row>
    <row r="2246" spans="1:14">
      <c r="B2246" s="80" t="s">
        <v>23</v>
      </c>
      <c r="C2246" s="175"/>
      <c r="D2246" s="92"/>
      <c r="E2246" s="93"/>
      <c r="F2246" s="93"/>
      <c r="G2246" s="93"/>
      <c r="H2246" s="93"/>
      <c r="I2246" s="93"/>
      <c r="J2246" s="93"/>
      <c r="K2246" s="93"/>
      <c r="L2246" s="93"/>
      <c r="M2246" s="93"/>
      <c r="N2246" s="93"/>
    </row>
    <row r="2247" spans="1:14">
      <c r="B2247" s="95" t="s">
        <v>89</v>
      </c>
      <c r="C2247" s="173"/>
      <c r="D2247" s="57"/>
      <c r="E2247" s="58"/>
      <c r="F2247" s="58"/>
      <c r="G2247" s="58"/>
      <c r="H2247" s="58"/>
      <c r="I2247" s="58"/>
      <c r="J2247" s="58"/>
      <c r="K2247" s="58"/>
      <c r="L2247" s="58"/>
      <c r="M2247" s="58"/>
      <c r="N2247" s="58"/>
    </row>
    <row r="2248" spans="1:14">
      <c r="B2248" s="33" t="s">
        <v>90</v>
      </c>
      <c r="D2248" s="7">
        <v>0</v>
      </c>
      <c r="E2248" s="7">
        <v>0</v>
      </c>
      <c r="F2248" s="7">
        <v>0</v>
      </c>
      <c r="G2248" s="7">
        <v>0</v>
      </c>
      <c r="H2248" s="7">
        <v>0</v>
      </c>
      <c r="I2248" s="7">
        <v>0</v>
      </c>
      <c r="J2248" s="7">
        <v>0</v>
      </c>
      <c r="K2248" s="7">
        <v>0</v>
      </c>
      <c r="L2248" s="7">
        <v>0</v>
      </c>
      <c r="M2248" s="7">
        <v>0</v>
      </c>
      <c r="N2248" s="7">
        <v>0</v>
      </c>
    </row>
    <row r="2249" spans="1:14">
      <c r="B2249" s="6"/>
      <c r="D2249" s="7"/>
      <c r="E2249" s="7"/>
      <c r="F2249" s="7"/>
      <c r="G2249" s="28"/>
      <c r="H2249" s="28"/>
      <c r="I2249" s="28"/>
      <c r="J2249" s="28"/>
      <c r="K2249" s="28"/>
      <c r="L2249" s="28"/>
      <c r="M2249" s="28"/>
      <c r="N2249" s="28"/>
    </row>
    <row r="2250" spans="1:14" ht="18.5">
      <c r="A2250" s="9" t="s">
        <v>100</v>
      </c>
      <c r="D2250" s="2">
        <f>'Facility Detail'!$B$3082</f>
        <v>2011</v>
      </c>
      <c r="E2250" s="2">
        <f>D2250+1</f>
        <v>2012</v>
      </c>
      <c r="F2250" s="2">
        <f t="shared" ref="F2250" si="991">E2250+1</f>
        <v>2013</v>
      </c>
      <c r="G2250" s="2">
        <f t="shared" ref="G2250" si="992">F2250+1</f>
        <v>2014</v>
      </c>
      <c r="H2250" s="2">
        <f t="shared" ref="H2250" si="993">G2250+1</f>
        <v>2015</v>
      </c>
      <c r="I2250" s="2">
        <f t="shared" ref="I2250" si="994">H2250+1</f>
        <v>2016</v>
      </c>
      <c r="J2250" s="2">
        <f t="shared" ref="J2250" si="995">I2250+1</f>
        <v>2017</v>
      </c>
      <c r="K2250" s="2">
        <f t="shared" ref="K2250" si="996">J2250+1</f>
        <v>2018</v>
      </c>
      <c r="L2250" s="2">
        <f t="shared" ref="L2250" si="997">K2250+1</f>
        <v>2019</v>
      </c>
      <c r="M2250" s="2">
        <f t="shared" ref="M2250" si="998">L2250+1</f>
        <v>2020</v>
      </c>
      <c r="N2250" s="2">
        <f t="shared" ref="N2250" si="999">M2250+1</f>
        <v>2021</v>
      </c>
    </row>
    <row r="2251" spans="1:14">
      <c r="B2251" s="79" t="s">
        <v>68</v>
      </c>
      <c r="C2251" s="71"/>
      <c r="D2251" s="3"/>
      <c r="E2251" s="60">
        <f>D2251</f>
        <v>0</v>
      </c>
      <c r="F2251" s="131"/>
      <c r="G2251" s="131"/>
      <c r="H2251" s="131"/>
      <c r="I2251" s="131"/>
      <c r="J2251" s="131"/>
      <c r="K2251" s="131"/>
      <c r="L2251" s="131"/>
      <c r="M2251" s="131"/>
      <c r="N2251" s="61"/>
    </row>
    <row r="2252" spans="1:14">
      <c r="B2252" s="79" t="s">
        <v>69</v>
      </c>
      <c r="C2252" s="71"/>
      <c r="D2252" s="164">
        <f>E2252</f>
        <v>0</v>
      </c>
      <c r="E2252" s="10"/>
      <c r="F2252" s="74"/>
      <c r="G2252" s="74"/>
      <c r="H2252" s="74"/>
      <c r="I2252" s="74"/>
      <c r="J2252" s="74"/>
      <c r="K2252" s="74"/>
      <c r="L2252" s="74"/>
      <c r="M2252" s="74"/>
      <c r="N2252" s="165"/>
    </row>
    <row r="2253" spans="1:14">
      <c r="B2253" s="79" t="s">
        <v>70</v>
      </c>
      <c r="C2253" s="71"/>
      <c r="D2253" s="62"/>
      <c r="E2253" s="10">
        <f>E2237</f>
        <v>0</v>
      </c>
      <c r="F2253" s="70">
        <f>E2253</f>
        <v>0</v>
      </c>
      <c r="G2253" s="74"/>
      <c r="H2253" s="74"/>
      <c r="I2253" s="74"/>
      <c r="J2253" s="74"/>
      <c r="K2253" s="74"/>
      <c r="L2253" s="74"/>
      <c r="M2253" s="74"/>
      <c r="N2253" s="165"/>
    </row>
    <row r="2254" spans="1:14">
      <c r="B2254" s="79" t="s">
        <v>71</v>
      </c>
      <c r="C2254" s="71"/>
      <c r="D2254" s="62"/>
      <c r="E2254" s="70">
        <f>F2254</f>
        <v>0</v>
      </c>
      <c r="F2254" s="163"/>
      <c r="G2254" s="74"/>
      <c r="H2254" s="74"/>
      <c r="I2254" s="74"/>
      <c r="J2254" s="74"/>
      <c r="K2254" s="74"/>
      <c r="L2254" s="74"/>
      <c r="M2254" s="74"/>
      <c r="N2254" s="165"/>
    </row>
    <row r="2255" spans="1:14">
      <c r="B2255" s="79" t="s">
        <v>171</v>
      </c>
      <c r="C2255" s="30"/>
      <c r="D2255" s="62"/>
      <c r="E2255" s="148"/>
      <c r="F2255" s="10">
        <f>F2237</f>
        <v>0</v>
      </c>
      <c r="G2255" s="149">
        <f>F2255</f>
        <v>0</v>
      </c>
      <c r="H2255" s="74"/>
      <c r="I2255" s="74"/>
      <c r="J2255" s="74"/>
      <c r="K2255" s="74"/>
      <c r="L2255" s="74"/>
      <c r="M2255" s="74"/>
      <c r="N2255" s="165"/>
    </row>
    <row r="2256" spans="1:14">
      <c r="B2256" s="79" t="s">
        <v>172</v>
      </c>
      <c r="C2256" s="30"/>
      <c r="D2256" s="62"/>
      <c r="E2256" s="148"/>
      <c r="F2256" s="70">
        <f>G2256</f>
        <v>0</v>
      </c>
      <c r="G2256" s="10"/>
      <c r="H2256" s="74"/>
      <c r="I2256" s="74"/>
      <c r="J2256" s="74"/>
      <c r="K2256" s="74"/>
      <c r="L2256" s="74"/>
      <c r="M2256" s="74"/>
      <c r="N2256" s="165"/>
    </row>
    <row r="2257" spans="2:14">
      <c r="B2257" s="79" t="s">
        <v>173</v>
      </c>
      <c r="C2257" s="30"/>
      <c r="D2257" s="62"/>
      <c r="E2257" s="148"/>
      <c r="F2257" s="148"/>
      <c r="G2257" s="10">
        <f>G2237</f>
        <v>0</v>
      </c>
      <c r="H2257" s="149">
        <f>G2257</f>
        <v>0</v>
      </c>
      <c r="I2257" s="148"/>
      <c r="J2257" s="74"/>
      <c r="K2257" s="74"/>
      <c r="L2257" s="74"/>
      <c r="M2257" s="74"/>
      <c r="N2257" s="152"/>
    </row>
    <row r="2258" spans="2:14">
      <c r="B2258" s="79" t="s">
        <v>174</v>
      </c>
      <c r="C2258" s="30"/>
      <c r="D2258" s="62"/>
      <c r="E2258" s="148"/>
      <c r="F2258" s="148"/>
      <c r="G2258" s="70"/>
      <c r="H2258" s="10"/>
      <c r="I2258" s="148"/>
      <c r="J2258" s="74"/>
      <c r="K2258" s="74"/>
      <c r="L2258" s="74"/>
      <c r="M2258" s="74"/>
      <c r="N2258" s="152"/>
    </row>
    <row r="2259" spans="2:14">
      <c r="B2259" s="79" t="s">
        <v>175</v>
      </c>
      <c r="C2259" s="30"/>
      <c r="D2259" s="62"/>
      <c r="E2259" s="148"/>
      <c r="F2259" s="148"/>
      <c r="G2259" s="148"/>
      <c r="H2259" s="10">
        <v>0</v>
      </c>
      <c r="I2259" s="149">
        <f>H2259</f>
        <v>0</v>
      </c>
      <c r="J2259" s="74"/>
      <c r="K2259" s="74"/>
      <c r="L2259" s="74"/>
      <c r="M2259" s="74"/>
      <c r="N2259" s="152"/>
    </row>
    <row r="2260" spans="2:14">
      <c r="B2260" s="79" t="s">
        <v>176</v>
      </c>
      <c r="C2260" s="30"/>
      <c r="D2260" s="62"/>
      <c r="E2260" s="148"/>
      <c r="F2260" s="148"/>
      <c r="G2260" s="148"/>
      <c r="H2260" s="70"/>
      <c r="I2260" s="10"/>
      <c r="J2260" s="74"/>
      <c r="K2260" s="74"/>
      <c r="L2260" s="74"/>
      <c r="M2260" s="74"/>
      <c r="N2260" s="152"/>
    </row>
    <row r="2261" spans="2:14">
      <c r="B2261" s="79" t="s">
        <v>177</v>
      </c>
      <c r="C2261" s="30"/>
      <c r="D2261" s="62"/>
      <c r="E2261" s="148"/>
      <c r="F2261" s="148"/>
      <c r="G2261" s="148"/>
      <c r="H2261" s="148"/>
      <c r="I2261" s="207">
        <f>I2237</f>
        <v>0</v>
      </c>
      <c r="J2261" s="150">
        <f>I2261</f>
        <v>0</v>
      </c>
      <c r="K2261" s="74"/>
      <c r="L2261" s="74"/>
      <c r="M2261" s="74"/>
      <c r="N2261" s="152"/>
    </row>
    <row r="2262" spans="2:14">
      <c r="B2262" s="79" t="s">
        <v>168</v>
      </c>
      <c r="C2262" s="30"/>
      <c r="D2262" s="62"/>
      <c r="E2262" s="148"/>
      <c r="F2262" s="148"/>
      <c r="G2262" s="148"/>
      <c r="H2262" s="148"/>
      <c r="I2262" s="208"/>
      <c r="J2262" s="151"/>
      <c r="K2262" s="74"/>
      <c r="L2262" s="74"/>
      <c r="M2262" s="74"/>
      <c r="N2262" s="152"/>
    </row>
    <row r="2263" spans="2:14">
      <c r="B2263" s="79" t="s">
        <v>169</v>
      </c>
      <c r="C2263" s="30"/>
      <c r="D2263" s="62"/>
      <c r="E2263" s="148"/>
      <c r="F2263" s="148"/>
      <c r="G2263" s="148"/>
      <c r="H2263" s="148"/>
      <c r="I2263" s="148"/>
      <c r="J2263" s="151">
        <f>J2237</f>
        <v>0</v>
      </c>
      <c r="K2263" s="150">
        <f>J2263</f>
        <v>0</v>
      </c>
      <c r="L2263" s="74"/>
      <c r="M2263" s="74"/>
      <c r="N2263" s="152"/>
    </row>
    <row r="2264" spans="2:14">
      <c r="B2264" s="79" t="s">
        <v>186</v>
      </c>
      <c r="C2264" s="30"/>
      <c r="D2264" s="62"/>
      <c r="E2264" s="148"/>
      <c r="F2264" s="148"/>
      <c r="G2264" s="148"/>
      <c r="H2264" s="148"/>
      <c r="I2264" s="148"/>
      <c r="J2264" s="228"/>
      <c r="K2264" s="151"/>
      <c r="L2264" s="74"/>
      <c r="M2264" s="74"/>
      <c r="N2264" s="152"/>
    </row>
    <row r="2265" spans="2:14">
      <c r="B2265" s="79" t="s">
        <v>187</v>
      </c>
      <c r="C2265" s="30"/>
      <c r="D2265" s="62"/>
      <c r="E2265" s="148"/>
      <c r="F2265" s="148"/>
      <c r="G2265" s="148"/>
      <c r="H2265" s="148"/>
      <c r="I2265" s="148"/>
      <c r="J2265" s="148"/>
      <c r="K2265" s="151"/>
      <c r="L2265" s="150">
        <f>K2265</f>
        <v>0</v>
      </c>
      <c r="M2265" s="74"/>
      <c r="N2265" s="152"/>
    </row>
    <row r="2266" spans="2:14">
      <c r="B2266" s="79" t="s">
        <v>188</v>
      </c>
      <c r="C2266" s="30"/>
      <c r="D2266" s="62"/>
      <c r="E2266" s="148"/>
      <c r="F2266" s="148"/>
      <c r="G2266" s="148"/>
      <c r="H2266" s="148"/>
      <c r="I2266" s="148"/>
      <c r="J2266" s="148"/>
      <c r="K2266" s="145"/>
      <c r="L2266" s="151"/>
      <c r="M2266" s="74"/>
      <c r="N2266" s="74"/>
    </row>
    <row r="2267" spans="2:14">
      <c r="B2267" s="79" t="s">
        <v>189</v>
      </c>
      <c r="C2267" s="30"/>
      <c r="D2267" s="62"/>
      <c r="E2267" s="148"/>
      <c r="F2267" s="148"/>
      <c r="G2267" s="148"/>
      <c r="H2267" s="148"/>
      <c r="I2267" s="148"/>
      <c r="J2267" s="148"/>
      <c r="K2267" s="148"/>
      <c r="L2267" s="151"/>
      <c r="M2267" s="150">
        <f>L2267</f>
        <v>0</v>
      </c>
      <c r="N2267" s="74"/>
    </row>
    <row r="2268" spans="2:14">
      <c r="B2268" s="79" t="s">
        <v>190</v>
      </c>
      <c r="C2268" s="30"/>
      <c r="D2268" s="62"/>
      <c r="E2268" s="148"/>
      <c r="F2268" s="148"/>
      <c r="G2268" s="148"/>
      <c r="H2268" s="148"/>
      <c r="I2268" s="148"/>
      <c r="J2268" s="148"/>
      <c r="K2268" s="148"/>
      <c r="L2268" s="145">
        <f>M2237</f>
        <v>0</v>
      </c>
      <c r="M2268" s="151">
        <f>L2268</f>
        <v>0</v>
      </c>
      <c r="N2268" s="74"/>
    </row>
    <row r="2269" spans="2:14">
      <c r="B2269" s="79" t="s">
        <v>191</v>
      </c>
      <c r="C2269" s="30"/>
      <c r="D2269" s="62"/>
      <c r="E2269" s="148"/>
      <c r="F2269" s="148"/>
      <c r="G2269" s="148"/>
      <c r="H2269" s="148"/>
      <c r="I2269" s="148"/>
      <c r="J2269" s="148"/>
      <c r="K2269" s="148"/>
      <c r="L2269" s="148"/>
      <c r="M2269" s="151"/>
      <c r="N2269" s="150">
        <f>M2269</f>
        <v>0</v>
      </c>
    </row>
    <row r="2270" spans="2:14">
      <c r="B2270" s="79" t="s">
        <v>201</v>
      </c>
      <c r="C2270" s="30"/>
      <c r="D2270" s="62"/>
      <c r="E2270" s="148"/>
      <c r="F2270" s="148"/>
      <c r="G2270" s="148"/>
      <c r="H2270" s="148"/>
      <c r="I2270" s="148"/>
      <c r="J2270" s="148"/>
      <c r="K2270" s="148"/>
      <c r="L2270" s="148"/>
      <c r="M2270" s="145"/>
      <c r="N2270" s="151"/>
    </row>
    <row r="2271" spans="2:14">
      <c r="B2271" s="79" t="s">
        <v>202</v>
      </c>
      <c r="C2271" s="30"/>
      <c r="D2271" s="63"/>
      <c r="E2271" s="133"/>
      <c r="F2271" s="133"/>
      <c r="G2271" s="133"/>
      <c r="H2271" s="133"/>
      <c r="I2271" s="133"/>
      <c r="J2271" s="133"/>
      <c r="K2271" s="133"/>
      <c r="L2271" s="133"/>
      <c r="M2271" s="133"/>
      <c r="N2271" s="153"/>
    </row>
    <row r="2272" spans="2:14">
      <c r="B2272" s="33" t="s">
        <v>17</v>
      </c>
      <c r="D2272" s="218">
        <f xml:space="preserve"> D2257 - D2256</f>
        <v>0</v>
      </c>
      <c r="E2272" s="218">
        <f xml:space="preserve"> E2256 + E2259 - E2258 - E2257</f>
        <v>0</v>
      </c>
      <c r="F2272" s="218">
        <f>F2258 - F2259</f>
        <v>0</v>
      </c>
      <c r="G2272" s="218">
        <f>G2258 - G2259</f>
        <v>0</v>
      </c>
      <c r="H2272" s="218">
        <f>H2257-H2258-H2259</f>
        <v>0</v>
      </c>
      <c r="I2272" s="218">
        <f>I2259-I2260-I2261</f>
        <v>0</v>
      </c>
      <c r="J2272" s="218">
        <f>J2261-J2262-J2263</f>
        <v>0</v>
      </c>
      <c r="K2272" s="218">
        <f>K2263-K2264-K2265</f>
        <v>0</v>
      </c>
      <c r="L2272" s="218">
        <f>L2265+L2268-L2267-L2266</f>
        <v>0</v>
      </c>
      <c r="M2272" s="218">
        <f>M2267-M2268+M2270</f>
        <v>0</v>
      </c>
      <c r="N2272" s="218">
        <f>N2269-N2270-N2271</f>
        <v>0</v>
      </c>
    </row>
    <row r="2273" spans="1:15">
      <c r="B2273" s="6"/>
      <c r="D2273" s="218"/>
      <c r="E2273" s="218"/>
      <c r="F2273" s="218"/>
      <c r="G2273" s="218"/>
      <c r="H2273" s="218"/>
      <c r="I2273" s="218"/>
      <c r="J2273" s="218"/>
      <c r="K2273" s="218"/>
      <c r="L2273" s="218"/>
      <c r="M2273" s="218"/>
      <c r="N2273" s="218"/>
    </row>
    <row r="2274" spans="1:15">
      <c r="B2274" s="76" t="s">
        <v>12</v>
      </c>
      <c r="C2274" s="71"/>
      <c r="D2274" s="219"/>
      <c r="E2274" s="220"/>
      <c r="F2274" s="220"/>
      <c r="G2274" s="220"/>
      <c r="H2274" s="220"/>
      <c r="I2274" s="220"/>
      <c r="J2274" s="220"/>
      <c r="K2274" s="220"/>
      <c r="L2274" s="220"/>
      <c r="M2274" s="220"/>
      <c r="N2274" s="220"/>
    </row>
    <row r="2275" spans="1:15">
      <c r="B2275" s="6"/>
      <c r="D2275" s="218"/>
      <c r="E2275" s="218"/>
      <c r="F2275" s="218"/>
      <c r="G2275" s="218"/>
      <c r="H2275" s="218"/>
      <c r="I2275" s="218"/>
      <c r="J2275" s="218"/>
      <c r="K2275" s="218"/>
      <c r="L2275" s="218"/>
      <c r="M2275" s="218"/>
      <c r="N2275" s="218"/>
    </row>
    <row r="2276" spans="1:15" ht="18.5">
      <c r="A2276" s="41" t="s">
        <v>26</v>
      </c>
      <c r="C2276" s="71"/>
      <c r="D2276" s="221">
        <f t="shared" ref="D2276:N2276" si="1000" xml:space="preserve"> D2237 + D2242 - D2248 + D2272 + D2274</f>
        <v>0</v>
      </c>
      <c r="E2276" s="222">
        <f t="shared" si="1000"/>
        <v>0</v>
      </c>
      <c r="F2276" s="222">
        <f t="shared" si="1000"/>
        <v>0</v>
      </c>
      <c r="G2276" s="222">
        <f t="shared" si="1000"/>
        <v>0</v>
      </c>
      <c r="H2276" s="222">
        <f t="shared" si="1000"/>
        <v>0</v>
      </c>
      <c r="I2276" s="222">
        <f t="shared" si="1000"/>
        <v>0</v>
      </c>
      <c r="J2276" s="222">
        <f t="shared" si="1000"/>
        <v>0</v>
      </c>
      <c r="K2276" s="222">
        <f t="shared" si="1000"/>
        <v>0</v>
      </c>
      <c r="L2276" s="222">
        <f t="shared" si="1000"/>
        <v>0</v>
      </c>
      <c r="M2276" s="222">
        <f t="shared" si="1000"/>
        <v>0</v>
      </c>
      <c r="N2276" s="222">
        <f t="shared" si="1000"/>
        <v>21885.497228338398</v>
      </c>
      <c r="O2276" s="276"/>
    </row>
    <row r="2277" spans="1:15" ht="15" thickBot="1"/>
    <row r="2278" spans="1:15">
      <c r="A2278" s="8"/>
      <c r="B2278" s="8"/>
      <c r="C2278" s="8"/>
      <c r="D2278" s="8"/>
      <c r="E2278" s="8"/>
      <c r="F2278" s="8"/>
      <c r="G2278" s="8"/>
      <c r="H2278" s="8"/>
      <c r="I2278" s="8"/>
      <c r="J2278" s="8"/>
      <c r="K2278" s="8"/>
      <c r="L2278" s="8"/>
      <c r="M2278" s="8"/>
      <c r="N2278" s="8"/>
      <c r="O2278" s="30"/>
    </row>
    <row r="2279" spans="1:15" ht="15" thickBot="1">
      <c r="B2279" s="30"/>
      <c r="C2279" s="30"/>
      <c r="D2279" s="30"/>
      <c r="E2279" s="30"/>
      <c r="F2279" s="30"/>
      <c r="G2279" s="30"/>
      <c r="H2279" s="30"/>
      <c r="I2279" s="30"/>
      <c r="J2279" s="30"/>
      <c r="K2279" s="30"/>
      <c r="L2279" s="30"/>
      <c r="M2279" s="30"/>
      <c r="N2279" s="30"/>
      <c r="O2279" s="30"/>
    </row>
    <row r="2280" spans="1:15" ht="21.5" thickBot="1">
      <c r="A2280" s="13" t="s">
        <v>4</v>
      </c>
      <c r="B2280" s="13"/>
      <c r="C2280" s="313" t="s">
        <v>139</v>
      </c>
      <c r="D2280" s="314"/>
      <c r="E2280" s="296"/>
      <c r="F2280" s="23"/>
      <c r="G2280" s="30"/>
      <c r="O2280" s="30"/>
    </row>
    <row r="2281" spans="1:15">
      <c r="O2281" s="30"/>
    </row>
    <row r="2282" spans="1:15" ht="18.5">
      <c r="A2282" s="9" t="s">
        <v>21</v>
      </c>
      <c r="B2282" s="9"/>
      <c r="D2282" s="2">
        <f>'Facility Detail'!$B$3082</f>
        <v>2011</v>
      </c>
      <c r="E2282" s="2">
        <f t="shared" ref="E2282:J2282" si="1001">D2282+1</f>
        <v>2012</v>
      </c>
      <c r="F2282" s="2">
        <f t="shared" si="1001"/>
        <v>2013</v>
      </c>
      <c r="G2282" s="2">
        <f t="shared" si="1001"/>
        <v>2014</v>
      </c>
      <c r="H2282" s="2">
        <f t="shared" si="1001"/>
        <v>2015</v>
      </c>
      <c r="I2282" s="2">
        <f t="shared" si="1001"/>
        <v>2016</v>
      </c>
      <c r="J2282" s="2">
        <f t="shared" si="1001"/>
        <v>2017</v>
      </c>
      <c r="K2282" s="2">
        <f t="shared" ref="K2282" si="1002">J2282+1</f>
        <v>2018</v>
      </c>
      <c r="L2282" s="2">
        <f t="shared" ref="L2282" si="1003">K2282+1</f>
        <v>2019</v>
      </c>
      <c r="M2282" s="2">
        <f t="shared" ref="M2282" si="1004">L2282+1</f>
        <v>2020</v>
      </c>
      <c r="N2282" s="2">
        <f t="shared" ref="N2282" si="1005">M2282+1</f>
        <v>2021</v>
      </c>
      <c r="O2282" s="30"/>
    </row>
    <row r="2283" spans="1:15">
      <c r="B2283" s="79" t="str">
        <f>"Total MWh Produced / Purchased from " &amp; C2280</f>
        <v>Total MWh Produced / Purchased from Prospect 2 (Upgrade 1999)</v>
      </c>
      <c r="C2283" s="71"/>
      <c r="D2283" s="3"/>
      <c r="E2283" s="4">
        <v>4118.213099999999</v>
      </c>
      <c r="F2283" s="4">
        <v>3721.9047</v>
      </c>
      <c r="G2283" s="4">
        <v>3469</v>
      </c>
      <c r="H2283" s="4">
        <v>2802</v>
      </c>
      <c r="I2283" s="90">
        <v>4030.1855999999998</v>
      </c>
      <c r="J2283" s="225">
        <v>4305</v>
      </c>
      <c r="K2283" s="225">
        <v>3347</v>
      </c>
      <c r="L2283" s="225">
        <v>3213</v>
      </c>
      <c r="M2283" s="227">
        <v>2946</v>
      </c>
      <c r="N2283" s="227">
        <v>3636</v>
      </c>
      <c r="O2283" s="30"/>
    </row>
    <row r="2284" spans="1:15">
      <c r="B2284" s="79" t="s">
        <v>25</v>
      </c>
      <c r="C2284" s="71"/>
      <c r="D2284" s="54"/>
      <c r="E2284" s="55">
        <v>1</v>
      </c>
      <c r="F2284" s="55">
        <v>1</v>
      </c>
      <c r="G2284" s="55">
        <v>1</v>
      </c>
      <c r="H2284" s="55">
        <v>1</v>
      </c>
      <c r="I2284" s="55">
        <v>1</v>
      </c>
      <c r="J2284" s="55">
        <v>1</v>
      </c>
      <c r="K2284" s="55">
        <v>1</v>
      </c>
      <c r="L2284" s="55">
        <v>1</v>
      </c>
      <c r="M2284" s="235">
        <v>1</v>
      </c>
      <c r="N2284" s="56">
        <v>1</v>
      </c>
      <c r="O2284" s="30"/>
    </row>
    <row r="2285" spans="1:15">
      <c r="B2285" s="79" t="s">
        <v>20</v>
      </c>
      <c r="C2285" s="71"/>
      <c r="D2285" s="48">
        <v>7.8921000000000005E-2</v>
      </c>
      <c r="E2285" s="49">
        <v>7.9619999999999996E-2</v>
      </c>
      <c r="F2285" s="49">
        <v>7.8747999999999999E-2</v>
      </c>
      <c r="G2285" s="49">
        <v>8.0235000000000001E-2</v>
      </c>
      <c r="H2285" s="49">
        <v>8.0535999999999996E-2</v>
      </c>
      <c r="I2285" s="49">
        <v>8.1698151927344531E-2</v>
      </c>
      <c r="J2285" s="49">
        <v>8.0833713568703974E-2</v>
      </c>
      <c r="K2285" s="49">
        <v>7.9451999999999995E-2</v>
      </c>
      <c r="L2285" s="49">
        <v>7.6724662968274293E-2</v>
      </c>
      <c r="M2285" s="243">
        <f>M1780</f>
        <v>8.1268700519883177E-2</v>
      </c>
      <c r="N2285" s="243">
        <f>N1780</f>
        <v>8.0780946790754593E-2</v>
      </c>
      <c r="O2285" s="30"/>
    </row>
    <row r="2286" spans="1:15">
      <c r="B2286" s="76" t="s">
        <v>22</v>
      </c>
      <c r="C2286" s="77"/>
      <c r="D2286" s="37">
        <v>0</v>
      </c>
      <c r="E2286" s="37">
        <v>328</v>
      </c>
      <c r="F2286" s="37">
        <v>293</v>
      </c>
      <c r="G2286" s="37">
        <v>278</v>
      </c>
      <c r="H2286" s="37">
        <v>226</v>
      </c>
      <c r="I2286" s="37">
        <v>329</v>
      </c>
      <c r="J2286" s="37">
        <v>346</v>
      </c>
      <c r="K2286" s="37">
        <v>266</v>
      </c>
      <c r="L2286" s="37">
        <f>L2283*L2285</f>
        <v>246.51634211706531</v>
      </c>
      <c r="M2286" s="37">
        <f t="shared" ref="M2286:N2286" si="1006" xml:space="preserve"> ROUND(M2283 * M2284 * M2285,0)</f>
        <v>239</v>
      </c>
      <c r="N2286" s="37">
        <f t="shared" si="1006"/>
        <v>294</v>
      </c>
      <c r="O2286" s="30"/>
    </row>
    <row r="2287" spans="1:15">
      <c r="B2287" s="23"/>
      <c r="C2287" s="30"/>
      <c r="D2287" s="36"/>
      <c r="E2287" s="36"/>
      <c r="F2287" s="36"/>
      <c r="G2287" s="24"/>
      <c r="H2287" s="24"/>
      <c r="I2287" s="24"/>
      <c r="J2287" s="24"/>
      <c r="K2287" s="24"/>
      <c r="L2287" s="24"/>
      <c r="M2287" s="24"/>
      <c r="N2287" s="24"/>
      <c r="O2287" s="30"/>
    </row>
    <row r="2288" spans="1:15" ht="18.5">
      <c r="A2288" s="42" t="s">
        <v>119</v>
      </c>
      <c r="C2288" s="30"/>
      <c r="D2288" s="2">
        <f>'Facility Detail'!$B$3082</f>
        <v>2011</v>
      </c>
      <c r="E2288" s="2">
        <f>D2288+1</f>
        <v>2012</v>
      </c>
      <c r="F2288" s="2">
        <f>E2288+1</f>
        <v>2013</v>
      </c>
      <c r="G2288" s="2">
        <f>G2282</f>
        <v>2014</v>
      </c>
      <c r="H2288" s="2">
        <f>H2282</f>
        <v>2015</v>
      </c>
      <c r="I2288" s="2">
        <f>I2282</f>
        <v>2016</v>
      </c>
      <c r="J2288" s="2">
        <f>J2282</f>
        <v>2017</v>
      </c>
      <c r="K2288" s="2">
        <f t="shared" ref="K2288:L2288" si="1007">K2282</f>
        <v>2018</v>
      </c>
      <c r="L2288" s="2">
        <f t="shared" si="1007"/>
        <v>2019</v>
      </c>
      <c r="M2288" s="2">
        <f t="shared" ref="M2288:N2288" si="1008">M2282</f>
        <v>2020</v>
      </c>
      <c r="N2288" s="2">
        <f t="shared" si="1008"/>
        <v>2021</v>
      </c>
      <c r="O2288" s="30"/>
    </row>
    <row r="2289" spans="1:15">
      <c r="B2289" s="79" t="s">
        <v>10</v>
      </c>
      <c r="C2289" s="71"/>
      <c r="D2289" s="51">
        <f>IF($E49= "Eligible", D2286 * 'Facility Detail'!$B$3079, 0 )</f>
        <v>0</v>
      </c>
      <c r="E2289" s="51">
        <f>IF($E49= "Eligible", E2286 * 'Facility Detail'!$B$3079, 0 )</f>
        <v>0</v>
      </c>
      <c r="F2289" s="51">
        <f>IF($E49= "Eligible", F2286 * 'Facility Detail'!$B$3079, 0 )</f>
        <v>0</v>
      </c>
      <c r="G2289" s="51">
        <f>IF($E49= "Eligible", G2286 * 'Facility Detail'!$B$3079, 0 )</f>
        <v>0</v>
      </c>
      <c r="H2289" s="51">
        <f>IF($E49= "Eligible", H2286 * 'Facility Detail'!$B$3079, 0 )</f>
        <v>0</v>
      </c>
      <c r="I2289" s="51">
        <f>IF($E49= "Eligible", I2286 * 'Facility Detail'!$B$3079, 0 )</f>
        <v>0</v>
      </c>
      <c r="J2289" s="51">
        <f>IF($E49= "Eligible", J2286 * 'Facility Detail'!$B$3079, 0 )</f>
        <v>0</v>
      </c>
      <c r="K2289" s="51">
        <f>IF($E49= "Eligible", K2286 * 'Facility Detail'!$B$3079, 0 )</f>
        <v>0</v>
      </c>
      <c r="L2289" s="51">
        <f>IF($E49= "Eligible", L2286 * 'Facility Detail'!$B$3079, 0 )</f>
        <v>0</v>
      </c>
      <c r="M2289" s="51">
        <f>IF($E49= "Eligible", M2286 * 'Facility Detail'!$B$3079, 0 )</f>
        <v>0</v>
      </c>
      <c r="N2289" s="51">
        <f>IF($E49= "Eligible", N2286 * 'Facility Detail'!$B$3079, 0 )</f>
        <v>0</v>
      </c>
      <c r="O2289" s="30"/>
    </row>
    <row r="2290" spans="1:15">
      <c r="B2290" s="79" t="s">
        <v>6</v>
      </c>
      <c r="C2290" s="71"/>
      <c r="D2290" s="52">
        <f t="shared" ref="D2290:N2290" si="1009">IF($F49= "Eligible", D2286, 0 )</f>
        <v>0</v>
      </c>
      <c r="E2290" s="52">
        <f t="shared" si="1009"/>
        <v>0</v>
      </c>
      <c r="F2290" s="52">
        <f t="shared" si="1009"/>
        <v>0</v>
      </c>
      <c r="G2290" s="52">
        <f t="shared" si="1009"/>
        <v>0</v>
      </c>
      <c r="H2290" s="52">
        <f t="shared" si="1009"/>
        <v>0</v>
      </c>
      <c r="I2290" s="52">
        <f t="shared" si="1009"/>
        <v>0</v>
      </c>
      <c r="J2290" s="52">
        <f t="shared" si="1009"/>
        <v>0</v>
      </c>
      <c r="K2290" s="52">
        <f t="shared" si="1009"/>
        <v>0</v>
      </c>
      <c r="L2290" s="52">
        <f t="shared" si="1009"/>
        <v>0</v>
      </c>
      <c r="M2290" s="52">
        <f t="shared" si="1009"/>
        <v>0</v>
      </c>
      <c r="N2290" s="52">
        <f t="shared" si="1009"/>
        <v>0</v>
      </c>
      <c r="O2290" s="30"/>
    </row>
    <row r="2291" spans="1:15">
      <c r="B2291" s="78" t="s">
        <v>121</v>
      </c>
      <c r="C2291" s="77"/>
      <c r="D2291" s="39">
        <f>SUM(D2289:D2290)</f>
        <v>0</v>
      </c>
      <c r="E2291" s="39">
        <f t="shared" ref="E2291:N2291" si="1010">SUM(E2289:E2290)</f>
        <v>0</v>
      </c>
      <c r="F2291" s="39">
        <f t="shared" si="1010"/>
        <v>0</v>
      </c>
      <c r="G2291" s="39">
        <f t="shared" si="1010"/>
        <v>0</v>
      </c>
      <c r="H2291" s="39">
        <f t="shared" si="1010"/>
        <v>0</v>
      </c>
      <c r="I2291" s="39">
        <f t="shared" si="1010"/>
        <v>0</v>
      </c>
      <c r="J2291" s="39">
        <f t="shared" si="1010"/>
        <v>0</v>
      </c>
      <c r="K2291" s="39">
        <f t="shared" si="1010"/>
        <v>0</v>
      </c>
      <c r="L2291" s="39">
        <f t="shared" si="1010"/>
        <v>0</v>
      </c>
      <c r="M2291" s="39">
        <f t="shared" si="1010"/>
        <v>0</v>
      </c>
      <c r="N2291" s="39">
        <f t="shared" si="1010"/>
        <v>0</v>
      </c>
      <c r="O2291" s="30"/>
    </row>
    <row r="2292" spans="1:15">
      <c r="B2292" s="30"/>
      <c r="C2292" s="30"/>
      <c r="D2292" s="38"/>
      <c r="E2292" s="31"/>
      <c r="F2292" s="31"/>
      <c r="G2292" s="24"/>
      <c r="H2292" s="24"/>
      <c r="I2292" s="24"/>
      <c r="J2292" s="24"/>
      <c r="K2292" s="24"/>
      <c r="L2292" s="24"/>
      <c r="M2292" s="24"/>
      <c r="N2292" s="24"/>
      <c r="O2292" s="30"/>
    </row>
    <row r="2293" spans="1:15" ht="18.5">
      <c r="A2293" s="41" t="s">
        <v>30</v>
      </c>
      <c r="C2293" s="30"/>
      <c r="D2293" s="2">
        <f>'Facility Detail'!$B$3082</f>
        <v>2011</v>
      </c>
      <c r="E2293" s="2">
        <f>D2293+1</f>
        <v>2012</v>
      </c>
      <c r="F2293" s="2">
        <f>E2293+1</f>
        <v>2013</v>
      </c>
      <c r="G2293" s="2">
        <f>G2282</f>
        <v>2014</v>
      </c>
      <c r="H2293" s="2">
        <f>H2282</f>
        <v>2015</v>
      </c>
      <c r="I2293" s="2">
        <f>I2282</f>
        <v>2016</v>
      </c>
      <c r="J2293" s="2">
        <f>J2282</f>
        <v>2017</v>
      </c>
      <c r="K2293" s="2">
        <f t="shared" ref="K2293:L2293" si="1011">K2282</f>
        <v>2018</v>
      </c>
      <c r="L2293" s="2">
        <f t="shared" si="1011"/>
        <v>2019</v>
      </c>
      <c r="M2293" s="2">
        <f t="shared" ref="M2293:N2293" si="1012">M2282</f>
        <v>2020</v>
      </c>
      <c r="N2293" s="2">
        <f t="shared" si="1012"/>
        <v>2021</v>
      </c>
      <c r="O2293" s="30"/>
    </row>
    <row r="2294" spans="1:15">
      <c r="B2294" s="79" t="s">
        <v>47</v>
      </c>
      <c r="C2294" s="71"/>
      <c r="D2294" s="89"/>
      <c r="E2294" s="90"/>
      <c r="F2294" s="90"/>
      <c r="G2294" s="90"/>
      <c r="H2294" s="90"/>
      <c r="I2294" s="90"/>
      <c r="J2294" s="90"/>
      <c r="K2294" s="90"/>
      <c r="L2294" s="90"/>
      <c r="M2294" s="91"/>
      <c r="N2294" s="91"/>
      <c r="O2294" s="30"/>
    </row>
    <row r="2295" spans="1:15">
      <c r="B2295" s="80" t="s">
        <v>23</v>
      </c>
      <c r="C2295" s="175"/>
      <c r="D2295" s="92"/>
      <c r="E2295" s="93"/>
      <c r="F2295" s="93"/>
      <c r="G2295" s="93"/>
      <c r="H2295" s="93"/>
      <c r="I2295" s="93"/>
      <c r="J2295" s="93"/>
      <c r="K2295" s="93"/>
      <c r="L2295" s="93"/>
      <c r="M2295" s="94"/>
      <c r="N2295" s="94"/>
      <c r="O2295" s="30"/>
    </row>
    <row r="2296" spans="1:15">
      <c r="B2296" s="95" t="s">
        <v>89</v>
      </c>
      <c r="C2296" s="173"/>
      <c r="D2296" s="57"/>
      <c r="E2296" s="58"/>
      <c r="F2296" s="58"/>
      <c r="G2296" s="58"/>
      <c r="H2296" s="58"/>
      <c r="I2296" s="58"/>
      <c r="J2296" s="58"/>
      <c r="K2296" s="58"/>
      <c r="L2296" s="58"/>
      <c r="M2296" s="59"/>
      <c r="N2296" s="59"/>
      <c r="O2296" s="30"/>
    </row>
    <row r="2297" spans="1:15">
      <c r="B2297" s="33" t="s">
        <v>90</v>
      </c>
      <c r="D2297" s="7">
        <f t="shared" ref="D2297:I2297" si="1013">SUM(D2294:D2296)</f>
        <v>0</v>
      </c>
      <c r="E2297" s="7">
        <f t="shared" si="1013"/>
        <v>0</v>
      </c>
      <c r="F2297" s="7">
        <f t="shared" si="1013"/>
        <v>0</v>
      </c>
      <c r="G2297" s="7">
        <f t="shared" si="1013"/>
        <v>0</v>
      </c>
      <c r="H2297" s="7">
        <f t="shared" si="1013"/>
        <v>0</v>
      </c>
      <c r="I2297" s="7">
        <f t="shared" si="1013"/>
        <v>0</v>
      </c>
      <c r="J2297" s="7">
        <f t="shared" ref="J2297" si="1014">SUM(J2294:J2296)</f>
        <v>0</v>
      </c>
      <c r="K2297" s="7">
        <f t="shared" ref="K2297:L2297" si="1015">SUM(K2294:K2296)</f>
        <v>0</v>
      </c>
      <c r="L2297" s="7">
        <f t="shared" si="1015"/>
        <v>0</v>
      </c>
      <c r="M2297" s="7">
        <f t="shared" ref="M2297:N2297" si="1016">SUM(M2294:M2296)</f>
        <v>0</v>
      </c>
      <c r="N2297" s="7">
        <f t="shared" si="1016"/>
        <v>0</v>
      </c>
      <c r="O2297" s="30"/>
    </row>
    <row r="2298" spans="1:15">
      <c r="B2298" s="6"/>
      <c r="D2298" s="7"/>
      <c r="E2298" s="7"/>
      <c r="F2298" s="7"/>
      <c r="G2298" s="28"/>
      <c r="H2298" s="28"/>
      <c r="I2298" s="28"/>
      <c r="J2298" s="28"/>
      <c r="K2298" s="28"/>
      <c r="L2298" s="28"/>
      <c r="M2298" s="28"/>
      <c r="N2298" s="28"/>
      <c r="O2298" s="30"/>
    </row>
    <row r="2299" spans="1:15" ht="18.5">
      <c r="A2299" s="9" t="s">
        <v>100</v>
      </c>
      <c r="D2299" s="2">
        <f>'Facility Detail'!$B$3082</f>
        <v>2011</v>
      </c>
      <c r="E2299" s="2">
        <f t="shared" ref="E2299:J2299" si="1017">D2299+1</f>
        <v>2012</v>
      </c>
      <c r="F2299" s="2">
        <f t="shared" si="1017"/>
        <v>2013</v>
      </c>
      <c r="G2299" s="2">
        <f t="shared" si="1017"/>
        <v>2014</v>
      </c>
      <c r="H2299" s="2">
        <f t="shared" si="1017"/>
        <v>2015</v>
      </c>
      <c r="I2299" s="2">
        <f t="shared" si="1017"/>
        <v>2016</v>
      </c>
      <c r="J2299" s="2">
        <f t="shared" si="1017"/>
        <v>2017</v>
      </c>
      <c r="K2299" s="2">
        <f t="shared" ref="K2299" si="1018">J2299+1</f>
        <v>2018</v>
      </c>
      <c r="L2299" s="2">
        <f t="shared" ref="L2299" si="1019">K2299+1</f>
        <v>2019</v>
      </c>
      <c r="M2299" s="2">
        <f t="shared" ref="M2299" si="1020">L2299+1</f>
        <v>2020</v>
      </c>
      <c r="N2299" s="2">
        <f t="shared" ref="N2299" si="1021">M2299+1</f>
        <v>2021</v>
      </c>
      <c r="O2299" s="30"/>
    </row>
    <row r="2300" spans="1:15">
      <c r="B2300" s="79" t="s">
        <v>68</v>
      </c>
      <c r="C2300" s="30"/>
      <c r="D2300" s="3"/>
      <c r="E2300" s="60">
        <f>D2300</f>
        <v>0</v>
      </c>
      <c r="F2300" s="131"/>
      <c r="G2300" s="131"/>
      <c r="H2300" s="131"/>
      <c r="I2300" s="131"/>
      <c r="J2300" s="131"/>
      <c r="K2300" s="131"/>
      <c r="L2300" s="131"/>
      <c r="M2300" s="131"/>
      <c r="N2300" s="61"/>
      <c r="O2300" s="30"/>
    </row>
    <row r="2301" spans="1:15">
      <c r="B2301" s="79" t="s">
        <v>69</v>
      </c>
      <c r="C2301" s="30"/>
      <c r="D2301" s="164">
        <f>E2301</f>
        <v>0</v>
      </c>
      <c r="E2301" s="10"/>
      <c r="F2301" s="74"/>
      <c r="G2301" s="74"/>
      <c r="H2301" s="74"/>
      <c r="I2301" s="74"/>
      <c r="J2301" s="74"/>
      <c r="K2301" s="74"/>
      <c r="L2301" s="74"/>
      <c r="M2301" s="74"/>
      <c r="N2301" s="165"/>
      <c r="O2301" s="30"/>
    </row>
    <row r="2302" spans="1:15">
      <c r="B2302" s="79" t="s">
        <v>70</v>
      </c>
      <c r="C2302" s="30"/>
      <c r="D2302" s="62"/>
      <c r="E2302" s="10"/>
      <c r="F2302" s="70">
        <f>E2302</f>
        <v>0</v>
      </c>
      <c r="G2302" s="74"/>
      <c r="H2302" s="74"/>
      <c r="I2302" s="74"/>
      <c r="J2302" s="74"/>
      <c r="K2302" s="74"/>
      <c r="L2302" s="74"/>
      <c r="M2302" s="74"/>
      <c r="N2302" s="165"/>
      <c r="O2302" s="30"/>
    </row>
    <row r="2303" spans="1:15">
      <c r="B2303" s="79" t="s">
        <v>71</v>
      </c>
      <c r="C2303" s="30"/>
      <c r="D2303" s="62"/>
      <c r="E2303" s="70">
        <f>F2303</f>
        <v>0</v>
      </c>
      <c r="F2303" s="163"/>
      <c r="G2303" s="74"/>
      <c r="H2303" s="74"/>
      <c r="I2303" s="74"/>
      <c r="J2303" s="74"/>
      <c r="K2303" s="74"/>
      <c r="L2303" s="74"/>
      <c r="M2303" s="74"/>
      <c r="N2303" s="165"/>
      <c r="O2303" s="30"/>
    </row>
    <row r="2304" spans="1:15">
      <c r="B2304" s="79" t="s">
        <v>171</v>
      </c>
      <c r="C2304" s="30"/>
      <c r="D2304" s="62"/>
      <c r="E2304" s="148"/>
      <c r="F2304" s="10"/>
      <c r="G2304" s="149">
        <f>F2304</f>
        <v>0</v>
      </c>
      <c r="H2304" s="74"/>
      <c r="I2304" s="74"/>
      <c r="J2304" s="74"/>
      <c r="K2304" s="74"/>
      <c r="L2304" s="74"/>
      <c r="M2304" s="74"/>
      <c r="N2304" s="165"/>
      <c r="O2304" s="30"/>
    </row>
    <row r="2305" spans="2:15">
      <c r="B2305" s="79" t="s">
        <v>172</v>
      </c>
      <c r="C2305" s="30"/>
      <c r="D2305" s="62"/>
      <c r="E2305" s="148"/>
      <c r="F2305" s="70">
        <f>G2305</f>
        <v>0</v>
      </c>
      <c r="G2305" s="10"/>
      <c r="H2305" s="74"/>
      <c r="I2305" s="74"/>
      <c r="J2305" s="74" t="s">
        <v>170</v>
      </c>
      <c r="K2305" s="74" t="s">
        <v>170</v>
      </c>
      <c r="L2305" s="74" t="s">
        <v>170</v>
      </c>
      <c r="M2305" s="74" t="s">
        <v>170</v>
      </c>
      <c r="N2305" s="74" t="s">
        <v>170</v>
      </c>
      <c r="O2305" s="30"/>
    </row>
    <row r="2306" spans="2:15">
      <c r="B2306" s="79" t="s">
        <v>173</v>
      </c>
      <c r="C2306" s="30"/>
      <c r="D2306" s="62"/>
      <c r="E2306" s="148"/>
      <c r="F2306" s="148"/>
      <c r="G2306" s="10"/>
      <c r="H2306" s="149">
        <f>G2306</f>
        <v>0</v>
      </c>
      <c r="I2306" s="148"/>
      <c r="J2306" s="74"/>
      <c r="K2306" s="74"/>
      <c r="L2306" s="74"/>
      <c r="M2306" s="74"/>
      <c r="N2306" s="74"/>
      <c r="O2306" s="30"/>
    </row>
    <row r="2307" spans="2:15">
      <c r="B2307" s="79" t="s">
        <v>174</v>
      </c>
      <c r="C2307" s="30"/>
      <c r="D2307" s="62"/>
      <c r="E2307" s="148"/>
      <c r="F2307" s="148"/>
      <c r="G2307" s="70">
        <f>H2307</f>
        <v>0</v>
      </c>
      <c r="H2307" s="10"/>
      <c r="I2307" s="148"/>
      <c r="J2307" s="74"/>
      <c r="K2307" s="74"/>
      <c r="L2307" s="74"/>
      <c r="M2307" s="74"/>
      <c r="N2307" s="74"/>
      <c r="O2307" s="30"/>
    </row>
    <row r="2308" spans="2:15">
      <c r="B2308" s="79" t="s">
        <v>175</v>
      </c>
      <c r="C2308" s="30"/>
      <c r="D2308" s="62"/>
      <c r="E2308" s="148"/>
      <c r="F2308" s="148"/>
      <c r="G2308" s="148"/>
      <c r="H2308" s="10"/>
      <c r="I2308" s="149">
        <f>H2308</f>
        <v>0</v>
      </c>
      <c r="J2308" s="74"/>
      <c r="K2308" s="74"/>
      <c r="L2308" s="74"/>
      <c r="M2308" s="74"/>
      <c r="N2308" s="74"/>
      <c r="O2308" s="30"/>
    </row>
    <row r="2309" spans="2:15">
      <c r="B2309" s="79" t="s">
        <v>176</v>
      </c>
      <c r="C2309" s="30"/>
      <c r="D2309" s="62"/>
      <c r="E2309" s="148"/>
      <c r="F2309" s="148"/>
      <c r="G2309" s="148"/>
      <c r="H2309" s="70">
        <f>I2309</f>
        <v>0</v>
      </c>
      <c r="I2309" s="10"/>
      <c r="J2309" s="74"/>
      <c r="K2309" s="74"/>
      <c r="L2309" s="74"/>
      <c r="M2309" s="74"/>
      <c r="N2309" s="74"/>
      <c r="O2309" s="30"/>
    </row>
    <row r="2310" spans="2:15">
      <c r="B2310" s="79" t="s">
        <v>177</v>
      </c>
      <c r="C2310" s="30"/>
      <c r="D2310" s="62"/>
      <c r="E2310" s="148"/>
      <c r="F2310" s="148"/>
      <c r="G2310" s="148"/>
      <c r="H2310" s="148"/>
      <c r="I2310" s="207">
        <f>J2310</f>
        <v>0</v>
      </c>
      <c r="J2310" s="150"/>
      <c r="K2310" s="74"/>
      <c r="L2310" s="74"/>
      <c r="M2310" s="74"/>
      <c r="N2310" s="74"/>
      <c r="O2310" s="30"/>
    </row>
    <row r="2311" spans="2:15">
      <c r="B2311" s="79" t="s">
        <v>168</v>
      </c>
      <c r="C2311" s="30"/>
      <c r="D2311" s="62"/>
      <c r="E2311" s="148"/>
      <c r="F2311" s="148"/>
      <c r="G2311" s="148"/>
      <c r="H2311" s="148"/>
      <c r="I2311" s="208">
        <f>J2310</f>
        <v>0</v>
      </c>
      <c r="J2311" s="151"/>
      <c r="K2311" s="74"/>
      <c r="L2311" s="74"/>
      <c r="M2311" s="74"/>
      <c r="N2311" s="74"/>
      <c r="O2311" s="30"/>
    </row>
    <row r="2312" spans="2:15">
      <c r="B2312" s="79" t="s">
        <v>169</v>
      </c>
      <c r="C2312" s="30"/>
      <c r="D2312" s="62"/>
      <c r="E2312" s="148"/>
      <c r="F2312" s="148"/>
      <c r="G2312" s="148"/>
      <c r="H2312" s="148"/>
      <c r="I2312" s="148"/>
      <c r="J2312" s="151">
        <v>0</v>
      </c>
      <c r="K2312" s="150">
        <v>0</v>
      </c>
      <c r="L2312" s="74"/>
      <c r="M2312" s="74"/>
      <c r="N2312" s="74"/>
      <c r="O2312" s="30"/>
    </row>
    <row r="2313" spans="2:15">
      <c r="B2313" s="79" t="s">
        <v>186</v>
      </c>
      <c r="C2313" s="30"/>
      <c r="D2313" s="62"/>
      <c r="E2313" s="148"/>
      <c r="F2313" s="148"/>
      <c r="G2313" s="148"/>
      <c r="H2313" s="148"/>
      <c r="I2313" s="148"/>
      <c r="J2313" s="228"/>
      <c r="K2313" s="151"/>
      <c r="L2313" s="74"/>
      <c r="M2313" s="74"/>
      <c r="N2313" s="74"/>
      <c r="O2313" s="30"/>
    </row>
    <row r="2314" spans="2:15">
      <c r="B2314" s="79" t="s">
        <v>187</v>
      </c>
      <c r="C2314" s="30"/>
      <c r="D2314" s="62"/>
      <c r="E2314" s="148"/>
      <c r="F2314" s="148"/>
      <c r="G2314" s="148"/>
      <c r="H2314" s="148"/>
      <c r="I2314" s="148"/>
      <c r="J2314" s="148"/>
      <c r="K2314" s="151"/>
      <c r="L2314" s="70"/>
      <c r="M2314" s="74"/>
      <c r="N2314" s="74"/>
      <c r="O2314" s="30"/>
    </row>
    <row r="2315" spans="2:15">
      <c r="B2315" s="79" t="s">
        <v>188</v>
      </c>
      <c r="C2315" s="30"/>
      <c r="D2315" s="62"/>
      <c r="E2315" s="148"/>
      <c r="F2315" s="148"/>
      <c r="G2315" s="148"/>
      <c r="H2315" s="148"/>
      <c r="I2315" s="148"/>
      <c r="J2315" s="148"/>
      <c r="K2315" s="228"/>
      <c r="L2315" s="250"/>
      <c r="M2315" s="74"/>
      <c r="N2315" s="74"/>
      <c r="O2315" s="30"/>
    </row>
    <row r="2316" spans="2:15">
      <c r="B2316" s="79" t="s">
        <v>189</v>
      </c>
      <c r="C2316" s="30"/>
      <c r="D2316" s="63"/>
      <c r="E2316" s="133"/>
      <c r="F2316" s="133"/>
      <c r="G2316" s="133"/>
      <c r="H2316" s="133"/>
      <c r="I2316" s="133"/>
      <c r="J2316" s="133"/>
      <c r="K2316" s="133"/>
      <c r="L2316" s="153"/>
      <c r="M2316" s="240"/>
      <c r="N2316" s="74"/>
      <c r="O2316" s="30"/>
    </row>
    <row r="2317" spans="2:15">
      <c r="B2317" s="79" t="s">
        <v>190</v>
      </c>
      <c r="C2317" s="30"/>
      <c r="D2317" s="62"/>
      <c r="E2317" s="148"/>
      <c r="F2317" s="148"/>
      <c r="G2317" s="148"/>
      <c r="H2317" s="148"/>
      <c r="I2317" s="148"/>
      <c r="J2317" s="148"/>
      <c r="K2317" s="148"/>
      <c r="L2317" s="145"/>
      <c r="M2317" s="151">
        <f>L2317</f>
        <v>0</v>
      </c>
      <c r="N2317" s="74"/>
    </row>
    <row r="2318" spans="2:15">
      <c r="B2318" s="79" t="s">
        <v>191</v>
      </c>
      <c r="C2318" s="30"/>
      <c r="D2318" s="62"/>
      <c r="E2318" s="148"/>
      <c r="F2318" s="148"/>
      <c r="G2318" s="148"/>
      <c r="H2318" s="148"/>
      <c r="I2318" s="148"/>
      <c r="J2318" s="148"/>
      <c r="K2318" s="148"/>
      <c r="L2318" s="148"/>
      <c r="M2318" s="151"/>
      <c r="N2318" s="150">
        <f>M2318</f>
        <v>0</v>
      </c>
    </row>
    <row r="2319" spans="2:15">
      <c r="B2319" s="79" t="s">
        <v>201</v>
      </c>
      <c r="C2319" s="30"/>
      <c r="D2319" s="62"/>
      <c r="E2319" s="148"/>
      <c r="F2319" s="148"/>
      <c r="G2319" s="148"/>
      <c r="H2319" s="148"/>
      <c r="I2319" s="148"/>
      <c r="J2319" s="148"/>
      <c r="K2319" s="148"/>
      <c r="L2319" s="148"/>
      <c r="M2319" s="145"/>
      <c r="N2319" s="151"/>
    </row>
    <row r="2320" spans="2:15">
      <c r="B2320" s="79" t="s">
        <v>202</v>
      </c>
      <c r="C2320" s="30"/>
      <c r="D2320" s="63"/>
      <c r="E2320" s="133"/>
      <c r="F2320" s="133"/>
      <c r="G2320" s="133"/>
      <c r="H2320" s="133"/>
      <c r="I2320" s="133"/>
      <c r="J2320" s="133"/>
      <c r="K2320" s="133"/>
      <c r="L2320" s="133"/>
      <c r="M2320" s="133"/>
      <c r="N2320" s="153"/>
    </row>
    <row r="2321" spans="1:15">
      <c r="B2321" s="33" t="s">
        <v>17</v>
      </c>
      <c r="D2321" s="7">
        <f xml:space="preserve"> D2301 - D2300</f>
        <v>0</v>
      </c>
      <c r="E2321" s="7">
        <f xml:space="preserve"> E2300 + E2303 - E2302 - E2301</f>
        <v>0</v>
      </c>
      <c r="F2321" s="7">
        <f>F2302 - F2303 -F2304</f>
        <v>0</v>
      </c>
      <c r="G2321" s="7">
        <f>G2304-G2305-G2306</f>
        <v>0</v>
      </c>
      <c r="H2321" s="7">
        <f>H2306-H2307-H2308</f>
        <v>0</v>
      </c>
      <c r="I2321" s="7">
        <f>I2308-I2309-I2310</f>
        <v>0</v>
      </c>
      <c r="J2321" s="7">
        <f>J2310-J2311-J2312</f>
        <v>0</v>
      </c>
      <c r="K2321" s="7">
        <f>K2312-K2313-K2314</f>
        <v>0</v>
      </c>
      <c r="L2321" s="7">
        <f>L2314-L2315-L2316</f>
        <v>0</v>
      </c>
      <c r="M2321" s="7">
        <f>M2316</f>
        <v>0</v>
      </c>
      <c r="N2321" s="7">
        <f>N2316</f>
        <v>0</v>
      </c>
      <c r="O2321" s="30"/>
    </row>
    <row r="2322" spans="1:15">
      <c r="B2322" s="6"/>
      <c r="D2322" s="7"/>
      <c r="E2322" s="7"/>
      <c r="F2322" s="7"/>
      <c r="G2322" s="7"/>
      <c r="H2322" s="7"/>
      <c r="I2322" s="7"/>
      <c r="J2322" s="7"/>
      <c r="K2322" s="7"/>
      <c r="L2322" s="7"/>
      <c r="M2322" s="7"/>
      <c r="N2322" s="7"/>
      <c r="O2322" s="30"/>
    </row>
    <row r="2323" spans="1:15">
      <c r="B2323" s="76" t="s">
        <v>12</v>
      </c>
      <c r="C2323" s="71"/>
      <c r="D2323" s="99"/>
      <c r="E2323" s="100"/>
      <c r="F2323" s="100"/>
      <c r="G2323" s="100"/>
      <c r="H2323" s="160"/>
      <c r="I2323" s="100"/>
      <c r="J2323" s="100"/>
      <c r="K2323" s="100"/>
      <c r="L2323" s="100"/>
      <c r="M2323" s="101"/>
      <c r="N2323" s="101"/>
      <c r="O2323" s="30"/>
    </row>
    <row r="2324" spans="1:15">
      <c r="B2324" s="6"/>
      <c r="D2324" s="7"/>
      <c r="E2324" s="7"/>
      <c r="F2324" s="7"/>
      <c r="G2324" s="7"/>
      <c r="H2324" s="7"/>
      <c r="I2324" s="7"/>
      <c r="J2324" s="7"/>
      <c r="K2324" s="7"/>
      <c r="L2324" s="7"/>
      <c r="M2324" s="7"/>
      <c r="N2324" s="7"/>
      <c r="O2324" s="30"/>
    </row>
    <row r="2325" spans="1:15" ht="18.5">
      <c r="A2325" s="41" t="s">
        <v>26</v>
      </c>
      <c r="C2325" s="71"/>
      <c r="D2325" s="43">
        <f t="shared" ref="D2325:L2325" si="1022" xml:space="preserve"> D2286 + D2291 - D2297 + D2321 + D2323</f>
        <v>0</v>
      </c>
      <c r="E2325" s="44">
        <f t="shared" si="1022"/>
        <v>328</v>
      </c>
      <c r="F2325" s="44">
        <f t="shared" si="1022"/>
        <v>293</v>
      </c>
      <c r="G2325" s="44">
        <f t="shared" si="1022"/>
        <v>278</v>
      </c>
      <c r="H2325" s="161">
        <f t="shared" si="1022"/>
        <v>226</v>
      </c>
      <c r="I2325" s="161">
        <f t="shared" si="1022"/>
        <v>329</v>
      </c>
      <c r="J2325" s="161">
        <f t="shared" si="1022"/>
        <v>346</v>
      </c>
      <c r="K2325" s="161">
        <f t="shared" si="1022"/>
        <v>266</v>
      </c>
      <c r="L2325" s="161">
        <f t="shared" si="1022"/>
        <v>246.51634211706531</v>
      </c>
      <c r="M2325" s="45">
        <f t="shared" ref="M2325:N2325" si="1023" xml:space="preserve"> M2286 + M2291 - M2297 + M2321 + M2323</f>
        <v>239</v>
      </c>
      <c r="N2325" s="45">
        <f t="shared" si="1023"/>
        <v>294</v>
      </c>
      <c r="O2325" s="30"/>
    </row>
    <row r="2326" spans="1:15">
      <c r="B2326" s="6"/>
      <c r="D2326" s="7"/>
      <c r="E2326" s="7"/>
      <c r="F2326" s="7"/>
      <c r="G2326" s="28"/>
      <c r="H2326" s="28"/>
      <c r="I2326" s="28"/>
      <c r="J2326" s="28"/>
      <c r="K2326" s="28"/>
      <c r="L2326" s="28"/>
      <c r="M2326" s="28"/>
      <c r="N2326" s="28"/>
      <c r="O2326" s="30"/>
    </row>
    <row r="2327" spans="1:15" ht="15" thickBot="1">
      <c r="O2327" s="30"/>
    </row>
    <row r="2328" spans="1:15" ht="15" thickBot="1">
      <c r="A2328" s="8"/>
      <c r="B2328" s="8"/>
      <c r="C2328" s="8"/>
      <c r="D2328" s="8"/>
      <c r="E2328" s="8"/>
      <c r="F2328" s="8"/>
      <c r="G2328" s="8"/>
      <c r="H2328" s="8"/>
      <c r="I2328" s="8"/>
      <c r="J2328" s="8"/>
      <c r="K2328" s="8"/>
      <c r="L2328" s="8"/>
      <c r="M2328" s="8"/>
      <c r="N2328" s="8"/>
    </row>
    <row r="2329" spans="1:15" ht="21.5" thickBot="1">
      <c r="A2329" s="13" t="s">
        <v>4</v>
      </c>
      <c r="B2329" s="13"/>
      <c r="C2329" s="313" t="s">
        <v>265</v>
      </c>
      <c r="D2329" s="310"/>
      <c r="E2329" s="23"/>
      <c r="F2329" s="23"/>
    </row>
    <row r="2331" spans="1:15" ht="18.5">
      <c r="A2331" s="9" t="s">
        <v>21</v>
      </c>
      <c r="B2331" s="9"/>
      <c r="D2331" s="2">
        <v>2011</v>
      </c>
      <c r="E2331" s="2">
        <f>D2331+1</f>
        <v>2012</v>
      </c>
      <c r="F2331" s="2">
        <f t="shared" ref="F2331" si="1024">E2331+1</f>
        <v>2013</v>
      </c>
      <c r="G2331" s="2">
        <f t="shared" ref="G2331" si="1025">F2331+1</f>
        <v>2014</v>
      </c>
      <c r="H2331" s="2">
        <f t="shared" ref="H2331" si="1026">G2331+1</f>
        <v>2015</v>
      </c>
      <c r="I2331" s="2">
        <f t="shared" ref="I2331" si="1027">H2331+1</f>
        <v>2016</v>
      </c>
      <c r="J2331" s="2">
        <f t="shared" ref="J2331" si="1028">I2331+1</f>
        <v>2017</v>
      </c>
      <c r="K2331" s="2">
        <f t="shared" ref="K2331" si="1029">J2331+1</f>
        <v>2018</v>
      </c>
      <c r="L2331" s="2">
        <f t="shared" ref="L2331" si="1030">K2331+1</f>
        <v>2019</v>
      </c>
      <c r="M2331" s="2">
        <f t="shared" ref="M2331" si="1031">L2331+1</f>
        <v>2020</v>
      </c>
      <c r="N2331" s="2">
        <f t="shared" ref="N2331" si="1032">M2331+1</f>
        <v>2021</v>
      </c>
    </row>
    <row r="2332" spans="1:15">
      <c r="B2332" s="79" t="str">
        <f>"Total MWh Produced / Purchased from " &amp; C2329</f>
        <v>Total MWh Produced / Purchased from Rock River</v>
      </c>
      <c r="C2332" s="71"/>
      <c r="D2332" s="3"/>
      <c r="E2332" s="4"/>
      <c r="F2332" s="4"/>
      <c r="G2332" s="4"/>
      <c r="H2332" s="4"/>
      <c r="I2332" s="4"/>
      <c r="J2332" s="4"/>
      <c r="K2332" s="4"/>
      <c r="L2332" s="4"/>
      <c r="M2332" s="230"/>
      <c r="N2332" s="230">
        <v>106017</v>
      </c>
    </row>
    <row r="2333" spans="1:15">
      <c r="B2333" s="79" t="s">
        <v>25</v>
      </c>
      <c r="C2333" s="71"/>
      <c r="D2333" s="54"/>
      <c r="E2333" s="55"/>
      <c r="F2333" s="55"/>
      <c r="G2333" s="55"/>
      <c r="H2333" s="55"/>
      <c r="I2333" s="55"/>
      <c r="J2333" s="55"/>
      <c r="K2333" s="55"/>
      <c r="L2333" s="55"/>
      <c r="M2333" s="234"/>
      <c r="N2333" s="234">
        <v>1</v>
      </c>
    </row>
    <row r="2334" spans="1:15">
      <c r="B2334" s="79" t="s">
        <v>20</v>
      </c>
      <c r="C2334" s="71"/>
      <c r="D2334" s="48"/>
      <c r="E2334" s="49"/>
      <c r="F2334" s="49"/>
      <c r="G2334" s="49"/>
      <c r="H2334" s="49"/>
      <c r="I2334" s="49"/>
      <c r="J2334" s="49"/>
      <c r="K2334" s="49"/>
      <c r="L2334" s="49"/>
      <c r="M2334" s="243"/>
      <c r="N2334" s="243">
        <f>N2285</f>
        <v>8.0780946790754593E-2</v>
      </c>
    </row>
    <row r="2335" spans="1:15">
      <c r="B2335" s="76" t="s">
        <v>22</v>
      </c>
      <c r="C2335" s="77"/>
      <c r="D2335" s="37">
        <v>0</v>
      </c>
      <c r="E2335" s="37">
        <v>0</v>
      </c>
      <c r="F2335" s="37">
        <v>0</v>
      </c>
      <c r="G2335" s="37">
        <v>0</v>
      </c>
      <c r="H2335" s="37">
        <v>0</v>
      </c>
      <c r="I2335" s="37">
        <v>0</v>
      </c>
      <c r="J2335" s="37">
        <v>0</v>
      </c>
      <c r="K2335" s="37">
        <v>0</v>
      </c>
      <c r="L2335" s="37">
        <f>L2332*L2334</f>
        <v>0</v>
      </c>
      <c r="M2335" s="37">
        <f>M2332*M2334</f>
        <v>0</v>
      </c>
      <c r="N2335" s="37">
        <f>N2332*N2334</f>
        <v>8564.1536359154288</v>
      </c>
    </row>
    <row r="2336" spans="1:15">
      <c r="B2336" s="23"/>
      <c r="C2336" s="30"/>
      <c r="D2336" s="36"/>
      <c r="E2336" s="36"/>
      <c r="F2336" s="36"/>
      <c r="G2336" s="36"/>
      <c r="H2336" s="36"/>
      <c r="I2336" s="36"/>
      <c r="J2336" s="36"/>
      <c r="K2336" s="36"/>
      <c r="L2336" s="36"/>
      <c r="M2336" s="36"/>
      <c r="N2336" s="36"/>
    </row>
    <row r="2337" spans="1:14" ht="18.5">
      <c r="A2337" s="42" t="s">
        <v>119</v>
      </c>
      <c r="C2337" s="30"/>
      <c r="D2337" s="2">
        <v>2011</v>
      </c>
      <c r="E2337" s="2">
        <f>D2337+1</f>
        <v>2012</v>
      </c>
      <c r="F2337" s="2">
        <f t="shared" ref="F2337" si="1033">E2337+1</f>
        <v>2013</v>
      </c>
      <c r="G2337" s="2">
        <f t="shared" ref="G2337" si="1034">F2337+1</f>
        <v>2014</v>
      </c>
      <c r="H2337" s="2">
        <f t="shared" ref="H2337" si="1035">G2337+1</f>
        <v>2015</v>
      </c>
      <c r="I2337" s="2">
        <f t="shared" ref="I2337" si="1036">H2337+1</f>
        <v>2016</v>
      </c>
      <c r="J2337" s="2">
        <f t="shared" ref="J2337" si="1037">I2337+1</f>
        <v>2017</v>
      </c>
      <c r="K2337" s="2">
        <f t="shared" ref="K2337" si="1038">J2337+1</f>
        <v>2018</v>
      </c>
      <c r="L2337" s="2">
        <f t="shared" ref="L2337" si="1039">K2337+1</f>
        <v>2019</v>
      </c>
      <c r="M2337" s="2">
        <f t="shared" ref="M2337" si="1040">L2337+1</f>
        <v>2020</v>
      </c>
      <c r="N2337" s="2">
        <f t="shared" ref="N2337" si="1041">M2337+1</f>
        <v>2021</v>
      </c>
    </row>
    <row r="2338" spans="1:14">
      <c r="B2338" s="79" t="s">
        <v>10</v>
      </c>
      <c r="C2338" s="71"/>
      <c r="D2338" s="51">
        <f>IF($E50= "Eligible", D2335 * 'Facility Detail'!$B$3079, 0 )</f>
        <v>0</v>
      </c>
      <c r="E2338" s="51">
        <f>IF($E50= "Eligible", E2335 * 'Facility Detail'!$B$3079, 0 )</f>
        <v>0</v>
      </c>
      <c r="F2338" s="51">
        <f>IF($E50= "Eligible", F2335 * 'Facility Detail'!$B$3079, 0 )</f>
        <v>0</v>
      </c>
      <c r="G2338" s="51">
        <f>IF($E50= "Eligible", G2335 * 'Facility Detail'!$B$3079, 0 )</f>
        <v>0</v>
      </c>
      <c r="H2338" s="51">
        <f>IF($E50= "Eligible", H2335 * 'Facility Detail'!$B$3079, 0 )</f>
        <v>0</v>
      </c>
      <c r="I2338" s="51">
        <f>IF($E50= "Eligible", I2335 * 'Facility Detail'!$B$3079, 0 )</f>
        <v>0</v>
      </c>
      <c r="J2338" s="51">
        <f>IF($E50= "Eligible", J2335 * 'Facility Detail'!$B$3079, 0 )</f>
        <v>0</v>
      </c>
      <c r="K2338" s="51">
        <f>IF($E50= "Eligible", K2335 * 'Facility Detail'!$B$3079, 0 )</f>
        <v>0</v>
      </c>
      <c r="L2338" s="51">
        <f>IF($E50= "Eligible", L2335 * 'Facility Detail'!$B$3079, 0 )</f>
        <v>0</v>
      </c>
      <c r="M2338" s="51">
        <f>IF($E50= "Eligible", M2335 * 'Facility Detail'!$B$3079, 0 )</f>
        <v>0</v>
      </c>
      <c r="N2338" s="51">
        <f>IF($E50= "Eligible", N2335 * 'Facility Detail'!$B$3079, 0 )</f>
        <v>0</v>
      </c>
    </row>
    <row r="2339" spans="1:14">
      <c r="B2339" s="79" t="s">
        <v>6</v>
      </c>
      <c r="C2339" s="71"/>
      <c r="D2339" s="52">
        <f t="shared" ref="D2339:N2339" si="1042">IF($F50= "Eligible", D2335, 0 )</f>
        <v>0</v>
      </c>
      <c r="E2339" s="52">
        <f t="shared" si="1042"/>
        <v>0</v>
      </c>
      <c r="F2339" s="52">
        <f t="shared" si="1042"/>
        <v>0</v>
      </c>
      <c r="G2339" s="52">
        <f t="shared" si="1042"/>
        <v>0</v>
      </c>
      <c r="H2339" s="52">
        <f t="shared" si="1042"/>
        <v>0</v>
      </c>
      <c r="I2339" s="52">
        <f t="shared" si="1042"/>
        <v>0</v>
      </c>
      <c r="J2339" s="52">
        <f t="shared" si="1042"/>
        <v>0</v>
      </c>
      <c r="K2339" s="52">
        <f t="shared" si="1042"/>
        <v>0</v>
      </c>
      <c r="L2339" s="52">
        <f t="shared" si="1042"/>
        <v>0</v>
      </c>
      <c r="M2339" s="52">
        <f t="shared" si="1042"/>
        <v>0</v>
      </c>
      <c r="N2339" s="52">
        <f t="shared" si="1042"/>
        <v>0</v>
      </c>
    </row>
    <row r="2340" spans="1:14">
      <c r="B2340" s="78" t="s">
        <v>121</v>
      </c>
      <c r="C2340" s="77"/>
      <c r="D2340" s="39">
        <f>SUM(D2338:D2339)</f>
        <v>0</v>
      </c>
      <c r="E2340" s="39">
        <f t="shared" ref="E2340:N2340" si="1043">SUM(E2338:E2339)</f>
        <v>0</v>
      </c>
      <c r="F2340" s="39">
        <f t="shared" si="1043"/>
        <v>0</v>
      </c>
      <c r="G2340" s="39">
        <f t="shared" si="1043"/>
        <v>0</v>
      </c>
      <c r="H2340" s="39">
        <f t="shared" si="1043"/>
        <v>0</v>
      </c>
      <c r="I2340" s="39">
        <f t="shared" si="1043"/>
        <v>0</v>
      </c>
      <c r="J2340" s="39">
        <f t="shared" si="1043"/>
        <v>0</v>
      </c>
      <c r="K2340" s="39">
        <f t="shared" si="1043"/>
        <v>0</v>
      </c>
      <c r="L2340" s="39">
        <f t="shared" si="1043"/>
        <v>0</v>
      </c>
      <c r="M2340" s="39">
        <f t="shared" si="1043"/>
        <v>0</v>
      </c>
      <c r="N2340" s="39">
        <f t="shared" si="1043"/>
        <v>0</v>
      </c>
    </row>
    <row r="2341" spans="1:14">
      <c r="B2341" s="30"/>
      <c r="C2341" s="30"/>
      <c r="D2341" s="38"/>
      <c r="E2341" s="31"/>
      <c r="F2341" s="31"/>
      <c r="G2341" s="31"/>
      <c r="H2341" s="31"/>
      <c r="I2341" s="31"/>
      <c r="J2341" s="31"/>
      <c r="K2341" s="31"/>
      <c r="L2341" s="31"/>
      <c r="M2341" s="31"/>
      <c r="N2341" s="31"/>
    </row>
    <row r="2342" spans="1:14" ht="18.5">
      <c r="A2342" s="41" t="s">
        <v>30</v>
      </c>
      <c r="C2342" s="30"/>
      <c r="D2342" s="2">
        <v>2011</v>
      </c>
      <c r="E2342" s="2">
        <f>D2342+1</f>
        <v>2012</v>
      </c>
      <c r="F2342" s="2">
        <f t="shared" ref="F2342" si="1044">E2342+1</f>
        <v>2013</v>
      </c>
      <c r="G2342" s="2">
        <f t="shared" ref="G2342" si="1045">F2342+1</f>
        <v>2014</v>
      </c>
      <c r="H2342" s="2">
        <f t="shared" ref="H2342" si="1046">G2342+1</f>
        <v>2015</v>
      </c>
      <c r="I2342" s="2">
        <f t="shared" ref="I2342" si="1047">H2342+1</f>
        <v>2016</v>
      </c>
      <c r="J2342" s="2">
        <f t="shared" ref="J2342" si="1048">I2342+1</f>
        <v>2017</v>
      </c>
      <c r="K2342" s="2">
        <f t="shared" ref="K2342" si="1049">J2342+1</f>
        <v>2018</v>
      </c>
      <c r="L2342" s="2">
        <f t="shared" ref="L2342" si="1050">K2342+1</f>
        <v>2019</v>
      </c>
      <c r="M2342" s="2">
        <f t="shared" ref="M2342" si="1051">L2342+1</f>
        <v>2020</v>
      </c>
      <c r="N2342" s="2">
        <f t="shared" ref="N2342" si="1052">M2342+1</f>
        <v>2021</v>
      </c>
    </row>
    <row r="2343" spans="1:14">
      <c r="B2343" s="79" t="s">
        <v>47</v>
      </c>
      <c r="C2343" s="71"/>
      <c r="D2343" s="89"/>
      <c r="E2343" s="90"/>
      <c r="F2343" s="90"/>
      <c r="G2343" s="90"/>
      <c r="H2343" s="90"/>
      <c r="I2343" s="90"/>
      <c r="J2343" s="90"/>
      <c r="K2343" s="90"/>
      <c r="L2343" s="90"/>
      <c r="M2343" s="90"/>
      <c r="N2343" s="90"/>
    </row>
    <row r="2344" spans="1:14">
      <c r="B2344" s="80" t="s">
        <v>23</v>
      </c>
      <c r="C2344" s="175"/>
      <c r="D2344" s="92"/>
      <c r="E2344" s="93"/>
      <c r="F2344" s="93"/>
      <c r="G2344" s="93"/>
      <c r="H2344" s="93"/>
      <c r="I2344" s="93"/>
      <c r="J2344" s="93"/>
      <c r="K2344" s="93"/>
      <c r="L2344" s="93"/>
      <c r="M2344" s="93"/>
      <c r="N2344" s="93"/>
    </row>
    <row r="2345" spans="1:14">
      <c r="B2345" s="95" t="s">
        <v>89</v>
      </c>
      <c r="C2345" s="173"/>
      <c r="D2345" s="57"/>
      <c r="E2345" s="58"/>
      <c r="F2345" s="58"/>
      <c r="G2345" s="58"/>
      <c r="H2345" s="58"/>
      <c r="I2345" s="58"/>
      <c r="J2345" s="58"/>
      <c r="K2345" s="58"/>
      <c r="L2345" s="58"/>
      <c r="M2345" s="58"/>
      <c r="N2345" s="58"/>
    </row>
    <row r="2346" spans="1:14">
      <c r="B2346" s="33" t="s">
        <v>90</v>
      </c>
      <c r="D2346" s="7">
        <v>0</v>
      </c>
      <c r="E2346" s="7">
        <v>0</v>
      </c>
      <c r="F2346" s="7">
        <v>0</v>
      </c>
      <c r="G2346" s="7">
        <v>0</v>
      </c>
      <c r="H2346" s="7">
        <v>0</v>
      </c>
      <c r="I2346" s="7">
        <v>0</v>
      </c>
      <c r="J2346" s="7">
        <v>0</v>
      </c>
      <c r="K2346" s="7">
        <v>0</v>
      </c>
      <c r="L2346" s="7">
        <v>0</v>
      </c>
      <c r="M2346" s="7">
        <v>0</v>
      </c>
      <c r="N2346" s="7">
        <v>0</v>
      </c>
    </row>
    <row r="2347" spans="1:14">
      <c r="B2347" s="6"/>
      <c r="D2347" s="7"/>
      <c r="E2347" s="7"/>
      <c r="F2347" s="7"/>
      <c r="G2347" s="28"/>
      <c r="H2347" s="28"/>
      <c r="I2347" s="28"/>
      <c r="J2347" s="28"/>
      <c r="K2347" s="28"/>
      <c r="L2347" s="28"/>
      <c r="M2347" s="28"/>
      <c r="N2347" s="28"/>
    </row>
    <row r="2348" spans="1:14" ht="18.5">
      <c r="A2348" s="9" t="s">
        <v>100</v>
      </c>
      <c r="D2348" s="2">
        <f>'Facility Detail'!$B$3082</f>
        <v>2011</v>
      </c>
      <c r="E2348" s="2">
        <f>D2348+1</f>
        <v>2012</v>
      </c>
      <c r="F2348" s="2">
        <f t="shared" ref="F2348" si="1053">E2348+1</f>
        <v>2013</v>
      </c>
      <c r="G2348" s="2">
        <f t="shared" ref="G2348" si="1054">F2348+1</f>
        <v>2014</v>
      </c>
      <c r="H2348" s="2">
        <f t="shared" ref="H2348" si="1055">G2348+1</f>
        <v>2015</v>
      </c>
      <c r="I2348" s="2">
        <f t="shared" ref="I2348" si="1056">H2348+1</f>
        <v>2016</v>
      </c>
      <c r="J2348" s="2">
        <f t="shared" ref="J2348" si="1057">I2348+1</f>
        <v>2017</v>
      </c>
      <c r="K2348" s="2">
        <f t="shared" ref="K2348" si="1058">J2348+1</f>
        <v>2018</v>
      </c>
      <c r="L2348" s="2">
        <f t="shared" ref="L2348" si="1059">K2348+1</f>
        <v>2019</v>
      </c>
      <c r="M2348" s="2">
        <f t="shared" ref="M2348" si="1060">L2348+1</f>
        <v>2020</v>
      </c>
      <c r="N2348" s="2">
        <f t="shared" ref="N2348" si="1061">M2348+1</f>
        <v>2021</v>
      </c>
    </row>
    <row r="2349" spans="1:14">
      <c r="B2349" s="79" t="s">
        <v>68</v>
      </c>
      <c r="C2349" s="71"/>
      <c r="D2349" s="3"/>
      <c r="E2349" s="60">
        <f>D2349</f>
        <v>0</v>
      </c>
      <c r="F2349" s="131"/>
      <c r="G2349" s="131"/>
      <c r="H2349" s="131"/>
      <c r="I2349" s="131"/>
      <c r="J2349" s="131"/>
      <c r="K2349" s="131"/>
      <c r="L2349" s="131"/>
      <c r="M2349" s="131"/>
      <c r="N2349" s="61"/>
    </row>
    <row r="2350" spans="1:14">
      <c r="B2350" s="79" t="s">
        <v>69</v>
      </c>
      <c r="C2350" s="71"/>
      <c r="D2350" s="164">
        <f>E2350</f>
        <v>0</v>
      </c>
      <c r="E2350" s="10"/>
      <c r="F2350" s="74"/>
      <c r="G2350" s="74"/>
      <c r="H2350" s="74"/>
      <c r="I2350" s="74"/>
      <c r="J2350" s="74"/>
      <c r="K2350" s="74"/>
      <c r="L2350" s="74"/>
      <c r="M2350" s="74"/>
      <c r="N2350" s="165"/>
    </row>
    <row r="2351" spans="1:14">
      <c r="B2351" s="79" t="s">
        <v>70</v>
      </c>
      <c r="C2351" s="71"/>
      <c r="D2351" s="62"/>
      <c r="E2351" s="10">
        <f>E2335</f>
        <v>0</v>
      </c>
      <c r="F2351" s="70">
        <f>E2351</f>
        <v>0</v>
      </c>
      <c r="G2351" s="74"/>
      <c r="H2351" s="74"/>
      <c r="I2351" s="74"/>
      <c r="J2351" s="74"/>
      <c r="K2351" s="74"/>
      <c r="L2351" s="74"/>
      <c r="M2351" s="74"/>
      <c r="N2351" s="165"/>
    </row>
    <row r="2352" spans="1:14">
      <c r="B2352" s="79" t="s">
        <v>71</v>
      </c>
      <c r="C2352" s="71"/>
      <c r="D2352" s="62"/>
      <c r="E2352" s="70">
        <f>F2352</f>
        <v>0</v>
      </c>
      <c r="F2352" s="163"/>
      <c r="G2352" s="74"/>
      <c r="H2352" s="74"/>
      <c r="I2352" s="74"/>
      <c r="J2352" s="74"/>
      <c r="K2352" s="74"/>
      <c r="L2352" s="74"/>
      <c r="M2352" s="74"/>
      <c r="N2352" s="165"/>
    </row>
    <row r="2353" spans="2:14">
      <c r="B2353" s="79" t="s">
        <v>171</v>
      </c>
      <c r="C2353" s="30"/>
      <c r="D2353" s="62"/>
      <c r="E2353" s="148"/>
      <c r="F2353" s="10">
        <f>F2335</f>
        <v>0</v>
      </c>
      <c r="G2353" s="149">
        <f>F2353</f>
        <v>0</v>
      </c>
      <c r="H2353" s="74"/>
      <c r="I2353" s="74"/>
      <c r="J2353" s="74"/>
      <c r="K2353" s="74"/>
      <c r="L2353" s="74"/>
      <c r="M2353" s="74"/>
      <c r="N2353" s="165"/>
    </row>
    <row r="2354" spans="2:14">
      <c r="B2354" s="79" t="s">
        <v>172</v>
      </c>
      <c r="C2354" s="30"/>
      <c r="D2354" s="62"/>
      <c r="E2354" s="148"/>
      <c r="F2354" s="70">
        <f>G2354</f>
        <v>0</v>
      </c>
      <c r="G2354" s="10"/>
      <c r="H2354" s="74"/>
      <c r="I2354" s="74"/>
      <c r="J2354" s="74"/>
      <c r="K2354" s="74"/>
      <c r="L2354" s="74"/>
      <c r="M2354" s="74"/>
      <c r="N2354" s="165"/>
    </row>
    <row r="2355" spans="2:14">
      <c r="B2355" s="79" t="s">
        <v>173</v>
      </c>
      <c r="C2355" s="30"/>
      <c r="D2355" s="62"/>
      <c r="E2355" s="148"/>
      <c r="F2355" s="148"/>
      <c r="G2355" s="10">
        <f>G2335</f>
        <v>0</v>
      </c>
      <c r="H2355" s="149">
        <f>G2355</f>
        <v>0</v>
      </c>
      <c r="I2355" s="148"/>
      <c r="J2355" s="74"/>
      <c r="K2355" s="74"/>
      <c r="L2355" s="74"/>
      <c r="M2355" s="74"/>
      <c r="N2355" s="152"/>
    </row>
    <row r="2356" spans="2:14">
      <c r="B2356" s="79" t="s">
        <v>174</v>
      </c>
      <c r="C2356" s="30"/>
      <c r="D2356" s="62"/>
      <c r="E2356" s="148"/>
      <c r="F2356" s="148"/>
      <c r="G2356" s="70"/>
      <c r="H2356" s="10"/>
      <c r="I2356" s="148"/>
      <c r="J2356" s="74"/>
      <c r="K2356" s="74"/>
      <c r="L2356" s="74"/>
      <c r="M2356" s="74"/>
      <c r="N2356" s="152"/>
    </row>
    <row r="2357" spans="2:14">
      <c r="B2357" s="79" t="s">
        <v>175</v>
      </c>
      <c r="C2357" s="30"/>
      <c r="D2357" s="62"/>
      <c r="E2357" s="148"/>
      <c r="F2357" s="148"/>
      <c r="G2357" s="148"/>
      <c r="H2357" s="10">
        <v>0</v>
      </c>
      <c r="I2357" s="149">
        <f>H2357</f>
        <v>0</v>
      </c>
      <c r="J2357" s="74"/>
      <c r="K2357" s="74"/>
      <c r="L2357" s="74"/>
      <c r="M2357" s="74"/>
      <c r="N2357" s="152"/>
    </row>
    <row r="2358" spans="2:14">
      <c r="B2358" s="79" t="s">
        <v>176</v>
      </c>
      <c r="C2358" s="30"/>
      <c r="D2358" s="62"/>
      <c r="E2358" s="148"/>
      <c r="F2358" s="148"/>
      <c r="G2358" s="148"/>
      <c r="H2358" s="70"/>
      <c r="I2358" s="10"/>
      <c r="J2358" s="74"/>
      <c r="K2358" s="74"/>
      <c r="L2358" s="74"/>
      <c r="M2358" s="74"/>
      <c r="N2358" s="152"/>
    </row>
    <row r="2359" spans="2:14">
      <c r="B2359" s="79" t="s">
        <v>177</v>
      </c>
      <c r="C2359" s="30"/>
      <c r="D2359" s="62"/>
      <c r="E2359" s="148"/>
      <c r="F2359" s="148"/>
      <c r="G2359" s="148"/>
      <c r="H2359" s="148"/>
      <c r="I2359" s="207">
        <f>I2335</f>
        <v>0</v>
      </c>
      <c r="J2359" s="150">
        <f>I2359</f>
        <v>0</v>
      </c>
      <c r="K2359" s="74"/>
      <c r="L2359" s="74"/>
      <c r="M2359" s="74"/>
      <c r="N2359" s="152"/>
    </row>
    <row r="2360" spans="2:14">
      <c r="B2360" s="79" t="s">
        <v>168</v>
      </c>
      <c r="C2360" s="30"/>
      <c r="D2360" s="62"/>
      <c r="E2360" s="148"/>
      <c r="F2360" s="148"/>
      <c r="G2360" s="148"/>
      <c r="H2360" s="148"/>
      <c r="I2360" s="208"/>
      <c r="J2360" s="151"/>
      <c r="K2360" s="74"/>
      <c r="L2360" s="74"/>
      <c r="M2360" s="74"/>
      <c r="N2360" s="152"/>
    </row>
    <row r="2361" spans="2:14">
      <c r="B2361" s="79" t="s">
        <v>169</v>
      </c>
      <c r="C2361" s="30"/>
      <c r="D2361" s="62"/>
      <c r="E2361" s="148"/>
      <c r="F2361" s="148"/>
      <c r="G2361" s="148"/>
      <c r="H2361" s="148"/>
      <c r="I2361" s="148"/>
      <c r="J2361" s="151">
        <f>J2335</f>
        <v>0</v>
      </c>
      <c r="K2361" s="150">
        <f>J2361</f>
        <v>0</v>
      </c>
      <c r="L2361" s="74"/>
      <c r="M2361" s="74"/>
      <c r="N2361" s="152"/>
    </row>
    <row r="2362" spans="2:14">
      <c r="B2362" s="79" t="s">
        <v>186</v>
      </c>
      <c r="C2362" s="30"/>
      <c r="D2362" s="62"/>
      <c r="E2362" s="148"/>
      <c r="F2362" s="148"/>
      <c r="G2362" s="148"/>
      <c r="H2362" s="148"/>
      <c r="I2362" s="148"/>
      <c r="J2362" s="228"/>
      <c r="K2362" s="151"/>
      <c r="L2362" s="74"/>
      <c r="M2362" s="74"/>
      <c r="N2362" s="152"/>
    </row>
    <row r="2363" spans="2:14">
      <c r="B2363" s="79" t="s">
        <v>187</v>
      </c>
      <c r="C2363" s="30"/>
      <c r="D2363" s="62"/>
      <c r="E2363" s="148"/>
      <c r="F2363" s="148"/>
      <c r="G2363" s="148"/>
      <c r="H2363" s="148"/>
      <c r="I2363" s="148"/>
      <c r="J2363" s="148"/>
      <c r="K2363" s="151"/>
      <c r="L2363" s="150">
        <f>K2363</f>
        <v>0</v>
      </c>
      <c r="M2363" s="74"/>
      <c r="N2363" s="152"/>
    </row>
    <row r="2364" spans="2:14">
      <c r="B2364" s="79" t="s">
        <v>188</v>
      </c>
      <c r="C2364" s="30"/>
      <c r="D2364" s="62"/>
      <c r="E2364" s="148"/>
      <c r="F2364" s="148"/>
      <c r="G2364" s="148"/>
      <c r="H2364" s="148"/>
      <c r="I2364" s="148"/>
      <c r="J2364" s="148"/>
      <c r="K2364" s="145"/>
      <c r="L2364" s="151"/>
      <c r="M2364" s="74"/>
      <c r="N2364" s="152"/>
    </row>
    <row r="2365" spans="2:14">
      <c r="B2365" s="79" t="s">
        <v>189</v>
      </c>
      <c r="C2365" s="30"/>
      <c r="D2365" s="62"/>
      <c r="E2365" s="148"/>
      <c r="F2365" s="148"/>
      <c r="G2365" s="148"/>
      <c r="H2365" s="148"/>
      <c r="I2365" s="148"/>
      <c r="J2365" s="148"/>
      <c r="K2365" s="148"/>
      <c r="L2365" s="151"/>
      <c r="M2365" s="150">
        <f>L2365</f>
        <v>0</v>
      </c>
      <c r="N2365" s="152"/>
    </row>
    <row r="2366" spans="2:14">
      <c r="B2366" s="79" t="s">
        <v>190</v>
      </c>
      <c r="C2366" s="30"/>
      <c r="D2366" s="62"/>
      <c r="E2366" s="148"/>
      <c r="F2366" s="148"/>
      <c r="G2366" s="148"/>
      <c r="H2366" s="148"/>
      <c r="I2366" s="148"/>
      <c r="J2366" s="148"/>
      <c r="K2366" s="148"/>
      <c r="L2366" s="145">
        <f>M2335</f>
        <v>0</v>
      </c>
      <c r="M2366" s="151">
        <f>L2366</f>
        <v>0</v>
      </c>
      <c r="N2366" s="152"/>
    </row>
    <row r="2367" spans="2:14">
      <c r="B2367" s="79" t="s">
        <v>191</v>
      </c>
      <c r="C2367" s="30"/>
      <c r="D2367" s="62"/>
      <c r="E2367" s="148"/>
      <c r="F2367" s="148"/>
      <c r="G2367" s="148"/>
      <c r="H2367" s="148"/>
      <c r="I2367" s="148"/>
      <c r="J2367" s="148"/>
      <c r="K2367" s="148"/>
      <c r="L2367" s="148"/>
      <c r="M2367" s="151"/>
      <c r="N2367" s="150">
        <f>M2367</f>
        <v>0</v>
      </c>
    </row>
    <row r="2368" spans="2:14">
      <c r="B2368" s="79" t="s">
        <v>201</v>
      </c>
      <c r="C2368" s="30"/>
      <c r="D2368" s="62"/>
      <c r="E2368" s="148"/>
      <c r="F2368" s="148"/>
      <c r="G2368" s="148"/>
      <c r="H2368" s="148"/>
      <c r="I2368" s="148"/>
      <c r="J2368" s="148"/>
      <c r="K2368" s="148"/>
      <c r="L2368" s="148"/>
      <c r="M2368" s="145"/>
      <c r="N2368" s="151"/>
    </row>
    <row r="2369" spans="1:15">
      <c r="B2369" s="79" t="s">
        <v>202</v>
      </c>
      <c r="C2369" s="30"/>
      <c r="D2369" s="63"/>
      <c r="E2369" s="133"/>
      <c r="F2369" s="133"/>
      <c r="G2369" s="133"/>
      <c r="H2369" s="133"/>
      <c r="I2369" s="133"/>
      <c r="J2369" s="133"/>
      <c r="K2369" s="133"/>
      <c r="L2369" s="133"/>
      <c r="M2369" s="133"/>
      <c r="N2369" s="153"/>
    </row>
    <row r="2370" spans="1:15">
      <c r="B2370" s="33" t="s">
        <v>17</v>
      </c>
      <c r="D2370" s="218">
        <f xml:space="preserve"> D2355 - D2354</f>
        <v>0</v>
      </c>
      <c r="E2370" s="218">
        <f xml:space="preserve"> E2354 + E2357 - E2356 - E2355</f>
        <v>0</v>
      </c>
      <c r="F2370" s="218">
        <f>F2356 - F2357</f>
        <v>0</v>
      </c>
      <c r="G2370" s="218">
        <f>G2356 - G2357</f>
        <v>0</v>
      </c>
      <c r="H2370" s="218">
        <f>H2355-H2356-H2357</f>
        <v>0</v>
      </c>
      <c r="I2370" s="218">
        <f>I2357-I2358-I2359</f>
        <v>0</v>
      </c>
      <c r="J2370" s="218">
        <f>J2359-J2360-J2361</f>
        <v>0</v>
      </c>
      <c r="K2370" s="218">
        <f>K2361-K2362-K2363</f>
        <v>0</v>
      </c>
      <c r="L2370" s="218">
        <f>L2363+L2366-L2365-L2364</f>
        <v>0</v>
      </c>
      <c r="M2370" s="218">
        <f>M2365-M2366+M2368</f>
        <v>0</v>
      </c>
      <c r="N2370" s="218">
        <f>N2367-N2368-N2369</f>
        <v>0</v>
      </c>
    </row>
    <row r="2371" spans="1:15">
      <c r="B2371" s="6"/>
      <c r="D2371" s="218"/>
      <c r="E2371" s="218"/>
      <c r="F2371" s="218"/>
      <c r="G2371" s="218"/>
      <c r="H2371" s="218"/>
      <c r="I2371" s="218"/>
      <c r="J2371" s="218"/>
      <c r="K2371" s="218"/>
      <c r="L2371" s="218"/>
      <c r="M2371" s="218"/>
      <c r="N2371" s="218"/>
    </row>
    <row r="2372" spans="1:15">
      <c r="B2372" s="76" t="s">
        <v>12</v>
      </c>
      <c r="C2372" s="71"/>
      <c r="D2372" s="219"/>
      <c r="E2372" s="220"/>
      <c r="F2372" s="220"/>
      <c r="G2372" s="220"/>
      <c r="H2372" s="220"/>
      <c r="I2372" s="220"/>
      <c r="J2372" s="220"/>
      <c r="K2372" s="220"/>
      <c r="L2372" s="220"/>
      <c r="M2372" s="220"/>
      <c r="N2372" s="220"/>
    </row>
    <row r="2373" spans="1:15">
      <c r="B2373" s="6"/>
      <c r="D2373" s="218"/>
      <c r="E2373" s="218"/>
      <c r="F2373" s="218"/>
      <c r="G2373" s="218"/>
      <c r="H2373" s="218"/>
      <c r="I2373" s="218"/>
      <c r="J2373" s="218"/>
      <c r="K2373" s="218"/>
      <c r="L2373" s="218"/>
      <c r="M2373" s="218"/>
      <c r="N2373" s="218"/>
    </row>
    <row r="2374" spans="1:15" ht="18.5">
      <c r="A2374" s="41" t="s">
        <v>26</v>
      </c>
      <c r="C2374" s="71"/>
      <c r="D2374" s="221">
        <f t="shared" ref="D2374:N2374" si="1062" xml:space="preserve"> D2335 + D2340 - D2346 + D2370 + D2372</f>
        <v>0</v>
      </c>
      <c r="E2374" s="222">
        <f t="shared" si="1062"/>
        <v>0</v>
      </c>
      <c r="F2374" s="222">
        <f t="shared" si="1062"/>
        <v>0</v>
      </c>
      <c r="G2374" s="222">
        <f t="shared" si="1062"/>
        <v>0</v>
      </c>
      <c r="H2374" s="222">
        <f t="shared" si="1062"/>
        <v>0</v>
      </c>
      <c r="I2374" s="222">
        <f t="shared" si="1062"/>
        <v>0</v>
      </c>
      <c r="J2374" s="222">
        <f t="shared" si="1062"/>
        <v>0</v>
      </c>
      <c r="K2374" s="222">
        <f t="shared" si="1062"/>
        <v>0</v>
      </c>
      <c r="L2374" s="222">
        <f t="shared" si="1062"/>
        <v>0</v>
      </c>
      <c r="M2374" s="222">
        <f t="shared" si="1062"/>
        <v>0</v>
      </c>
      <c r="N2374" s="222">
        <f t="shared" si="1062"/>
        <v>8564.1536359154288</v>
      </c>
      <c r="O2374" s="276"/>
    </row>
    <row r="2375" spans="1:15" ht="15" thickBot="1"/>
    <row r="2376" spans="1:15" ht="15" customHeight="1">
      <c r="A2376" s="8"/>
      <c r="B2376" s="8"/>
      <c r="C2376" s="8"/>
      <c r="D2376" s="8"/>
      <c r="E2376" s="8"/>
      <c r="F2376" s="8"/>
      <c r="G2376" s="8"/>
      <c r="H2376" s="8"/>
      <c r="I2376" s="8"/>
      <c r="J2376" s="8"/>
      <c r="K2376" s="8"/>
      <c r="L2376" s="8"/>
      <c r="M2376" s="8"/>
      <c r="N2376" s="8"/>
      <c r="O2376" s="30"/>
    </row>
    <row r="2377" spans="1:15" ht="15" customHeight="1" thickBot="1">
      <c r="B2377" s="30"/>
      <c r="C2377" s="30"/>
      <c r="D2377" s="30"/>
      <c r="E2377" s="30"/>
      <c r="F2377" s="30"/>
      <c r="G2377" s="30"/>
      <c r="H2377" s="30"/>
      <c r="I2377" s="30"/>
      <c r="J2377" s="30"/>
      <c r="K2377" s="30"/>
      <c r="L2377" s="30"/>
      <c r="M2377" s="30"/>
      <c r="N2377" s="30"/>
      <c r="O2377" s="30"/>
    </row>
    <row r="2378" spans="1:15" ht="21" customHeight="1" thickBot="1">
      <c r="A2378" s="13" t="s">
        <v>4</v>
      </c>
      <c r="B2378" s="13"/>
      <c r="C2378" s="313" t="s">
        <v>163</v>
      </c>
      <c r="D2378" s="310"/>
      <c r="E2378" s="23"/>
      <c r="F2378" s="23"/>
      <c r="O2378" s="30"/>
    </row>
    <row r="2379" spans="1:15" ht="15" customHeight="1">
      <c r="O2379" s="30"/>
    </row>
    <row r="2380" spans="1:15" ht="18.75" customHeight="1">
      <c r="A2380" s="9" t="s">
        <v>21</v>
      </c>
      <c r="B2380" s="9"/>
      <c r="D2380" s="2">
        <f>'Facility Detail'!$B$3082</f>
        <v>2011</v>
      </c>
      <c r="E2380" s="2">
        <f>D2380+1</f>
        <v>2012</v>
      </c>
      <c r="F2380" s="2">
        <f>E2380+1</f>
        <v>2013</v>
      </c>
      <c r="G2380" s="2">
        <f t="shared" ref="G2380:K2380" si="1063">F2380+1</f>
        <v>2014</v>
      </c>
      <c r="H2380" s="2">
        <f t="shared" si="1063"/>
        <v>2015</v>
      </c>
      <c r="I2380" s="2">
        <f t="shared" si="1063"/>
        <v>2016</v>
      </c>
      <c r="J2380" s="2">
        <f t="shared" si="1063"/>
        <v>2017</v>
      </c>
      <c r="K2380" s="2">
        <f t="shared" si="1063"/>
        <v>2018</v>
      </c>
      <c r="L2380" s="2">
        <f t="shared" ref="L2380" si="1064">K2380+1</f>
        <v>2019</v>
      </c>
      <c r="M2380" s="2">
        <f t="shared" ref="M2380" si="1065">L2380+1</f>
        <v>2020</v>
      </c>
      <c r="N2380" s="2">
        <f t="shared" ref="N2380" si="1066">M2380+1</f>
        <v>2021</v>
      </c>
      <c r="O2380" s="30"/>
    </row>
    <row r="2381" spans="1:15" ht="15" customHeight="1">
      <c r="B2381" s="79" t="str">
        <f>"Total MWh Produced / Purchased from " &amp; C2378</f>
        <v>Total MWh Produced / Purchased from Rolling Hills</v>
      </c>
      <c r="C2381" s="71"/>
      <c r="D2381" s="3"/>
      <c r="E2381" s="4"/>
      <c r="F2381" s="4"/>
      <c r="G2381" s="184"/>
      <c r="H2381" s="184">
        <v>5468</v>
      </c>
      <c r="I2381" s="184"/>
      <c r="J2381" s="184"/>
      <c r="K2381" s="184"/>
      <c r="L2381" s="184"/>
      <c r="M2381" s="184">
        <v>363208</v>
      </c>
      <c r="N2381" s="184">
        <v>362259</v>
      </c>
      <c r="O2381" s="30"/>
    </row>
    <row r="2382" spans="1:15" ht="15" customHeight="1">
      <c r="B2382" s="79" t="s">
        <v>25</v>
      </c>
      <c r="C2382" s="71"/>
      <c r="D2382" s="54"/>
      <c r="E2382" s="55"/>
      <c r="F2382" s="55"/>
      <c r="G2382" s="186"/>
      <c r="H2382" s="185">
        <v>1</v>
      </c>
      <c r="I2382" s="185"/>
      <c r="J2382" s="185"/>
      <c r="K2382" s="185"/>
      <c r="L2382" s="185"/>
      <c r="M2382" s="185">
        <v>1</v>
      </c>
      <c r="N2382" s="185">
        <v>1</v>
      </c>
      <c r="O2382" s="30"/>
    </row>
    <row r="2383" spans="1:15" ht="15" customHeight="1">
      <c r="B2383" s="79" t="s">
        <v>20</v>
      </c>
      <c r="C2383" s="71"/>
      <c r="D2383" s="48"/>
      <c r="E2383" s="49"/>
      <c r="F2383" s="49"/>
      <c r="G2383" s="182"/>
      <c r="H2383" s="49">
        <v>8.0535999999999996E-2</v>
      </c>
      <c r="I2383" s="49"/>
      <c r="J2383" s="49"/>
      <c r="K2383" s="49"/>
      <c r="L2383" s="49"/>
      <c r="M2383" s="49">
        <f>M2285</f>
        <v>8.1268700519883177E-2</v>
      </c>
      <c r="N2383" s="49">
        <f>N2285</f>
        <v>8.0780946790754593E-2</v>
      </c>
      <c r="O2383" s="30"/>
    </row>
    <row r="2384" spans="1:15" ht="15" customHeight="1">
      <c r="B2384" s="76" t="s">
        <v>22</v>
      </c>
      <c r="C2384" s="77"/>
      <c r="D2384" s="37">
        <f xml:space="preserve"> ROUND(D2381 * D2382 * D2383,0)</f>
        <v>0</v>
      </c>
      <c r="E2384" s="37">
        <f t="shared" ref="E2384:G2384" si="1067" xml:space="preserve"> ROUND(E2381 * E2382 * E2383,0)</f>
        <v>0</v>
      </c>
      <c r="F2384" s="37">
        <f t="shared" si="1067"/>
        <v>0</v>
      </c>
      <c r="G2384" s="37">
        <f t="shared" si="1067"/>
        <v>0</v>
      </c>
      <c r="H2384" s="37">
        <v>5468</v>
      </c>
      <c r="I2384" s="37">
        <f t="shared" ref="I2384:J2384" si="1068" xml:space="preserve"> ROUND(I2381 * I2382 * I2383,0)</f>
        <v>0</v>
      </c>
      <c r="J2384" s="37">
        <f t="shared" si="1068"/>
        <v>0</v>
      </c>
      <c r="K2384" s="37">
        <f t="shared" ref="K2384:N2384" si="1069" xml:space="preserve"> ROUND(K2381 * K2382 * K2383,0)</f>
        <v>0</v>
      </c>
      <c r="L2384" s="37">
        <f t="shared" si="1069"/>
        <v>0</v>
      </c>
      <c r="M2384" s="37">
        <f t="shared" ref="M2384" si="1070" xml:space="preserve"> ROUND(M2381 * M2382 * M2383,0)</f>
        <v>29517</v>
      </c>
      <c r="N2384" s="37">
        <f t="shared" si="1069"/>
        <v>29264</v>
      </c>
      <c r="O2384" s="30"/>
    </row>
    <row r="2385" spans="1:15" ht="15" customHeight="1">
      <c r="B2385" s="23"/>
      <c r="C2385" s="30"/>
      <c r="D2385" s="36"/>
      <c r="E2385" s="36"/>
      <c r="F2385" s="36"/>
      <c r="G2385" s="36"/>
      <c r="H2385" s="36"/>
      <c r="I2385" s="36"/>
      <c r="J2385" s="36"/>
      <c r="K2385" s="36"/>
      <c r="L2385" s="36"/>
      <c r="M2385" s="36"/>
      <c r="N2385" s="36"/>
      <c r="O2385" s="30"/>
    </row>
    <row r="2386" spans="1:15" ht="18.75" customHeight="1">
      <c r="A2386" s="42" t="s">
        <v>119</v>
      </c>
      <c r="C2386" s="30"/>
      <c r="D2386" s="2">
        <f>'Facility Detail'!$B$3082</f>
        <v>2011</v>
      </c>
      <c r="E2386" s="2">
        <f>D2386+1</f>
        <v>2012</v>
      </c>
      <c r="F2386" s="2">
        <f>E2386+1</f>
        <v>2013</v>
      </c>
      <c r="G2386" s="2">
        <f t="shared" ref="G2386:J2386" si="1071">F2386+1</f>
        <v>2014</v>
      </c>
      <c r="H2386" s="2">
        <f t="shared" si="1071"/>
        <v>2015</v>
      </c>
      <c r="I2386" s="2">
        <f t="shared" si="1071"/>
        <v>2016</v>
      </c>
      <c r="J2386" s="2">
        <f t="shared" si="1071"/>
        <v>2017</v>
      </c>
      <c r="K2386" s="2">
        <f>K2380</f>
        <v>2018</v>
      </c>
      <c r="L2386" s="2">
        <f t="shared" ref="L2386:N2386" si="1072">L2380</f>
        <v>2019</v>
      </c>
      <c r="M2386" s="2">
        <f t="shared" si="1072"/>
        <v>2020</v>
      </c>
      <c r="N2386" s="2">
        <f t="shared" si="1072"/>
        <v>2021</v>
      </c>
      <c r="O2386" s="30"/>
    </row>
    <row r="2387" spans="1:15" ht="15" customHeight="1">
      <c r="B2387" s="79" t="s">
        <v>10</v>
      </c>
      <c r="C2387" s="71"/>
      <c r="D2387" s="51">
        <f>IF($E51= "Eligible", D2384 * 'Facility Detail'!$B$3079, 0 )</f>
        <v>0</v>
      </c>
      <c r="E2387" s="51">
        <f>IF($E51= "Eligible", E2384 * 'Facility Detail'!$B$3079, 0 )</f>
        <v>0</v>
      </c>
      <c r="F2387" s="51">
        <f>IF($E51= "Eligible", F2384 * 'Facility Detail'!$B$3079, 0 )</f>
        <v>0</v>
      </c>
      <c r="G2387" s="51">
        <f>IF($E51= "Eligible", G2384 * 'Facility Detail'!$B$3079, 0 )</f>
        <v>0</v>
      </c>
      <c r="H2387" s="51">
        <f>IF($E51= "Eligible", H2384 * 'Facility Detail'!$B$3079, 0 )</f>
        <v>0</v>
      </c>
      <c r="I2387" s="51">
        <f>IF($E51= "Eligible", I2384 * 'Facility Detail'!$B$3079, 0 )</f>
        <v>0</v>
      </c>
      <c r="J2387" s="51">
        <f>IF($E51= "Eligible", J2384 * 'Facility Detail'!$B$3079, 0 )</f>
        <v>0</v>
      </c>
      <c r="K2387" s="51">
        <f>IF($E51= "Eligible", K2384 * 'Facility Detail'!$B$3079, 0 )</f>
        <v>0</v>
      </c>
      <c r="L2387" s="51">
        <f>IF($E51= "Eligible", L2384 * 'Facility Detail'!$B$3079, 0 )</f>
        <v>0</v>
      </c>
      <c r="M2387" s="51">
        <f>IF($E51= "Eligible", M2384 * 'Facility Detail'!$B$3079, 0 )</f>
        <v>0</v>
      </c>
      <c r="N2387" s="51">
        <f>IF($E51= "Eligible", N2384 * 'Facility Detail'!$B$3079, 0 )</f>
        <v>0</v>
      </c>
      <c r="O2387" s="30"/>
    </row>
    <row r="2388" spans="1:15" ht="15" customHeight="1">
      <c r="B2388" s="79" t="s">
        <v>6</v>
      </c>
      <c r="C2388" s="71"/>
      <c r="D2388" s="52">
        <f t="shared" ref="D2388:N2388" si="1073">IF($F51= "Eligible", D2384, 0 )</f>
        <v>0</v>
      </c>
      <c r="E2388" s="52">
        <f t="shared" si="1073"/>
        <v>0</v>
      </c>
      <c r="F2388" s="52">
        <f t="shared" si="1073"/>
        <v>0</v>
      </c>
      <c r="G2388" s="52">
        <f t="shared" si="1073"/>
        <v>0</v>
      </c>
      <c r="H2388" s="52">
        <f t="shared" si="1073"/>
        <v>0</v>
      </c>
      <c r="I2388" s="52">
        <f t="shared" si="1073"/>
        <v>0</v>
      </c>
      <c r="J2388" s="52">
        <f t="shared" si="1073"/>
        <v>0</v>
      </c>
      <c r="K2388" s="52">
        <f t="shared" si="1073"/>
        <v>0</v>
      </c>
      <c r="L2388" s="52">
        <f t="shared" si="1073"/>
        <v>0</v>
      </c>
      <c r="M2388" s="52">
        <f t="shared" si="1073"/>
        <v>0</v>
      </c>
      <c r="N2388" s="52">
        <f t="shared" si="1073"/>
        <v>0</v>
      </c>
      <c r="O2388" s="30"/>
    </row>
    <row r="2389" spans="1:15" ht="15" customHeight="1">
      <c r="B2389" s="78" t="s">
        <v>121</v>
      </c>
      <c r="C2389" s="77"/>
      <c r="D2389" s="39">
        <f>SUM(D2387:D2388)</f>
        <v>0</v>
      </c>
      <c r="E2389" s="39">
        <f t="shared" ref="E2389:N2389" si="1074">SUM(E2387:E2388)</f>
        <v>0</v>
      </c>
      <c r="F2389" s="39">
        <f t="shared" si="1074"/>
        <v>0</v>
      </c>
      <c r="G2389" s="39">
        <f t="shared" si="1074"/>
        <v>0</v>
      </c>
      <c r="H2389" s="39">
        <f t="shared" si="1074"/>
        <v>0</v>
      </c>
      <c r="I2389" s="39">
        <f t="shared" si="1074"/>
        <v>0</v>
      </c>
      <c r="J2389" s="39">
        <f t="shared" si="1074"/>
        <v>0</v>
      </c>
      <c r="K2389" s="39">
        <f t="shared" si="1074"/>
        <v>0</v>
      </c>
      <c r="L2389" s="39">
        <f t="shared" si="1074"/>
        <v>0</v>
      </c>
      <c r="M2389" s="39">
        <f t="shared" si="1074"/>
        <v>0</v>
      </c>
      <c r="N2389" s="39">
        <f t="shared" si="1074"/>
        <v>0</v>
      </c>
      <c r="O2389" s="30"/>
    </row>
    <row r="2390" spans="1:15" ht="15" customHeight="1">
      <c r="B2390" s="30"/>
      <c r="C2390" s="30"/>
      <c r="D2390" s="38"/>
      <c r="E2390" s="31"/>
      <c r="F2390" s="31"/>
      <c r="G2390" s="31"/>
      <c r="H2390" s="31"/>
      <c r="I2390" s="31"/>
      <c r="J2390" s="31"/>
      <c r="K2390" s="31"/>
      <c r="L2390" s="31"/>
      <c r="M2390" s="31"/>
      <c r="N2390" s="31"/>
      <c r="O2390" s="30"/>
    </row>
    <row r="2391" spans="1:15" ht="18.75" customHeight="1">
      <c r="A2391" s="41" t="s">
        <v>30</v>
      </c>
      <c r="C2391" s="30"/>
      <c r="D2391" s="2">
        <f>'Facility Detail'!$B$3082</f>
        <v>2011</v>
      </c>
      <c r="E2391" s="2">
        <f>D2391+1</f>
        <v>2012</v>
      </c>
      <c r="F2391" s="2">
        <f>E2391+1</f>
        <v>2013</v>
      </c>
      <c r="G2391" s="2">
        <f t="shared" ref="G2391:J2391" si="1075">F2391+1</f>
        <v>2014</v>
      </c>
      <c r="H2391" s="2">
        <f t="shared" si="1075"/>
        <v>2015</v>
      </c>
      <c r="I2391" s="2">
        <f t="shared" si="1075"/>
        <v>2016</v>
      </c>
      <c r="J2391" s="2">
        <f t="shared" si="1075"/>
        <v>2017</v>
      </c>
      <c r="K2391" s="2">
        <f>K2380</f>
        <v>2018</v>
      </c>
      <c r="L2391" s="2">
        <f t="shared" ref="L2391:N2391" si="1076">L2380</f>
        <v>2019</v>
      </c>
      <c r="M2391" s="2">
        <f t="shared" si="1076"/>
        <v>2020</v>
      </c>
      <c r="N2391" s="2">
        <f t="shared" si="1076"/>
        <v>2021</v>
      </c>
      <c r="O2391" s="30"/>
    </row>
    <row r="2392" spans="1:15" ht="15" customHeight="1">
      <c r="B2392" s="79" t="s">
        <v>47</v>
      </c>
      <c r="C2392" s="71"/>
      <c r="D2392" s="89"/>
      <c r="E2392" s="90"/>
      <c r="F2392" s="90"/>
      <c r="G2392" s="90"/>
      <c r="H2392" s="155"/>
      <c r="I2392" s="155"/>
      <c r="J2392" s="155"/>
      <c r="K2392" s="155"/>
      <c r="L2392" s="155"/>
      <c r="M2392" s="155"/>
      <c r="N2392" s="155"/>
      <c r="O2392" s="30"/>
    </row>
    <row r="2393" spans="1:15" ht="15" customHeight="1">
      <c r="B2393" s="80" t="s">
        <v>23</v>
      </c>
      <c r="C2393" s="175"/>
      <c r="D2393" s="92"/>
      <c r="E2393" s="93"/>
      <c r="F2393" s="93"/>
      <c r="G2393" s="93"/>
      <c r="H2393" s="156"/>
      <c r="I2393" s="156"/>
      <c r="J2393" s="156"/>
      <c r="K2393" s="156"/>
      <c r="L2393" s="156"/>
      <c r="M2393" s="156"/>
      <c r="N2393" s="156"/>
      <c r="O2393" s="30"/>
    </row>
    <row r="2394" spans="1:15" ht="15" customHeight="1">
      <c r="B2394" s="95" t="s">
        <v>89</v>
      </c>
      <c r="C2394" s="173"/>
      <c r="D2394" s="57"/>
      <c r="E2394" s="58"/>
      <c r="F2394" s="58"/>
      <c r="G2394" s="58"/>
      <c r="H2394" s="157"/>
      <c r="I2394" s="157"/>
      <c r="J2394" s="157"/>
      <c r="K2394" s="157"/>
      <c r="L2394" s="157"/>
      <c r="M2394" s="157"/>
      <c r="N2394" s="157"/>
      <c r="O2394" s="30"/>
    </row>
    <row r="2395" spans="1:15" ht="15" customHeight="1">
      <c r="B2395" s="33" t="s">
        <v>90</v>
      </c>
      <c r="D2395" s="7">
        <f>SUM(D2392:D2394)</f>
        <v>0</v>
      </c>
      <c r="E2395" s="7">
        <f>SUM(E2392:E2394)</f>
        <v>0</v>
      </c>
      <c r="F2395" s="7">
        <f>SUM(F2392:F2394)</f>
        <v>0</v>
      </c>
      <c r="G2395" s="7">
        <f t="shared" ref="G2395:I2395" si="1077">SUM(G2392:G2394)</f>
        <v>0</v>
      </c>
      <c r="H2395" s="7">
        <f t="shared" si="1077"/>
        <v>0</v>
      </c>
      <c r="I2395" s="7">
        <f t="shared" si="1077"/>
        <v>0</v>
      </c>
      <c r="J2395" s="7"/>
      <c r="K2395" s="7"/>
      <c r="L2395" s="7"/>
      <c r="M2395" s="7"/>
      <c r="N2395" s="7"/>
      <c r="O2395" s="30"/>
    </row>
    <row r="2396" spans="1:15" ht="15" customHeight="1">
      <c r="B2396" s="6"/>
      <c r="D2396" s="7"/>
      <c r="E2396" s="7"/>
      <c r="F2396" s="7"/>
      <c r="G2396" s="7"/>
      <c r="H2396" s="7"/>
      <c r="I2396" s="7"/>
      <c r="J2396" s="7"/>
      <c r="K2396" s="7"/>
      <c r="L2396" s="7"/>
      <c r="M2396" s="7"/>
      <c r="N2396" s="7"/>
      <c r="O2396" s="30"/>
    </row>
    <row r="2397" spans="1:15" ht="18.75" customHeight="1">
      <c r="A2397" s="9" t="s">
        <v>100</v>
      </c>
      <c r="D2397" s="2">
        <f>'Facility Detail'!$B$3082</f>
        <v>2011</v>
      </c>
      <c r="E2397" s="2">
        <f>D2397+1</f>
        <v>2012</v>
      </c>
      <c r="F2397" s="2">
        <f>E2397+1</f>
        <v>2013</v>
      </c>
      <c r="G2397" s="2">
        <f t="shared" ref="G2397:J2397" si="1078">F2397+1</f>
        <v>2014</v>
      </c>
      <c r="H2397" s="2">
        <f t="shared" si="1078"/>
        <v>2015</v>
      </c>
      <c r="I2397" s="2">
        <f t="shared" si="1078"/>
        <v>2016</v>
      </c>
      <c r="J2397" s="2">
        <f t="shared" si="1078"/>
        <v>2017</v>
      </c>
      <c r="K2397" s="2">
        <f>K2380</f>
        <v>2018</v>
      </c>
      <c r="L2397" s="2">
        <f t="shared" ref="L2397:N2397" si="1079">L2380</f>
        <v>2019</v>
      </c>
      <c r="M2397" s="2">
        <f t="shared" si="1079"/>
        <v>2020</v>
      </c>
      <c r="N2397" s="2">
        <f t="shared" si="1079"/>
        <v>2021</v>
      </c>
      <c r="O2397" s="30"/>
    </row>
    <row r="2398" spans="1:15" ht="15" customHeight="1">
      <c r="A2398" s="9"/>
      <c r="B2398" s="79" t="s">
        <v>68</v>
      </c>
      <c r="C2398" s="30"/>
      <c r="D2398" s="3"/>
      <c r="E2398" s="60">
        <f>D2398</f>
        <v>0</v>
      </c>
      <c r="F2398" s="131"/>
      <c r="G2398" s="131"/>
      <c r="H2398" s="131"/>
      <c r="I2398" s="131"/>
      <c r="J2398" s="131"/>
      <c r="K2398" s="131"/>
      <c r="L2398" s="131"/>
      <c r="M2398" s="131"/>
      <c r="N2398" s="131"/>
      <c r="O2398" s="30"/>
    </row>
    <row r="2399" spans="1:15" ht="15" customHeight="1">
      <c r="A2399" s="9"/>
      <c r="B2399" s="79" t="s">
        <v>69</v>
      </c>
      <c r="C2399" s="30"/>
      <c r="D2399" s="164">
        <f>E2399</f>
        <v>0</v>
      </c>
      <c r="E2399" s="10"/>
      <c r="F2399" s="74"/>
      <c r="G2399" s="74"/>
      <c r="H2399" s="74"/>
      <c r="I2399" s="74"/>
      <c r="J2399" s="74"/>
      <c r="K2399" s="74"/>
      <c r="L2399" s="74"/>
      <c r="M2399" s="74"/>
      <c r="N2399" s="74"/>
      <c r="O2399" s="30"/>
    </row>
    <row r="2400" spans="1:15" ht="15" customHeight="1">
      <c r="A2400" s="9"/>
      <c r="B2400" s="79" t="s">
        <v>70</v>
      </c>
      <c r="C2400" s="30"/>
      <c r="D2400" s="62"/>
      <c r="E2400" s="10">
        <f>E2384</f>
        <v>0</v>
      </c>
      <c r="F2400" s="70">
        <f>E2400</f>
        <v>0</v>
      </c>
      <c r="G2400" s="74"/>
      <c r="H2400" s="74"/>
      <c r="I2400" s="74"/>
      <c r="J2400" s="74"/>
      <c r="K2400" s="74"/>
      <c r="L2400" s="74"/>
      <c r="M2400" s="74"/>
      <c r="N2400" s="74"/>
      <c r="O2400" s="30"/>
    </row>
    <row r="2401" spans="1:15" ht="15" customHeight="1">
      <c r="A2401" s="9"/>
      <c r="B2401" s="79" t="s">
        <v>71</v>
      </c>
      <c r="C2401" s="30"/>
      <c r="D2401" s="62"/>
      <c r="E2401" s="70">
        <f>F2401</f>
        <v>0</v>
      </c>
      <c r="F2401" s="163"/>
      <c r="G2401" s="74"/>
      <c r="H2401" s="74"/>
      <c r="I2401" s="74"/>
      <c r="J2401" s="74"/>
      <c r="K2401" s="74"/>
      <c r="L2401" s="74"/>
      <c r="M2401" s="74"/>
      <c r="N2401" s="74"/>
      <c r="O2401" s="30"/>
    </row>
    <row r="2402" spans="1:15" ht="15" customHeight="1">
      <c r="A2402" s="9"/>
      <c r="B2402" s="79" t="s">
        <v>171</v>
      </c>
      <c r="C2402" s="30"/>
      <c r="D2402" s="62"/>
      <c r="E2402" s="148"/>
      <c r="F2402" s="10">
        <f>F2384</f>
        <v>0</v>
      </c>
      <c r="G2402" s="149">
        <f>F2402</f>
        <v>0</v>
      </c>
      <c r="H2402" s="74"/>
      <c r="I2402" s="74"/>
      <c r="J2402" s="74"/>
      <c r="K2402" s="74"/>
      <c r="L2402" s="74"/>
      <c r="M2402" s="74"/>
      <c r="N2402" s="74"/>
      <c r="O2402" s="30"/>
    </row>
    <row r="2403" spans="1:15" ht="15" customHeight="1">
      <c r="B2403" s="79" t="s">
        <v>172</v>
      </c>
      <c r="C2403" s="30"/>
      <c r="D2403" s="62"/>
      <c r="E2403" s="148"/>
      <c r="F2403" s="70">
        <f>G2403</f>
        <v>0</v>
      </c>
      <c r="G2403" s="10"/>
      <c r="H2403" s="74"/>
      <c r="I2403" s="74"/>
      <c r="J2403" s="74"/>
      <c r="K2403" s="74"/>
      <c r="L2403" s="74"/>
      <c r="M2403" s="74"/>
      <c r="N2403" s="74"/>
      <c r="O2403" s="30"/>
    </row>
    <row r="2404" spans="1:15" ht="15" customHeight="1">
      <c r="B2404" s="79" t="s">
        <v>173</v>
      </c>
      <c r="C2404" s="30"/>
      <c r="D2404" s="62"/>
      <c r="E2404" s="148"/>
      <c r="F2404" s="148"/>
      <c r="G2404" s="10"/>
      <c r="H2404" s="149">
        <f>G2404</f>
        <v>0</v>
      </c>
      <c r="I2404" s="148"/>
      <c r="J2404" s="148"/>
      <c r="K2404" s="148"/>
      <c r="L2404" s="148"/>
      <c r="M2404" s="148"/>
      <c r="N2404" s="148"/>
      <c r="O2404" s="30"/>
    </row>
    <row r="2405" spans="1:15" ht="15" customHeight="1">
      <c r="B2405" s="79" t="s">
        <v>174</v>
      </c>
      <c r="C2405" s="30"/>
      <c r="D2405" s="62"/>
      <c r="E2405" s="148"/>
      <c r="F2405" s="148"/>
      <c r="G2405" s="150"/>
      <c r="H2405" s="151"/>
      <c r="I2405" s="148"/>
      <c r="J2405" s="148"/>
      <c r="K2405" s="148"/>
      <c r="L2405" s="148"/>
      <c r="M2405" s="148"/>
      <c r="N2405" s="148"/>
      <c r="O2405" s="30"/>
    </row>
    <row r="2406" spans="1:15" ht="15" customHeight="1">
      <c r="B2406" s="79" t="s">
        <v>175</v>
      </c>
      <c r="C2406" s="30"/>
      <c r="D2406" s="62"/>
      <c r="E2406" s="148"/>
      <c r="F2406" s="148"/>
      <c r="G2406" s="148"/>
      <c r="H2406" s="151">
        <f>H2384</f>
        <v>5468</v>
      </c>
      <c r="I2406" s="149">
        <f>H2406</f>
        <v>5468</v>
      </c>
      <c r="J2406" s="148"/>
      <c r="K2406" s="74"/>
      <c r="L2406" s="74"/>
      <c r="M2406" s="74"/>
      <c r="N2406" s="74"/>
      <c r="O2406" s="30"/>
    </row>
    <row r="2407" spans="1:15" ht="15" customHeight="1">
      <c r="B2407" s="79" t="s">
        <v>176</v>
      </c>
      <c r="C2407" s="30"/>
      <c r="D2407" s="62"/>
      <c r="E2407" s="148"/>
      <c r="F2407" s="148"/>
      <c r="G2407" s="148"/>
      <c r="H2407" s="70"/>
      <c r="I2407" s="151"/>
      <c r="J2407" s="148"/>
      <c r="K2407" s="74"/>
      <c r="L2407" s="74"/>
      <c r="M2407" s="74"/>
      <c r="N2407" s="74"/>
      <c r="O2407" s="30"/>
    </row>
    <row r="2408" spans="1:15" ht="15" customHeight="1">
      <c r="B2408" s="79" t="s">
        <v>177</v>
      </c>
      <c r="C2408" s="30"/>
      <c r="D2408" s="62"/>
      <c r="E2408" s="148"/>
      <c r="F2408" s="148"/>
      <c r="G2408" s="148"/>
      <c r="H2408" s="148"/>
      <c r="I2408" s="151">
        <f>I2384</f>
        <v>0</v>
      </c>
      <c r="J2408" s="149">
        <f>I2408</f>
        <v>0</v>
      </c>
      <c r="K2408" s="74"/>
      <c r="L2408" s="74"/>
      <c r="M2408" s="74"/>
      <c r="N2408" s="74"/>
      <c r="O2408" s="30"/>
    </row>
    <row r="2409" spans="1:15" ht="15" customHeight="1">
      <c r="B2409" s="79" t="s">
        <v>168</v>
      </c>
      <c r="C2409" s="30"/>
      <c r="D2409" s="62"/>
      <c r="E2409" s="148"/>
      <c r="F2409" s="148"/>
      <c r="G2409" s="148"/>
      <c r="H2409" s="148"/>
      <c r="I2409" s="70"/>
      <c r="J2409" s="151"/>
      <c r="K2409" s="74"/>
      <c r="L2409" s="74"/>
      <c r="M2409" s="74"/>
      <c r="N2409" s="74"/>
      <c r="O2409" s="30"/>
    </row>
    <row r="2410" spans="1:15" ht="15" customHeight="1">
      <c r="B2410" s="79" t="s">
        <v>169</v>
      </c>
      <c r="C2410" s="30"/>
      <c r="D2410" s="62"/>
      <c r="E2410" s="148"/>
      <c r="F2410" s="148"/>
      <c r="G2410" s="148"/>
      <c r="H2410" s="148"/>
      <c r="I2410" s="148"/>
      <c r="J2410" s="151"/>
      <c r="K2410" s="149"/>
      <c r="L2410" s="148"/>
      <c r="M2410" s="148"/>
      <c r="N2410" s="148"/>
      <c r="O2410" s="30"/>
    </row>
    <row r="2411" spans="1:15">
      <c r="B2411" s="79" t="s">
        <v>186</v>
      </c>
      <c r="C2411" s="30"/>
      <c r="D2411" s="62"/>
      <c r="E2411" s="148"/>
      <c r="F2411" s="148"/>
      <c r="G2411" s="148"/>
      <c r="H2411" s="148"/>
      <c r="I2411" s="148"/>
      <c r="J2411" s="70"/>
      <c r="K2411" s="151"/>
      <c r="L2411" s="74"/>
      <c r="M2411" s="74"/>
      <c r="N2411" s="152"/>
    </row>
    <row r="2412" spans="1:15">
      <c r="B2412" s="79" t="s">
        <v>187</v>
      </c>
      <c r="C2412" s="30"/>
      <c r="D2412" s="62"/>
      <c r="E2412" s="148"/>
      <c r="F2412" s="148"/>
      <c r="G2412" s="148"/>
      <c r="H2412" s="148"/>
      <c r="I2412" s="148"/>
      <c r="J2412" s="148"/>
      <c r="K2412" s="151"/>
      <c r="L2412" s="150">
        <f>K2412</f>
        <v>0</v>
      </c>
      <c r="M2412" s="74"/>
      <c r="N2412" s="152"/>
    </row>
    <row r="2413" spans="1:15">
      <c r="B2413" s="79" t="s">
        <v>188</v>
      </c>
      <c r="C2413" s="30"/>
      <c r="D2413" s="62"/>
      <c r="E2413" s="148"/>
      <c r="F2413" s="148"/>
      <c r="G2413" s="148"/>
      <c r="H2413" s="148"/>
      <c r="I2413" s="148"/>
      <c r="J2413" s="148"/>
      <c r="K2413" s="145"/>
      <c r="L2413" s="151"/>
      <c r="M2413" s="74"/>
      <c r="N2413" s="74"/>
    </row>
    <row r="2414" spans="1:15">
      <c r="B2414" s="79" t="s">
        <v>189</v>
      </c>
      <c r="C2414" s="30"/>
      <c r="D2414" s="62"/>
      <c r="E2414" s="148"/>
      <c r="F2414" s="148"/>
      <c r="G2414" s="148"/>
      <c r="H2414" s="148"/>
      <c r="I2414" s="148"/>
      <c r="J2414" s="148"/>
      <c r="K2414" s="148"/>
      <c r="L2414" s="151"/>
      <c r="M2414" s="150">
        <f>L2414</f>
        <v>0</v>
      </c>
      <c r="N2414" s="74"/>
    </row>
    <row r="2415" spans="1:15">
      <c r="B2415" s="79" t="s">
        <v>190</v>
      </c>
      <c r="C2415" s="30"/>
      <c r="D2415" s="62"/>
      <c r="E2415" s="148"/>
      <c r="F2415" s="148"/>
      <c r="G2415" s="148"/>
      <c r="H2415" s="148"/>
      <c r="I2415" s="148"/>
      <c r="J2415" s="148"/>
      <c r="K2415" s="148"/>
      <c r="L2415" s="145"/>
      <c r="M2415" s="151">
        <f>L2415</f>
        <v>0</v>
      </c>
      <c r="N2415" s="74"/>
    </row>
    <row r="2416" spans="1:15">
      <c r="B2416" s="79" t="s">
        <v>191</v>
      </c>
      <c r="C2416" s="30"/>
      <c r="D2416" s="62"/>
      <c r="E2416" s="148"/>
      <c r="F2416" s="148"/>
      <c r="G2416" s="148"/>
      <c r="H2416" s="148"/>
      <c r="I2416" s="148"/>
      <c r="J2416" s="148"/>
      <c r="K2416" s="148"/>
      <c r="L2416" s="148"/>
      <c r="M2416" s="151"/>
      <c r="N2416" s="150">
        <f>M2416</f>
        <v>0</v>
      </c>
    </row>
    <row r="2417" spans="1:15">
      <c r="B2417" s="79" t="s">
        <v>201</v>
      </c>
      <c r="C2417" s="30"/>
      <c r="D2417" s="62"/>
      <c r="E2417" s="148"/>
      <c r="F2417" s="148"/>
      <c r="G2417" s="148"/>
      <c r="H2417" s="148"/>
      <c r="I2417" s="148"/>
      <c r="J2417" s="148"/>
      <c r="K2417" s="148"/>
      <c r="L2417" s="148"/>
      <c r="M2417" s="145"/>
      <c r="N2417" s="151"/>
    </row>
    <row r="2418" spans="1:15">
      <c r="B2418" s="79" t="s">
        <v>202</v>
      </c>
      <c r="C2418" s="30"/>
      <c r="D2418" s="63"/>
      <c r="E2418" s="133"/>
      <c r="F2418" s="133"/>
      <c r="G2418" s="133"/>
      <c r="H2418" s="133"/>
      <c r="I2418" s="133"/>
      <c r="J2418" s="133"/>
      <c r="K2418" s="133"/>
      <c r="L2418" s="133"/>
      <c r="M2418" s="133"/>
      <c r="N2418" s="153"/>
    </row>
    <row r="2419" spans="1:15" ht="15" customHeight="1">
      <c r="B2419" s="33" t="s">
        <v>17</v>
      </c>
      <c r="D2419" s="180">
        <f xml:space="preserve"> D2404 - D2403</f>
        <v>0</v>
      </c>
      <c r="E2419" s="180">
        <f xml:space="preserve"> E2403 + E2406 - E2405 - E2404</f>
        <v>0</v>
      </c>
      <c r="F2419" s="180">
        <f>F2405 - F2406</f>
        <v>0</v>
      </c>
      <c r="G2419" s="180">
        <f t="shared" ref="G2419:H2419" si="1080">G2405 - G2406</f>
        <v>0</v>
      </c>
      <c r="H2419" s="180">
        <f t="shared" si="1080"/>
        <v>-5468</v>
      </c>
      <c r="I2419" s="180">
        <f>I2406-I2407-I2408</f>
        <v>5468</v>
      </c>
      <c r="J2419" s="180">
        <f t="shared" ref="J2419" si="1081">J2406-J2407-J2408</f>
        <v>0</v>
      </c>
      <c r="K2419" s="180">
        <f t="shared" ref="K2419:N2419" si="1082">K2406-K2407-K2408</f>
        <v>0</v>
      </c>
      <c r="L2419" s="180">
        <f t="shared" si="1082"/>
        <v>0</v>
      </c>
      <c r="M2419" s="180">
        <f t="shared" ref="M2419" si="1083">M2406-M2407-M2408</f>
        <v>0</v>
      </c>
      <c r="N2419" s="180">
        <f t="shared" si="1082"/>
        <v>0</v>
      </c>
      <c r="O2419" s="30"/>
    </row>
    <row r="2420" spans="1:15" ht="15" customHeight="1">
      <c r="B2420" s="6"/>
      <c r="D2420" s="7"/>
      <c r="E2420" s="7"/>
      <c r="F2420" s="7"/>
      <c r="G2420" s="7"/>
      <c r="H2420" s="7"/>
      <c r="I2420" s="7"/>
      <c r="J2420" s="7"/>
      <c r="K2420" s="7"/>
      <c r="L2420" s="7"/>
      <c r="M2420" s="7"/>
      <c r="N2420" s="7"/>
      <c r="O2420" s="30"/>
    </row>
    <row r="2421" spans="1:15" ht="15" customHeight="1">
      <c r="B2421" s="76" t="s">
        <v>12</v>
      </c>
      <c r="C2421" s="71"/>
      <c r="D2421" s="99"/>
      <c r="E2421" s="100"/>
      <c r="F2421" s="160"/>
      <c r="G2421" s="100"/>
      <c r="H2421" s="100"/>
      <c r="I2421" s="100"/>
      <c r="J2421" s="100"/>
      <c r="K2421" s="100"/>
      <c r="L2421" s="100"/>
      <c r="M2421" s="101"/>
      <c r="N2421" s="101"/>
      <c r="O2421" s="30"/>
    </row>
    <row r="2422" spans="1:15" ht="15" customHeight="1">
      <c r="B2422" s="6"/>
      <c r="D2422" s="7"/>
      <c r="E2422" s="7"/>
      <c r="F2422" s="7"/>
      <c r="G2422" s="7"/>
      <c r="H2422" s="7"/>
      <c r="I2422" s="7"/>
      <c r="J2422" s="7"/>
      <c r="K2422" s="7"/>
      <c r="L2422" s="7"/>
      <c r="M2422" s="7"/>
      <c r="N2422" s="7"/>
      <c r="O2422" s="30"/>
    </row>
    <row r="2423" spans="1:15" ht="18.75" customHeight="1">
      <c r="A2423" s="41" t="s">
        <v>26</v>
      </c>
      <c r="C2423" s="71"/>
      <c r="D2423" s="43">
        <f xml:space="preserve"> D2384 + D2389 - D2395 + D2419 + D2421</f>
        <v>0</v>
      </c>
      <c r="E2423" s="44">
        <f xml:space="preserve"> E2384 + E2389 - E2395 + E2419 + E2421</f>
        <v>0</v>
      </c>
      <c r="F2423" s="44">
        <f xml:space="preserve"> F2384 + F2389 - F2395 + F2419 + F2421</f>
        <v>0</v>
      </c>
      <c r="G2423" s="183">
        <f t="shared" ref="G2423:N2423" si="1084" xml:space="preserve"> G2384 + G2389 - G2395 + G2419 + G2421</f>
        <v>0</v>
      </c>
      <c r="H2423" s="158">
        <f t="shared" si="1084"/>
        <v>0</v>
      </c>
      <c r="I2423" s="44">
        <f t="shared" si="1084"/>
        <v>5468</v>
      </c>
      <c r="J2423" s="44">
        <f t="shared" si="1084"/>
        <v>0</v>
      </c>
      <c r="K2423" s="44">
        <f t="shared" si="1084"/>
        <v>0</v>
      </c>
      <c r="L2423" s="44">
        <f t="shared" si="1084"/>
        <v>0</v>
      </c>
      <c r="M2423" s="44">
        <f t="shared" si="1084"/>
        <v>29517</v>
      </c>
      <c r="N2423" s="44">
        <f t="shared" si="1084"/>
        <v>29264</v>
      </c>
      <c r="O2423" s="30"/>
    </row>
    <row r="2424" spans="1:15" ht="15" customHeight="1">
      <c r="B2424" s="6"/>
      <c r="D2424" s="7"/>
      <c r="E2424" s="7"/>
      <c r="F2424" s="7"/>
      <c r="G2424" s="28"/>
      <c r="H2424" s="28"/>
      <c r="I2424" s="28"/>
      <c r="J2424" s="28"/>
      <c r="K2424" s="28"/>
      <c r="L2424" s="28"/>
      <c r="M2424" s="28"/>
      <c r="N2424" s="28"/>
      <c r="O2424" s="30"/>
    </row>
    <row r="2425" spans="1:15" ht="15.75" customHeight="1" thickBot="1">
      <c r="O2425" s="30"/>
    </row>
    <row r="2426" spans="1:15" ht="15" thickBot="1">
      <c r="A2426" s="8"/>
      <c r="B2426" s="8"/>
      <c r="C2426" s="8"/>
      <c r="D2426" s="8"/>
      <c r="E2426" s="8"/>
      <c r="F2426" s="8"/>
      <c r="G2426" s="8"/>
      <c r="H2426" s="8"/>
      <c r="I2426" s="8"/>
      <c r="J2426" s="8"/>
      <c r="K2426" s="8"/>
      <c r="L2426" s="8"/>
      <c r="M2426" s="8"/>
      <c r="N2426" s="8"/>
    </row>
    <row r="2427" spans="1:15" ht="21.5" thickBot="1">
      <c r="A2427" s="13" t="s">
        <v>4</v>
      </c>
      <c r="B2427" s="13"/>
      <c r="C2427" s="313" t="s">
        <v>266</v>
      </c>
      <c r="D2427" s="310"/>
      <c r="E2427" s="23"/>
      <c r="F2427" s="23"/>
    </row>
    <row r="2429" spans="1:15" ht="18.5">
      <c r="A2429" s="9" t="s">
        <v>21</v>
      </c>
      <c r="B2429" s="9"/>
      <c r="D2429" s="2">
        <v>2011</v>
      </c>
      <c r="E2429" s="2">
        <f>D2429+1</f>
        <v>2012</v>
      </c>
      <c r="F2429" s="2">
        <f t="shared" ref="F2429" si="1085">E2429+1</f>
        <v>2013</v>
      </c>
      <c r="G2429" s="2">
        <f t="shared" ref="G2429" si="1086">F2429+1</f>
        <v>2014</v>
      </c>
      <c r="H2429" s="2">
        <f t="shared" ref="H2429" si="1087">G2429+1</f>
        <v>2015</v>
      </c>
      <c r="I2429" s="2">
        <f t="shared" ref="I2429" si="1088">H2429+1</f>
        <v>2016</v>
      </c>
      <c r="J2429" s="2">
        <f t="shared" ref="J2429" si="1089">I2429+1</f>
        <v>2017</v>
      </c>
      <c r="K2429" s="2">
        <f t="shared" ref="K2429" si="1090">J2429+1</f>
        <v>2018</v>
      </c>
      <c r="L2429" s="2">
        <f t="shared" ref="L2429" si="1091">K2429+1</f>
        <v>2019</v>
      </c>
      <c r="M2429" s="2">
        <f t="shared" ref="M2429" si="1092">L2429+1</f>
        <v>2020</v>
      </c>
      <c r="N2429" s="2">
        <f t="shared" ref="N2429" si="1093">M2429+1</f>
        <v>2021</v>
      </c>
    </row>
    <row r="2430" spans="1:15">
      <c r="B2430" s="79" t="str">
        <f>"Total MWh Produced / Purchased from " &amp; C2427</f>
        <v>Total MWh Produced / Purchased from Sage Solar I</v>
      </c>
      <c r="C2430" s="71"/>
      <c r="D2430" s="3"/>
      <c r="E2430" s="4"/>
      <c r="F2430" s="4"/>
      <c r="G2430" s="4"/>
      <c r="H2430" s="4"/>
      <c r="I2430" s="4"/>
      <c r="J2430" s="4"/>
      <c r="K2430" s="4"/>
      <c r="L2430" s="4"/>
      <c r="M2430" s="230"/>
      <c r="N2430" s="230">
        <v>48616</v>
      </c>
    </row>
    <row r="2431" spans="1:15">
      <c r="B2431" s="79" t="s">
        <v>25</v>
      </c>
      <c r="C2431" s="71"/>
      <c r="D2431" s="54"/>
      <c r="E2431" s="55"/>
      <c r="F2431" s="55"/>
      <c r="G2431" s="55"/>
      <c r="H2431" s="55"/>
      <c r="I2431" s="55"/>
      <c r="J2431" s="55"/>
      <c r="K2431" s="55"/>
      <c r="L2431" s="55"/>
      <c r="M2431" s="234"/>
      <c r="N2431" s="234">
        <v>1</v>
      </c>
    </row>
    <row r="2432" spans="1:15">
      <c r="B2432" s="79" t="s">
        <v>20</v>
      </c>
      <c r="C2432" s="71"/>
      <c r="D2432" s="48"/>
      <c r="E2432" s="49"/>
      <c r="F2432" s="49"/>
      <c r="G2432" s="49"/>
      <c r="H2432" s="49"/>
      <c r="I2432" s="49"/>
      <c r="J2432" s="49"/>
      <c r="K2432" s="49"/>
      <c r="L2432" s="49"/>
      <c r="M2432" s="243"/>
      <c r="N2432" s="243">
        <f>N2383</f>
        <v>8.0780946790754593E-2</v>
      </c>
    </row>
    <row r="2433" spans="1:14">
      <c r="B2433" s="76" t="s">
        <v>22</v>
      </c>
      <c r="C2433" s="77"/>
      <c r="D2433" s="37">
        <v>0</v>
      </c>
      <c r="E2433" s="37">
        <v>0</v>
      </c>
      <c r="F2433" s="37">
        <v>0</v>
      </c>
      <c r="G2433" s="37">
        <v>0</v>
      </c>
      <c r="H2433" s="37">
        <v>0</v>
      </c>
      <c r="I2433" s="37">
        <v>0</v>
      </c>
      <c r="J2433" s="37">
        <v>0</v>
      </c>
      <c r="K2433" s="37">
        <v>0</v>
      </c>
      <c r="L2433" s="37">
        <f>L2430*L2432</f>
        <v>0</v>
      </c>
      <c r="M2433" s="37">
        <f>M2430*M2432</f>
        <v>0</v>
      </c>
      <c r="N2433" s="37">
        <f>N2430*N2432</f>
        <v>3927.2465091793251</v>
      </c>
    </row>
    <row r="2434" spans="1:14">
      <c r="B2434" s="23"/>
      <c r="C2434" s="30"/>
      <c r="D2434" s="36"/>
      <c r="E2434" s="36"/>
      <c r="F2434" s="36"/>
      <c r="G2434" s="36"/>
      <c r="H2434" s="36"/>
      <c r="I2434" s="36"/>
      <c r="J2434" s="36"/>
      <c r="K2434" s="36"/>
      <c r="L2434" s="36"/>
      <c r="M2434" s="36"/>
      <c r="N2434" s="36"/>
    </row>
    <row r="2435" spans="1:14" ht="18.5">
      <c r="A2435" s="42" t="s">
        <v>119</v>
      </c>
      <c r="C2435" s="30"/>
      <c r="D2435" s="2">
        <v>2011</v>
      </c>
      <c r="E2435" s="2">
        <f>D2435+1</f>
        <v>2012</v>
      </c>
      <c r="F2435" s="2">
        <f t="shared" ref="F2435" si="1094">E2435+1</f>
        <v>2013</v>
      </c>
      <c r="G2435" s="2">
        <f t="shared" ref="G2435" si="1095">F2435+1</f>
        <v>2014</v>
      </c>
      <c r="H2435" s="2">
        <f t="shared" ref="H2435" si="1096">G2435+1</f>
        <v>2015</v>
      </c>
      <c r="I2435" s="2">
        <f t="shared" ref="I2435" si="1097">H2435+1</f>
        <v>2016</v>
      </c>
      <c r="J2435" s="2">
        <f t="shared" ref="J2435" si="1098">I2435+1</f>
        <v>2017</v>
      </c>
      <c r="K2435" s="2">
        <f t="shared" ref="K2435" si="1099">J2435+1</f>
        <v>2018</v>
      </c>
      <c r="L2435" s="2">
        <f t="shared" ref="L2435" si="1100">K2435+1</f>
        <v>2019</v>
      </c>
      <c r="M2435" s="2">
        <f t="shared" ref="M2435" si="1101">L2435+1</f>
        <v>2020</v>
      </c>
      <c r="N2435" s="2">
        <f t="shared" ref="N2435" si="1102">M2435+1</f>
        <v>2021</v>
      </c>
    </row>
    <row r="2436" spans="1:14">
      <c r="B2436" s="79" t="s">
        <v>10</v>
      </c>
      <c r="C2436" s="71"/>
      <c r="D2436" s="51">
        <f>IF($E52= "Eligible", D2433 * 'Facility Detail'!$B$3079, 0 )</f>
        <v>0</v>
      </c>
      <c r="E2436" s="51">
        <f>IF($E52= "Eligible", E2433 * 'Facility Detail'!$B$3079, 0 )</f>
        <v>0</v>
      </c>
      <c r="F2436" s="51">
        <f>IF($E52= "Eligible", F2433 * 'Facility Detail'!$B$3079, 0 )</f>
        <v>0</v>
      </c>
      <c r="G2436" s="51">
        <f>IF($E52= "Eligible", G2433 * 'Facility Detail'!$B$3079, 0 )</f>
        <v>0</v>
      </c>
      <c r="H2436" s="51">
        <f>IF($E52= "Eligible", H2433 * 'Facility Detail'!$B$3079, 0 )</f>
        <v>0</v>
      </c>
      <c r="I2436" s="51">
        <f>IF($E52= "Eligible", I2433 * 'Facility Detail'!$B$3079, 0 )</f>
        <v>0</v>
      </c>
      <c r="J2436" s="51">
        <f>IF($E52= "Eligible", J2433 * 'Facility Detail'!$B$3079, 0 )</f>
        <v>0</v>
      </c>
      <c r="K2436" s="51">
        <f>IF($E52= "Eligible", K2433 * 'Facility Detail'!$B$3079, 0 )</f>
        <v>0</v>
      </c>
      <c r="L2436" s="51">
        <f>IF($E52= "Eligible", L2433 * 'Facility Detail'!$B$3079, 0 )</f>
        <v>0</v>
      </c>
      <c r="M2436" s="51">
        <f>IF($E52= "Eligible", M2433 * 'Facility Detail'!$B$3079, 0 )</f>
        <v>0</v>
      </c>
      <c r="N2436" s="51">
        <f>IF($E52= "Eligible", N2433 * 'Facility Detail'!$B$3079, 0 )</f>
        <v>0</v>
      </c>
    </row>
    <row r="2437" spans="1:14">
      <c r="B2437" s="79" t="s">
        <v>6</v>
      </c>
      <c r="C2437" s="71"/>
      <c r="D2437" s="52">
        <f t="shared" ref="D2437:N2437" si="1103">IF($F52= "Eligible", D2433, 0 )</f>
        <v>0</v>
      </c>
      <c r="E2437" s="52">
        <f t="shared" si="1103"/>
        <v>0</v>
      </c>
      <c r="F2437" s="52">
        <f t="shared" si="1103"/>
        <v>0</v>
      </c>
      <c r="G2437" s="52">
        <f t="shared" si="1103"/>
        <v>0</v>
      </c>
      <c r="H2437" s="52">
        <f t="shared" si="1103"/>
        <v>0</v>
      </c>
      <c r="I2437" s="52">
        <f t="shared" si="1103"/>
        <v>0</v>
      </c>
      <c r="J2437" s="52">
        <f t="shared" si="1103"/>
        <v>0</v>
      </c>
      <c r="K2437" s="52">
        <f t="shared" si="1103"/>
        <v>0</v>
      </c>
      <c r="L2437" s="52">
        <f t="shared" si="1103"/>
        <v>0</v>
      </c>
      <c r="M2437" s="52">
        <f t="shared" si="1103"/>
        <v>0</v>
      </c>
      <c r="N2437" s="52">
        <f t="shared" si="1103"/>
        <v>0</v>
      </c>
    </row>
    <row r="2438" spans="1:14">
      <c r="B2438" s="78" t="s">
        <v>121</v>
      </c>
      <c r="C2438" s="77"/>
      <c r="D2438" s="39">
        <f>SUM(D2436:D2437)</f>
        <v>0</v>
      </c>
      <c r="E2438" s="39">
        <f t="shared" ref="E2438:N2438" si="1104">SUM(E2436:E2437)</f>
        <v>0</v>
      </c>
      <c r="F2438" s="39">
        <f t="shared" si="1104"/>
        <v>0</v>
      </c>
      <c r="G2438" s="39">
        <f t="shared" si="1104"/>
        <v>0</v>
      </c>
      <c r="H2438" s="39">
        <f t="shared" si="1104"/>
        <v>0</v>
      </c>
      <c r="I2438" s="39">
        <f t="shared" si="1104"/>
        <v>0</v>
      </c>
      <c r="J2438" s="39">
        <f t="shared" si="1104"/>
        <v>0</v>
      </c>
      <c r="K2438" s="39">
        <f t="shared" si="1104"/>
        <v>0</v>
      </c>
      <c r="L2438" s="39">
        <f t="shared" si="1104"/>
        <v>0</v>
      </c>
      <c r="M2438" s="39">
        <f t="shared" si="1104"/>
        <v>0</v>
      </c>
      <c r="N2438" s="39">
        <f t="shared" si="1104"/>
        <v>0</v>
      </c>
    </row>
    <row r="2439" spans="1:14">
      <c r="B2439" s="30"/>
      <c r="C2439" s="30"/>
      <c r="D2439" s="38"/>
      <c r="E2439" s="31"/>
      <c r="F2439" s="31"/>
      <c r="G2439" s="31"/>
      <c r="H2439" s="31"/>
      <c r="I2439" s="31"/>
      <c r="J2439" s="31"/>
      <c r="K2439" s="31"/>
      <c r="L2439" s="31"/>
      <c r="M2439" s="31"/>
      <c r="N2439" s="31"/>
    </row>
    <row r="2440" spans="1:14" ht="18.5">
      <c r="A2440" s="41" t="s">
        <v>30</v>
      </c>
      <c r="C2440" s="30"/>
      <c r="D2440" s="2">
        <v>2011</v>
      </c>
      <c r="E2440" s="2">
        <f>D2440+1</f>
        <v>2012</v>
      </c>
      <c r="F2440" s="2">
        <f t="shared" ref="F2440" si="1105">E2440+1</f>
        <v>2013</v>
      </c>
      <c r="G2440" s="2">
        <f t="shared" ref="G2440" si="1106">F2440+1</f>
        <v>2014</v>
      </c>
      <c r="H2440" s="2">
        <f t="shared" ref="H2440" si="1107">G2440+1</f>
        <v>2015</v>
      </c>
      <c r="I2440" s="2">
        <f t="shared" ref="I2440" si="1108">H2440+1</f>
        <v>2016</v>
      </c>
      <c r="J2440" s="2">
        <f t="shared" ref="J2440" si="1109">I2440+1</f>
        <v>2017</v>
      </c>
      <c r="K2440" s="2">
        <f t="shared" ref="K2440" si="1110">J2440+1</f>
        <v>2018</v>
      </c>
      <c r="L2440" s="2">
        <f t="shared" ref="L2440" si="1111">K2440+1</f>
        <v>2019</v>
      </c>
      <c r="M2440" s="2">
        <f t="shared" ref="M2440" si="1112">L2440+1</f>
        <v>2020</v>
      </c>
      <c r="N2440" s="2">
        <f t="shared" ref="N2440" si="1113">M2440+1</f>
        <v>2021</v>
      </c>
    </row>
    <row r="2441" spans="1:14">
      <c r="B2441" s="79" t="s">
        <v>47</v>
      </c>
      <c r="C2441" s="71"/>
      <c r="D2441" s="89"/>
      <c r="E2441" s="90"/>
      <c r="F2441" s="90"/>
      <c r="G2441" s="90"/>
      <c r="H2441" s="90"/>
      <c r="I2441" s="90"/>
      <c r="J2441" s="90"/>
      <c r="K2441" s="90"/>
      <c r="L2441" s="90"/>
      <c r="M2441" s="90"/>
      <c r="N2441" s="90"/>
    </row>
    <row r="2442" spans="1:14">
      <c r="B2442" s="80" t="s">
        <v>23</v>
      </c>
      <c r="C2442" s="175"/>
      <c r="D2442" s="92"/>
      <c r="E2442" s="93"/>
      <c r="F2442" s="93"/>
      <c r="G2442" s="93"/>
      <c r="H2442" s="93"/>
      <c r="I2442" s="93"/>
      <c r="J2442" s="93"/>
      <c r="K2442" s="93"/>
      <c r="L2442" s="93"/>
      <c r="M2442" s="93"/>
      <c r="N2442" s="93"/>
    </row>
    <row r="2443" spans="1:14">
      <c r="B2443" s="95" t="s">
        <v>89</v>
      </c>
      <c r="C2443" s="173"/>
      <c r="D2443" s="57"/>
      <c r="E2443" s="58"/>
      <c r="F2443" s="58"/>
      <c r="G2443" s="58"/>
      <c r="H2443" s="58"/>
      <c r="I2443" s="58"/>
      <c r="J2443" s="58"/>
      <c r="K2443" s="58"/>
      <c r="L2443" s="58"/>
      <c r="M2443" s="58"/>
      <c r="N2443" s="58"/>
    </row>
    <row r="2444" spans="1:14">
      <c r="B2444" s="33" t="s">
        <v>90</v>
      </c>
      <c r="D2444" s="7">
        <v>0</v>
      </c>
      <c r="E2444" s="7">
        <v>0</v>
      </c>
      <c r="F2444" s="7">
        <v>0</v>
      </c>
      <c r="G2444" s="7">
        <v>0</v>
      </c>
      <c r="H2444" s="7">
        <v>0</v>
      </c>
      <c r="I2444" s="7">
        <v>0</v>
      </c>
      <c r="J2444" s="7">
        <v>0</v>
      </c>
      <c r="K2444" s="7">
        <v>0</v>
      </c>
      <c r="L2444" s="7">
        <v>0</v>
      </c>
      <c r="M2444" s="7">
        <v>0</v>
      </c>
      <c r="N2444" s="7">
        <v>0</v>
      </c>
    </row>
    <row r="2445" spans="1:14">
      <c r="B2445" s="6"/>
      <c r="D2445" s="7"/>
      <c r="E2445" s="7"/>
      <c r="F2445" s="7"/>
      <c r="G2445" s="28"/>
      <c r="H2445" s="28"/>
      <c r="I2445" s="28"/>
      <c r="J2445" s="28"/>
      <c r="K2445" s="28"/>
      <c r="L2445" s="28"/>
      <c r="M2445" s="28"/>
      <c r="N2445" s="28"/>
    </row>
    <row r="2446" spans="1:14" ht="18.5">
      <c r="A2446" s="9" t="s">
        <v>100</v>
      </c>
      <c r="D2446" s="2">
        <f>'Facility Detail'!$B$3082</f>
        <v>2011</v>
      </c>
      <c r="E2446" s="2">
        <f>D2446+1</f>
        <v>2012</v>
      </c>
      <c r="F2446" s="2">
        <f t="shared" ref="F2446" si="1114">E2446+1</f>
        <v>2013</v>
      </c>
      <c r="G2446" s="2">
        <f t="shared" ref="G2446" si="1115">F2446+1</f>
        <v>2014</v>
      </c>
      <c r="H2446" s="2">
        <f t="shared" ref="H2446" si="1116">G2446+1</f>
        <v>2015</v>
      </c>
      <c r="I2446" s="2">
        <f t="shared" ref="I2446" si="1117">H2446+1</f>
        <v>2016</v>
      </c>
      <c r="J2446" s="2">
        <f t="shared" ref="J2446" si="1118">I2446+1</f>
        <v>2017</v>
      </c>
      <c r="K2446" s="2">
        <f t="shared" ref="K2446" si="1119">J2446+1</f>
        <v>2018</v>
      </c>
      <c r="L2446" s="2">
        <f t="shared" ref="L2446" si="1120">K2446+1</f>
        <v>2019</v>
      </c>
      <c r="M2446" s="2">
        <f t="shared" ref="M2446" si="1121">L2446+1</f>
        <v>2020</v>
      </c>
      <c r="N2446" s="2">
        <f t="shared" ref="N2446" si="1122">M2446+1</f>
        <v>2021</v>
      </c>
    </row>
    <row r="2447" spans="1:14">
      <c r="B2447" s="79" t="s">
        <v>68</v>
      </c>
      <c r="C2447" s="71"/>
      <c r="D2447" s="3"/>
      <c r="E2447" s="60">
        <f>D2447</f>
        <v>0</v>
      </c>
      <c r="F2447" s="131"/>
      <c r="G2447" s="131"/>
      <c r="H2447" s="131"/>
      <c r="I2447" s="131"/>
      <c r="J2447" s="131"/>
      <c r="K2447" s="131"/>
      <c r="L2447" s="131"/>
      <c r="M2447" s="131"/>
      <c r="N2447" s="61"/>
    </row>
    <row r="2448" spans="1:14">
      <c r="B2448" s="79" t="s">
        <v>69</v>
      </c>
      <c r="C2448" s="71"/>
      <c r="D2448" s="164">
        <f>E2448</f>
        <v>0</v>
      </c>
      <c r="E2448" s="10"/>
      <c r="F2448" s="74"/>
      <c r="G2448" s="74"/>
      <c r="H2448" s="74"/>
      <c r="I2448" s="74"/>
      <c r="J2448" s="74"/>
      <c r="K2448" s="74"/>
      <c r="L2448" s="74"/>
      <c r="M2448" s="74"/>
      <c r="N2448" s="165"/>
    </row>
    <row r="2449" spans="2:14">
      <c r="B2449" s="79" t="s">
        <v>70</v>
      </c>
      <c r="C2449" s="71"/>
      <c r="D2449" s="62"/>
      <c r="E2449" s="10">
        <f>E2433</f>
        <v>0</v>
      </c>
      <c r="F2449" s="70">
        <f>E2449</f>
        <v>0</v>
      </c>
      <c r="G2449" s="74"/>
      <c r="H2449" s="74"/>
      <c r="I2449" s="74"/>
      <c r="J2449" s="74"/>
      <c r="K2449" s="74"/>
      <c r="L2449" s="74"/>
      <c r="M2449" s="74"/>
      <c r="N2449" s="165"/>
    </row>
    <row r="2450" spans="2:14">
      <c r="B2450" s="79" t="s">
        <v>71</v>
      </c>
      <c r="C2450" s="71"/>
      <c r="D2450" s="62"/>
      <c r="E2450" s="70">
        <f>F2450</f>
        <v>0</v>
      </c>
      <c r="F2450" s="163"/>
      <c r="G2450" s="74"/>
      <c r="H2450" s="74"/>
      <c r="I2450" s="74"/>
      <c r="J2450" s="74"/>
      <c r="K2450" s="74"/>
      <c r="L2450" s="74"/>
      <c r="M2450" s="74"/>
      <c r="N2450" s="165"/>
    </row>
    <row r="2451" spans="2:14">
      <c r="B2451" s="79" t="s">
        <v>171</v>
      </c>
      <c r="C2451" s="30"/>
      <c r="D2451" s="62"/>
      <c r="E2451" s="148"/>
      <c r="F2451" s="10">
        <f>F2433</f>
        <v>0</v>
      </c>
      <c r="G2451" s="149">
        <f>F2451</f>
        <v>0</v>
      </c>
      <c r="H2451" s="74"/>
      <c r="I2451" s="74"/>
      <c r="J2451" s="74"/>
      <c r="K2451" s="74"/>
      <c r="L2451" s="74"/>
      <c r="M2451" s="74"/>
      <c r="N2451" s="165"/>
    </row>
    <row r="2452" spans="2:14">
      <c r="B2452" s="79" t="s">
        <v>172</v>
      </c>
      <c r="C2452" s="30"/>
      <c r="D2452" s="62"/>
      <c r="E2452" s="148"/>
      <c r="F2452" s="70">
        <f>G2452</f>
        <v>0</v>
      </c>
      <c r="G2452" s="10"/>
      <c r="H2452" s="74"/>
      <c r="I2452" s="74"/>
      <c r="J2452" s="74"/>
      <c r="K2452" s="74"/>
      <c r="L2452" s="74"/>
      <c r="M2452" s="74"/>
      <c r="N2452" s="165"/>
    </row>
    <row r="2453" spans="2:14">
      <c r="B2453" s="79" t="s">
        <v>173</v>
      </c>
      <c r="C2453" s="30"/>
      <c r="D2453" s="62"/>
      <c r="E2453" s="148"/>
      <c r="F2453" s="148"/>
      <c r="G2453" s="10">
        <f>G2433</f>
        <v>0</v>
      </c>
      <c r="H2453" s="149">
        <f>G2453</f>
        <v>0</v>
      </c>
      <c r="I2453" s="148"/>
      <c r="J2453" s="74"/>
      <c r="K2453" s="74"/>
      <c r="L2453" s="74"/>
      <c r="M2453" s="74"/>
      <c r="N2453" s="152"/>
    </row>
    <row r="2454" spans="2:14">
      <c r="B2454" s="79" t="s">
        <v>174</v>
      </c>
      <c r="C2454" s="30"/>
      <c r="D2454" s="62"/>
      <c r="E2454" s="148"/>
      <c r="F2454" s="148"/>
      <c r="G2454" s="70"/>
      <c r="H2454" s="10"/>
      <c r="I2454" s="148"/>
      <c r="J2454" s="74"/>
      <c r="K2454" s="74"/>
      <c r="L2454" s="74"/>
      <c r="M2454" s="74"/>
      <c r="N2454" s="152"/>
    </row>
    <row r="2455" spans="2:14">
      <c r="B2455" s="79" t="s">
        <v>175</v>
      </c>
      <c r="C2455" s="30"/>
      <c r="D2455" s="62"/>
      <c r="E2455" s="148"/>
      <c r="F2455" s="148"/>
      <c r="G2455" s="148"/>
      <c r="H2455" s="10">
        <v>0</v>
      </c>
      <c r="I2455" s="149">
        <f>H2455</f>
        <v>0</v>
      </c>
      <c r="J2455" s="74"/>
      <c r="K2455" s="74"/>
      <c r="L2455" s="74"/>
      <c r="M2455" s="74"/>
      <c r="N2455" s="152"/>
    </row>
    <row r="2456" spans="2:14">
      <c r="B2456" s="79" t="s">
        <v>176</v>
      </c>
      <c r="C2456" s="30"/>
      <c r="D2456" s="62"/>
      <c r="E2456" s="148"/>
      <c r="F2456" s="148"/>
      <c r="G2456" s="148"/>
      <c r="H2456" s="70"/>
      <c r="I2456" s="10"/>
      <c r="J2456" s="74"/>
      <c r="K2456" s="74"/>
      <c r="L2456" s="74"/>
      <c r="M2456" s="74"/>
      <c r="N2456" s="152"/>
    </row>
    <row r="2457" spans="2:14">
      <c r="B2457" s="79" t="s">
        <v>177</v>
      </c>
      <c r="C2457" s="30"/>
      <c r="D2457" s="62"/>
      <c r="E2457" s="148"/>
      <c r="F2457" s="148"/>
      <c r="G2457" s="148"/>
      <c r="H2457" s="148"/>
      <c r="I2457" s="207">
        <f>I2433</f>
        <v>0</v>
      </c>
      <c r="J2457" s="150">
        <f>I2457</f>
        <v>0</v>
      </c>
      <c r="K2457" s="74"/>
      <c r="L2457" s="74"/>
      <c r="M2457" s="74"/>
      <c r="N2457" s="152"/>
    </row>
    <row r="2458" spans="2:14">
      <c r="B2458" s="79" t="s">
        <v>168</v>
      </c>
      <c r="C2458" s="30"/>
      <c r="D2458" s="62"/>
      <c r="E2458" s="148"/>
      <c r="F2458" s="148"/>
      <c r="G2458" s="148"/>
      <c r="H2458" s="148"/>
      <c r="I2458" s="208"/>
      <c r="J2458" s="151"/>
      <c r="K2458" s="74"/>
      <c r="L2458" s="74"/>
      <c r="M2458" s="74"/>
      <c r="N2458" s="152"/>
    </row>
    <row r="2459" spans="2:14">
      <c r="B2459" s="79" t="s">
        <v>169</v>
      </c>
      <c r="C2459" s="30"/>
      <c r="D2459" s="62"/>
      <c r="E2459" s="148"/>
      <c r="F2459" s="148"/>
      <c r="G2459" s="148"/>
      <c r="H2459" s="148"/>
      <c r="I2459" s="148"/>
      <c r="J2459" s="151">
        <f>J2433</f>
        <v>0</v>
      </c>
      <c r="K2459" s="150">
        <f>J2459</f>
        <v>0</v>
      </c>
      <c r="L2459" s="74"/>
      <c r="M2459" s="74"/>
      <c r="N2459" s="152"/>
    </row>
    <row r="2460" spans="2:14">
      <c r="B2460" s="79" t="s">
        <v>186</v>
      </c>
      <c r="C2460" s="30"/>
      <c r="D2460" s="62"/>
      <c r="E2460" s="148"/>
      <c r="F2460" s="148"/>
      <c r="G2460" s="148"/>
      <c r="H2460" s="148"/>
      <c r="I2460" s="148"/>
      <c r="J2460" s="228"/>
      <c r="K2460" s="151"/>
      <c r="L2460" s="74"/>
      <c r="M2460" s="74"/>
      <c r="N2460" s="152"/>
    </row>
    <row r="2461" spans="2:14">
      <c r="B2461" s="79" t="s">
        <v>187</v>
      </c>
      <c r="C2461" s="30"/>
      <c r="D2461" s="62"/>
      <c r="E2461" s="148"/>
      <c r="F2461" s="148"/>
      <c r="G2461" s="148"/>
      <c r="H2461" s="148"/>
      <c r="I2461" s="148"/>
      <c r="J2461" s="148"/>
      <c r="K2461" s="151"/>
      <c r="L2461" s="150">
        <f>K2461</f>
        <v>0</v>
      </c>
      <c r="M2461" s="74"/>
      <c r="N2461" s="152"/>
    </row>
    <row r="2462" spans="2:14">
      <c r="B2462" s="79" t="s">
        <v>188</v>
      </c>
      <c r="C2462" s="30"/>
      <c r="D2462" s="62"/>
      <c r="E2462" s="148"/>
      <c r="F2462" s="148"/>
      <c r="G2462" s="148"/>
      <c r="H2462" s="148"/>
      <c r="I2462" s="148"/>
      <c r="J2462" s="148"/>
      <c r="K2462" s="145"/>
      <c r="L2462" s="151"/>
      <c r="M2462" s="74"/>
      <c r="N2462" s="152"/>
    </row>
    <row r="2463" spans="2:14">
      <c r="B2463" s="79" t="s">
        <v>189</v>
      </c>
      <c r="C2463" s="30"/>
      <c r="D2463" s="62"/>
      <c r="E2463" s="148"/>
      <c r="F2463" s="148"/>
      <c r="G2463" s="148"/>
      <c r="H2463" s="148"/>
      <c r="I2463" s="148"/>
      <c r="J2463" s="148"/>
      <c r="K2463" s="148"/>
      <c r="L2463" s="151"/>
      <c r="M2463" s="150">
        <f>L2463</f>
        <v>0</v>
      </c>
      <c r="N2463" s="152"/>
    </row>
    <row r="2464" spans="2:14">
      <c r="B2464" s="79" t="s">
        <v>190</v>
      </c>
      <c r="C2464" s="30"/>
      <c r="D2464" s="62"/>
      <c r="E2464" s="148"/>
      <c r="F2464" s="148"/>
      <c r="G2464" s="148"/>
      <c r="H2464" s="148"/>
      <c r="I2464" s="148"/>
      <c r="J2464" s="148"/>
      <c r="K2464" s="148"/>
      <c r="L2464" s="145">
        <f>M2433</f>
        <v>0</v>
      </c>
      <c r="M2464" s="151">
        <f>L2464</f>
        <v>0</v>
      </c>
      <c r="N2464" s="152"/>
    </row>
    <row r="2465" spans="1:15">
      <c r="B2465" s="79" t="s">
        <v>191</v>
      </c>
      <c r="C2465" s="30"/>
      <c r="D2465" s="62"/>
      <c r="E2465" s="148"/>
      <c r="F2465" s="148"/>
      <c r="G2465" s="148"/>
      <c r="H2465" s="148"/>
      <c r="I2465" s="148"/>
      <c r="J2465" s="148"/>
      <c r="K2465" s="148"/>
      <c r="L2465" s="148"/>
      <c r="M2465" s="151"/>
      <c r="N2465" s="150">
        <f>M2465</f>
        <v>0</v>
      </c>
    </row>
    <row r="2466" spans="1:15">
      <c r="B2466" s="79" t="s">
        <v>201</v>
      </c>
      <c r="C2466" s="30"/>
      <c r="D2466" s="62"/>
      <c r="E2466" s="148"/>
      <c r="F2466" s="148"/>
      <c r="G2466" s="148"/>
      <c r="H2466" s="148"/>
      <c r="I2466" s="148"/>
      <c r="J2466" s="148"/>
      <c r="K2466" s="148"/>
      <c r="L2466" s="148"/>
      <c r="M2466" s="145"/>
      <c r="N2466" s="151"/>
    </row>
    <row r="2467" spans="1:15">
      <c r="B2467" s="79" t="s">
        <v>202</v>
      </c>
      <c r="C2467" s="30"/>
      <c r="D2467" s="63"/>
      <c r="E2467" s="133"/>
      <c r="F2467" s="133"/>
      <c r="G2467" s="133"/>
      <c r="H2467" s="133"/>
      <c r="I2467" s="133"/>
      <c r="J2467" s="133"/>
      <c r="K2467" s="133"/>
      <c r="L2467" s="133"/>
      <c r="M2467" s="133"/>
      <c r="N2467" s="153"/>
    </row>
    <row r="2468" spans="1:15">
      <c r="B2468" s="33" t="s">
        <v>17</v>
      </c>
      <c r="D2468" s="218">
        <f xml:space="preserve"> D2453 - D2452</f>
        <v>0</v>
      </c>
      <c r="E2468" s="218">
        <f xml:space="preserve"> E2452 + E2455 - E2454 - E2453</f>
        <v>0</v>
      </c>
      <c r="F2468" s="218">
        <f>F2454 - F2455</f>
        <v>0</v>
      </c>
      <c r="G2468" s="218">
        <f>G2454 - G2455</f>
        <v>0</v>
      </c>
      <c r="H2468" s="218">
        <f>H2453-H2454-H2455</f>
        <v>0</v>
      </c>
      <c r="I2468" s="218">
        <f>I2455-I2456-I2457</f>
        <v>0</v>
      </c>
      <c r="J2468" s="218">
        <f>J2457-J2458-J2459</f>
        <v>0</v>
      </c>
      <c r="K2468" s="218">
        <f>K2459-K2460-K2461</f>
        <v>0</v>
      </c>
      <c r="L2468" s="218">
        <f>L2461+L2464-L2463-L2462</f>
        <v>0</v>
      </c>
      <c r="M2468" s="218">
        <f>M2463-M2464+M2466</f>
        <v>0</v>
      </c>
      <c r="N2468" s="218">
        <f>N2465-N2466-N2467</f>
        <v>0</v>
      </c>
    </row>
    <row r="2469" spans="1:15">
      <c r="B2469" s="6"/>
      <c r="D2469" s="218"/>
      <c r="E2469" s="218"/>
      <c r="F2469" s="218"/>
      <c r="G2469" s="218"/>
      <c r="H2469" s="218"/>
      <c r="I2469" s="218"/>
      <c r="J2469" s="218"/>
      <c r="K2469" s="218"/>
      <c r="L2469" s="218"/>
      <c r="M2469" s="218"/>
      <c r="N2469" s="218"/>
    </row>
    <row r="2470" spans="1:15">
      <c r="B2470" s="76" t="s">
        <v>12</v>
      </c>
      <c r="C2470" s="71"/>
      <c r="D2470" s="219"/>
      <c r="E2470" s="220"/>
      <c r="F2470" s="220"/>
      <c r="G2470" s="220"/>
      <c r="H2470" s="220"/>
      <c r="I2470" s="220"/>
      <c r="J2470" s="220"/>
      <c r="K2470" s="220"/>
      <c r="L2470" s="220"/>
      <c r="M2470" s="220"/>
      <c r="N2470" s="220"/>
    </row>
    <row r="2471" spans="1:15">
      <c r="B2471" s="6"/>
      <c r="D2471" s="218"/>
      <c r="E2471" s="218"/>
      <c r="F2471" s="218"/>
      <c r="G2471" s="218"/>
      <c r="H2471" s="218"/>
      <c r="I2471" s="218"/>
      <c r="J2471" s="218"/>
      <c r="K2471" s="218"/>
      <c r="L2471" s="218"/>
      <c r="M2471" s="218"/>
      <c r="N2471" s="218"/>
    </row>
    <row r="2472" spans="1:15" ht="18.5">
      <c r="A2472" s="41" t="s">
        <v>26</v>
      </c>
      <c r="C2472" s="71"/>
      <c r="D2472" s="221">
        <f t="shared" ref="D2472:N2472" si="1123" xml:space="preserve"> D2433 + D2438 - D2444 + D2468 + D2470</f>
        <v>0</v>
      </c>
      <c r="E2472" s="222">
        <f t="shared" si="1123"/>
        <v>0</v>
      </c>
      <c r="F2472" s="222">
        <f t="shared" si="1123"/>
        <v>0</v>
      </c>
      <c r="G2472" s="222">
        <f t="shared" si="1123"/>
        <v>0</v>
      </c>
      <c r="H2472" s="222">
        <f t="shared" si="1123"/>
        <v>0</v>
      </c>
      <c r="I2472" s="222">
        <f t="shared" si="1123"/>
        <v>0</v>
      </c>
      <c r="J2472" s="222">
        <f t="shared" si="1123"/>
        <v>0</v>
      </c>
      <c r="K2472" s="222">
        <f t="shared" si="1123"/>
        <v>0</v>
      </c>
      <c r="L2472" s="222">
        <f t="shared" si="1123"/>
        <v>0</v>
      </c>
      <c r="M2472" s="222">
        <f t="shared" si="1123"/>
        <v>0</v>
      </c>
      <c r="N2472" s="222">
        <f t="shared" si="1123"/>
        <v>3927.2465091793251</v>
      </c>
      <c r="O2472" s="276"/>
    </row>
    <row r="2473" spans="1:15" ht="15" thickBot="1"/>
    <row r="2474" spans="1:15" ht="15" thickBot="1">
      <c r="A2474" s="8"/>
      <c r="B2474" s="8"/>
      <c r="C2474" s="8"/>
      <c r="D2474" s="8"/>
      <c r="E2474" s="8"/>
      <c r="F2474" s="8"/>
      <c r="G2474" s="8"/>
      <c r="H2474" s="8"/>
      <c r="I2474" s="8"/>
      <c r="J2474" s="8"/>
      <c r="K2474" s="8"/>
      <c r="L2474" s="8"/>
      <c r="M2474" s="8"/>
      <c r="N2474" s="8"/>
    </row>
    <row r="2475" spans="1:15" ht="21.5" thickBot="1">
      <c r="A2475" s="13" t="s">
        <v>4</v>
      </c>
      <c r="B2475" s="13"/>
      <c r="C2475" s="313" t="s">
        <v>267</v>
      </c>
      <c r="D2475" s="310"/>
      <c r="E2475" s="23"/>
      <c r="F2475" s="23"/>
    </row>
    <row r="2477" spans="1:15" ht="18.5">
      <c r="A2477" s="9" t="s">
        <v>21</v>
      </c>
      <c r="B2477" s="9"/>
      <c r="D2477" s="2">
        <v>2011</v>
      </c>
      <c r="E2477" s="2">
        <f>D2477+1</f>
        <v>2012</v>
      </c>
      <c r="F2477" s="2">
        <f t="shared" ref="F2477" si="1124">E2477+1</f>
        <v>2013</v>
      </c>
      <c r="G2477" s="2">
        <f t="shared" ref="G2477" si="1125">F2477+1</f>
        <v>2014</v>
      </c>
      <c r="H2477" s="2">
        <f t="shared" ref="H2477" si="1126">G2477+1</f>
        <v>2015</v>
      </c>
      <c r="I2477" s="2">
        <f t="shared" ref="I2477" si="1127">H2477+1</f>
        <v>2016</v>
      </c>
      <c r="J2477" s="2">
        <f t="shared" ref="J2477" si="1128">I2477+1</f>
        <v>2017</v>
      </c>
      <c r="K2477" s="2">
        <f t="shared" ref="K2477" si="1129">J2477+1</f>
        <v>2018</v>
      </c>
      <c r="L2477" s="2">
        <f t="shared" ref="L2477" si="1130">K2477+1</f>
        <v>2019</v>
      </c>
      <c r="M2477" s="2">
        <f t="shared" ref="M2477" si="1131">L2477+1</f>
        <v>2020</v>
      </c>
      <c r="N2477" s="2">
        <f t="shared" ref="N2477" si="1132">M2477+1</f>
        <v>2021</v>
      </c>
    </row>
    <row r="2478" spans="1:15">
      <c r="B2478" s="79" t="str">
        <f>"Total MWh Produced / Purchased from " &amp; C2475</f>
        <v>Total MWh Produced / Purchased from Sage Solar II</v>
      </c>
      <c r="C2478" s="71"/>
      <c r="D2478" s="3"/>
      <c r="E2478" s="4"/>
      <c r="F2478" s="4"/>
      <c r="G2478" s="4"/>
      <c r="H2478" s="4"/>
      <c r="I2478" s="4"/>
      <c r="J2478" s="4"/>
      <c r="K2478" s="4"/>
      <c r="L2478" s="4"/>
      <c r="M2478" s="230"/>
      <c r="N2478" s="230">
        <v>49154</v>
      </c>
    </row>
    <row r="2479" spans="1:15">
      <c r="B2479" s="79" t="s">
        <v>25</v>
      </c>
      <c r="C2479" s="71"/>
      <c r="D2479" s="54"/>
      <c r="E2479" s="55"/>
      <c r="F2479" s="55"/>
      <c r="G2479" s="55"/>
      <c r="H2479" s="55"/>
      <c r="I2479" s="55"/>
      <c r="J2479" s="55"/>
      <c r="K2479" s="55"/>
      <c r="L2479" s="55"/>
      <c r="M2479" s="234"/>
      <c r="N2479" s="234">
        <v>1</v>
      </c>
    </row>
    <row r="2480" spans="1:15">
      <c r="B2480" s="79" t="s">
        <v>20</v>
      </c>
      <c r="C2480" s="71"/>
      <c r="D2480" s="48"/>
      <c r="E2480" s="49"/>
      <c r="F2480" s="49"/>
      <c r="G2480" s="49"/>
      <c r="H2480" s="49"/>
      <c r="I2480" s="49"/>
      <c r="J2480" s="49"/>
      <c r="K2480" s="49"/>
      <c r="L2480" s="49"/>
      <c r="M2480" s="243"/>
      <c r="N2480" s="243">
        <f>N2432</f>
        <v>8.0780946790754593E-2</v>
      </c>
    </row>
    <row r="2481" spans="1:14">
      <c r="B2481" s="76" t="s">
        <v>22</v>
      </c>
      <c r="C2481" s="77"/>
      <c r="D2481" s="37">
        <v>0</v>
      </c>
      <c r="E2481" s="37">
        <v>0</v>
      </c>
      <c r="F2481" s="37">
        <v>0</v>
      </c>
      <c r="G2481" s="37">
        <v>0</v>
      </c>
      <c r="H2481" s="37">
        <v>0</v>
      </c>
      <c r="I2481" s="37">
        <v>0</v>
      </c>
      <c r="J2481" s="37">
        <v>0</v>
      </c>
      <c r="K2481" s="37">
        <v>0</v>
      </c>
      <c r="L2481" s="37">
        <f>L2478*L2480</f>
        <v>0</v>
      </c>
      <c r="M2481" s="37">
        <f>M2478*M2480</f>
        <v>0</v>
      </c>
      <c r="N2481" s="37">
        <f>N2478*N2480</f>
        <v>3970.7066585527514</v>
      </c>
    </row>
    <row r="2482" spans="1:14">
      <c r="B2482" s="23"/>
      <c r="C2482" s="30"/>
      <c r="D2482" s="36"/>
      <c r="E2482" s="36"/>
      <c r="F2482" s="36"/>
      <c r="G2482" s="36"/>
      <c r="H2482" s="36"/>
      <c r="I2482" s="36"/>
      <c r="J2482" s="36"/>
      <c r="K2482" s="36"/>
      <c r="L2482" s="36"/>
      <c r="M2482" s="36"/>
      <c r="N2482" s="36"/>
    </row>
    <row r="2483" spans="1:14" ht="18.5">
      <c r="A2483" s="42" t="s">
        <v>119</v>
      </c>
      <c r="C2483" s="30"/>
      <c r="D2483" s="2">
        <v>2011</v>
      </c>
      <c r="E2483" s="2">
        <f>D2483+1</f>
        <v>2012</v>
      </c>
      <c r="F2483" s="2">
        <f t="shared" ref="F2483" si="1133">E2483+1</f>
        <v>2013</v>
      </c>
      <c r="G2483" s="2">
        <f t="shared" ref="G2483" si="1134">F2483+1</f>
        <v>2014</v>
      </c>
      <c r="H2483" s="2">
        <f t="shared" ref="H2483" si="1135">G2483+1</f>
        <v>2015</v>
      </c>
      <c r="I2483" s="2">
        <f t="shared" ref="I2483" si="1136">H2483+1</f>
        <v>2016</v>
      </c>
      <c r="J2483" s="2">
        <f t="shared" ref="J2483" si="1137">I2483+1</f>
        <v>2017</v>
      </c>
      <c r="K2483" s="2">
        <f t="shared" ref="K2483" si="1138">J2483+1</f>
        <v>2018</v>
      </c>
      <c r="L2483" s="2">
        <f t="shared" ref="L2483" si="1139">K2483+1</f>
        <v>2019</v>
      </c>
      <c r="M2483" s="2">
        <f t="shared" ref="M2483" si="1140">L2483+1</f>
        <v>2020</v>
      </c>
      <c r="N2483" s="2">
        <f t="shared" ref="N2483" si="1141">M2483+1</f>
        <v>2021</v>
      </c>
    </row>
    <row r="2484" spans="1:14">
      <c r="B2484" s="79" t="s">
        <v>10</v>
      </c>
      <c r="C2484" s="71"/>
      <c r="D2484" s="51">
        <f>IF($E53= "Eligible", D2481 * 'Facility Detail'!$B$3079, 0 )</f>
        <v>0</v>
      </c>
      <c r="E2484" s="51">
        <f>IF($E53= "Eligible", E2481 * 'Facility Detail'!$B$3079, 0 )</f>
        <v>0</v>
      </c>
      <c r="F2484" s="51">
        <f>IF($E53= "Eligible", F2481 * 'Facility Detail'!$B$3079, 0 )</f>
        <v>0</v>
      </c>
      <c r="G2484" s="51">
        <f>IF($E53= "Eligible", G2481 * 'Facility Detail'!$B$3079, 0 )</f>
        <v>0</v>
      </c>
      <c r="H2484" s="51">
        <f>IF($E53= "Eligible", H2481 * 'Facility Detail'!$B$3079, 0 )</f>
        <v>0</v>
      </c>
      <c r="I2484" s="51">
        <f>IF($E53= "Eligible", I2481 * 'Facility Detail'!$B$3079, 0 )</f>
        <v>0</v>
      </c>
      <c r="J2484" s="51">
        <f>IF($E53= "Eligible", J2481 * 'Facility Detail'!$B$3079, 0 )</f>
        <v>0</v>
      </c>
      <c r="K2484" s="51">
        <f>IF($E53= "Eligible", K2481 * 'Facility Detail'!$B$3079, 0 )</f>
        <v>0</v>
      </c>
      <c r="L2484" s="51">
        <f>IF($E53= "Eligible", L2481 * 'Facility Detail'!$B$3079, 0 )</f>
        <v>0</v>
      </c>
      <c r="M2484" s="51">
        <f>IF($E53= "Eligible", M2481 * 'Facility Detail'!$B$3079, 0 )</f>
        <v>0</v>
      </c>
      <c r="N2484" s="51">
        <f>IF($E53= "Eligible", N2481 * 'Facility Detail'!$B$3079, 0 )</f>
        <v>0</v>
      </c>
    </row>
    <row r="2485" spans="1:14">
      <c r="B2485" s="79" t="s">
        <v>6</v>
      </c>
      <c r="C2485" s="71"/>
      <c r="D2485" s="52">
        <f t="shared" ref="D2485:N2485" si="1142">IF($F53= "Eligible", D2481, 0 )</f>
        <v>0</v>
      </c>
      <c r="E2485" s="52">
        <f t="shared" si="1142"/>
        <v>0</v>
      </c>
      <c r="F2485" s="52">
        <f t="shared" si="1142"/>
        <v>0</v>
      </c>
      <c r="G2485" s="52">
        <f t="shared" si="1142"/>
        <v>0</v>
      </c>
      <c r="H2485" s="52">
        <f t="shared" si="1142"/>
        <v>0</v>
      </c>
      <c r="I2485" s="52">
        <f t="shared" si="1142"/>
        <v>0</v>
      </c>
      <c r="J2485" s="52">
        <f t="shared" si="1142"/>
        <v>0</v>
      </c>
      <c r="K2485" s="52">
        <f t="shared" si="1142"/>
        <v>0</v>
      </c>
      <c r="L2485" s="52">
        <f t="shared" si="1142"/>
        <v>0</v>
      </c>
      <c r="M2485" s="52">
        <f t="shared" si="1142"/>
        <v>0</v>
      </c>
      <c r="N2485" s="52">
        <f t="shared" si="1142"/>
        <v>0</v>
      </c>
    </row>
    <row r="2486" spans="1:14">
      <c r="B2486" s="78" t="s">
        <v>121</v>
      </c>
      <c r="C2486" s="77"/>
      <c r="D2486" s="39">
        <f>SUM(D2484:D2485)</f>
        <v>0</v>
      </c>
      <c r="E2486" s="39">
        <f t="shared" ref="E2486:N2486" si="1143">SUM(E2484:E2485)</f>
        <v>0</v>
      </c>
      <c r="F2486" s="39">
        <f t="shared" si="1143"/>
        <v>0</v>
      </c>
      <c r="G2486" s="39">
        <f t="shared" si="1143"/>
        <v>0</v>
      </c>
      <c r="H2486" s="39">
        <f t="shared" si="1143"/>
        <v>0</v>
      </c>
      <c r="I2486" s="39">
        <f t="shared" si="1143"/>
        <v>0</v>
      </c>
      <c r="J2486" s="39">
        <f t="shared" si="1143"/>
        <v>0</v>
      </c>
      <c r="K2486" s="39">
        <f t="shared" si="1143"/>
        <v>0</v>
      </c>
      <c r="L2486" s="39">
        <f t="shared" si="1143"/>
        <v>0</v>
      </c>
      <c r="M2486" s="39">
        <f t="shared" si="1143"/>
        <v>0</v>
      </c>
      <c r="N2486" s="39">
        <f t="shared" si="1143"/>
        <v>0</v>
      </c>
    </row>
    <row r="2487" spans="1:14">
      <c r="B2487" s="30"/>
      <c r="C2487" s="30"/>
      <c r="D2487" s="38"/>
      <c r="E2487" s="31"/>
      <c r="F2487" s="31"/>
      <c r="G2487" s="31"/>
      <c r="H2487" s="31"/>
      <c r="I2487" s="31"/>
      <c r="J2487" s="31"/>
      <c r="K2487" s="31"/>
      <c r="L2487" s="31"/>
      <c r="M2487" s="31"/>
      <c r="N2487" s="31"/>
    </row>
    <row r="2488" spans="1:14" ht="18.5">
      <c r="A2488" s="41" t="s">
        <v>30</v>
      </c>
      <c r="C2488" s="30"/>
      <c r="D2488" s="2">
        <v>2011</v>
      </c>
      <c r="E2488" s="2">
        <f>D2488+1</f>
        <v>2012</v>
      </c>
      <c r="F2488" s="2">
        <f t="shared" ref="F2488" si="1144">E2488+1</f>
        <v>2013</v>
      </c>
      <c r="G2488" s="2">
        <f t="shared" ref="G2488" si="1145">F2488+1</f>
        <v>2014</v>
      </c>
      <c r="H2488" s="2">
        <f t="shared" ref="H2488" si="1146">G2488+1</f>
        <v>2015</v>
      </c>
      <c r="I2488" s="2">
        <f t="shared" ref="I2488" si="1147">H2488+1</f>
        <v>2016</v>
      </c>
      <c r="J2488" s="2">
        <f t="shared" ref="J2488" si="1148">I2488+1</f>
        <v>2017</v>
      </c>
      <c r="K2488" s="2">
        <f t="shared" ref="K2488" si="1149">J2488+1</f>
        <v>2018</v>
      </c>
      <c r="L2488" s="2">
        <f t="shared" ref="L2488" si="1150">K2488+1</f>
        <v>2019</v>
      </c>
      <c r="M2488" s="2">
        <f t="shared" ref="M2488" si="1151">L2488+1</f>
        <v>2020</v>
      </c>
      <c r="N2488" s="2">
        <f t="shared" ref="N2488" si="1152">M2488+1</f>
        <v>2021</v>
      </c>
    </row>
    <row r="2489" spans="1:14">
      <c r="B2489" s="79" t="s">
        <v>47</v>
      </c>
      <c r="C2489" s="71"/>
      <c r="D2489" s="89"/>
      <c r="E2489" s="90"/>
      <c r="F2489" s="90"/>
      <c r="G2489" s="90"/>
      <c r="H2489" s="90"/>
      <c r="I2489" s="90"/>
      <c r="J2489" s="90"/>
      <c r="K2489" s="90"/>
      <c r="L2489" s="90"/>
      <c r="M2489" s="90"/>
      <c r="N2489" s="90"/>
    </row>
    <row r="2490" spans="1:14">
      <c r="B2490" s="80" t="s">
        <v>23</v>
      </c>
      <c r="C2490" s="175"/>
      <c r="D2490" s="92"/>
      <c r="E2490" s="93"/>
      <c r="F2490" s="93"/>
      <c r="G2490" s="93"/>
      <c r="H2490" s="93"/>
      <c r="I2490" s="93"/>
      <c r="J2490" s="93"/>
      <c r="K2490" s="93"/>
      <c r="L2490" s="93"/>
      <c r="M2490" s="93"/>
      <c r="N2490" s="93"/>
    </row>
    <row r="2491" spans="1:14">
      <c r="B2491" s="95" t="s">
        <v>89</v>
      </c>
      <c r="C2491" s="173"/>
      <c r="D2491" s="57"/>
      <c r="E2491" s="58"/>
      <c r="F2491" s="58"/>
      <c r="G2491" s="58"/>
      <c r="H2491" s="58"/>
      <c r="I2491" s="58"/>
      <c r="J2491" s="58"/>
      <c r="K2491" s="58"/>
      <c r="L2491" s="58"/>
      <c r="M2491" s="58"/>
      <c r="N2491" s="58"/>
    </row>
    <row r="2492" spans="1:14">
      <c r="B2492" s="33" t="s">
        <v>90</v>
      </c>
      <c r="D2492" s="7">
        <v>0</v>
      </c>
      <c r="E2492" s="7">
        <v>0</v>
      </c>
      <c r="F2492" s="7">
        <v>0</v>
      </c>
      <c r="G2492" s="7">
        <v>0</v>
      </c>
      <c r="H2492" s="7">
        <v>0</v>
      </c>
      <c r="I2492" s="7">
        <v>0</v>
      </c>
      <c r="J2492" s="7">
        <v>0</v>
      </c>
      <c r="K2492" s="7">
        <v>0</v>
      </c>
      <c r="L2492" s="7">
        <v>0</v>
      </c>
      <c r="M2492" s="7">
        <v>0</v>
      </c>
      <c r="N2492" s="7">
        <v>0</v>
      </c>
    </row>
    <row r="2493" spans="1:14">
      <c r="B2493" s="6"/>
      <c r="D2493" s="7"/>
      <c r="E2493" s="7"/>
      <c r="F2493" s="7"/>
      <c r="G2493" s="28"/>
      <c r="H2493" s="28"/>
      <c r="I2493" s="28"/>
      <c r="J2493" s="28"/>
      <c r="K2493" s="28"/>
      <c r="L2493" s="28"/>
      <c r="M2493" s="28"/>
      <c r="N2493" s="28"/>
    </row>
    <row r="2494" spans="1:14" ht="18.5">
      <c r="A2494" s="9" t="s">
        <v>100</v>
      </c>
      <c r="D2494" s="2">
        <f>'Facility Detail'!$B$3082</f>
        <v>2011</v>
      </c>
      <c r="E2494" s="2">
        <f>D2494+1</f>
        <v>2012</v>
      </c>
      <c r="F2494" s="2">
        <f t="shared" ref="F2494" si="1153">E2494+1</f>
        <v>2013</v>
      </c>
      <c r="G2494" s="2">
        <f t="shared" ref="G2494" si="1154">F2494+1</f>
        <v>2014</v>
      </c>
      <c r="H2494" s="2">
        <f t="shared" ref="H2494" si="1155">G2494+1</f>
        <v>2015</v>
      </c>
      <c r="I2494" s="2">
        <f t="shared" ref="I2494" si="1156">H2494+1</f>
        <v>2016</v>
      </c>
      <c r="J2494" s="2">
        <f t="shared" ref="J2494" si="1157">I2494+1</f>
        <v>2017</v>
      </c>
      <c r="K2494" s="2">
        <f t="shared" ref="K2494" si="1158">J2494+1</f>
        <v>2018</v>
      </c>
      <c r="L2494" s="2">
        <f t="shared" ref="L2494" si="1159">K2494+1</f>
        <v>2019</v>
      </c>
      <c r="M2494" s="2">
        <f t="shared" ref="M2494" si="1160">L2494+1</f>
        <v>2020</v>
      </c>
      <c r="N2494" s="2">
        <f t="shared" ref="N2494" si="1161">M2494+1</f>
        <v>2021</v>
      </c>
    </row>
    <row r="2495" spans="1:14">
      <c r="B2495" s="79" t="s">
        <v>68</v>
      </c>
      <c r="C2495" s="71"/>
      <c r="D2495" s="3"/>
      <c r="E2495" s="60">
        <f>D2495</f>
        <v>0</v>
      </c>
      <c r="F2495" s="131"/>
      <c r="G2495" s="131"/>
      <c r="H2495" s="131"/>
      <c r="I2495" s="131"/>
      <c r="J2495" s="131"/>
      <c r="K2495" s="131"/>
      <c r="L2495" s="131"/>
      <c r="M2495" s="131"/>
      <c r="N2495" s="61"/>
    </row>
    <row r="2496" spans="1:14">
      <c r="B2496" s="79" t="s">
        <v>69</v>
      </c>
      <c r="C2496" s="71"/>
      <c r="D2496" s="164">
        <f>E2496</f>
        <v>0</v>
      </c>
      <c r="E2496" s="10"/>
      <c r="F2496" s="74"/>
      <c r="G2496" s="74"/>
      <c r="H2496" s="74"/>
      <c r="I2496" s="74"/>
      <c r="J2496" s="74"/>
      <c r="K2496" s="74"/>
      <c r="L2496" s="74"/>
      <c r="M2496" s="74"/>
      <c r="N2496" s="165"/>
    </row>
    <row r="2497" spans="2:14">
      <c r="B2497" s="79" t="s">
        <v>70</v>
      </c>
      <c r="C2497" s="71"/>
      <c r="D2497" s="62"/>
      <c r="E2497" s="10">
        <f>E2481</f>
        <v>0</v>
      </c>
      <c r="F2497" s="70">
        <f>E2497</f>
        <v>0</v>
      </c>
      <c r="G2497" s="74"/>
      <c r="H2497" s="74"/>
      <c r="I2497" s="74"/>
      <c r="J2497" s="74"/>
      <c r="K2497" s="74"/>
      <c r="L2497" s="74"/>
      <c r="M2497" s="74"/>
      <c r="N2497" s="165"/>
    </row>
    <row r="2498" spans="2:14">
      <c r="B2498" s="79" t="s">
        <v>71</v>
      </c>
      <c r="C2498" s="71"/>
      <c r="D2498" s="62"/>
      <c r="E2498" s="70">
        <f>F2498</f>
        <v>0</v>
      </c>
      <c r="F2498" s="163"/>
      <c r="G2498" s="74"/>
      <c r="H2498" s="74"/>
      <c r="I2498" s="74"/>
      <c r="J2498" s="74"/>
      <c r="K2498" s="74"/>
      <c r="L2498" s="74"/>
      <c r="M2498" s="74"/>
      <c r="N2498" s="165"/>
    </row>
    <row r="2499" spans="2:14">
      <c r="B2499" s="79" t="s">
        <v>171</v>
      </c>
      <c r="C2499" s="30"/>
      <c r="D2499" s="62"/>
      <c r="E2499" s="148"/>
      <c r="F2499" s="10">
        <f>F2481</f>
        <v>0</v>
      </c>
      <c r="G2499" s="149">
        <f>F2499</f>
        <v>0</v>
      </c>
      <c r="H2499" s="74"/>
      <c r="I2499" s="74"/>
      <c r="J2499" s="74"/>
      <c r="K2499" s="74"/>
      <c r="L2499" s="74"/>
      <c r="M2499" s="74"/>
      <c r="N2499" s="165"/>
    </row>
    <row r="2500" spans="2:14">
      <c r="B2500" s="79" t="s">
        <v>172</v>
      </c>
      <c r="C2500" s="30"/>
      <c r="D2500" s="62"/>
      <c r="E2500" s="148"/>
      <c r="F2500" s="70">
        <f>G2500</f>
        <v>0</v>
      </c>
      <c r="G2500" s="10"/>
      <c r="H2500" s="74"/>
      <c r="I2500" s="74"/>
      <c r="J2500" s="74"/>
      <c r="K2500" s="74"/>
      <c r="L2500" s="74"/>
      <c r="M2500" s="74"/>
      <c r="N2500" s="165"/>
    </row>
    <row r="2501" spans="2:14">
      <c r="B2501" s="79" t="s">
        <v>173</v>
      </c>
      <c r="C2501" s="30"/>
      <c r="D2501" s="62"/>
      <c r="E2501" s="148"/>
      <c r="F2501" s="148"/>
      <c r="G2501" s="10">
        <f>G2481</f>
        <v>0</v>
      </c>
      <c r="H2501" s="149">
        <f>G2501</f>
        <v>0</v>
      </c>
      <c r="I2501" s="148"/>
      <c r="J2501" s="74"/>
      <c r="K2501" s="74"/>
      <c r="L2501" s="74"/>
      <c r="M2501" s="74"/>
      <c r="N2501" s="152"/>
    </row>
    <row r="2502" spans="2:14">
      <c r="B2502" s="79" t="s">
        <v>174</v>
      </c>
      <c r="C2502" s="30"/>
      <c r="D2502" s="62"/>
      <c r="E2502" s="148"/>
      <c r="F2502" s="148"/>
      <c r="G2502" s="70"/>
      <c r="H2502" s="10"/>
      <c r="I2502" s="148"/>
      <c r="J2502" s="74"/>
      <c r="K2502" s="74"/>
      <c r="L2502" s="74"/>
      <c r="M2502" s="74"/>
      <c r="N2502" s="152"/>
    </row>
    <row r="2503" spans="2:14">
      <c r="B2503" s="79" t="s">
        <v>175</v>
      </c>
      <c r="C2503" s="30"/>
      <c r="D2503" s="62"/>
      <c r="E2503" s="148"/>
      <c r="F2503" s="148"/>
      <c r="G2503" s="148"/>
      <c r="H2503" s="10">
        <v>0</v>
      </c>
      <c r="I2503" s="149">
        <f>H2503</f>
        <v>0</v>
      </c>
      <c r="J2503" s="74"/>
      <c r="K2503" s="74"/>
      <c r="L2503" s="74"/>
      <c r="M2503" s="74"/>
      <c r="N2503" s="152"/>
    </row>
    <row r="2504" spans="2:14">
      <c r="B2504" s="79" t="s">
        <v>176</v>
      </c>
      <c r="C2504" s="30"/>
      <c r="D2504" s="62"/>
      <c r="E2504" s="148"/>
      <c r="F2504" s="148"/>
      <c r="G2504" s="148"/>
      <c r="H2504" s="70"/>
      <c r="I2504" s="10"/>
      <c r="J2504" s="74"/>
      <c r="K2504" s="74"/>
      <c r="L2504" s="74"/>
      <c r="M2504" s="74"/>
      <c r="N2504" s="152"/>
    </row>
    <row r="2505" spans="2:14">
      <c r="B2505" s="79" t="s">
        <v>177</v>
      </c>
      <c r="C2505" s="30"/>
      <c r="D2505" s="62"/>
      <c r="E2505" s="148"/>
      <c r="F2505" s="148"/>
      <c r="G2505" s="148"/>
      <c r="H2505" s="148"/>
      <c r="I2505" s="207">
        <f>I2481</f>
        <v>0</v>
      </c>
      <c r="J2505" s="150">
        <f>I2505</f>
        <v>0</v>
      </c>
      <c r="K2505" s="74"/>
      <c r="L2505" s="74"/>
      <c r="M2505" s="74"/>
      <c r="N2505" s="152"/>
    </row>
    <row r="2506" spans="2:14">
      <c r="B2506" s="79" t="s">
        <v>168</v>
      </c>
      <c r="C2506" s="30"/>
      <c r="D2506" s="62"/>
      <c r="E2506" s="148"/>
      <c r="F2506" s="148"/>
      <c r="G2506" s="148"/>
      <c r="H2506" s="148"/>
      <c r="I2506" s="208"/>
      <c r="J2506" s="151"/>
      <c r="K2506" s="74"/>
      <c r="L2506" s="74"/>
      <c r="M2506" s="74"/>
      <c r="N2506" s="152"/>
    </row>
    <row r="2507" spans="2:14">
      <c r="B2507" s="79" t="s">
        <v>169</v>
      </c>
      <c r="C2507" s="30"/>
      <c r="D2507" s="62"/>
      <c r="E2507" s="148"/>
      <c r="F2507" s="148"/>
      <c r="G2507" s="148"/>
      <c r="H2507" s="148"/>
      <c r="I2507" s="148"/>
      <c r="J2507" s="151">
        <f>J2481</f>
        <v>0</v>
      </c>
      <c r="K2507" s="150">
        <f>J2507</f>
        <v>0</v>
      </c>
      <c r="L2507" s="74"/>
      <c r="M2507" s="74"/>
      <c r="N2507" s="152"/>
    </row>
    <row r="2508" spans="2:14">
      <c r="B2508" s="79" t="s">
        <v>186</v>
      </c>
      <c r="C2508" s="30"/>
      <c r="D2508" s="62"/>
      <c r="E2508" s="148"/>
      <c r="F2508" s="148"/>
      <c r="G2508" s="148"/>
      <c r="H2508" s="148"/>
      <c r="I2508" s="148"/>
      <c r="J2508" s="228"/>
      <c r="K2508" s="151"/>
      <c r="L2508" s="74"/>
      <c r="M2508" s="74"/>
      <c r="N2508" s="152"/>
    </row>
    <row r="2509" spans="2:14">
      <c r="B2509" s="79" t="s">
        <v>187</v>
      </c>
      <c r="C2509" s="30"/>
      <c r="D2509" s="62"/>
      <c r="E2509" s="148"/>
      <c r="F2509" s="148"/>
      <c r="G2509" s="148"/>
      <c r="H2509" s="148"/>
      <c r="I2509" s="148"/>
      <c r="J2509" s="148"/>
      <c r="K2509" s="151"/>
      <c r="L2509" s="150">
        <f>K2509</f>
        <v>0</v>
      </c>
      <c r="M2509" s="74"/>
      <c r="N2509" s="152"/>
    </row>
    <row r="2510" spans="2:14">
      <c r="B2510" s="79" t="s">
        <v>188</v>
      </c>
      <c r="C2510" s="30"/>
      <c r="D2510" s="62"/>
      <c r="E2510" s="148"/>
      <c r="F2510" s="148"/>
      <c r="G2510" s="148"/>
      <c r="H2510" s="148"/>
      <c r="I2510" s="148"/>
      <c r="J2510" s="148"/>
      <c r="K2510" s="145"/>
      <c r="L2510" s="151"/>
      <c r="M2510" s="74"/>
      <c r="N2510" s="152"/>
    </row>
    <row r="2511" spans="2:14">
      <c r="B2511" s="79" t="s">
        <v>189</v>
      </c>
      <c r="C2511" s="30"/>
      <c r="D2511" s="62"/>
      <c r="E2511" s="148"/>
      <c r="F2511" s="148"/>
      <c r="G2511" s="148"/>
      <c r="H2511" s="148"/>
      <c r="I2511" s="148"/>
      <c r="J2511" s="148"/>
      <c r="K2511" s="148"/>
      <c r="L2511" s="151"/>
      <c r="M2511" s="150">
        <f>L2511</f>
        <v>0</v>
      </c>
      <c r="N2511" s="152"/>
    </row>
    <row r="2512" spans="2:14">
      <c r="B2512" s="79" t="s">
        <v>190</v>
      </c>
      <c r="C2512" s="30"/>
      <c r="D2512" s="62"/>
      <c r="E2512" s="148"/>
      <c r="F2512" s="148"/>
      <c r="G2512" s="148"/>
      <c r="H2512" s="148"/>
      <c r="I2512" s="148"/>
      <c r="J2512" s="148"/>
      <c r="K2512" s="148"/>
      <c r="L2512" s="145">
        <f>M2481</f>
        <v>0</v>
      </c>
      <c r="M2512" s="151">
        <f>L2512</f>
        <v>0</v>
      </c>
      <c r="N2512" s="152"/>
    </row>
    <row r="2513" spans="1:15">
      <c r="B2513" s="79" t="s">
        <v>191</v>
      </c>
      <c r="C2513" s="30"/>
      <c r="D2513" s="62"/>
      <c r="E2513" s="148"/>
      <c r="F2513" s="148"/>
      <c r="G2513" s="148"/>
      <c r="H2513" s="148"/>
      <c r="I2513" s="148"/>
      <c r="J2513" s="148"/>
      <c r="K2513" s="148"/>
      <c r="L2513" s="148"/>
      <c r="M2513" s="151"/>
      <c r="N2513" s="150">
        <f>M2513</f>
        <v>0</v>
      </c>
    </row>
    <row r="2514" spans="1:15">
      <c r="B2514" s="79" t="s">
        <v>201</v>
      </c>
      <c r="C2514" s="30"/>
      <c r="D2514" s="62"/>
      <c r="E2514" s="148"/>
      <c r="F2514" s="148"/>
      <c r="G2514" s="148"/>
      <c r="H2514" s="148"/>
      <c r="I2514" s="148"/>
      <c r="J2514" s="148"/>
      <c r="K2514" s="148"/>
      <c r="L2514" s="148"/>
      <c r="M2514" s="145"/>
      <c r="N2514" s="151"/>
    </row>
    <row r="2515" spans="1:15">
      <c r="B2515" s="79" t="s">
        <v>202</v>
      </c>
      <c r="C2515" s="30"/>
      <c r="D2515" s="63"/>
      <c r="E2515" s="133"/>
      <c r="F2515" s="133"/>
      <c r="G2515" s="133"/>
      <c r="H2515" s="133"/>
      <c r="I2515" s="133"/>
      <c r="J2515" s="133"/>
      <c r="K2515" s="133"/>
      <c r="L2515" s="133"/>
      <c r="M2515" s="133"/>
      <c r="N2515" s="153"/>
    </row>
    <row r="2516" spans="1:15">
      <c r="B2516" s="33" t="s">
        <v>17</v>
      </c>
      <c r="D2516" s="218">
        <f xml:space="preserve"> D2501 - D2500</f>
        <v>0</v>
      </c>
      <c r="E2516" s="218">
        <f xml:space="preserve"> E2500 + E2503 - E2502 - E2501</f>
        <v>0</v>
      </c>
      <c r="F2516" s="218">
        <f>F2502 - F2503</f>
        <v>0</v>
      </c>
      <c r="G2516" s="218">
        <f>G2502 - G2503</f>
        <v>0</v>
      </c>
      <c r="H2516" s="218">
        <f>H2501-H2502-H2503</f>
        <v>0</v>
      </c>
      <c r="I2516" s="218">
        <f>I2503-I2504-I2505</f>
        <v>0</v>
      </c>
      <c r="J2516" s="218">
        <f>J2505-J2506-J2507</f>
        <v>0</v>
      </c>
      <c r="K2516" s="218">
        <f>K2507-K2508-K2509</f>
        <v>0</v>
      </c>
      <c r="L2516" s="218">
        <f>L2509+L2512-L2511-L2510</f>
        <v>0</v>
      </c>
      <c r="M2516" s="218">
        <f>M2511-M2512+M2514</f>
        <v>0</v>
      </c>
      <c r="N2516" s="218">
        <f>N2513-N2514-N2515</f>
        <v>0</v>
      </c>
    </row>
    <row r="2517" spans="1:15">
      <c r="B2517" s="6"/>
      <c r="D2517" s="218"/>
      <c r="E2517" s="218"/>
      <c r="F2517" s="218"/>
      <c r="G2517" s="218"/>
      <c r="H2517" s="218"/>
      <c r="I2517" s="218"/>
      <c r="J2517" s="218"/>
      <c r="K2517" s="218"/>
      <c r="L2517" s="218"/>
      <c r="M2517" s="218"/>
      <c r="N2517" s="218"/>
    </row>
    <row r="2518" spans="1:15">
      <c r="B2518" s="76" t="s">
        <v>12</v>
      </c>
      <c r="C2518" s="71"/>
      <c r="D2518" s="219"/>
      <c r="E2518" s="220"/>
      <c r="F2518" s="220"/>
      <c r="G2518" s="220"/>
      <c r="H2518" s="220"/>
      <c r="I2518" s="220"/>
      <c r="J2518" s="220"/>
      <c r="K2518" s="220"/>
      <c r="L2518" s="220"/>
      <c r="M2518" s="220"/>
      <c r="N2518" s="220"/>
    </row>
    <row r="2519" spans="1:15">
      <c r="B2519" s="6"/>
      <c r="D2519" s="218"/>
      <c r="E2519" s="218"/>
      <c r="F2519" s="218"/>
      <c r="G2519" s="218"/>
      <c r="H2519" s="218"/>
      <c r="I2519" s="218"/>
      <c r="J2519" s="218"/>
      <c r="K2519" s="218"/>
      <c r="L2519" s="218"/>
      <c r="M2519" s="218"/>
      <c r="N2519" s="218"/>
    </row>
    <row r="2520" spans="1:15" ht="18.5">
      <c r="A2520" s="41" t="s">
        <v>26</v>
      </c>
      <c r="C2520" s="71"/>
      <c r="D2520" s="221">
        <f t="shared" ref="D2520:N2520" si="1162" xml:space="preserve"> D2481 + D2486 - D2492 + D2516 + D2518</f>
        <v>0</v>
      </c>
      <c r="E2520" s="222">
        <f t="shared" si="1162"/>
        <v>0</v>
      </c>
      <c r="F2520" s="222">
        <f t="shared" si="1162"/>
        <v>0</v>
      </c>
      <c r="G2520" s="222">
        <f t="shared" si="1162"/>
        <v>0</v>
      </c>
      <c r="H2520" s="222">
        <f t="shared" si="1162"/>
        <v>0</v>
      </c>
      <c r="I2520" s="222">
        <f t="shared" si="1162"/>
        <v>0</v>
      </c>
      <c r="J2520" s="222">
        <f t="shared" si="1162"/>
        <v>0</v>
      </c>
      <c r="K2520" s="222">
        <f t="shared" si="1162"/>
        <v>0</v>
      </c>
      <c r="L2520" s="222">
        <f t="shared" si="1162"/>
        <v>0</v>
      </c>
      <c r="M2520" s="222">
        <f t="shared" si="1162"/>
        <v>0</v>
      </c>
      <c r="N2520" s="222">
        <f t="shared" si="1162"/>
        <v>3970.7066585527514</v>
      </c>
      <c r="O2520" s="276"/>
    </row>
    <row r="2521" spans="1:15" ht="15" thickBot="1"/>
    <row r="2522" spans="1:15" ht="15" thickBot="1">
      <c r="A2522" s="8"/>
      <c r="B2522" s="8"/>
      <c r="C2522" s="8"/>
      <c r="D2522" s="8"/>
      <c r="E2522" s="8"/>
      <c r="F2522" s="8"/>
      <c r="G2522" s="8"/>
      <c r="H2522" s="8"/>
      <c r="I2522" s="8"/>
      <c r="J2522" s="8"/>
      <c r="K2522" s="8"/>
      <c r="L2522" s="8"/>
      <c r="M2522" s="8"/>
      <c r="N2522" s="8"/>
    </row>
    <row r="2523" spans="1:15" ht="21.5" thickBot="1">
      <c r="A2523" s="13" t="s">
        <v>4</v>
      </c>
      <c r="B2523" s="13"/>
      <c r="C2523" s="313" t="s">
        <v>268</v>
      </c>
      <c r="D2523" s="310"/>
      <c r="E2523" s="23"/>
      <c r="F2523" s="23"/>
    </row>
    <row r="2525" spans="1:15" ht="18.5">
      <c r="A2525" s="9" t="s">
        <v>21</v>
      </c>
      <c r="B2525" s="9"/>
      <c r="D2525" s="2">
        <v>2011</v>
      </c>
      <c r="E2525" s="2">
        <f>D2525+1</f>
        <v>2012</v>
      </c>
      <c r="F2525" s="2">
        <f t="shared" ref="F2525" si="1163">E2525+1</f>
        <v>2013</v>
      </c>
      <c r="G2525" s="2">
        <f t="shared" ref="G2525" si="1164">F2525+1</f>
        <v>2014</v>
      </c>
      <c r="H2525" s="2">
        <f t="shared" ref="H2525" si="1165">G2525+1</f>
        <v>2015</v>
      </c>
      <c r="I2525" s="2">
        <f t="shared" ref="I2525" si="1166">H2525+1</f>
        <v>2016</v>
      </c>
      <c r="J2525" s="2">
        <f t="shared" ref="J2525" si="1167">I2525+1</f>
        <v>2017</v>
      </c>
      <c r="K2525" s="2">
        <f t="shared" ref="K2525" si="1168">J2525+1</f>
        <v>2018</v>
      </c>
      <c r="L2525" s="2">
        <f t="shared" ref="L2525" si="1169">K2525+1</f>
        <v>2019</v>
      </c>
      <c r="M2525" s="2">
        <f t="shared" ref="M2525" si="1170">L2525+1</f>
        <v>2020</v>
      </c>
      <c r="N2525" s="2">
        <f t="shared" ref="N2525" si="1171">M2525+1</f>
        <v>2021</v>
      </c>
    </row>
    <row r="2526" spans="1:15">
      <c r="B2526" s="79" t="str">
        <f>"Total MWh Produced / Purchased from " &amp; C2523</f>
        <v>Total MWh Produced / Purchased from Sage Solar III</v>
      </c>
      <c r="C2526" s="71"/>
      <c r="D2526" s="3"/>
      <c r="E2526" s="4"/>
      <c r="F2526" s="4"/>
      <c r="G2526" s="4"/>
      <c r="H2526" s="4"/>
      <c r="I2526" s="4"/>
      <c r="J2526" s="4"/>
      <c r="K2526" s="4"/>
      <c r="L2526" s="4"/>
      <c r="M2526" s="230"/>
      <c r="N2526" s="230">
        <v>40744</v>
      </c>
    </row>
    <row r="2527" spans="1:15">
      <c r="B2527" s="79" t="s">
        <v>25</v>
      </c>
      <c r="C2527" s="71"/>
      <c r="D2527" s="54"/>
      <c r="E2527" s="55"/>
      <c r="F2527" s="55"/>
      <c r="G2527" s="55"/>
      <c r="H2527" s="55"/>
      <c r="I2527" s="55"/>
      <c r="J2527" s="55"/>
      <c r="K2527" s="55"/>
      <c r="L2527" s="55"/>
      <c r="M2527" s="234"/>
      <c r="N2527" s="234">
        <v>1</v>
      </c>
    </row>
    <row r="2528" spans="1:15">
      <c r="B2528" s="79" t="s">
        <v>20</v>
      </c>
      <c r="C2528" s="71"/>
      <c r="D2528" s="48"/>
      <c r="E2528" s="49"/>
      <c r="F2528" s="49"/>
      <c r="G2528" s="49"/>
      <c r="H2528" s="49"/>
      <c r="I2528" s="49"/>
      <c r="J2528" s="49"/>
      <c r="K2528" s="49"/>
      <c r="L2528" s="49"/>
      <c r="M2528" s="243"/>
      <c r="N2528" s="243">
        <f>N2480</f>
        <v>8.0780946790754593E-2</v>
      </c>
    </row>
    <row r="2529" spans="1:14">
      <c r="B2529" s="76" t="s">
        <v>22</v>
      </c>
      <c r="C2529" s="77"/>
      <c r="D2529" s="37">
        <v>0</v>
      </c>
      <c r="E2529" s="37">
        <v>0</v>
      </c>
      <c r="F2529" s="37">
        <v>0</v>
      </c>
      <c r="G2529" s="37">
        <v>0</v>
      </c>
      <c r="H2529" s="37">
        <v>0</v>
      </c>
      <c r="I2529" s="37">
        <v>0</v>
      </c>
      <c r="J2529" s="37">
        <v>0</v>
      </c>
      <c r="K2529" s="37">
        <v>0</v>
      </c>
      <c r="L2529" s="37">
        <f>L2526*L2528</f>
        <v>0</v>
      </c>
      <c r="M2529" s="37">
        <f>M2526*M2528</f>
        <v>0</v>
      </c>
      <c r="N2529" s="37">
        <f>N2526*N2528</f>
        <v>3291.338896042505</v>
      </c>
    </row>
    <row r="2530" spans="1:14">
      <c r="B2530" s="23"/>
      <c r="C2530" s="30"/>
      <c r="D2530" s="36"/>
      <c r="E2530" s="36"/>
      <c r="F2530" s="36"/>
      <c r="G2530" s="36"/>
      <c r="H2530" s="36"/>
      <c r="I2530" s="36"/>
      <c r="J2530" s="36"/>
      <c r="K2530" s="36"/>
      <c r="L2530" s="36"/>
      <c r="M2530" s="36"/>
      <c r="N2530" s="36"/>
    </row>
    <row r="2531" spans="1:14" ht="18.5">
      <c r="A2531" s="42" t="s">
        <v>119</v>
      </c>
      <c r="C2531" s="30"/>
      <c r="D2531" s="2">
        <v>2011</v>
      </c>
      <c r="E2531" s="2">
        <f>D2531+1</f>
        <v>2012</v>
      </c>
      <c r="F2531" s="2">
        <f t="shared" ref="F2531" si="1172">E2531+1</f>
        <v>2013</v>
      </c>
      <c r="G2531" s="2">
        <f t="shared" ref="G2531" si="1173">F2531+1</f>
        <v>2014</v>
      </c>
      <c r="H2531" s="2">
        <f t="shared" ref="H2531" si="1174">G2531+1</f>
        <v>2015</v>
      </c>
      <c r="I2531" s="2">
        <f t="shared" ref="I2531" si="1175">H2531+1</f>
        <v>2016</v>
      </c>
      <c r="J2531" s="2">
        <f t="shared" ref="J2531" si="1176">I2531+1</f>
        <v>2017</v>
      </c>
      <c r="K2531" s="2">
        <f t="shared" ref="K2531" si="1177">J2531+1</f>
        <v>2018</v>
      </c>
      <c r="L2531" s="2">
        <f t="shared" ref="L2531" si="1178">K2531+1</f>
        <v>2019</v>
      </c>
      <c r="M2531" s="2">
        <f t="shared" ref="M2531" si="1179">L2531+1</f>
        <v>2020</v>
      </c>
      <c r="N2531" s="2">
        <f t="shared" ref="N2531" si="1180">M2531+1</f>
        <v>2021</v>
      </c>
    </row>
    <row r="2532" spans="1:14">
      <c r="B2532" s="79" t="s">
        <v>10</v>
      </c>
      <c r="C2532" s="71"/>
      <c r="D2532" s="51">
        <f>IF($E54= "Eligible", D2529 * 'Facility Detail'!$B$3079, 0 )</f>
        <v>0</v>
      </c>
      <c r="E2532" s="51">
        <f>IF($E54= "Eligible", E2529 * 'Facility Detail'!$B$3079, 0 )</f>
        <v>0</v>
      </c>
      <c r="F2532" s="51">
        <f>IF($E54= "Eligible", F2529 * 'Facility Detail'!$B$3079, 0 )</f>
        <v>0</v>
      </c>
      <c r="G2532" s="51">
        <f>IF($E54= "Eligible", G2529 * 'Facility Detail'!$B$3079, 0 )</f>
        <v>0</v>
      </c>
      <c r="H2532" s="51">
        <f>IF($E54= "Eligible", H2529 * 'Facility Detail'!$B$3079, 0 )</f>
        <v>0</v>
      </c>
      <c r="I2532" s="51">
        <f>IF($E54= "Eligible", I2529 * 'Facility Detail'!$B$3079, 0 )</f>
        <v>0</v>
      </c>
      <c r="J2532" s="51">
        <f>IF($E54= "Eligible", J2529 * 'Facility Detail'!$B$3079, 0 )</f>
        <v>0</v>
      </c>
      <c r="K2532" s="51">
        <f>IF($E54= "Eligible", K2529 * 'Facility Detail'!$B$3079, 0 )</f>
        <v>0</v>
      </c>
      <c r="L2532" s="51">
        <f>IF($E54= "Eligible", L2529 * 'Facility Detail'!$B$3079, 0 )</f>
        <v>0</v>
      </c>
      <c r="M2532" s="51">
        <f>IF($E54= "Eligible", M2529 * 'Facility Detail'!$B$3079, 0 )</f>
        <v>0</v>
      </c>
      <c r="N2532" s="51">
        <f>IF($E54= "Eligible", N2529 * 'Facility Detail'!$B$3079, 0 )</f>
        <v>0</v>
      </c>
    </row>
    <row r="2533" spans="1:14">
      <c r="B2533" s="79" t="s">
        <v>6</v>
      </c>
      <c r="C2533" s="71"/>
      <c r="D2533" s="52">
        <f t="shared" ref="D2533:N2533" si="1181">IF($F54= "Eligible", D2529, 0 )</f>
        <v>0</v>
      </c>
      <c r="E2533" s="52">
        <f t="shared" si="1181"/>
        <v>0</v>
      </c>
      <c r="F2533" s="52">
        <f t="shared" si="1181"/>
        <v>0</v>
      </c>
      <c r="G2533" s="52">
        <f t="shared" si="1181"/>
        <v>0</v>
      </c>
      <c r="H2533" s="52">
        <f t="shared" si="1181"/>
        <v>0</v>
      </c>
      <c r="I2533" s="52">
        <f t="shared" si="1181"/>
        <v>0</v>
      </c>
      <c r="J2533" s="52">
        <f t="shared" si="1181"/>
        <v>0</v>
      </c>
      <c r="K2533" s="52">
        <f t="shared" si="1181"/>
        <v>0</v>
      </c>
      <c r="L2533" s="52">
        <f t="shared" si="1181"/>
        <v>0</v>
      </c>
      <c r="M2533" s="52">
        <f t="shared" si="1181"/>
        <v>0</v>
      </c>
      <c r="N2533" s="52">
        <f t="shared" si="1181"/>
        <v>0</v>
      </c>
    </row>
    <row r="2534" spans="1:14">
      <c r="B2534" s="78" t="s">
        <v>121</v>
      </c>
      <c r="C2534" s="77"/>
      <c r="D2534" s="39">
        <f>SUM(D2532:D2533)</f>
        <v>0</v>
      </c>
      <c r="E2534" s="39">
        <f t="shared" ref="E2534:N2534" si="1182">SUM(E2532:E2533)</f>
        <v>0</v>
      </c>
      <c r="F2534" s="39">
        <f t="shared" si="1182"/>
        <v>0</v>
      </c>
      <c r="G2534" s="39">
        <f t="shared" si="1182"/>
        <v>0</v>
      </c>
      <c r="H2534" s="39">
        <f t="shared" si="1182"/>
        <v>0</v>
      </c>
      <c r="I2534" s="39">
        <f t="shared" si="1182"/>
        <v>0</v>
      </c>
      <c r="J2534" s="39">
        <f t="shared" si="1182"/>
        <v>0</v>
      </c>
      <c r="K2534" s="39">
        <f t="shared" si="1182"/>
        <v>0</v>
      </c>
      <c r="L2534" s="39">
        <f t="shared" si="1182"/>
        <v>0</v>
      </c>
      <c r="M2534" s="39">
        <f t="shared" si="1182"/>
        <v>0</v>
      </c>
      <c r="N2534" s="39">
        <f t="shared" si="1182"/>
        <v>0</v>
      </c>
    </row>
    <row r="2535" spans="1:14">
      <c r="B2535" s="30"/>
      <c r="C2535" s="30"/>
      <c r="D2535" s="38"/>
      <c r="E2535" s="31"/>
      <c r="F2535" s="31"/>
      <c r="G2535" s="31"/>
      <c r="H2535" s="31"/>
      <c r="I2535" s="31"/>
      <c r="J2535" s="31"/>
      <c r="K2535" s="31"/>
      <c r="L2535" s="31"/>
      <c r="M2535" s="31"/>
      <c r="N2535" s="31"/>
    </row>
    <row r="2536" spans="1:14" ht="18.5">
      <c r="A2536" s="41" t="s">
        <v>30</v>
      </c>
      <c r="C2536" s="30"/>
      <c r="D2536" s="2">
        <v>2011</v>
      </c>
      <c r="E2536" s="2">
        <f>D2536+1</f>
        <v>2012</v>
      </c>
      <c r="F2536" s="2">
        <f t="shared" ref="F2536" si="1183">E2536+1</f>
        <v>2013</v>
      </c>
      <c r="G2536" s="2">
        <f t="shared" ref="G2536" si="1184">F2536+1</f>
        <v>2014</v>
      </c>
      <c r="H2536" s="2">
        <f t="shared" ref="H2536" si="1185">G2536+1</f>
        <v>2015</v>
      </c>
      <c r="I2536" s="2">
        <f t="shared" ref="I2536" si="1186">H2536+1</f>
        <v>2016</v>
      </c>
      <c r="J2536" s="2">
        <f t="shared" ref="J2536" si="1187">I2536+1</f>
        <v>2017</v>
      </c>
      <c r="K2536" s="2">
        <f t="shared" ref="K2536" si="1188">J2536+1</f>
        <v>2018</v>
      </c>
      <c r="L2536" s="2">
        <f t="shared" ref="L2536" si="1189">K2536+1</f>
        <v>2019</v>
      </c>
      <c r="M2536" s="2">
        <f t="shared" ref="M2536" si="1190">L2536+1</f>
        <v>2020</v>
      </c>
      <c r="N2536" s="2">
        <f t="shared" ref="N2536" si="1191">M2536+1</f>
        <v>2021</v>
      </c>
    </row>
    <row r="2537" spans="1:14">
      <c r="B2537" s="79" t="s">
        <v>47</v>
      </c>
      <c r="C2537" s="71"/>
      <c r="D2537" s="89"/>
      <c r="E2537" s="90"/>
      <c r="F2537" s="90"/>
      <c r="G2537" s="90"/>
      <c r="H2537" s="90"/>
      <c r="I2537" s="90"/>
      <c r="J2537" s="90"/>
      <c r="K2537" s="90"/>
      <c r="L2537" s="90"/>
      <c r="M2537" s="90"/>
      <c r="N2537" s="90"/>
    </row>
    <row r="2538" spans="1:14">
      <c r="B2538" s="80" t="s">
        <v>23</v>
      </c>
      <c r="C2538" s="175"/>
      <c r="D2538" s="92"/>
      <c r="E2538" s="93"/>
      <c r="F2538" s="93"/>
      <c r="G2538" s="93"/>
      <c r="H2538" s="93"/>
      <c r="I2538" s="93"/>
      <c r="J2538" s="93"/>
      <c r="K2538" s="93"/>
      <c r="L2538" s="93"/>
      <c r="M2538" s="93"/>
      <c r="N2538" s="93"/>
    </row>
    <row r="2539" spans="1:14">
      <c r="B2539" s="95" t="s">
        <v>89</v>
      </c>
      <c r="C2539" s="173"/>
      <c r="D2539" s="57"/>
      <c r="E2539" s="58"/>
      <c r="F2539" s="58"/>
      <c r="G2539" s="58"/>
      <c r="H2539" s="58"/>
      <c r="I2539" s="58"/>
      <c r="J2539" s="58"/>
      <c r="K2539" s="58"/>
      <c r="L2539" s="58"/>
      <c r="M2539" s="58"/>
      <c r="N2539" s="58"/>
    </row>
    <row r="2540" spans="1:14">
      <c r="B2540" s="33" t="s">
        <v>90</v>
      </c>
      <c r="D2540" s="7">
        <v>0</v>
      </c>
      <c r="E2540" s="7">
        <v>0</v>
      </c>
      <c r="F2540" s="7">
        <v>0</v>
      </c>
      <c r="G2540" s="7">
        <v>0</v>
      </c>
      <c r="H2540" s="7">
        <v>0</v>
      </c>
      <c r="I2540" s="7">
        <v>0</v>
      </c>
      <c r="J2540" s="7">
        <v>0</v>
      </c>
      <c r="K2540" s="7">
        <v>0</v>
      </c>
      <c r="L2540" s="7">
        <v>0</v>
      </c>
      <c r="M2540" s="7">
        <v>0</v>
      </c>
      <c r="N2540" s="7">
        <v>0</v>
      </c>
    </row>
    <row r="2541" spans="1:14">
      <c r="B2541" s="6"/>
      <c r="D2541" s="7"/>
      <c r="E2541" s="7"/>
      <c r="F2541" s="7"/>
      <c r="G2541" s="28"/>
      <c r="H2541" s="28"/>
      <c r="I2541" s="28"/>
      <c r="J2541" s="28"/>
      <c r="K2541" s="28"/>
      <c r="L2541" s="28"/>
      <c r="M2541" s="28"/>
      <c r="N2541" s="28"/>
    </row>
    <row r="2542" spans="1:14" ht="18.5">
      <c r="A2542" s="9" t="s">
        <v>100</v>
      </c>
      <c r="D2542" s="2">
        <f>'Facility Detail'!$B$3082</f>
        <v>2011</v>
      </c>
      <c r="E2542" s="2">
        <f>D2542+1</f>
        <v>2012</v>
      </c>
      <c r="F2542" s="2">
        <f t="shared" ref="F2542" si="1192">E2542+1</f>
        <v>2013</v>
      </c>
      <c r="G2542" s="2">
        <f t="shared" ref="G2542" si="1193">F2542+1</f>
        <v>2014</v>
      </c>
      <c r="H2542" s="2">
        <f t="shared" ref="H2542" si="1194">G2542+1</f>
        <v>2015</v>
      </c>
      <c r="I2542" s="2">
        <f t="shared" ref="I2542" si="1195">H2542+1</f>
        <v>2016</v>
      </c>
      <c r="J2542" s="2">
        <f t="shared" ref="J2542" si="1196">I2542+1</f>
        <v>2017</v>
      </c>
      <c r="K2542" s="2">
        <f t="shared" ref="K2542" si="1197">J2542+1</f>
        <v>2018</v>
      </c>
      <c r="L2542" s="2">
        <f t="shared" ref="L2542" si="1198">K2542+1</f>
        <v>2019</v>
      </c>
      <c r="M2542" s="2">
        <f t="shared" ref="M2542" si="1199">L2542+1</f>
        <v>2020</v>
      </c>
      <c r="N2542" s="2">
        <f t="shared" ref="N2542" si="1200">M2542+1</f>
        <v>2021</v>
      </c>
    </row>
    <row r="2543" spans="1:14">
      <c r="B2543" s="79" t="s">
        <v>68</v>
      </c>
      <c r="C2543" s="71"/>
      <c r="D2543" s="3"/>
      <c r="E2543" s="60">
        <f>D2543</f>
        <v>0</v>
      </c>
      <c r="F2543" s="131"/>
      <c r="G2543" s="131"/>
      <c r="H2543" s="131"/>
      <c r="I2543" s="131"/>
      <c r="J2543" s="131"/>
      <c r="K2543" s="131"/>
      <c r="L2543" s="131"/>
      <c r="M2543" s="131"/>
      <c r="N2543" s="61"/>
    </row>
    <row r="2544" spans="1:14">
      <c r="B2544" s="79" t="s">
        <v>69</v>
      </c>
      <c r="C2544" s="71"/>
      <c r="D2544" s="164">
        <f>E2544</f>
        <v>0</v>
      </c>
      <c r="E2544" s="10"/>
      <c r="F2544" s="74"/>
      <c r="G2544" s="74"/>
      <c r="H2544" s="74"/>
      <c r="I2544" s="74"/>
      <c r="J2544" s="74"/>
      <c r="K2544" s="74"/>
      <c r="L2544" s="74"/>
      <c r="M2544" s="74"/>
      <c r="N2544" s="165"/>
    </row>
    <row r="2545" spans="2:14">
      <c r="B2545" s="79" t="s">
        <v>70</v>
      </c>
      <c r="C2545" s="71"/>
      <c r="D2545" s="62"/>
      <c r="E2545" s="10">
        <f>E2529</f>
        <v>0</v>
      </c>
      <c r="F2545" s="70">
        <f>E2545</f>
        <v>0</v>
      </c>
      <c r="G2545" s="74"/>
      <c r="H2545" s="74"/>
      <c r="I2545" s="74"/>
      <c r="J2545" s="74"/>
      <c r="K2545" s="74"/>
      <c r="L2545" s="74"/>
      <c r="M2545" s="74"/>
      <c r="N2545" s="165"/>
    </row>
    <row r="2546" spans="2:14">
      <c r="B2546" s="79" t="s">
        <v>71</v>
      </c>
      <c r="C2546" s="71"/>
      <c r="D2546" s="62"/>
      <c r="E2546" s="70">
        <f>F2546</f>
        <v>0</v>
      </c>
      <c r="F2546" s="163"/>
      <c r="G2546" s="74"/>
      <c r="H2546" s="74"/>
      <c r="I2546" s="74"/>
      <c r="J2546" s="74"/>
      <c r="K2546" s="74"/>
      <c r="L2546" s="74"/>
      <c r="M2546" s="74"/>
      <c r="N2546" s="165"/>
    </row>
    <row r="2547" spans="2:14">
      <c r="B2547" s="79" t="s">
        <v>171</v>
      </c>
      <c r="C2547" s="30"/>
      <c r="D2547" s="62"/>
      <c r="E2547" s="148"/>
      <c r="F2547" s="10">
        <f>F2529</f>
        <v>0</v>
      </c>
      <c r="G2547" s="149">
        <f>F2547</f>
        <v>0</v>
      </c>
      <c r="H2547" s="74"/>
      <c r="I2547" s="74"/>
      <c r="J2547" s="74"/>
      <c r="K2547" s="74"/>
      <c r="L2547" s="74"/>
      <c r="M2547" s="74"/>
      <c r="N2547" s="165"/>
    </row>
    <row r="2548" spans="2:14">
      <c r="B2548" s="79" t="s">
        <v>172</v>
      </c>
      <c r="C2548" s="30"/>
      <c r="D2548" s="62"/>
      <c r="E2548" s="148"/>
      <c r="F2548" s="70">
        <f>G2548</f>
        <v>0</v>
      </c>
      <c r="G2548" s="10"/>
      <c r="H2548" s="74"/>
      <c r="I2548" s="74"/>
      <c r="J2548" s="74"/>
      <c r="K2548" s="74"/>
      <c r="L2548" s="74"/>
      <c r="M2548" s="74"/>
      <c r="N2548" s="165"/>
    </row>
    <row r="2549" spans="2:14">
      <c r="B2549" s="79" t="s">
        <v>173</v>
      </c>
      <c r="C2549" s="30"/>
      <c r="D2549" s="62"/>
      <c r="E2549" s="148"/>
      <c r="F2549" s="148"/>
      <c r="G2549" s="10">
        <f>G2529</f>
        <v>0</v>
      </c>
      <c r="H2549" s="149">
        <f>G2549</f>
        <v>0</v>
      </c>
      <c r="I2549" s="148"/>
      <c r="J2549" s="74"/>
      <c r="K2549" s="74"/>
      <c r="L2549" s="74"/>
      <c r="M2549" s="74"/>
      <c r="N2549" s="152"/>
    </row>
    <row r="2550" spans="2:14">
      <c r="B2550" s="79" t="s">
        <v>174</v>
      </c>
      <c r="C2550" s="30"/>
      <c r="D2550" s="62"/>
      <c r="E2550" s="148"/>
      <c r="F2550" s="148"/>
      <c r="G2550" s="70"/>
      <c r="H2550" s="10"/>
      <c r="I2550" s="148"/>
      <c r="J2550" s="74"/>
      <c r="K2550" s="74"/>
      <c r="L2550" s="74"/>
      <c r="M2550" s="74"/>
      <c r="N2550" s="152"/>
    </row>
    <row r="2551" spans="2:14">
      <c r="B2551" s="79" t="s">
        <v>175</v>
      </c>
      <c r="C2551" s="30"/>
      <c r="D2551" s="62"/>
      <c r="E2551" s="148"/>
      <c r="F2551" s="148"/>
      <c r="G2551" s="148"/>
      <c r="H2551" s="10">
        <v>0</v>
      </c>
      <c r="I2551" s="149">
        <f>H2551</f>
        <v>0</v>
      </c>
      <c r="J2551" s="74"/>
      <c r="K2551" s="74"/>
      <c r="L2551" s="74"/>
      <c r="M2551" s="74"/>
      <c r="N2551" s="152"/>
    </row>
    <row r="2552" spans="2:14">
      <c r="B2552" s="79" t="s">
        <v>176</v>
      </c>
      <c r="C2552" s="30"/>
      <c r="D2552" s="62"/>
      <c r="E2552" s="148"/>
      <c r="F2552" s="148"/>
      <c r="G2552" s="148"/>
      <c r="H2552" s="70"/>
      <c r="I2552" s="10"/>
      <c r="J2552" s="74"/>
      <c r="K2552" s="74"/>
      <c r="L2552" s="74"/>
      <c r="M2552" s="74"/>
      <c r="N2552" s="152"/>
    </row>
    <row r="2553" spans="2:14">
      <c r="B2553" s="79" t="s">
        <v>177</v>
      </c>
      <c r="C2553" s="30"/>
      <c r="D2553" s="62"/>
      <c r="E2553" s="148"/>
      <c r="F2553" s="148"/>
      <c r="G2553" s="148"/>
      <c r="H2553" s="148"/>
      <c r="I2553" s="207">
        <f>I2529</f>
        <v>0</v>
      </c>
      <c r="J2553" s="150">
        <f>I2553</f>
        <v>0</v>
      </c>
      <c r="K2553" s="74"/>
      <c r="L2553" s="74"/>
      <c r="M2553" s="74"/>
      <c r="N2553" s="152"/>
    </row>
    <row r="2554" spans="2:14">
      <c r="B2554" s="79" t="s">
        <v>168</v>
      </c>
      <c r="C2554" s="30"/>
      <c r="D2554" s="62"/>
      <c r="E2554" s="148"/>
      <c r="F2554" s="148"/>
      <c r="G2554" s="148"/>
      <c r="H2554" s="148"/>
      <c r="I2554" s="208"/>
      <c r="J2554" s="151"/>
      <c r="K2554" s="74"/>
      <c r="L2554" s="74"/>
      <c r="M2554" s="74"/>
      <c r="N2554" s="152"/>
    </row>
    <row r="2555" spans="2:14">
      <c r="B2555" s="79" t="s">
        <v>169</v>
      </c>
      <c r="C2555" s="30"/>
      <c r="D2555" s="62"/>
      <c r="E2555" s="148"/>
      <c r="F2555" s="148"/>
      <c r="G2555" s="148"/>
      <c r="H2555" s="148"/>
      <c r="I2555" s="148"/>
      <c r="J2555" s="151">
        <f>J2529</f>
        <v>0</v>
      </c>
      <c r="K2555" s="150">
        <f>J2555</f>
        <v>0</v>
      </c>
      <c r="L2555" s="74"/>
      <c r="M2555" s="74"/>
      <c r="N2555" s="152"/>
    </row>
    <row r="2556" spans="2:14">
      <c r="B2556" s="79" t="s">
        <v>186</v>
      </c>
      <c r="C2556" s="30"/>
      <c r="D2556" s="62"/>
      <c r="E2556" s="148"/>
      <c r="F2556" s="148"/>
      <c r="G2556" s="148"/>
      <c r="H2556" s="148"/>
      <c r="I2556" s="148"/>
      <c r="J2556" s="228"/>
      <c r="K2556" s="151"/>
      <c r="L2556" s="74"/>
      <c r="M2556" s="74"/>
      <c r="N2556" s="152"/>
    </row>
    <row r="2557" spans="2:14">
      <c r="B2557" s="79" t="s">
        <v>187</v>
      </c>
      <c r="C2557" s="30"/>
      <c r="D2557" s="62"/>
      <c r="E2557" s="148"/>
      <c r="F2557" s="148"/>
      <c r="G2557" s="148"/>
      <c r="H2557" s="148"/>
      <c r="I2557" s="148"/>
      <c r="J2557" s="148"/>
      <c r="K2557" s="151"/>
      <c r="L2557" s="150">
        <f>K2557</f>
        <v>0</v>
      </c>
      <c r="M2557" s="74"/>
      <c r="N2557" s="152"/>
    </row>
    <row r="2558" spans="2:14">
      <c r="B2558" s="79" t="s">
        <v>188</v>
      </c>
      <c r="C2558" s="30"/>
      <c r="D2558" s="62"/>
      <c r="E2558" s="148"/>
      <c r="F2558" s="148"/>
      <c r="G2558" s="148"/>
      <c r="H2558" s="148"/>
      <c r="I2558" s="148"/>
      <c r="J2558" s="148"/>
      <c r="K2558" s="145"/>
      <c r="L2558" s="151"/>
      <c r="M2558" s="74"/>
      <c r="N2558" s="152"/>
    </row>
    <row r="2559" spans="2:14">
      <c r="B2559" s="79" t="s">
        <v>189</v>
      </c>
      <c r="C2559" s="30"/>
      <c r="D2559" s="62"/>
      <c r="E2559" s="148"/>
      <c r="F2559" s="148"/>
      <c r="G2559" s="148"/>
      <c r="H2559" s="148"/>
      <c r="I2559" s="148"/>
      <c r="J2559" s="148"/>
      <c r="K2559" s="148"/>
      <c r="L2559" s="151"/>
      <c r="M2559" s="150">
        <f>L2559</f>
        <v>0</v>
      </c>
      <c r="N2559" s="152"/>
    </row>
    <row r="2560" spans="2:14">
      <c r="B2560" s="79" t="s">
        <v>190</v>
      </c>
      <c r="C2560" s="30"/>
      <c r="D2560" s="62"/>
      <c r="E2560" s="148"/>
      <c r="F2560" s="148"/>
      <c r="G2560" s="148"/>
      <c r="H2560" s="148"/>
      <c r="I2560" s="148"/>
      <c r="J2560" s="148"/>
      <c r="K2560" s="148"/>
      <c r="L2560" s="145">
        <f>M2529</f>
        <v>0</v>
      </c>
      <c r="M2560" s="151">
        <f>L2560</f>
        <v>0</v>
      </c>
      <c r="N2560" s="152"/>
    </row>
    <row r="2561" spans="1:15">
      <c r="B2561" s="79" t="s">
        <v>191</v>
      </c>
      <c r="C2561" s="30"/>
      <c r="D2561" s="62"/>
      <c r="E2561" s="148"/>
      <c r="F2561" s="148"/>
      <c r="G2561" s="148"/>
      <c r="H2561" s="148"/>
      <c r="I2561" s="148"/>
      <c r="J2561" s="148"/>
      <c r="K2561" s="148"/>
      <c r="L2561" s="148"/>
      <c r="M2561" s="151"/>
      <c r="N2561" s="150">
        <f>M2561</f>
        <v>0</v>
      </c>
    </row>
    <row r="2562" spans="1:15">
      <c r="B2562" s="79" t="s">
        <v>201</v>
      </c>
      <c r="C2562" s="30"/>
      <c r="D2562" s="62"/>
      <c r="E2562" s="148"/>
      <c r="F2562" s="148"/>
      <c r="G2562" s="148"/>
      <c r="H2562" s="148"/>
      <c r="I2562" s="148"/>
      <c r="J2562" s="148"/>
      <c r="K2562" s="148"/>
      <c r="L2562" s="148"/>
      <c r="M2562" s="145"/>
      <c r="N2562" s="151"/>
    </row>
    <row r="2563" spans="1:15">
      <c r="B2563" s="79" t="s">
        <v>202</v>
      </c>
      <c r="C2563" s="30"/>
      <c r="D2563" s="63"/>
      <c r="E2563" s="133"/>
      <c r="F2563" s="133"/>
      <c r="G2563" s="133"/>
      <c r="H2563" s="133"/>
      <c r="I2563" s="133"/>
      <c r="J2563" s="133"/>
      <c r="K2563" s="133"/>
      <c r="L2563" s="133"/>
      <c r="M2563" s="133"/>
      <c r="N2563" s="153"/>
    </row>
    <row r="2564" spans="1:15">
      <c r="B2564" s="33" t="s">
        <v>17</v>
      </c>
      <c r="D2564" s="218">
        <f xml:space="preserve"> D2549 - D2548</f>
        <v>0</v>
      </c>
      <c r="E2564" s="218">
        <f xml:space="preserve"> E2548 + E2551 - E2550 - E2549</f>
        <v>0</v>
      </c>
      <c r="F2564" s="218">
        <f>F2550 - F2551</f>
        <v>0</v>
      </c>
      <c r="G2564" s="218">
        <f>G2550 - G2551</f>
        <v>0</v>
      </c>
      <c r="H2564" s="218">
        <f>H2549-H2550-H2551</f>
        <v>0</v>
      </c>
      <c r="I2564" s="218">
        <f>I2551-I2552-I2553</f>
        <v>0</v>
      </c>
      <c r="J2564" s="218">
        <f>J2553-J2554-J2555</f>
        <v>0</v>
      </c>
      <c r="K2564" s="218">
        <f>K2555-K2556-K2557</f>
        <v>0</v>
      </c>
      <c r="L2564" s="218">
        <f>L2557+L2560-L2559-L2558</f>
        <v>0</v>
      </c>
      <c r="M2564" s="218">
        <f>M2559-M2560+M2562</f>
        <v>0</v>
      </c>
      <c r="N2564" s="218">
        <f>N2561-N2562-N2563</f>
        <v>0</v>
      </c>
    </row>
    <row r="2565" spans="1:15">
      <c r="B2565" s="6"/>
      <c r="D2565" s="218"/>
      <c r="E2565" s="218"/>
      <c r="F2565" s="218"/>
      <c r="G2565" s="218"/>
      <c r="H2565" s="218"/>
      <c r="I2565" s="218"/>
      <c r="J2565" s="218"/>
      <c r="K2565" s="218"/>
      <c r="L2565" s="218"/>
      <c r="M2565" s="218"/>
      <c r="N2565" s="218"/>
    </row>
    <row r="2566" spans="1:15">
      <c r="B2566" s="76" t="s">
        <v>12</v>
      </c>
      <c r="C2566" s="71"/>
      <c r="D2566" s="219"/>
      <c r="E2566" s="220"/>
      <c r="F2566" s="220"/>
      <c r="G2566" s="220"/>
      <c r="H2566" s="220"/>
      <c r="I2566" s="220"/>
      <c r="J2566" s="220"/>
      <c r="K2566" s="220"/>
      <c r="L2566" s="220"/>
      <c r="M2566" s="220"/>
      <c r="N2566" s="220"/>
    </row>
    <row r="2567" spans="1:15">
      <c r="B2567" s="6"/>
      <c r="D2567" s="218"/>
      <c r="E2567" s="218"/>
      <c r="F2567" s="218"/>
      <c r="G2567" s="218"/>
      <c r="H2567" s="218"/>
      <c r="I2567" s="218"/>
      <c r="J2567" s="218"/>
      <c r="K2567" s="218"/>
      <c r="L2567" s="218"/>
      <c r="M2567" s="218"/>
      <c r="N2567" s="218"/>
    </row>
    <row r="2568" spans="1:15" ht="18.5">
      <c r="A2568" s="41" t="s">
        <v>26</v>
      </c>
      <c r="C2568" s="71"/>
      <c r="D2568" s="221">
        <f t="shared" ref="D2568:N2568" si="1201" xml:space="preserve"> D2529 + D2534 - D2540 + D2564 + D2566</f>
        <v>0</v>
      </c>
      <c r="E2568" s="222">
        <f t="shared" si="1201"/>
        <v>0</v>
      </c>
      <c r="F2568" s="222">
        <f t="shared" si="1201"/>
        <v>0</v>
      </c>
      <c r="G2568" s="222">
        <f t="shared" si="1201"/>
        <v>0</v>
      </c>
      <c r="H2568" s="222">
        <f t="shared" si="1201"/>
        <v>0</v>
      </c>
      <c r="I2568" s="222">
        <f t="shared" si="1201"/>
        <v>0</v>
      </c>
      <c r="J2568" s="222">
        <f t="shared" si="1201"/>
        <v>0</v>
      </c>
      <c r="K2568" s="222">
        <f t="shared" si="1201"/>
        <v>0</v>
      </c>
      <c r="L2568" s="222">
        <f t="shared" si="1201"/>
        <v>0</v>
      </c>
      <c r="M2568" s="222">
        <f t="shared" si="1201"/>
        <v>0</v>
      </c>
      <c r="N2568" s="222">
        <f t="shared" si="1201"/>
        <v>3291.338896042505</v>
      </c>
      <c r="O2568" s="276"/>
    </row>
    <row r="2569" spans="1:15" ht="15" thickBot="1"/>
    <row r="2570" spans="1:15">
      <c r="A2570" s="8"/>
      <c r="B2570" s="8"/>
      <c r="C2570" s="8"/>
      <c r="D2570" s="8"/>
      <c r="E2570" s="8"/>
      <c r="F2570" s="8"/>
      <c r="G2570" s="8"/>
      <c r="H2570" s="8"/>
      <c r="I2570" s="8"/>
      <c r="J2570" s="8"/>
      <c r="K2570" s="8"/>
      <c r="L2570" s="8"/>
      <c r="M2570" s="8"/>
      <c r="N2570" s="8"/>
      <c r="O2570" s="30"/>
    </row>
    <row r="2571" spans="1:15" ht="15" thickBot="1">
      <c r="B2571" s="30"/>
      <c r="C2571" s="30"/>
      <c r="D2571" s="30"/>
      <c r="E2571" s="30"/>
      <c r="F2571" s="30"/>
      <c r="G2571" s="30"/>
      <c r="H2571" s="30"/>
      <c r="I2571" s="30"/>
      <c r="J2571" s="30"/>
      <c r="K2571" s="30"/>
      <c r="L2571" s="30"/>
      <c r="M2571" s="30"/>
      <c r="N2571" s="30"/>
      <c r="O2571" s="30"/>
    </row>
    <row r="2572" spans="1:15" ht="21.5" thickBot="1">
      <c r="A2572" s="13" t="s">
        <v>4</v>
      </c>
      <c r="B2572" s="13"/>
      <c r="C2572" s="313" t="str">
        <f>B55</f>
        <v>Seven Mile Hill I</v>
      </c>
      <c r="D2572" s="310"/>
      <c r="E2572" s="23"/>
      <c r="F2572" s="23"/>
      <c r="O2572" s="30"/>
    </row>
    <row r="2573" spans="1:15">
      <c r="O2573" s="30"/>
    </row>
    <row r="2574" spans="1:15" ht="18.5">
      <c r="A2574" s="9" t="s">
        <v>21</v>
      </c>
      <c r="B2574" s="9"/>
      <c r="D2574" s="2">
        <f>'Facility Detail'!$B$3082</f>
        <v>2011</v>
      </c>
      <c r="E2574" s="2">
        <f t="shared" ref="E2574:K2574" si="1202">D2574+1</f>
        <v>2012</v>
      </c>
      <c r="F2574" s="2">
        <f t="shared" si="1202"/>
        <v>2013</v>
      </c>
      <c r="G2574" s="2">
        <f t="shared" si="1202"/>
        <v>2014</v>
      </c>
      <c r="H2574" s="2">
        <f t="shared" si="1202"/>
        <v>2015</v>
      </c>
      <c r="I2574" s="2">
        <f t="shared" si="1202"/>
        <v>2016</v>
      </c>
      <c r="J2574" s="2">
        <f t="shared" si="1202"/>
        <v>2017</v>
      </c>
      <c r="K2574" s="2">
        <f t="shared" si="1202"/>
        <v>2018</v>
      </c>
      <c r="L2574" s="2">
        <f t="shared" ref="L2574" si="1203">K2574+1</f>
        <v>2019</v>
      </c>
      <c r="M2574" s="2">
        <f t="shared" ref="M2574" si="1204">L2574+1</f>
        <v>2020</v>
      </c>
      <c r="N2574" s="2">
        <f t="shared" ref="N2574" si="1205">M2574+1</f>
        <v>2021</v>
      </c>
      <c r="O2574" s="30"/>
    </row>
    <row r="2575" spans="1:15">
      <c r="B2575" s="79" t="str">
        <f>"Total MWh Produced / Purchased from " &amp; C2572</f>
        <v>Total MWh Produced / Purchased from Seven Mile Hill I</v>
      </c>
      <c r="C2575" s="71"/>
      <c r="D2575" s="3"/>
      <c r="E2575" s="4"/>
      <c r="F2575" s="4"/>
      <c r="G2575" s="4"/>
      <c r="H2575" s="174"/>
      <c r="I2575" s="4">
        <v>4353</v>
      </c>
      <c r="J2575" s="225">
        <v>0</v>
      </c>
      <c r="K2575" s="225">
        <v>348285</v>
      </c>
      <c r="L2575" s="140">
        <v>175949</v>
      </c>
      <c r="M2575" s="280">
        <v>427856</v>
      </c>
      <c r="N2575" s="140">
        <v>410793</v>
      </c>
      <c r="O2575" s="30"/>
    </row>
    <row r="2576" spans="1:15">
      <c r="B2576" s="79" t="s">
        <v>25</v>
      </c>
      <c r="C2576" s="71"/>
      <c r="D2576" s="54"/>
      <c r="E2576" s="55"/>
      <c r="F2576" s="55">
        <v>1</v>
      </c>
      <c r="G2576" s="189">
        <v>1</v>
      </c>
      <c r="H2576" s="188">
        <v>1</v>
      </c>
      <c r="I2576" s="189">
        <v>1</v>
      </c>
      <c r="J2576" s="55">
        <v>1</v>
      </c>
      <c r="K2576" s="55">
        <v>1</v>
      </c>
      <c r="L2576" s="56">
        <v>1</v>
      </c>
      <c r="M2576" s="235">
        <v>1</v>
      </c>
      <c r="N2576" s="56">
        <v>1</v>
      </c>
      <c r="O2576" s="30"/>
    </row>
    <row r="2577" spans="1:15">
      <c r="B2577" s="79" t="s">
        <v>20</v>
      </c>
      <c r="C2577" s="71"/>
      <c r="D2577" s="48">
        <v>7.8921000000000005E-2</v>
      </c>
      <c r="E2577" s="49">
        <v>7.9619999999999996E-2</v>
      </c>
      <c r="F2577" s="49">
        <v>7.8747999999999999E-2</v>
      </c>
      <c r="G2577" s="49">
        <v>8.0235000000000001E-2</v>
      </c>
      <c r="H2577" s="49">
        <v>8.0535999999999996E-2</v>
      </c>
      <c r="I2577" s="49">
        <v>8.1698151927344531E-2</v>
      </c>
      <c r="J2577" s="214">
        <v>8.0833713568703974E-2</v>
      </c>
      <c r="K2577" s="214">
        <v>7.9451999999999995E-2</v>
      </c>
      <c r="L2577" s="214">
        <v>7.6724662968274293E-2</v>
      </c>
      <c r="M2577" s="286">
        <f>M2285</f>
        <v>8.1268700519883177E-2</v>
      </c>
      <c r="N2577" s="286">
        <f>N2285</f>
        <v>8.0780946790754593E-2</v>
      </c>
      <c r="O2577" s="30"/>
    </row>
    <row r="2578" spans="1:15">
      <c r="B2578" s="76" t="s">
        <v>22</v>
      </c>
      <c r="C2578" s="77"/>
      <c r="D2578" s="37">
        <f>ROUND(D2575 * D2576 * D2577,0)</f>
        <v>0</v>
      </c>
      <c r="E2578" s="37">
        <f t="shared" ref="E2578:H2578" si="1206">ROUND(E2575 * E2576 * E2577,0)</f>
        <v>0</v>
      </c>
      <c r="F2578" s="37">
        <f t="shared" si="1206"/>
        <v>0</v>
      </c>
      <c r="G2578" s="37">
        <f t="shared" si="1206"/>
        <v>0</v>
      </c>
      <c r="H2578" s="37">
        <f t="shared" si="1206"/>
        <v>0</v>
      </c>
      <c r="I2578" s="229">
        <v>4353</v>
      </c>
      <c r="J2578" s="229">
        <v>0</v>
      </c>
      <c r="K2578" s="229">
        <v>11844</v>
      </c>
      <c r="L2578" s="37">
        <f>L2575*L2577</f>
        <v>13499.627724604894</v>
      </c>
      <c r="M2578" s="37">
        <f t="shared" ref="M2578:N2578" si="1207">ROUND(M2575 * M2576 * M2577,0)</f>
        <v>34771</v>
      </c>
      <c r="N2578" s="37">
        <f t="shared" si="1207"/>
        <v>33184</v>
      </c>
      <c r="O2578" s="30"/>
    </row>
    <row r="2579" spans="1:15">
      <c r="B2579" s="23"/>
      <c r="C2579" s="30"/>
      <c r="D2579" s="36"/>
      <c r="E2579" s="36"/>
      <c r="F2579" s="36"/>
      <c r="G2579" s="24"/>
      <c r="H2579" s="24"/>
      <c r="I2579" s="24"/>
      <c r="J2579" s="24"/>
      <c r="K2579" s="24"/>
      <c r="L2579" s="24"/>
      <c r="M2579" s="24"/>
      <c r="N2579" s="24"/>
      <c r="O2579" s="30"/>
    </row>
    <row r="2580" spans="1:15" ht="18.5">
      <c r="A2580" s="42" t="s">
        <v>119</v>
      </c>
      <c r="C2580" s="30"/>
      <c r="D2580" s="169">
        <f>'Facility Detail'!$B$3082</f>
        <v>2011</v>
      </c>
      <c r="E2580" s="169">
        <f>D2580+1</f>
        <v>2012</v>
      </c>
      <c r="F2580" s="169">
        <f>E2580+1</f>
        <v>2013</v>
      </c>
      <c r="G2580" s="169">
        <f t="shared" ref="G2580:L2580" si="1208">G2574</f>
        <v>2014</v>
      </c>
      <c r="H2580" s="169">
        <f t="shared" si="1208"/>
        <v>2015</v>
      </c>
      <c r="I2580" s="169">
        <f t="shared" si="1208"/>
        <v>2016</v>
      </c>
      <c r="J2580" s="169">
        <f t="shared" si="1208"/>
        <v>2017</v>
      </c>
      <c r="K2580" s="169">
        <f t="shared" si="1208"/>
        <v>2018</v>
      </c>
      <c r="L2580" s="169">
        <f t="shared" si="1208"/>
        <v>2019</v>
      </c>
      <c r="M2580" s="169">
        <f t="shared" ref="M2580:N2580" si="1209">M2574</f>
        <v>2020</v>
      </c>
      <c r="N2580" s="169">
        <f t="shared" si="1209"/>
        <v>2021</v>
      </c>
      <c r="O2580" s="30"/>
    </row>
    <row r="2581" spans="1:15">
      <c r="B2581" s="79" t="s">
        <v>10</v>
      </c>
      <c r="C2581" s="71"/>
      <c r="D2581" s="51">
        <f>IF($E55= "Eligible", D2578 * 'Facility Detail'!$B$3079, 0 )</f>
        <v>0</v>
      </c>
      <c r="E2581" s="51">
        <f>IF($E55= "Eligible", E2578 * 'Facility Detail'!$B$3079, 0 )</f>
        <v>0</v>
      </c>
      <c r="F2581" s="51">
        <f>IF($E55= "Eligible", F2578 * 'Facility Detail'!$B$3079, 0 )</f>
        <v>0</v>
      </c>
      <c r="G2581" s="51">
        <f>IF($E55= "Eligible", G2578 * 'Facility Detail'!$B$3079, 0 )</f>
        <v>0</v>
      </c>
      <c r="H2581" s="51">
        <f>IF($E55= "Eligible", H2578 * 'Facility Detail'!$B$3079, 0 )</f>
        <v>0</v>
      </c>
      <c r="I2581" s="51">
        <f>IF($E55= "Eligible", I2578 * 'Facility Detail'!$B$3079, 0 )</f>
        <v>0</v>
      </c>
      <c r="J2581" s="51">
        <f>IF($E55= "Eligible", J2578 * 'Facility Detail'!$B$3079, 0 )</f>
        <v>0</v>
      </c>
      <c r="K2581" s="51">
        <f>IF($E55= "Eligible", K2578 * 'Facility Detail'!$B$3079, 0 )</f>
        <v>0</v>
      </c>
      <c r="L2581" s="51">
        <f>IF($E55= "Eligible", L2578 * 'Facility Detail'!$B$3079, 0 )</f>
        <v>0</v>
      </c>
      <c r="M2581" s="51">
        <f>IF($E55= "Eligible", M2578 * 'Facility Detail'!$B$3079, 0 )</f>
        <v>0</v>
      </c>
      <c r="N2581" s="51">
        <f>IF($E55= "Eligible", N2578 * 'Facility Detail'!$B$3079, 0 )</f>
        <v>0</v>
      </c>
      <c r="O2581" s="30"/>
    </row>
    <row r="2582" spans="1:15">
      <c r="B2582" s="79" t="s">
        <v>6</v>
      </c>
      <c r="C2582" s="71"/>
      <c r="D2582" s="52">
        <f t="shared" ref="D2582:N2582" si="1210">IF($F55= "Eligible", D2578, 0 )</f>
        <v>0</v>
      </c>
      <c r="E2582" s="52">
        <f t="shared" si="1210"/>
        <v>0</v>
      </c>
      <c r="F2582" s="52">
        <f t="shared" si="1210"/>
        <v>0</v>
      </c>
      <c r="G2582" s="52">
        <f t="shared" si="1210"/>
        <v>0</v>
      </c>
      <c r="H2582" s="52">
        <f t="shared" si="1210"/>
        <v>0</v>
      </c>
      <c r="I2582" s="52">
        <f t="shared" si="1210"/>
        <v>0</v>
      </c>
      <c r="J2582" s="52">
        <f t="shared" si="1210"/>
        <v>0</v>
      </c>
      <c r="K2582" s="52">
        <f t="shared" si="1210"/>
        <v>0</v>
      </c>
      <c r="L2582" s="52">
        <f t="shared" si="1210"/>
        <v>0</v>
      </c>
      <c r="M2582" s="52">
        <f t="shared" si="1210"/>
        <v>0</v>
      </c>
      <c r="N2582" s="52">
        <f t="shared" si="1210"/>
        <v>0</v>
      </c>
      <c r="O2582" s="30"/>
    </row>
    <row r="2583" spans="1:15">
      <c r="B2583" s="78" t="s">
        <v>121</v>
      </c>
      <c r="C2583" s="77"/>
      <c r="D2583" s="39">
        <f>SUM(D2581:D2582)</f>
        <v>0</v>
      </c>
      <c r="E2583" s="39">
        <f t="shared" ref="E2583:N2583" si="1211">SUM(E2581:E2582)</f>
        <v>0</v>
      </c>
      <c r="F2583" s="39">
        <f t="shared" si="1211"/>
        <v>0</v>
      </c>
      <c r="G2583" s="39">
        <f t="shared" si="1211"/>
        <v>0</v>
      </c>
      <c r="H2583" s="39">
        <f t="shared" si="1211"/>
        <v>0</v>
      </c>
      <c r="I2583" s="39">
        <f t="shared" si="1211"/>
        <v>0</v>
      </c>
      <c r="J2583" s="39">
        <f t="shared" si="1211"/>
        <v>0</v>
      </c>
      <c r="K2583" s="39">
        <f t="shared" si="1211"/>
        <v>0</v>
      </c>
      <c r="L2583" s="39">
        <f t="shared" si="1211"/>
        <v>0</v>
      </c>
      <c r="M2583" s="39">
        <f t="shared" si="1211"/>
        <v>0</v>
      </c>
      <c r="N2583" s="39">
        <f t="shared" si="1211"/>
        <v>0</v>
      </c>
      <c r="O2583" s="30"/>
    </row>
    <row r="2584" spans="1:15">
      <c r="B2584" s="30"/>
      <c r="C2584" s="30"/>
      <c r="D2584" s="38"/>
      <c r="E2584" s="31"/>
      <c r="F2584" s="31"/>
      <c r="G2584" s="24"/>
      <c r="H2584" s="24"/>
      <c r="I2584" s="24"/>
      <c r="J2584" s="24"/>
      <c r="K2584" s="24"/>
      <c r="L2584" s="24"/>
      <c r="M2584" s="24"/>
      <c r="N2584" s="24"/>
      <c r="O2584" s="30"/>
    </row>
    <row r="2585" spans="1:15" ht="18.5">
      <c r="A2585" s="41" t="s">
        <v>30</v>
      </c>
      <c r="C2585" s="30"/>
      <c r="D2585" s="2">
        <f>'Facility Detail'!$B$3082</f>
        <v>2011</v>
      </c>
      <c r="E2585" s="2">
        <f>D2585+1</f>
        <v>2012</v>
      </c>
      <c r="F2585" s="2">
        <f>E2585+1</f>
        <v>2013</v>
      </c>
      <c r="G2585" s="2">
        <f t="shared" ref="G2585:L2585" si="1212">G2574</f>
        <v>2014</v>
      </c>
      <c r="H2585" s="2">
        <f t="shared" si="1212"/>
        <v>2015</v>
      </c>
      <c r="I2585" s="2">
        <f t="shared" si="1212"/>
        <v>2016</v>
      </c>
      <c r="J2585" s="2">
        <f t="shared" si="1212"/>
        <v>2017</v>
      </c>
      <c r="K2585" s="2">
        <f t="shared" si="1212"/>
        <v>2018</v>
      </c>
      <c r="L2585" s="2">
        <f t="shared" si="1212"/>
        <v>2019</v>
      </c>
      <c r="M2585" s="2">
        <f t="shared" ref="M2585:N2585" si="1213">M2574</f>
        <v>2020</v>
      </c>
      <c r="N2585" s="2">
        <f t="shared" si="1213"/>
        <v>2021</v>
      </c>
      <c r="O2585" s="30"/>
    </row>
    <row r="2586" spans="1:15">
      <c r="B2586" s="79" t="s">
        <v>47</v>
      </c>
      <c r="C2586" s="71"/>
      <c r="D2586" s="89"/>
      <c r="E2586" s="90"/>
      <c r="F2586" s="90"/>
      <c r="G2586" s="90"/>
      <c r="H2586" s="90"/>
      <c r="I2586" s="90"/>
      <c r="J2586" s="90"/>
      <c r="K2586" s="90"/>
      <c r="L2586" s="90"/>
      <c r="M2586" s="140"/>
      <c r="N2586" s="140"/>
      <c r="O2586" s="30"/>
    </row>
    <row r="2587" spans="1:15">
      <c r="B2587" s="80" t="s">
        <v>23</v>
      </c>
      <c r="C2587" s="175"/>
      <c r="D2587" s="92"/>
      <c r="E2587" s="93"/>
      <c r="F2587" s="93"/>
      <c r="G2587" s="93"/>
      <c r="H2587" s="93"/>
      <c r="I2587" s="93"/>
      <c r="J2587" s="93"/>
      <c r="K2587" s="93"/>
      <c r="L2587" s="93"/>
      <c r="M2587" s="141"/>
      <c r="N2587" s="141"/>
      <c r="O2587" s="30"/>
    </row>
    <row r="2588" spans="1:15">
      <c r="B2588" s="95" t="s">
        <v>89</v>
      </c>
      <c r="C2588" s="173"/>
      <c r="D2588" s="57"/>
      <c r="E2588" s="58"/>
      <c r="F2588" s="58"/>
      <c r="G2588" s="58"/>
      <c r="H2588" s="58"/>
      <c r="I2588" s="58"/>
      <c r="J2588" s="58"/>
      <c r="K2588" s="58"/>
      <c r="L2588" s="58"/>
      <c r="M2588" s="142"/>
      <c r="N2588" s="142"/>
      <c r="O2588" s="30"/>
    </row>
    <row r="2589" spans="1:15">
      <c r="B2589" s="33" t="s">
        <v>90</v>
      </c>
      <c r="D2589" s="7">
        <f t="shared" ref="D2589:J2589" si="1214">SUM(D2586:D2588)</f>
        <v>0</v>
      </c>
      <c r="E2589" s="7">
        <f t="shared" si="1214"/>
        <v>0</v>
      </c>
      <c r="F2589" s="7">
        <f t="shared" si="1214"/>
        <v>0</v>
      </c>
      <c r="G2589" s="7">
        <f t="shared" si="1214"/>
        <v>0</v>
      </c>
      <c r="H2589" s="7">
        <f t="shared" si="1214"/>
        <v>0</v>
      </c>
      <c r="I2589" s="7">
        <f t="shared" si="1214"/>
        <v>0</v>
      </c>
      <c r="J2589" s="7">
        <f t="shared" si="1214"/>
        <v>0</v>
      </c>
      <c r="K2589" s="7">
        <f t="shared" ref="K2589:L2589" si="1215">SUM(K2586:K2588)</f>
        <v>0</v>
      </c>
      <c r="L2589" s="7">
        <f t="shared" si="1215"/>
        <v>0</v>
      </c>
      <c r="M2589" s="7">
        <f t="shared" ref="M2589:N2589" si="1216">SUM(M2586:M2588)</f>
        <v>0</v>
      </c>
      <c r="N2589" s="7">
        <f t="shared" si="1216"/>
        <v>0</v>
      </c>
      <c r="O2589" s="30"/>
    </row>
    <row r="2590" spans="1:15">
      <c r="B2590" s="6"/>
      <c r="D2590" s="7"/>
      <c r="E2590" s="7"/>
      <c r="F2590" s="7"/>
      <c r="G2590" s="28"/>
      <c r="H2590" s="28"/>
      <c r="I2590" s="28"/>
      <c r="J2590" s="28"/>
      <c r="K2590" s="28"/>
      <c r="L2590" s="28"/>
      <c r="M2590" s="28"/>
      <c r="N2590" s="28"/>
      <c r="O2590" s="30"/>
    </row>
    <row r="2591" spans="1:15" ht="18.5">
      <c r="A2591" s="9" t="s">
        <v>100</v>
      </c>
      <c r="D2591" s="2">
        <f>'Facility Detail'!$B$3082</f>
        <v>2011</v>
      </c>
      <c r="E2591" s="2">
        <f t="shared" ref="E2591:K2591" si="1217">D2591+1</f>
        <v>2012</v>
      </c>
      <c r="F2591" s="2">
        <f t="shared" si="1217"/>
        <v>2013</v>
      </c>
      <c r="G2591" s="2">
        <f t="shared" si="1217"/>
        <v>2014</v>
      </c>
      <c r="H2591" s="2">
        <f t="shared" si="1217"/>
        <v>2015</v>
      </c>
      <c r="I2591" s="2">
        <f t="shared" si="1217"/>
        <v>2016</v>
      </c>
      <c r="J2591" s="2">
        <f t="shared" si="1217"/>
        <v>2017</v>
      </c>
      <c r="K2591" s="2">
        <f t="shared" si="1217"/>
        <v>2018</v>
      </c>
      <c r="L2591" s="2">
        <f t="shared" ref="L2591" si="1218">K2591+1</f>
        <v>2019</v>
      </c>
      <c r="M2591" s="2">
        <f t="shared" ref="M2591" si="1219">L2591+1</f>
        <v>2020</v>
      </c>
      <c r="N2591" s="2">
        <f t="shared" ref="N2591" si="1220">M2591+1</f>
        <v>2021</v>
      </c>
      <c r="O2591" s="30"/>
    </row>
    <row r="2592" spans="1:15">
      <c r="B2592" s="79" t="s">
        <v>68</v>
      </c>
      <c r="C2592" s="30"/>
      <c r="D2592" s="3"/>
      <c r="E2592" s="60">
        <f>D2592</f>
        <v>0</v>
      </c>
      <c r="F2592" s="131"/>
      <c r="G2592" s="131"/>
      <c r="H2592" s="131"/>
      <c r="I2592" s="131"/>
      <c r="J2592" s="131"/>
      <c r="K2592" s="131"/>
      <c r="L2592" s="131"/>
      <c r="M2592" s="131"/>
      <c r="N2592" s="131"/>
      <c r="O2592" s="30"/>
    </row>
    <row r="2593" spans="2:15">
      <c r="B2593" s="79" t="s">
        <v>69</v>
      </c>
      <c r="C2593" s="30"/>
      <c r="D2593" s="164">
        <f>E2593</f>
        <v>0</v>
      </c>
      <c r="E2593" s="10"/>
      <c r="F2593" s="74"/>
      <c r="G2593" s="74"/>
      <c r="H2593" s="74"/>
      <c r="I2593" s="74"/>
      <c r="J2593" s="74"/>
      <c r="K2593" s="74"/>
      <c r="L2593" s="74"/>
      <c r="M2593" s="74"/>
      <c r="N2593" s="74"/>
      <c r="O2593" s="30"/>
    </row>
    <row r="2594" spans="2:15">
      <c r="B2594" s="79" t="s">
        <v>70</v>
      </c>
      <c r="C2594" s="30"/>
      <c r="D2594" s="62"/>
      <c r="E2594" s="10"/>
      <c r="F2594" s="70">
        <f>E2594</f>
        <v>0</v>
      </c>
      <c r="G2594" s="74"/>
      <c r="H2594" s="74"/>
      <c r="I2594" s="74"/>
      <c r="J2594" s="74"/>
      <c r="K2594" s="74"/>
      <c r="L2594" s="74"/>
      <c r="M2594" s="74"/>
      <c r="N2594" s="74"/>
      <c r="O2594" s="30"/>
    </row>
    <row r="2595" spans="2:15">
      <c r="B2595" s="79" t="s">
        <v>71</v>
      </c>
      <c r="C2595" s="30"/>
      <c r="D2595" s="62"/>
      <c r="E2595" s="70">
        <f>F2595</f>
        <v>0</v>
      </c>
      <c r="F2595" s="163"/>
      <c r="G2595" s="74"/>
      <c r="H2595" s="74"/>
      <c r="I2595" s="74"/>
      <c r="J2595" s="74"/>
      <c r="K2595" s="74"/>
      <c r="L2595" s="74"/>
      <c r="M2595" s="74"/>
      <c r="N2595" s="74"/>
      <c r="O2595" s="30"/>
    </row>
    <row r="2596" spans="2:15">
      <c r="B2596" s="79" t="s">
        <v>171</v>
      </c>
      <c r="C2596" s="30"/>
      <c r="D2596" s="62"/>
      <c r="E2596" s="148"/>
      <c r="F2596" s="10"/>
      <c r="G2596" s="149">
        <f>F2596</f>
        <v>0</v>
      </c>
      <c r="H2596" s="74"/>
      <c r="I2596" s="74"/>
      <c r="J2596" s="74"/>
      <c r="K2596" s="74"/>
      <c r="L2596" s="74"/>
      <c r="M2596" s="74"/>
      <c r="N2596" s="74"/>
      <c r="O2596" s="30"/>
    </row>
    <row r="2597" spans="2:15">
      <c r="B2597" s="79" t="s">
        <v>172</v>
      </c>
      <c r="C2597" s="30"/>
      <c r="D2597" s="62"/>
      <c r="E2597" s="148"/>
      <c r="F2597" s="70">
        <f>G2597</f>
        <v>0</v>
      </c>
      <c r="G2597" s="10"/>
      <c r="H2597" s="74"/>
      <c r="I2597" s="74"/>
      <c r="J2597" s="74" t="s">
        <v>170</v>
      </c>
      <c r="K2597" s="74" t="s">
        <v>170</v>
      </c>
      <c r="L2597" s="74"/>
      <c r="M2597" s="74"/>
      <c r="N2597" s="74"/>
      <c r="O2597" s="30"/>
    </row>
    <row r="2598" spans="2:15">
      <c r="B2598" s="79" t="s">
        <v>173</v>
      </c>
      <c r="C2598" s="30"/>
      <c r="D2598" s="62"/>
      <c r="E2598" s="148"/>
      <c r="F2598" s="148"/>
      <c r="G2598" s="10"/>
      <c r="H2598" s="149">
        <f>G2598</f>
        <v>0</v>
      </c>
      <c r="I2598" s="148"/>
      <c r="J2598" s="74"/>
      <c r="K2598" s="74"/>
      <c r="L2598" s="74"/>
      <c r="M2598" s="74"/>
      <c r="N2598" s="74"/>
      <c r="O2598" s="30"/>
    </row>
    <row r="2599" spans="2:15">
      <c r="B2599" s="79" t="s">
        <v>174</v>
      </c>
      <c r="C2599" s="30"/>
      <c r="D2599" s="62"/>
      <c r="E2599" s="148"/>
      <c r="F2599" s="148"/>
      <c r="G2599" s="70">
        <f>H2599</f>
        <v>0</v>
      </c>
      <c r="H2599" s="10"/>
      <c r="I2599" s="148"/>
      <c r="J2599" s="74"/>
      <c r="K2599" s="74"/>
      <c r="L2599" s="74"/>
      <c r="M2599" s="74"/>
      <c r="N2599" s="74"/>
      <c r="O2599" s="30"/>
    </row>
    <row r="2600" spans="2:15">
      <c r="B2600" s="79" t="s">
        <v>175</v>
      </c>
      <c r="C2600" s="30"/>
      <c r="D2600" s="62"/>
      <c r="E2600" s="148"/>
      <c r="F2600" s="148"/>
      <c r="G2600" s="148"/>
      <c r="H2600" s="10">
        <f>H2578</f>
        <v>0</v>
      </c>
      <c r="I2600" s="149">
        <f>H2600</f>
        <v>0</v>
      </c>
      <c r="J2600" s="74"/>
      <c r="K2600" s="74"/>
      <c r="L2600" s="74"/>
      <c r="M2600" s="74"/>
      <c r="N2600" s="74"/>
      <c r="O2600" s="30"/>
    </row>
    <row r="2601" spans="2:15">
      <c r="B2601" s="79" t="s">
        <v>176</v>
      </c>
      <c r="C2601" s="30"/>
      <c r="D2601" s="62"/>
      <c r="E2601" s="148"/>
      <c r="F2601" s="148"/>
      <c r="G2601" s="148"/>
      <c r="H2601" s="70">
        <f>I2601</f>
        <v>0</v>
      </c>
      <c r="I2601" s="10"/>
      <c r="J2601" s="74"/>
      <c r="K2601" s="74"/>
      <c r="L2601" s="74"/>
      <c r="M2601" s="74"/>
      <c r="N2601" s="74"/>
      <c r="O2601" s="30"/>
    </row>
    <row r="2602" spans="2:15">
      <c r="B2602" s="79" t="s">
        <v>177</v>
      </c>
      <c r="C2602" s="30"/>
      <c r="D2602" s="62"/>
      <c r="E2602" s="148"/>
      <c r="F2602" s="148"/>
      <c r="G2602" s="148"/>
      <c r="H2602" s="148"/>
      <c r="I2602" s="257">
        <f>I2578</f>
        <v>4353</v>
      </c>
      <c r="J2602" s="258">
        <f>I2602</f>
        <v>4353</v>
      </c>
      <c r="K2602" s="74"/>
      <c r="L2602" s="74"/>
      <c r="M2602" s="74"/>
      <c r="N2602" s="74"/>
      <c r="O2602" s="30"/>
    </row>
    <row r="2603" spans="2:15">
      <c r="B2603" s="79" t="s">
        <v>168</v>
      </c>
      <c r="C2603" s="30"/>
      <c r="D2603" s="62"/>
      <c r="E2603" s="148"/>
      <c r="F2603" s="148"/>
      <c r="G2603" s="148"/>
      <c r="H2603" s="148"/>
      <c r="I2603" s="208"/>
      <c r="J2603" s="151"/>
      <c r="K2603" s="74"/>
      <c r="L2603" s="74"/>
      <c r="M2603" s="74"/>
      <c r="N2603" s="74"/>
      <c r="O2603" s="30"/>
    </row>
    <row r="2604" spans="2:15">
      <c r="B2604" s="79" t="s">
        <v>169</v>
      </c>
      <c r="C2604" s="30"/>
      <c r="D2604" s="62"/>
      <c r="E2604" s="148"/>
      <c r="F2604" s="148"/>
      <c r="G2604" s="148"/>
      <c r="H2604" s="148"/>
      <c r="I2604" s="148"/>
      <c r="J2604" s="151">
        <v>0</v>
      </c>
      <c r="K2604" s="150">
        <f>J2604</f>
        <v>0</v>
      </c>
      <c r="L2604" s="74"/>
      <c r="M2604" s="74"/>
      <c r="N2604" s="74"/>
      <c r="O2604" s="30"/>
    </row>
    <row r="2605" spans="2:15">
      <c r="B2605" s="79" t="s">
        <v>186</v>
      </c>
      <c r="C2605" s="30"/>
      <c r="D2605" s="62"/>
      <c r="E2605" s="148"/>
      <c r="F2605" s="148"/>
      <c r="G2605" s="148"/>
      <c r="H2605" s="148"/>
      <c r="I2605" s="148"/>
      <c r="J2605" s="228"/>
      <c r="K2605" s="151"/>
      <c r="L2605" s="74"/>
      <c r="M2605" s="74"/>
      <c r="N2605" s="74"/>
      <c r="O2605" s="30"/>
    </row>
    <row r="2606" spans="2:15">
      <c r="B2606" s="79" t="s">
        <v>187</v>
      </c>
      <c r="C2606" s="30"/>
      <c r="D2606" s="62"/>
      <c r="E2606" s="148"/>
      <c r="F2606" s="148"/>
      <c r="G2606" s="148"/>
      <c r="H2606" s="148"/>
      <c r="I2606" s="148"/>
      <c r="J2606" s="148"/>
      <c r="K2606" s="151">
        <v>0</v>
      </c>
      <c r="L2606" s="150">
        <f>K2606</f>
        <v>0</v>
      </c>
      <c r="M2606" s="74"/>
      <c r="N2606" s="74"/>
      <c r="O2606" s="30"/>
    </row>
    <row r="2607" spans="2:15">
      <c r="B2607" s="79" t="s">
        <v>188</v>
      </c>
      <c r="C2607" s="30"/>
      <c r="D2607" s="62"/>
      <c r="E2607" s="148"/>
      <c r="F2607" s="148"/>
      <c r="G2607" s="148"/>
      <c r="H2607" s="148"/>
      <c r="I2607" s="148"/>
      <c r="J2607" s="148"/>
      <c r="K2607" s="150"/>
      <c r="L2607" s="151"/>
      <c r="M2607" s="74"/>
      <c r="N2607" s="74"/>
      <c r="O2607" s="30"/>
    </row>
    <row r="2608" spans="2:15">
      <c r="B2608" s="79" t="s">
        <v>189</v>
      </c>
      <c r="C2608" s="30"/>
      <c r="D2608" s="62"/>
      <c r="E2608" s="148"/>
      <c r="F2608" s="148"/>
      <c r="G2608" s="148"/>
      <c r="H2608" s="148"/>
      <c r="I2608" s="148"/>
      <c r="J2608" s="148"/>
      <c r="K2608" s="148"/>
      <c r="L2608" s="151"/>
      <c r="M2608" s="150">
        <f>K2608</f>
        <v>0</v>
      </c>
      <c r="N2608" s="74">
        <f>L2608</f>
        <v>0</v>
      </c>
      <c r="O2608" s="30"/>
    </row>
    <row r="2609" spans="1:15">
      <c r="B2609" s="79" t="s">
        <v>190</v>
      </c>
      <c r="C2609" s="30"/>
      <c r="D2609" s="62"/>
      <c r="E2609" s="148"/>
      <c r="F2609" s="148"/>
      <c r="G2609" s="148"/>
      <c r="H2609" s="148"/>
      <c r="I2609" s="148"/>
      <c r="J2609" s="148"/>
      <c r="K2609" s="148"/>
      <c r="L2609" s="150"/>
      <c r="M2609" s="151">
        <f>L2609</f>
        <v>0</v>
      </c>
      <c r="N2609" s="74"/>
    </row>
    <row r="2610" spans="1:15">
      <c r="B2610" s="79" t="s">
        <v>191</v>
      </c>
      <c r="C2610" s="30"/>
      <c r="D2610" s="62"/>
      <c r="E2610" s="148"/>
      <c r="F2610" s="148"/>
      <c r="G2610" s="148"/>
      <c r="H2610" s="148"/>
      <c r="I2610" s="148"/>
      <c r="J2610" s="148"/>
      <c r="K2610" s="148"/>
      <c r="L2610" s="148"/>
      <c r="M2610" s="151"/>
      <c r="N2610" s="150">
        <f>M2610</f>
        <v>0</v>
      </c>
    </row>
    <row r="2611" spans="1:15">
      <c r="B2611" s="79" t="s">
        <v>201</v>
      </c>
      <c r="C2611" s="30"/>
      <c r="D2611" s="62"/>
      <c r="E2611" s="148"/>
      <c r="F2611" s="148"/>
      <c r="G2611" s="148"/>
      <c r="H2611" s="148"/>
      <c r="I2611" s="148"/>
      <c r="J2611" s="148"/>
      <c r="K2611" s="148"/>
      <c r="L2611" s="148"/>
      <c r="M2611" s="150"/>
      <c r="N2611" s="151"/>
    </row>
    <row r="2612" spans="1:15">
      <c r="B2612" s="79" t="s">
        <v>202</v>
      </c>
      <c r="C2612" s="30"/>
      <c r="D2612" s="63"/>
      <c r="E2612" s="133"/>
      <c r="F2612" s="133"/>
      <c r="G2612" s="133"/>
      <c r="H2612" s="133"/>
      <c r="I2612" s="133"/>
      <c r="J2612" s="133"/>
      <c r="K2612" s="133"/>
      <c r="L2612" s="133"/>
      <c r="M2612" s="133"/>
      <c r="N2612" s="153"/>
    </row>
    <row r="2613" spans="1:15">
      <c r="B2613" s="33" t="s">
        <v>17</v>
      </c>
      <c r="D2613" s="180">
        <f xml:space="preserve"> D2593 - D2592</f>
        <v>0</v>
      </c>
      <c r="E2613" s="180">
        <f xml:space="preserve"> E2592 + E2595 - E2594 - E2593</f>
        <v>0</v>
      </c>
      <c r="F2613" s="180">
        <f>F2594 - F2595 -F2596</f>
        <v>0</v>
      </c>
      <c r="G2613" s="180">
        <f>G2596-G2597-G2598</f>
        <v>0</v>
      </c>
      <c r="H2613" s="180">
        <f>H2598-H2599-H2600</f>
        <v>0</v>
      </c>
      <c r="I2613" s="180">
        <f>I2600-I2601-I2602</f>
        <v>-4353</v>
      </c>
      <c r="J2613" s="180">
        <f>J2602-J2603-J2604</f>
        <v>4353</v>
      </c>
      <c r="K2613" s="180">
        <f>K2604-K2605-K2606</f>
        <v>0</v>
      </c>
      <c r="L2613" s="180">
        <f>L2606-L2607-L2608</f>
        <v>0</v>
      </c>
      <c r="M2613" s="180">
        <f>M2604</f>
        <v>0</v>
      </c>
      <c r="N2613" s="180">
        <f>N2604</f>
        <v>0</v>
      </c>
      <c r="O2613" s="30"/>
    </row>
    <row r="2614" spans="1:15">
      <c r="B2614" s="6"/>
      <c r="D2614" s="7"/>
      <c r="E2614" s="7"/>
      <c r="F2614" s="7"/>
      <c r="G2614" s="7"/>
      <c r="H2614" s="7"/>
      <c r="I2614" s="7"/>
      <c r="J2614" s="7"/>
      <c r="K2614" s="7"/>
      <c r="L2614" s="7"/>
      <c r="M2614" s="7"/>
      <c r="N2614" s="7"/>
      <c r="O2614" s="30"/>
    </row>
    <row r="2615" spans="1:15">
      <c r="B2615" s="76" t="s">
        <v>12</v>
      </c>
      <c r="C2615" s="71"/>
      <c r="D2615" s="99"/>
      <c r="E2615" s="100"/>
      <c r="F2615" s="100"/>
      <c r="G2615" s="100"/>
      <c r="H2615" s="100"/>
      <c r="I2615" s="100"/>
      <c r="J2615" s="100"/>
      <c r="K2615" s="100"/>
      <c r="L2615" s="100"/>
      <c r="M2615" s="101"/>
      <c r="N2615" s="101"/>
      <c r="O2615" s="30"/>
    </row>
    <row r="2616" spans="1:15">
      <c r="B2616" s="6"/>
      <c r="D2616" s="7"/>
      <c r="E2616" s="7"/>
      <c r="F2616" s="7"/>
      <c r="G2616" s="7"/>
      <c r="H2616" s="7"/>
      <c r="I2616" s="7"/>
      <c r="J2616" s="7"/>
      <c r="K2616" s="7"/>
      <c r="L2616" s="7"/>
      <c r="M2616" s="7"/>
      <c r="N2616" s="7"/>
      <c r="O2616" s="30"/>
    </row>
    <row r="2617" spans="1:15" ht="18.5">
      <c r="A2617" s="41" t="s">
        <v>26</v>
      </c>
      <c r="C2617" s="71"/>
      <c r="D2617" s="43">
        <f t="shared" ref="D2617:N2617" si="1221" xml:space="preserve"> D2578 + D2583 - D2589 + D2613 + D2615</f>
        <v>0</v>
      </c>
      <c r="E2617" s="44">
        <f t="shared" si="1221"/>
        <v>0</v>
      </c>
      <c r="F2617" s="44">
        <f t="shared" si="1221"/>
        <v>0</v>
      </c>
      <c r="G2617" s="44">
        <f t="shared" si="1221"/>
        <v>0</v>
      </c>
      <c r="H2617" s="161">
        <f t="shared" si="1221"/>
        <v>0</v>
      </c>
      <c r="I2617" s="161">
        <f t="shared" si="1221"/>
        <v>0</v>
      </c>
      <c r="J2617" s="161">
        <f t="shared" si="1221"/>
        <v>4353</v>
      </c>
      <c r="K2617" s="161">
        <f t="shared" si="1221"/>
        <v>11844</v>
      </c>
      <c r="L2617" s="161">
        <f t="shared" si="1221"/>
        <v>13499.627724604894</v>
      </c>
      <c r="M2617" s="161">
        <f t="shared" ref="M2617" si="1222" xml:space="preserve"> M2578 + M2583 - M2589 + M2613 + M2615</f>
        <v>34771</v>
      </c>
      <c r="N2617" s="161">
        <f t="shared" si="1221"/>
        <v>33184</v>
      </c>
      <c r="O2617" s="30"/>
    </row>
    <row r="2618" spans="1:15">
      <c r="B2618" s="6"/>
      <c r="D2618" s="7"/>
      <c r="E2618" s="7"/>
      <c r="F2618" s="7"/>
      <c r="G2618" s="28"/>
      <c r="H2618" s="28"/>
      <c r="I2618" s="28"/>
      <c r="J2618" s="28"/>
      <c r="K2618" s="28"/>
      <c r="L2618" s="28"/>
      <c r="M2618" s="28"/>
      <c r="N2618" s="28"/>
      <c r="O2618" s="30"/>
    </row>
    <row r="2619" spans="1:15" ht="15" thickBot="1">
      <c r="O2619" s="30"/>
    </row>
    <row r="2620" spans="1:15">
      <c r="A2620" s="8"/>
      <c r="B2620" s="8"/>
      <c r="C2620" s="8"/>
      <c r="D2620" s="8"/>
      <c r="E2620" s="8"/>
      <c r="F2620" s="8"/>
      <c r="G2620" s="8"/>
      <c r="H2620" s="8"/>
      <c r="I2620" s="8"/>
      <c r="J2620" s="8"/>
      <c r="K2620" s="8"/>
      <c r="L2620" s="8"/>
      <c r="M2620" s="8"/>
      <c r="N2620" s="8"/>
      <c r="O2620" s="30"/>
    </row>
    <row r="2621" spans="1:15" ht="15" thickBot="1">
      <c r="B2621" s="30"/>
      <c r="C2621" s="30"/>
      <c r="D2621" s="30"/>
      <c r="E2621" s="30"/>
      <c r="F2621" s="30"/>
      <c r="G2621" s="30"/>
      <c r="H2621" s="30"/>
      <c r="I2621" s="30"/>
      <c r="J2621" s="30"/>
      <c r="K2621" s="30"/>
      <c r="L2621" s="30"/>
      <c r="M2621" s="30"/>
      <c r="N2621" s="30"/>
      <c r="O2621" s="30"/>
    </row>
    <row r="2622" spans="1:15" ht="21.5" thickBot="1">
      <c r="A2622" s="13" t="s">
        <v>4</v>
      </c>
      <c r="B2622" s="13"/>
      <c r="C2622" s="313" t="str">
        <f>B56</f>
        <v>Seven Mile Hill II</v>
      </c>
      <c r="D2622" s="310"/>
      <c r="E2622" s="23"/>
      <c r="F2622" s="23"/>
      <c r="O2622" s="30"/>
    </row>
    <row r="2623" spans="1:15">
      <c r="O2623" s="30"/>
    </row>
    <row r="2624" spans="1:15" ht="18.5">
      <c r="A2624" s="9" t="s">
        <v>21</v>
      </c>
      <c r="B2624" s="9"/>
      <c r="D2624" s="2">
        <f>'Facility Detail'!$B$3082</f>
        <v>2011</v>
      </c>
      <c r="E2624" s="2">
        <f t="shared" ref="E2624" si="1223">D2624+1</f>
        <v>2012</v>
      </c>
      <c r="F2624" s="2">
        <f t="shared" ref="F2624" si="1224">E2624+1</f>
        <v>2013</v>
      </c>
      <c r="G2624" s="2">
        <f t="shared" ref="G2624" si="1225">F2624+1</f>
        <v>2014</v>
      </c>
      <c r="H2624" s="2">
        <f t="shared" ref="H2624" si="1226">G2624+1</f>
        <v>2015</v>
      </c>
      <c r="I2624" s="2">
        <f t="shared" ref="I2624" si="1227">H2624+1</f>
        <v>2016</v>
      </c>
      <c r="J2624" s="2">
        <f t="shared" ref="J2624" si="1228">I2624+1</f>
        <v>2017</v>
      </c>
      <c r="K2624" s="2">
        <f t="shared" ref="K2624" si="1229">J2624+1</f>
        <v>2018</v>
      </c>
      <c r="L2624" s="2">
        <f t="shared" ref="L2624" si="1230">K2624+1</f>
        <v>2019</v>
      </c>
      <c r="M2624" s="2">
        <f t="shared" ref="M2624" si="1231">L2624+1</f>
        <v>2020</v>
      </c>
      <c r="N2624" s="2">
        <f t="shared" ref="N2624" si="1232">M2624+1</f>
        <v>2021</v>
      </c>
      <c r="O2624" s="30"/>
    </row>
    <row r="2625" spans="1:15">
      <c r="B2625" s="79" t="str">
        <f>"Total MWh Produced / Purchased from " &amp; C2622</f>
        <v>Total MWh Produced / Purchased from Seven Mile Hill II</v>
      </c>
      <c r="C2625" s="71"/>
      <c r="D2625" s="3"/>
      <c r="E2625" s="4"/>
      <c r="F2625" s="4"/>
      <c r="G2625" s="4"/>
      <c r="H2625" s="174"/>
      <c r="I2625" s="4"/>
      <c r="J2625" s="225"/>
      <c r="K2625" s="225"/>
      <c r="L2625" s="140"/>
      <c r="M2625" s="280"/>
      <c r="N2625" s="140">
        <v>86081</v>
      </c>
      <c r="O2625" s="30"/>
    </row>
    <row r="2626" spans="1:15">
      <c r="B2626" s="79" t="s">
        <v>25</v>
      </c>
      <c r="C2626" s="71"/>
      <c r="D2626" s="54"/>
      <c r="E2626" s="55"/>
      <c r="F2626" s="55"/>
      <c r="G2626" s="189"/>
      <c r="H2626" s="188"/>
      <c r="I2626" s="189"/>
      <c r="J2626" s="55"/>
      <c r="K2626" s="55"/>
      <c r="L2626" s="56"/>
      <c r="M2626" s="235"/>
      <c r="N2626" s="56">
        <v>1</v>
      </c>
      <c r="O2626" s="30"/>
    </row>
    <row r="2627" spans="1:15">
      <c r="B2627" s="79" t="s">
        <v>20</v>
      </c>
      <c r="C2627" s="71"/>
      <c r="D2627" s="48"/>
      <c r="E2627" s="49"/>
      <c r="F2627" s="49"/>
      <c r="G2627" s="49"/>
      <c r="H2627" s="49"/>
      <c r="I2627" s="49"/>
      <c r="J2627" s="214"/>
      <c r="K2627" s="214"/>
      <c r="L2627" s="214"/>
      <c r="M2627" s="286"/>
      <c r="N2627" s="214">
        <f>N2577</f>
        <v>8.0780946790754593E-2</v>
      </c>
      <c r="O2627" s="30"/>
    </row>
    <row r="2628" spans="1:15">
      <c r="B2628" s="76" t="s">
        <v>22</v>
      </c>
      <c r="C2628" s="77"/>
      <c r="D2628" s="37">
        <f>ROUND(D2625 * D2626 * D2627,0)</f>
        <v>0</v>
      </c>
      <c r="E2628" s="37">
        <f t="shared" ref="E2628:H2628" si="1233">ROUND(E2625 * E2626 * E2627,0)</f>
        <v>0</v>
      </c>
      <c r="F2628" s="37">
        <f t="shared" si="1233"/>
        <v>0</v>
      </c>
      <c r="G2628" s="37">
        <f t="shared" si="1233"/>
        <v>0</v>
      </c>
      <c r="H2628" s="37">
        <f t="shared" si="1233"/>
        <v>0</v>
      </c>
      <c r="I2628" s="229"/>
      <c r="J2628" s="229">
        <v>0</v>
      </c>
      <c r="K2628" s="229"/>
      <c r="L2628" s="37">
        <f>L2625*L2627</f>
        <v>0</v>
      </c>
      <c r="M2628" s="37">
        <f t="shared" ref="M2628:N2628" si="1234">ROUND(M2625 * M2626 * M2627,0)</f>
        <v>0</v>
      </c>
      <c r="N2628" s="37">
        <f t="shared" si="1234"/>
        <v>6954</v>
      </c>
      <c r="O2628" s="30"/>
    </row>
    <row r="2629" spans="1:15">
      <c r="B2629" s="23"/>
      <c r="C2629" s="30"/>
      <c r="D2629" s="36"/>
      <c r="E2629" s="36"/>
      <c r="F2629" s="36"/>
      <c r="G2629" s="24"/>
      <c r="H2629" s="24"/>
      <c r="I2629" s="24"/>
      <c r="J2629" s="24"/>
      <c r="K2629" s="24"/>
      <c r="L2629" s="24"/>
      <c r="M2629" s="24"/>
      <c r="N2629" s="24"/>
      <c r="O2629" s="30"/>
    </row>
    <row r="2630" spans="1:15" ht="18.5">
      <c r="A2630" s="42" t="s">
        <v>119</v>
      </c>
      <c r="C2630" s="30"/>
      <c r="D2630" s="169">
        <f>'Facility Detail'!$B$3082</f>
        <v>2011</v>
      </c>
      <c r="E2630" s="169">
        <f>D2630+1</f>
        <v>2012</v>
      </c>
      <c r="F2630" s="169">
        <f>E2630+1</f>
        <v>2013</v>
      </c>
      <c r="G2630" s="169">
        <f t="shared" ref="G2630:N2630" si="1235">G2624</f>
        <v>2014</v>
      </c>
      <c r="H2630" s="169">
        <f t="shared" si="1235"/>
        <v>2015</v>
      </c>
      <c r="I2630" s="169">
        <f t="shared" si="1235"/>
        <v>2016</v>
      </c>
      <c r="J2630" s="169">
        <f t="shared" si="1235"/>
        <v>2017</v>
      </c>
      <c r="K2630" s="169">
        <f t="shared" si="1235"/>
        <v>2018</v>
      </c>
      <c r="L2630" s="169">
        <f t="shared" si="1235"/>
        <v>2019</v>
      </c>
      <c r="M2630" s="169">
        <f t="shared" si="1235"/>
        <v>2020</v>
      </c>
      <c r="N2630" s="169">
        <f t="shared" si="1235"/>
        <v>2021</v>
      </c>
      <c r="O2630" s="30"/>
    </row>
    <row r="2631" spans="1:15">
      <c r="B2631" s="79" t="s">
        <v>10</v>
      </c>
      <c r="C2631" s="71"/>
      <c r="D2631" s="51">
        <f>IF($E105= "Eligible", D2628 * 'Facility Detail'!$B$3079, 0 )</f>
        <v>0</v>
      </c>
      <c r="E2631" s="51">
        <f>IF($E105= "Eligible", E2628 * 'Facility Detail'!$B$3079, 0 )</f>
        <v>0</v>
      </c>
      <c r="F2631" s="51">
        <f>IF($E105= "Eligible", F2628 * 'Facility Detail'!$B$3079, 0 )</f>
        <v>0</v>
      </c>
      <c r="G2631" s="51">
        <f>IF($E105= "Eligible", G2628 * 'Facility Detail'!$B$3079, 0 )</f>
        <v>0</v>
      </c>
      <c r="H2631" s="51">
        <f>IF($E105= "Eligible", H2628 * 'Facility Detail'!$B$3079, 0 )</f>
        <v>0</v>
      </c>
      <c r="I2631" s="51">
        <f>IF($E105= "Eligible", I2628 * 'Facility Detail'!$B$3079, 0 )</f>
        <v>0</v>
      </c>
      <c r="J2631" s="51">
        <f>IF($E105= "Eligible", J2628 * 'Facility Detail'!$B$3079, 0 )</f>
        <v>0</v>
      </c>
      <c r="K2631" s="51">
        <f>IF($E105= "Eligible", K2628 * 'Facility Detail'!$B$3079, 0 )</f>
        <v>0</v>
      </c>
      <c r="L2631" s="51">
        <f>IF($E105= "Eligible", L2628 * 'Facility Detail'!$B$3079, 0 )</f>
        <v>0</v>
      </c>
      <c r="M2631" s="51">
        <f>IF($E105= "Eligible", M2628 * 'Facility Detail'!$B$3079, 0 )</f>
        <v>0</v>
      </c>
      <c r="N2631" s="51">
        <f>IF($E105= "Eligible", N2628 * 'Facility Detail'!$B$3079, 0 )</f>
        <v>0</v>
      </c>
      <c r="O2631" s="30"/>
    </row>
    <row r="2632" spans="1:15">
      <c r="B2632" s="79" t="s">
        <v>6</v>
      </c>
      <c r="C2632" s="71"/>
      <c r="D2632" s="52">
        <f t="shared" ref="D2632:N2632" si="1236">IF($F105= "Eligible", D2628, 0 )</f>
        <v>0</v>
      </c>
      <c r="E2632" s="52">
        <f t="shared" si="1236"/>
        <v>0</v>
      </c>
      <c r="F2632" s="52">
        <f t="shared" si="1236"/>
        <v>0</v>
      </c>
      <c r="G2632" s="52">
        <f t="shared" si="1236"/>
        <v>0</v>
      </c>
      <c r="H2632" s="52">
        <f t="shared" si="1236"/>
        <v>0</v>
      </c>
      <c r="I2632" s="52">
        <f t="shared" si="1236"/>
        <v>0</v>
      </c>
      <c r="J2632" s="52">
        <f t="shared" si="1236"/>
        <v>0</v>
      </c>
      <c r="K2632" s="52">
        <f t="shared" si="1236"/>
        <v>0</v>
      </c>
      <c r="L2632" s="52">
        <f t="shared" si="1236"/>
        <v>0</v>
      </c>
      <c r="M2632" s="52">
        <f t="shared" si="1236"/>
        <v>0</v>
      </c>
      <c r="N2632" s="52">
        <f t="shared" si="1236"/>
        <v>0</v>
      </c>
      <c r="O2632" s="30"/>
    </row>
    <row r="2633" spans="1:15">
      <c r="B2633" s="78" t="s">
        <v>121</v>
      </c>
      <c r="C2633" s="77"/>
      <c r="D2633" s="39">
        <f>SUM(D2631:D2632)</f>
        <v>0</v>
      </c>
      <c r="E2633" s="39">
        <f t="shared" ref="E2633:N2633" si="1237">SUM(E2631:E2632)</f>
        <v>0</v>
      </c>
      <c r="F2633" s="39">
        <f t="shared" si="1237"/>
        <v>0</v>
      </c>
      <c r="G2633" s="39">
        <f t="shared" si="1237"/>
        <v>0</v>
      </c>
      <c r="H2633" s="39">
        <f t="shared" si="1237"/>
        <v>0</v>
      </c>
      <c r="I2633" s="39">
        <f t="shared" si="1237"/>
        <v>0</v>
      </c>
      <c r="J2633" s="39">
        <f t="shared" si="1237"/>
        <v>0</v>
      </c>
      <c r="K2633" s="39">
        <f t="shared" si="1237"/>
        <v>0</v>
      </c>
      <c r="L2633" s="39">
        <f t="shared" si="1237"/>
        <v>0</v>
      </c>
      <c r="M2633" s="39">
        <f t="shared" si="1237"/>
        <v>0</v>
      </c>
      <c r="N2633" s="39">
        <f t="shared" si="1237"/>
        <v>0</v>
      </c>
      <c r="O2633" s="30"/>
    </row>
    <row r="2634" spans="1:15">
      <c r="B2634" s="30"/>
      <c r="C2634" s="30"/>
      <c r="D2634" s="38"/>
      <c r="E2634" s="31"/>
      <c r="F2634" s="31"/>
      <c r="G2634" s="24"/>
      <c r="H2634" s="24"/>
      <c r="I2634" s="24"/>
      <c r="J2634" s="24"/>
      <c r="K2634" s="24"/>
      <c r="L2634" s="24"/>
      <c r="M2634" s="24"/>
      <c r="N2634" s="24"/>
      <c r="O2634" s="30"/>
    </row>
    <row r="2635" spans="1:15" ht="18.5">
      <c r="A2635" s="41" t="s">
        <v>30</v>
      </c>
      <c r="C2635" s="30"/>
      <c r="D2635" s="2">
        <f>'Facility Detail'!$B$3082</f>
        <v>2011</v>
      </c>
      <c r="E2635" s="2">
        <f>D2635+1</f>
        <v>2012</v>
      </c>
      <c r="F2635" s="2">
        <f>E2635+1</f>
        <v>2013</v>
      </c>
      <c r="G2635" s="2">
        <f t="shared" ref="G2635:N2635" si="1238">G2624</f>
        <v>2014</v>
      </c>
      <c r="H2635" s="2">
        <f t="shared" si="1238"/>
        <v>2015</v>
      </c>
      <c r="I2635" s="2">
        <f t="shared" si="1238"/>
        <v>2016</v>
      </c>
      <c r="J2635" s="2">
        <f t="shared" si="1238"/>
        <v>2017</v>
      </c>
      <c r="K2635" s="2">
        <f t="shared" si="1238"/>
        <v>2018</v>
      </c>
      <c r="L2635" s="2">
        <f t="shared" si="1238"/>
        <v>2019</v>
      </c>
      <c r="M2635" s="2">
        <f t="shared" si="1238"/>
        <v>2020</v>
      </c>
      <c r="N2635" s="2">
        <f t="shared" si="1238"/>
        <v>2021</v>
      </c>
      <c r="O2635" s="30"/>
    </row>
    <row r="2636" spans="1:15">
      <c r="B2636" s="79" t="s">
        <v>47</v>
      </c>
      <c r="C2636" s="71"/>
      <c r="D2636" s="89"/>
      <c r="E2636" s="90"/>
      <c r="F2636" s="90"/>
      <c r="G2636" s="90"/>
      <c r="H2636" s="90"/>
      <c r="I2636" s="90"/>
      <c r="J2636" s="90"/>
      <c r="K2636" s="90"/>
      <c r="L2636" s="90"/>
      <c r="M2636" s="140"/>
      <c r="N2636" s="140"/>
      <c r="O2636" s="30"/>
    </row>
    <row r="2637" spans="1:15">
      <c r="B2637" s="80" t="s">
        <v>23</v>
      </c>
      <c r="C2637" s="175"/>
      <c r="D2637" s="92"/>
      <c r="E2637" s="93"/>
      <c r="F2637" s="93"/>
      <c r="G2637" s="93"/>
      <c r="H2637" s="93"/>
      <c r="I2637" s="93"/>
      <c r="J2637" s="93"/>
      <c r="K2637" s="93"/>
      <c r="L2637" s="93"/>
      <c r="M2637" s="141"/>
      <c r="N2637" s="141"/>
      <c r="O2637" s="30"/>
    </row>
    <row r="2638" spans="1:15">
      <c r="B2638" s="95" t="s">
        <v>89</v>
      </c>
      <c r="C2638" s="173"/>
      <c r="D2638" s="57"/>
      <c r="E2638" s="58"/>
      <c r="F2638" s="58"/>
      <c r="G2638" s="58"/>
      <c r="H2638" s="58"/>
      <c r="I2638" s="58"/>
      <c r="J2638" s="58"/>
      <c r="K2638" s="58"/>
      <c r="L2638" s="58"/>
      <c r="M2638" s="142"/>
      <c r="N2638" s="142"/>
      <c r="O2638" s="30"/>
    </row>
    <row r="2639" spans="1:15">
      <c r="B2639" s="33" t="s">
        <v>90</v>
      </c>
      <c r="D2639" s="7">
        <f t="shared" ref="D2639:N2639" si="1239">SUM(D2636:D2638)</f>
        <v>0</v>
      </c>
      <c r="E2639" s="7">
        <f t="shared" si="1239"/>
        <v>0</v>
      </c>
      <c r="F2639" s="7">
        <f t="shared" si="1239"/>
        <v>0</v>
      </c>
      <c r="G2639" s="7">
        <f t="shared" si="1239"/>
        <v>0</v>
      </c>
      <c r="H2639" s="7">
        <f t="shared" si="1239"/>
        <v>0</v>
      </c>
      <c r="I2639" s="7">
        <f t="shared" si="1239"/>
        <v>0</v>
      </c>
      <c r="J2639" s="7">
        <f t="shared" si="1239"/>
        <v>0</v>
      </c>
      <c r="K2639" s="7">
        <f t="shared" si="1239"/>
        <v>0</v>
      </c>
      <c r="L2639" s="7">
        <f t="shared" si="1239"/>
        <v>0</v>
      </c>
      <c r="M2639" s="7">
        <f t="shared" si="1239"/>
        <v>0</v>
      </c>
      <c r="N2639" s="7">
        <f t="shared" si="1239"/>
        <v>0</v>
      </c>
      <c r="O2639" s="30"/>
    </row>
    <row r="2640" spans="1:15">
      <c r="B2640" s="6"/>
      <c r="D2640" s="7"/>
      <c r="E2640" s="7"/>
      <c r="F2640" s="7"/>
      <c r="G2640" s="28"/>
      <c r="H2640" s="28"/>
      <c r="I2640" s="28"/>
      <c r="J2640" s="28"/>
      <c r="K2640" s="28"/>
      <c r="L2640" s="28"/>
      <c r="M2640" s="28"/>
      <c r="N2640" s="28"/>
      <c r="O2640" s="30"/>
    </row>
    <row r="2641" spans="1:15" ht="18.5">
      <c r="A2641" s="9" t="s">
        <v>100</v>
      </c>
      <c r="D2641" s="2">
        <f>'Facility Detail'!$B$3082</f>
        <v>2011</v>
      </c>
      <c r="E2641" s="2">
        <f t="shared" ref="E2641" si="1240">D2641+1</f>
        <v>2012</v>
      </c>
      <c r="F2641" s="2">
        <f t="shared" ref="F2641" si="1241">E2641+1</f>
        <v>2013</v>
      </c>
      <c r="G2641" s="2">
        <f t="shared" ref="G2641" si="1242">F2641+1</f>
        <v>2014</v>
      </c>
      <c r="H2641" s="2">
        <f t="shared" ref="H2641" si="1243">G2641+1</f>
        <v>2015</v>
      </c>
      <c r="I2641" s="2">
        <f t="shared" ref="I2641" si="1244">H2641+1</f>
        <v>2016</v>
      </c>
      <c r="J2641" s="2">
        <f t="shared" ref="J2641" si="1245">I2641+1</f>
        <v>2017</v>
      </c>
      <c r="K2641" s="2">
        <f t="shared" ref="K2641" si="1246">J2641+1</f>
        <v>2018</v>
      </c>
      <c r="L2641" s="2">
        <f t="shared" ref="L2641" si="1247">K2641+1</f>
        <v>2019</v>
      </c>
      <c r="M2641" s="2">
        <f t="shared" ref="M2641" si="1248">L2641+1</f>
        <v>2020</v>
      </c>
      <c r="N2641" s="2">
        <f t="shared" ref="N2641" si="1249">M2641+1</f>
        <v>2021</v>
      </c>
      <c r="O2641" s="30"/>
    </row>
    <row r="2642" spans="1:15">
      <c r="B2642" s="79" t="s">
        <v>68</v>
      </c>
      <c r="C2642" s="30"/>
      <c r="D2642" s="3"/>
      <c r="E2642" s="60">
        <f>D2642</f>
        <v>0</v>
      </c>
      <c r="F2642" s="131"/>
      <c r="G2642" s="131"/>
      <c r="H2642" s="131"/>
      <c r="I2642" s="131"/>
      <c r="J2642" s="131"/>
      <c r="K2642" s="131"/>
      <c r="L2642" s="131"/>
      <c r="M2642" s="131"/>
      <c r="N2642" s="131"/>
      <c r="O2642" s="30"/>
    </row>
    <row r="2643" spans="1:15">
      <c r="B2643" s="79" t="s">
        <v>69</v>
      </c>
      <c r="C2643" s="30"/>
      <c r="D2643" s="164">
        <f>E2643</f>
        <v>0</v>
      </c>
      <c r="E2643" s="10"/>
      <c r="F2643" s="74"/>
      <c r="G2643" s="74"/>
      <c r="H2643" s="74"/>
      <c r="I2643" s="74"/>
      <c r="J2643" s="74"/>
      <c r="K2643" s="74"/>
      <c r="L2643" s="74"/>
      <c r="M2643" s="74"/>
      <c r="N2643" s="74"/>
      <c r="O2643" s="30"/>
    </row>
    <row r="2644" spans="1:15">
      <c r="B2644" s="79" t="s">
        <v>70</v>
      </c>
      <c r="C2644" s="30"/>
      <c r="D2644" s="62"/>
      <c r="E2644" s="10"/>
      <c r="F2644" s="70">
        <f>E2644</f>
        <v>0</v>
      </c>
      <c r="G2644" s="74"/>
      <c r="H2644" s="74"/>
      <c r="I2644" s="74"/>
      <c r="J2644" s="74"/>
      <c r="K2644" s="74"/>
      <c r="L2644" s="74"/>
      <c r="M2644" s="74"/>
      <c r="N2644" s="74"/>
      <c r="O2644" s="30"/>
    </row>
    <row r="2645" spans="1:15">
      <c r="B2645" s="79" t="s">
        <v>71</v>
      </c>
      <c r="C2645" s="30"/>
      <c r="D2645" s="62"/>
      <c r="E2645" s="70">
        <f>F2645</f>
        <v>0</v>
      </c>
      <c r="F2645" s="163"/>
      <c r="G2645" s="74"/>
      <c r="H2645" s="74"/>
      <c r="I2645" s="74"/>
      <c r="J2645" s="74"/>
      <c r="K2645" s="74"/>
      <c r="L2645" s="74"/>
      <c r="M2645" s="74"/>
      <c r="N2645" s="74"/>
      <c r="O2645" s="30"/>
    </row>
    <row r="2646" spans="1:15">
      <c r="B2646" s="79" t="s">
        <v>171</v>
      </c>
      <c r="C2646" s="30"/>
      <c r="D2646" s="62"/>
      <c r="E2646" s="148"/>
      <c r="F2646" s="10"/>
      <c r="G2646" s="149">
        <f>F2646</f>
        <v>0</v>
      </c>
      <c r="H2646" s="74"/>
      <c r="I2646" s="74"/>
      <c r="J2646" s="74"/>
      <c r="K2646" s="74"/>
      <c r="L2646" s="74"/>
      <c r="M2646" s="74"/>
      <c r="N2646" s="74"/>
      <c r="O2646" s="30"/>
    </row>
    <row r="2647" spans="1:15">
      <c r="B2647" s="79" t="s">
        <v>172</v>
      </c>
      <c r="C2647" s="30"/>
      <c r="D2647" s="62"/>
      <c r="E2647" s="148"/>
      <c r="F2647" s="70">
        <f>G2647</f>
        <v>0</v>
      </c>
      <c r="G2647" s="10"/>
      <c r="H2647" s="74"/>
      <c r="I2647" s="74"/>
      <c r="J2647" s="74" t="s">
        <v>170</v>
      </c>
      <c r="K2647" s="74" t="s">
        <v>170</v>
      </c>
      <c r="L2647" s="74"/>
      <c r="M2647" s="74"/>
      <c r="N2647" s="74"/>
      <c r="O2647" s="30"/>
    </row>
    <row r="2648" spans="1:15">
      <c r="B2648" s="79" t="s">
        <v>173</v>
      </c>
      <c r="C2648" s="30"/>
      <c r="D2648" s="62"/>
      <c r="E2648" s="148"/>
      <c r="F2648" s="148"/>
      <c r="G2648" s="10"/>
      <c r="H2648" s="149">
        <f>G2648</f>
        <v>0</v>
      </c>
      <c r="I2648" s="148"/>
      <c r="J2648" s="74"/>
      <c r="K2648" s="74"/>
      <c r="L2648" s="74"/>
      <c r="M2648" s="74"/>
      <c r="N2648" s="74"/>
      <c r="O2648" s="30"/>
    </row>
    <row r="2649" spans="1:15">
      <c r="B2649" s="79" t="s">
        <v>174</v>
      </c>
      <c r="C2649" s="30"/>
      <c r="D2649" s="62"/>
      <c r="E2649" s="148"/>
      <c r="F2649" s="148"/>
      <c r="G2649" s="70">
        <f>H2649</f>
        <v>0</v>
      </c>
      <c r="H2649" s="10"/>
      <c r="I2649" s="148"/>
      <c r="J2649" s="74"/>
      <c r="K2649" s="74"/>
      <c r="L2649" s="74"/>
      <c r="M2649" s="74"/>
      <c r="N2649" s="74"/>
      <c r="O2649" s="30"/>
    </row>
    <row r="2650" spans="1:15">
      <c r="B2650" s="79" t="s">
        <v>175</v>
      </c>
      <c r="C2650" s="30"/>
      <c r="D2650" s="62"/>
      <c r="E2650" s="148"/>
      <c r="F2650" s="148"/>
      <c r="G2650" s="148"/>
      <c r="H2650" s="10">
        <f>H2628</f>
        <v>0</v>
      </c>
      <c r="I2650" s="149">
        <f>H2650</f>
        <v>0</v>
      </c>
      <c r="J2650" s="74"/>
      <c r="K2650" s="74"/>
      <c r="L2650" s="74"/>
      <c r="M2650" s="74"/>
      <c r="N2650" s="74"/>
      <c r="O2650" s="30"/>
    </row>
    <row r="2651" spans="1:15">
      <c r="B2651" s="79" t="s">
        <v>176</v>
      </c>
      <c r="C2651" s="30"/>
      <c r="D2651" s="62"/>
      <c r="E2651" s="148"/>
      <c r="F2651" s="148"/>
      <c r="G2651" s="148"/>
      <c r="H2651" s="70">
        <f>I2651</f>
        <v>0</v>
      </c>
      <c r="I2651" s="10"/>
      <c r="J2651" s="74"/>
      <c r="K2651" s="74"/>
      <c r="L2651" s="74"/>
      <c r="M2651" s="74"/>
      <c r="N2651" s="74"/>
      <c r="O2651" s="30"/>
    </row>
    <row r="2652" spans="1:15">
      <c r="B2652" s="79" t="s">
        <v>177</v>
      </c>
      <c r="C2652" s="30"/>
      <c r="D2652" s="62"/>
      <c r="E2652" s="148"/>
      <c r="F2652" s="148"/>
      <c r="G2652" s="148"/>
      <c r="H2652" s="148"/>
      <c r="I2652" s="257">
        <f>I2628</f>
        <v>0</v>
      </c>
      <c r="J2652" s="258">
        <f>I2652</f>
        <v>0</v>
      </c>
      <c r="K2652" s="74"/>
      <c r="L2652" s="74"/>
      <c r="M2652" s="74"/>
      <c r="N2652" s="74"/>
      <c r="O2652" s="30"/>
    </row>
    <row r="2653" spans="1:15">
      <c r="B2653" s="79" t="s">
        <v>168</v>
      </c>
      <c r="C2653" s="30"/>
      <c r="D2653" s="62"/>
      <c r="E2653" s="148"/>
      <c r="F2653" s="148"/>
      <c r="G2653" s="148"/>
      <c r="H2653" s="148"/>
      <c r="I2653" s="208"/>
      <c r="J2653" s="151"/>
      <c r="K2653" s="74"/>
      <c r="L2653" s="74"/>
      <c r="M2653" s="74"/>
      <c r="N2653" s="74"/>
      <c r="O2653" s="30"/>
    </row>
    <row r="2654" spans="1:15">
      <c r="B2654" s="79" t="s">
        <v>169</v>
      </c>
      <c r="C2654" s="30"/>
      <c r="D2654" s="62"/>
      <c r="E2654" s="148"/>
      <c r="F2654" s="148"/>
      <c r="G2654" s="148"/>
      <c r="H2654" s="148"/>
      <c r="I2654" s="148"/>
      <c r="J2654" s="151">
        <v>0</v>
      </c>
      <c r="K2654" s="150">
        <f>J2654</f>
        <v>0</v>
      </c>
      <c r="L2654" s="74"/>
      <c r="M2654" s="74"/>
      <c r="N2654" s="74"/>
      <c r="O2654" s="30"/>
    </row>
    <row r="2655" spans="1:15">
      <c r="B2655" s="79" t="s">
        <v>186</v>
      </c>
      <c r="C2655" s="30"/>
      <c r="D2655" s="62"/>
      <c r="E2655" s="148"/>
      <c r="F2655" s="148"/>
      <c r="G2655" s="148"/>
      <c r="H2655" s="148"/>
      <c r="I2655" s="148"/>
      <c r="J2655" s="228"/>
      <c r="K2655" s="151"/>
      <c r="L2655" s="74"/>
      <c r="M2655" s="74"/>
      <c r="N2655" s="74"/>
      <c r="O2655" s="30"/>
    </row>
    <row r="2656" spans="1:15">
      <c r="B2656" s="79" t="s">
        <v>187</v>
      </c>
      <c r="C2656" s="30"/>
      <c r="D2656" s="62"/>
      <c r="E2656" s="148"/>
      <c r="F2656" s="148"/>
      <c r="G2656" s="148"/>
      <c r="H2656" s="148"/>
      <c r="I2656" s="148"/>
      <c r="J2656" s="148"/>
      <c r="K2656" s="151">
        <v>0</v>
      </c>
      <c r="L2656" s="150">
        <f>K2656</f>
        <v>0</v>
      </c>
      <c r="M2656" s="74"/>
      <c r="N2656" s="74"/>
      <c r="O2656" s="30"/>
    </row>
    <row r="2657" spans="1:15">
      <c r="B2657" s="79" t="s">
        <v>188</v>
      </c>
      <c r="C2657" s="30"/>
      <c r="D2657" s="62"/>
      <c r="E2657" s="148"/>
      <c r="F2657" s="148"/>
      <c r="G2657" s="148"/>
      <c r="H2657" s="148"/>
      <c r="I2657" s="148"/>
      <c r="J2657" s="148"/>
      <c r="K2657" s="150"/>
      <c r="L2657" s="151"/>
      <c r="M2657" s="74"/>
      <c r="N2657" s="74"/>
      <c r="O2657" s="30"/>
    </row>
    <row r="2658" spans="1:15">
      <c r="B2658" s="79" t="s">
        <v>189</v>
      </c>
      <c r="C2658" s="30"/>
      <c r="D2658" s="62"/>
      <c r="E2658" s="148"/>
      <c r="F2658" s="148"/>
      <c r="G2658" s="148"/>
      <c r="H2658" s="148"/>
      <c r="I2658" s="148"/>
      <c r="J2658" s="148"/>
      <c r="K2658" s="148"/>
      <c r="L2658" s="151"/>
      <c r="M2658" s="150">
        <f>K2658</f>
        <v>0</v>
      </c>
      <c r="N2658" s="74">
        <f>L2658</f>
        <v>0</v>
      </c>
      <c r="O2658" s="30"/>
    </row>
    <row r="2659" spans="1:15">
      <c r="B2659" s="79" t="s">
        <v>190</v>
      </c>
      <c r="C2659" s="30"/>
      <c r="D2659" s="62"/>
      <c r="E2659" s="148"/>
      <c r="F2659" s="148"/>
      <c r="G2659" s="148"/>
      <c r="H2659" s="148"/>
      <c r="I2659" s="148"/>
      <c r="J2659" s="148"/>
      <c r="K2659" s="148"/>
      <c r="L2659" s="150">
        <f>M2628</f>
        <v>0</v>
      </c>
      <c r="M2659" s="151">
        <f>L2659</f>
        <v>0</v>
      </c>
      <c r="N2659" s="74"/>
    </row>
    <row r="2660" spans="1:15">
      <c r="B2660" s="79" t="s">
        <v>191</v>
      </c>
      <c r="C2660" s="30"/>
      <c r="D2660" s="62"/>
      <c r="E2660" s="148"/>
      <c r="F2660" s="148"/>
      <c r="G2660" s="148"/>
      <c r="H2660" s="148"/>
      <c r="I2660" s="148"/>
      <c r="J2660" s="148"/>
      <c r="K2660" s="148"/>
      <c r="L2660" s="148"/>
      <c r="M2660" s="151"/>
      <c r="N2660" s="150">
        <f>M2660</f>
        <v>0</v>
      </c>
    </row>
    <row r="2661" spans="1:15">
      <c r="B2661" s="79" t="s">
        <v>201</v>
      </c>
      <c r="C2661" s="30"/>
      <c r="D2661" s="62"/>
      <c r="E2661" s="148"/>
      <c r="F2661" s="148"/>
      <c r="G2661" s="148"/>
      <c r="H2661" s="148"/>
      <c r="I2661" s="148"/>
      <c r="J2661" s="148"/>
      <c r="K2661" s="148"/>
      <c r="L2661" s="148"/>
      <c r="M2661" s="150"/>
      <c r="N2661" s="151"/>
    </row>
    <row r="2662" spans="1:15">
      <c r="B2662" s="79" t="s">
        <v>202</v>
      </c>
      <c r="C2662" s="30"/>
      <c r="D2662" s="63"/>
      <c r="E2662" s="133"/>
      <c r="F2662" s="133"/>
      <c r="G2662" s="133"/>
      <c r="H2662" s="133"/>
      <c r="I2662" s="133"/>
      <c r="J2662" s="133"/>
      <c r="K2662" s="133"/>
      <c r="L2662" s="133"/>
      <c r="M2662" s="133"/>
      <c r="N2662" s="153"/>
    </row>
    <row r="2663" spans="1:15">
      <c r="B2663" s="33" t="s">
        <v>17</v>
      </c>
      <c r="D2663" s="180">
        <f xml:space="preserve"> D2643 - D2642</f>
        <v>0</v>
      </c>
      <c r="E2663" s="180">
        <f xml:space="preserve"> E2642 + E2645 - E2644 - E2643</f>
        <v>0</v>
      </c>
      <c r="F2663" s="180">
        <f>F2644 - F2645 -F2646</f>
        <v>0</v>
      </c>
      <c r="G2663" s="180">
        <f>G2646-G2647-G2648</f>
        <v>0</v>
      </c>
      <c r="H2663" s="180">
        <f>H2648-H2649-H2650</f>
        <v>0</v>
      </c>
      <c r="I2663" s="180">
        <f>I2650-I2651-I2652</f>
        <v>0</v>
      </c>
      <c r="J2663" s="180">
        <f>J2652-J2653-J2654</f>
        <v>0</v>
      </c>
      <c r="K2663" s="180">
        <f>K2654-K2655-K2656</f>
        <v>0</v>
      </c>
      <c r="L2663" s="180">
        <f>L2656-L2657-L2658</f>
        <v>0</v>
      </c>
      <c r="M2663" s="180">
        <f>M2654</f>
        <v>0</v>
      </c>
      <c r="N2663" s="180">
        <f>N2654</f>
        <v>0</v>
      </c>
      <c r="O2663" s="30"/>
    </row>
    <row r="2664" spans="1:15">
      <c r="B2664" s="6"/>
      <c r="D2664" s="7"/>
      <c r="E2664" s="7"/>
      <c r="F2664" s="7"/>
      <c r="G2664" s="7"/>
      <c r="H2664" s="7"/>
      <c r="I2664" s="7"/>
      <c r="J2664" s="7"/>
      <c r="K2664" s="7"/>
      <c r="L2664" s="7"/>
      <c r="M2664" s="7"/>
      <c r="N2664" s="7"/>
      <c r="O2664" s="30"/>
    </row>
    <row r="2665" spans="1:15">
      <c r="B2665" s="76" t="s">
        <v>12</v>
      </c>
      <c r="C2665" s="71"/>
      <c r="D2665" s="99"/>
      <c r="E2665" s="100"/>
      <c r="F2665" s="100"/>
      <c r="G2665" s="100"/>
      <c r="H2665" s="100"/>
      <c r="I2665" s="100"/>
      <c r="J2665" s="100"/>
      <c r="K2665" s="100"/>
      <c r="L2665" s="100"/>
      <c r="M2665" s="101"/>
      <c r="N2665" s="101"/>
      <c r="O2665" s="30"/>
    </row>
    <row r="2666" spans="1:15">
      <c r="B2666" s="6"/>
      <c r="D2666" s="7"/>
      <c r="E2666" s="7"/>
      <c r="F2666" s="7"/>
      <c r="G2666" s="7"/>
      <c r="H2666" s="7"/>
      <c r="I2666" s="7"/>
      <c r="J2666" s="7"/>
      <c r="K2666" s="7"/>
      <c r="L2666" s="7"/>
      <c r="M2666" s="7"/>
      <c r="N2666" s="7"/>
      <c r="O2666" s="30"/>
    </row>
    <row r="2667" spans="1:15" ht="18.5">
      <c r="A2667" s="41" t="s">
        <v>26</v>
      </c>
      <c r="C2667" s="71"/>
      <c r="D2667" s="43">
        <f t="shared" ref="D2667:N2667" si="1250" xml:space="preserve"> D2628 + D2633 - D2639 + D2663 + D2665</f>
        <v>0</v>
      </c>
      <c r="E2667" s="44">
        <f t="shared" si="1250"/>
        <v>0</v>
      </c>
      <c r="F2667" s="44">
        <f t="shared" si="1250"/>
        <v>0</v>
      </c>
      <c r="G2667" s="44">
        <f t="shared" si="1250"/>
        <v>0</v>
      </c>
      <c r="H2667" s="161">
        <f t="shared" si="1250"/>
        <v>0</v>
      </c>
      <c r="I2667" s="161">
        <f t="shared" si="1250"/>
        <v>0</v>
      </c>
      <c r="J2667" s="161">
        <f t="shared" si="1250"/>
        <v>0</v>
      </c>
      <c r="K2667" s="161">
        <f t="shared" si="1250"/>
        <v>0</v>
      </c>
      <c r="L2667" s="161">
        <f t="shared" si="1250"/>
        <v>0</v>
      </c>
      <c r="M2667" s="161">
        <f t="shared" si="1250"/>
        <v>0</v>
      </c>
      <c r="N2667" s="161">
        <f t="shared" si="1250"/>
        <v>6954</v>
      </c>
      <c r="O2667" s="30"/>
    </row>
    <row r="2668" spans="1:15">
      <c r="B2668" s="6"/>
      <c r="D2668" s="7"/>
      <c r="E2668" s="7"/>
      <c r="F2668" s="7"/>
      <c r="G2668" s="28"/>
      <c r="H2668" s="28"/>
      <c r="I2668" s="28"/>
      <c r="J2668" s="28"/>
      <c r="K2668" s="28"/>
      <c r="L2668" s="28"/>
      <c r="M2668" s="28"/>
      <c r="N2668" s="28"/>
      <c r="O2668" s="30"/>
    </row>
    <row r="2669" spans="1:15" ht="15" thickBot="1">
      <c r="O2669" s="30"/>
    </row>
    <row r="2670" spans="1:15">
      <c r="A2670" s="8"/>
      <c r="B2670" s="8"/>
      <c r="C2670" s="8"/>
      <c r="D2670" s="8"/>
      <c r="E2670" s="8"/>
      <c r="F2670" s="8"/>
      <c r="G2670" s="8"/>
      <c r="H2670" s="8"/>
      <c r="I2670" s="8"/>
      <c r="J2670" s="8"/>
      <c r="K2670" s="8"/>
      <c r="L2670" s="8"/>
      <c r="M2670" s="8"/>
      <c r="N2670" s="8"/>
    </row>
    <row r="2671" spans="1:15" ht="15" thickBot="1"/>
    <row r="2672" spans="1:15" ht="21.5" thickBot="1">
      <c r="A2672" s="13" t="s">
        <v>4</v>
      </c>
      <c r="B2672" s="13"/>
      <c r="C2672" s="343" t="str">
        <f>B57</f>
        <v>SPI Aberdeen - REC Only</v>
      </c>
      <c r="D2672" s="344"/>
    </row>
    <row r="2674" spans="1:14" ht="18.5">
      <c r="A2674" s="9" t="s">
        <v>21</v>
      </c>
      <c r="B2674" s="9"/>
      <c r="D2674" s="2">
        <f>'Facility Detail'!$B$3082</f>
        <v>2011</v>
      </c>
      <c r="E2674" s="2">
        <f>D2674+1</f>
        <v>2012</v>
      </c>
      <c r="F2674" s="2">
        <f>E2674+1</f>
        <v>2013</v>
      </c>
      <c r="G2674" s="2">
        <f t="shared" ref="G2674:N2674" si="1251">F2674+1</f>
        <v>2014</v>
      </c>
      <c r="H2674" s="2">
        <f t="shared" si="1251"/>
        <v>2015</v>
      </c>
      <c r="I2674" s="2">
        <f t="shared" si="1251"/>
        <v>2016</v>
      </c>
      <c r="J2674" s="2">
        <f t="shared" si="1251"/>
        <v>2017</v>
      </c>
      <c r="K2674" s="2">
        <f t="shared" si="1251"/>
        <v>2018</v>
      </c>
      <c r="L2674" s="2">
        <f t="shared" si="1251"/>
        <v>2019</v>
      </c>
      <c r="M2674" s="2">
        <f t="shared" si="1251"/>
        <v>2020</v>
      </c>
      <c r="N2674" s="2">
        <f t="shared" si="1251"/>
        <v>2021</v>
      </c>
    </row>
    <row r="2675" spans="1:14">
      <c r="B2675" s="326" t="str">
        <f>"Total MWh Produced / Purchased from " &amp; C2672</f>
        <v>Total MWh Produced / Purchased from SPI Aberdeen - REC Only</v>
      </c>
      <c r="C2675" s="71"/>
      <c r="D2675" s="3"/>
      <c r="E2675" s="4"/>
      <c r="F2675" s="4"/>
      <c r="G2675" s="4"/>
      <c r="H2675" s="4">
        <v>40000</v>
      </c>
      <c r="I2675" s="4"/>
      <c r="J2675" s="4"/>
      <c r="K2675" s="4"/>
      <c r="L2675" s="4"/>
      <c r="M2675" s="4"/>
      <c r="N2675" s="4"/>
    </row>
    <row r="2676" spans="1:14">
      <c r="B2676" s="326" t="s">
        <v>25</v>
      </c>
      <c r="C2676" s="71"/>
      <c r="D2676" s="54"/>
      <c r="E2676" s="55"/>
      <c r="F2676" s="55"/>
      <c r="G2676" s="55"/>
      <c r="H2676" s="55">
        <v>1</v>
      </c>
      <c r="I2676" s="55"/>
      <c r="J2676" s="55"/>
      <c r="K2676" s="55"/>
      <c r="L2676" s="55"/>
      <c r="M2676" s="55"/>
      <c r="N2676" s="55"/>
    </row>
    <row r="2677" spans="1:14">
      <c r="B2677" s="326" t="s">
        <v>20</v>
      </c>
      <c r="C2677" s="71"/>
      <c r="D2677" s="48"/>
      <c r="E2677" s="49"/>
      <c r="F2677" s="49"/>
      <c r="G2677" s="49"/>
      <c r="H2677" s="49">
        <v>1</v>
      </c>
      <c r="I2677" s="49"/>
      <c r="J2677" s="49"/>
      <c r="K2677" s="49"/>
      <c r="L2677" s="49"/>
      <c r="M2677" s="49"/>
      <c r="N2677" s="49"/>
    </row>
    <row r="2678" spans="1:14">
      <c r="B2678" s="33" t="s">
        <v>22</v>
      </c>
      <c r="C2678" s="6"/>
      <c r="D2678" s="37">
        <f xml:space="preserve"> D2675 * D2676 * D2677</f>
        <v>0</v>
      </c>
      <c r="E2678" s="37">
        <f xml:space="preserve"> E2675 * E2676 * E2677</f>
        <v>0</v>
      </c>
      <c r="F2678" s="37">
        <f xml:space="preserve"> F2675 * F2676 * F2677</f>
        <v>0</v>
      </c>
      <c r="G2678" s="37">
        <f t="shared" ref="G2678:N2678" si="1252" xml:space="preserve"> G2675 * G2676 * G2677</f>
        <v>0</v>
      </c>
      <c r="H2678" s="37">
        <v>40000</v>
      </c>
      <c r="I2678" s="37">
        <f t="shared" si="1252"/>
        <v>0</v>
      </c>
      <c r="J2678" s="37">
        <f t="shared" si="1252"/>
        <v>0</v>
      </c>
      <c r="K2678" s="37">
        <f t="shared" si="1252"/>
        <v>0</v>
      </c>
      <c r="L2678" s="37">
        <f t="shared" si="1252"/>
        <v>0</v>
      </c>
      <c r="M2678" s="37">
        <f t="shared" si="1252"/>
        <v>0</v>
      </c>
      <c r="N2678" s="37">
        <f t="shared" si="1252"/>
        <v>0</v>
      </c>
    </row>
    <row r="2679" spans="1:14">
      <c r="D2679" s="36"/>
      <c r="E2679" s="36"/>
      <c r="F2679" s="36"/>
      <c r="G2679" s="36"/>
      <c r="H2679" s="36"/>
      <c r="I2679" s="36"/>
      <c r="J2679" s="36"/>
      <c r="K2679" s="36"/>
      <c r="L2679" s="36"/>
      <c r="M2679" s="36"/>
      <c r="N2679" s="36"/>
    </row>
    <row r="2680" spans="1:14" ht="18.5">
      <c r="A2680" s="9" t="s">
        <v>119</v>
      </c>
      <c r="D2680" s="2">
        <f>'Facility Detail'!$B$3082</f>
        <v>2011</v>
      </c>
      <c r="E2680" s="2">
        <f>D2680+1</f>
        <v>2012</v>
      </c>
      <c r="F2680" s="2">
        <f>E2680+1</f>
        <v>2013</v>
      </c>
      <c r="G2680" s="2">
        <f t="shared" ref="G2680:J2680" si="1253">F2680+1</f>
        <v>2014</v>
      </c>
      <c r="H2680" s="2">
        <f t="shared" si="1253"/>
        <v>2015</v>
      </c>
      <c r="I2680" s="2">
        <f t="shared" si="1253"/>
        <v>2016</v>
      </c>
      <c r="J2680" s="2">
        <f t="shared" si="1253"/>
        <v>2017</v>
      </c>
      <c r="K2680" s="2">
        <f>K2674</f>
        <v>2018</v>
      </c>
      <c r="L2680" s="2">
        <f t="shared" ref="L2680:N2680" si="1254">L2674</f>
        <v>2019</v>
      </c>
      <c r="M2680" s="2">
        <f t="shared" si="1254"/>
        <v>2020</v>
      </c>
      <c r="N2680" s="2">
        <f t="shared" si="1254"/>
        <v>2021</v>
      </c>
    </row>
    <row r="2681" spans="1:14">
      <c r="B2681" s="326" t="s">
        <v>10</v>
      </c>
      <c r="C2681" s="71"/>
      <c r="D2681" s="51">
        <f>IF($E57= "Eligible", D2678 * 'Facility Detail'!$B$3079, 0 )</f>
        <v>0</v>
      </c>
      <c r="E2681" s="11">
        <f>IF( $E1544 = "Eligible", E2678 * '[1]Facility Detail'!$B$1914, 0 )</f>
        <v>0</v>
      </c>
      <c r="F2681" s="11">
        <f>IF( $E1544 = "Eligible", F2678 * '[1]Facility Detail'!$B$1914, 0 )</f>
        <v>0</v>
      </c>
      <c r="G2681" s="11">
        <f>IF( $E1544 = "Eligible", G2678 * '[1]Facility Detail'!$B$1914, 0 )</f>
        <v>0</v>
      </c>
      <c r="H2681" s="345">
        <f>IF( $E1544 = "Eligible", H2678 * '[1]Facility Detail'!$B$1914, 0 )</f>
        <v>0</v>
      </c>
      <c r="I2681" s="345">
        <f>IF( $E1544 = "Eligible", I2678 * '[1]Facility Detail'!$B$1914, 0 )</f>
        <v>0</v>
      </c>
      <c r="J2681" s="345">
        <f>IF( $E1544 = "Eligible", J2678 * '[1]Facility Detail'!$B$1914, 0 )</f>
        <v>0</v>
      </c>
      <c r="K2681" s="345"/>
      <c r="L2681" s="345"/>
      <c r="M2681" s="345"/>
      <c r="N2681" s="345"/>
    </row>
    <row r="2682" spans="1:14">
      <c r="B2682" s="326" t="s">
        <v>6</v>
      </c>
      <c r="C2682" s="71"/>
      <c r="D2682" s="52">
        <f>IF($F57= "Eligible", D2678, 0 )</f>
        <v>0</v>
      </c>
      <c r="E2682" s="329">
        <f t="shared" ref="E2682:J2682" si="1255">IF( $F1544 = "Eligible", E2678, 0 )</f>
        <v>0</v>
      </c>
      <c r="F2682" s="329">
        <f t="shared" si="1255"/>
        <v>0</v>
      </c>
      <c r="G2682" s="329">
        <f t="shared" si="1255"/>
        <v>0</v>
      </c>
      <c r="H2682" s="346">
        <f t="shared" si="1255"/>
        <v>0</v>
      </c>
      <c r="I2682" s="346">
        <f t="shared" si="1255"/>
        <v>0</v>
      </c>
      <c r="J2682" s="346">
        <f t="shared" si="1255"/>
        <v>0</v>
      </c>
      <c r="K2682" s="346"/>
      <c r="L2682" s="346"/>
      <c r="M2682" s="346"/>
      <c r="N2682" s="346"/>
    </row>
    <row r="2683" spans="1:14">
      <c r="B2683" s="33" t="s">
        <v>121</v>
      </c>
      <c r="C2683" s="6"/>
      <c r="D2683" s="39">
        <f>SUM(D2681:D2682)</f>
        <v>0</v>
      </c>
      <c r="E2683" s="40">
        <f>SUM(E2681:E2682)</f>
        <v>0</v>
      </c>
      <c r="F2683" s="40">
        <f>SUM(F2681:F2682)</f>
        <v>0</v>
      </c>
      <c r="G2683" s="40">
        <f t="shared" ref="G2683:J2683" si="1256">SUM(G2681:G2682)</f>
        <v>0</v>
      </c>
      <c r="H2683" s="40">
        <f t="shared" si="1256"/>
        <v>0</v>
      </c>
      <c r="I2683" s="40">
        <f t="shared" si="1256"/>
        <v>0</v>
      </c>
      <c r="J2683" s="40">
        <f t="shared" si="1256"/>
        <v>0</v>
      </c>
      <c r="K2683" s="40"/>
      <c r="L2683" s="40"/>
      <c r="M2683" s="40"/>
      <c r="N2683" s="40"/>
    </row>
    <row r="2684" spans="1:14">
      <c r="D2684" s="38"/>
      <c r="E2684" s="31"/>
      <c r="F2684" s="31"/>
      <c r="G2684" s="31"/>
      <c r="H2684" s="31"/>
      <c r="I2684" s="31"/>
      <c r="J2684" s="31"/>
      <c r="K2684" s="31"/>
      <c r="L2684" s="31"/>
      <c r="M2684" s="31"/>
      <c r="N2684" s="31"/>
    </row>
    <row r="2685" spans="1:14" ht="18.5">
      <c r="A2685" s="9" t="s">
        <v>30</v>
      </c>
      <c r="D2685" s="2">
        <f>'Facility Detail'!$B$3082</f>
        <v>2011</v>
      </c>
      <c r="E2685" s="2">
        <f>D2685+1</f>
        <v>2012</v>
      </c>
      <c r="F2685" s="2">
        <f>E2685+1</f>
        <v>2013</v>
      </c>
      <c r="G2685" s="2">
        <f t="shared" ref="G2685:J2685" si="1257">F2685+1</f>
        <v>2014</v>
      </c>
      <c r="H2685" s="2">
        <f t="shared" si="1257"/>
        <v>2015</v>
      </c>
      <c r="I2685" s="2">
        <f t="shared" si="1257"/>
        <v>2016</v>
      </c>
      <c r="J2685" s="2">
        <f t="shared" si="1257"/>
        <v>2017</v>
      </c>
      <c r="K2685" s="2">
        <f>K2674</f>
        <v>2018</v>
      </c>
      <c r="L2685" s="2">
        <f t="shared" ref="L2685:N2685" si="1258">L2674</f>
        <v>2019</v>
      </c>
      <c r="M2685" s="2">
        <f t="shared" si="1258"/>
        <v>2020</v>
      </c>
      <c r="N2685" s="2">
        <f t="shared" si="1258"/>
        <v>2021</v>
      </c>
    </row>
    <row r="2686" spans="1:14">
      <c r="B2686" s="326" t="s">
        <v>47</v>
      </c>
      <c r="C2686" s="71"/>
      <c r="D2686" s="89"/>
      <c r="E2686" s="90"/>
      <c r="F2686" s="90"/>
      <c r="G2686" s="155"/>
      <c r="H2686" s="155"/>
      <c r="I2686" s="155"/>
      <c r="J2686" s="155"/>
      <c r="K2686" s="155"/>
      <c r="L2686" s="155"/>
      <c r="M2686" s="155"/>
      <c r="N2686" s="155"/>
    </row>
    <row r="2687" spans="1:14">
      <c r="B2687" s="330" t="s">
        <v>23</v>
      </c>
      <c r="C2687" s="331"/>
      <c r="D2687" s="92"/>
      <c r="E2687" s="93"/>
      <c r="F2687" s="93"/>
      <c r="G2687" s="156"/>
      <c r="H2687" s="156"/>
      <c r="I2687" s="156"/>
      <c r="J2687" s="156"/>
      <c r="K2687" s="156"/>
      <c r="L2687" s="156"/>
      <c r="M2687" s="156"/>
      <c r="N2687" s="156"/>
    </row>
    <row r="2688" spans="1:14">
      <c r="B2688" s="330" t="s">
        <v>89</v>
      </c>
      <c r="C2688" s="332"/>
      <c r="D2688" s="57"/>
      <c r="E2688" s="58"/>
      <c r="F2688" s="58"/>
      <c r="G2688" s="157"/>
      <c r="H2688" s="157"/>
      <c r="I2688" s="157"/>
      <c r="J2688" s="157"/>
      <c r="K2688" s="157"/>
      <c r="L2688" s="157"/>
      <c r="M2688" s="157"/>
      <c r="N2688" s="157"/>
    </row>
    <row r="2689" spans="1:14">
      <c r="B2689" s="33" t="s">
        <v>90</v>
      </c>
      <c r="D2689" s="7">
        <f>SUM(D2686:D2688)</f>
        <v>0</v>
      </c>
      <c r="E2689" s="7">
        <f>SUM(E2686:E2688)</f>
        <v>0</v>
      </c>
      <c r="F2689" s="7">
        <f>SUM(F2686:F2688)</f>
        <v>0</v>
      </c>
      <c r="G2689" s="7">
        <f t="shared" ref="G2689:J2689" si="1259">SUM(G2686:G2688)</f>
        <v>0</v>
      </c>
      <c r="H2689" s="7">
        <f t="shared" si="1259"/>
        <v>0</v>
      </c>
      <c r="I2689" s="7">
        <f t="shared" si="1259"/>
        <v>0</v>
      </c>
      <c r="J2689" s="7">
        <f t="shared" si="1259"/>
        <v>0</v>
      </c>
      <c r="K2689" s="7"/>
      <c r="L2689" s="7"/>
      <c r="M2689" s="7"/>
      <c r="N2689" s="7"/>
    </row>
    <row r="2690" spans="1:14">
      <c r="B2690" s="6"/>
      <c r="D2690" s="7"/>
      <c r="E2690" s="7"/>
      <c r="F2690" s="7"/>
      <c r="G2690" s="7"/>
      <c r="H2690" s="7"/>
      <c r="I2690" s="7"/>
      <c r="J2690" s="7"/>
      <c r="K2690" s="7"/>
      <c r="L2690" s="7"/>
      <c r="M2690" s="7"/>
      <c r="N2690" s="7"/>
    </row>
    <row r="2691" spans="1:14" ht="18.5">
      <c r="A2691" s="9" t="s">
        <v>100</v>
      </c>
      <c r="D2691" s="2">
        <f>'Facility Detail'!$B$3082</f>
        <v>2011</v>
      </c>
      <c r="E2691" s="2">
        <f>D2691+1</f>
        <v>2012</v>
      </c>
      <c r="F2691" s="2">
        <f>E2691+1</f>
        <v>2013</v>
      </c>
      <c r="G2691" s="2">
        <f t="shared" ref="G2691:J2691" si="1260">F2691+1</f>
        <v>2014</v>
      </c>
      <c r="H2691" s="2">
        <f t="shared" si="1260"/>
        <v>2015</v>
      </c>
      <c r="I2691" s="2">
        <f t="shared" si="1260"/>
        <v>2016</v>
      </c>
      <c r="J2691" s="2">
        <f t="shared" si="1260"/>
        <v>2017</v>
      </c>
      <c r="K2691" s="2">
        <f>K2674</f>
        <v>2018</v>
      </c>
      <c r="L2691" s="2">
        <f t="shared" ref="L2691:N2691" si="1261">L2674</f>
        <v>2019</v>
      </c>
      <c r="M2691" s="2">
        <f t="shared" si="1261"/>
        <v>2020</v>
      </c>
      <c r="N2691" s="2">
        <f t="shared" si="1261"/>
        <v>2021</v>
      </c>
    </row>
    <row r="2692" spans="1:14" ht="14.25" customHeight="1">
      <c r="A2692" s="9"/>
      <c r="B2692" s="326" t="str">
        <f xml:space="preserve"> '[1]Facility Detail'!$B$1917 &amp; " Surplus Applied to " &amp; ( '[1]Facility Detail'!$B$1917 + 1 )</f>
        <v>2011 Surplus Applied to 2012</v>
      </c>
      <c r="D2692" s="3"/>
      <c r="E2692" s="60">
        <f>D2692</f>
        <v>0</v>
      </c>
      <c r="F2692" s="131"/>
      <c r="G2692" s="131"/>
      <c r="H2692" s="131"/>
      <c r="I2692" s="131"/>
      <c r="J2692" s="131"/>
      <c r="K2692" s="131"/>
      <c r="L2692" s="131"/>
      <c r="M2692" s="131"/>
      <c r="N2692" s="131"/>
    </row>
    <row r="2693" spans="1:14" ht="14.25" customHeight="1">
      <c r="A2693" s="9"/>
      <c r="B2693" s="326" t="str">
        <f xml:space="preserve"> ( '[1]Facility Detail'!$B$1917 + 1 ) &amp; " Surplus Applied to " &amp; ( '[1]Facility Detail'!$B$1917 )</f>
        <v>2012 Surplus Applied to 2011</v>
      </c>
      <c r="D2693" s="164">
        <f>E2693</f>
        <v>0</v>
      </c>
      <c r="E2693" s="10"/>
      <c r="F2693" s="74"/>
      <c r="G2693" s="74"/>
      <c r="H2693" s="74"/>
      <c r="I2693" s="74"/>
      <c r="J2693" s="74"/>
      <c r="K2693" s="74"/>
      <c r="L2693" s="74"/>
      <c r="M2693" s="74"/>
      <c r="N2693" s="74"/>
    </row>
    <row r="2694" spans="1:14" ht="14.25" customHeight="1">
      <c r="A2694" s="9"/>
      <c r="B2694" s="326" t="str">
        <f xml:space="preserve"> ( '[1]Facility Detail'!$B$1917 + 1 ) &amp; " Surplus Applied to " &amp; ( '[1]Facility Detail'!$B$1917 + 2 )</f>
        <v>2012 Surplus Applied to 2013</v>
      </c>
      <c r="D2694" s="62"/>
      <c r="E2694" s="10">
        <f>E2678</f>
        <v>0</v>
      </c>
      <c r="F2694" s="70">
        <f>E2694</f>
        <v>0</v>
      </c>
      <c r="G2694" s="74"/>
      <c r="H2694" s="74"/>
      <c r="I2694" s="74"/>
      <c r="J2694" s="74"/>
      <c r="K2694" s="74"/>
      <c r="L2694" s="74"/>
      <c r="M2694" s="74"/>
      <c r="N2694" s="74"/>
    </row>
    <row r="2695" spans="1:14" ht="14.25" customHeight="1">
      <c r="A2695" s="9"/>
      <c r="B2695" s="326" t="str">
        <f xml:space="preserve"> ( '[1]Facility Detail'!$B$1917 + 2 ) &amp; " Surplus Applied to " &amp; ( '[1]Facility Detail'!$B$1917 + 1 )</f>
        <v>2013 Surplus Applied to 2012</v>
      </c>
      <c r="D2695" s="62"/>
      <c r="E2695" s="70">
        <f>F2695</f>
        <v>0</v>
      </c>
      <c r="F2695" s="163"/>
      <c r="G2695" s="74"/>
      <c r="H2695" s="74"/>
      <c r="I2695" s="74"/>
      <c r="J2695" s="74"/>
      <c r="K2695" s="74"/>
      <c r="L2695" s="74"/>
      <c r="M2695" s="74"/>
      <c r="N2695" s="74"/>
    </row>
    <row r="2696" spans="1:14" ht="14.25" customHeight="1">
      <c r="A2696" s="9"/>
      <c r="B2696" s="326" t="str">
        <f xml:space="preserve"> ( '[1]Facility Detail'!$B$1917 + 2 ) &amp; " Surplus Applied to " &amp; ( '[1]Facility Detail'!$B$1917 + 3 )</f>
        <v>2013 Surplus Applied to 2014</v>
      </c>
      <c r="D2696" s="62"/>
      <c r="E2696" s="148"/>
      <c r="F2696" s="10">
        <f>F2678</f>
        <v>0</v>
      </c>
      <c r="G2696" s="149">
        <f>F2696</f>
        <v>0</v>
      </c>
      <c r="H2696" s="74"/>
      <c r="I2696" s="74"/>
      <c r="J2696" s="74"/>
      <c r="K2696" s="74"/>
      <c r="L2696" s="74"/>
      <c r="M2696" s="74"/>
      <c r="N2696" s="74"/>
    </row>
    <row r="2697" spans="1:14" ht="14.25" customHeight="1">
      <c r="B2697" s="326" t="str">
        <f xml:space="preserve"> ( '[1]Facility Detail'!$B$1917 + 3 ) &amp; " Surplus Applied to " &amp; ( '[1]Facility Detail'!$B$1917 + 2 )</f>
        <v>2014 Surplus Applied to 2013</v>
      </c>
      <c r="D2697" s="62"/>
      <c r="E2697" s="148"/>
      <c r="F2697" s="70">
        <f>G2697</f>
        <v>0</v>
      </c>
      <c r="G2697" s="10"/>
      <c r="H2697" s="74"/>
      <c r="I2697" s="74"/>
      <c r="J2697" s="74"/>
      <c r="K2697" s="74"/>
      <c r="L2697" s="74"/>
      <c r="M2697" s="74"/>
      <c r="N2697" s="74"/>
    </row>
    <row r="2698" spans="1:14" ht="14.25" customHeight="1">
      <c r="B2698" s="326" t="str">
        <f xml:space="preserve"> ( '[1]Facility Detail'!$B$1917 + 3 ) &amp; " Surplus Applied to " &amp; ( '[1]Facility Detail'!$B$1917 + 4 )</f>
        <v>2014 Surplus Applied to 2015</v>
      </c>
      <c r="D2698" s="62"/>
      <c r="E2698" s="148"/>
      <c r="F2698" s="148"/>
      <c r="G2698" s="10">
        <f>G2678</f>
        <v>0</v>
      </c>
      <c r="H2698" s="149">
        <f>G2698</f>
        <v>0</v>
      </c>
      <c r="I2698" s="148">
        <f>H2698</f>
        <v>0</v>
      </c>
      <c r="J2698" s="148"/>
      <c r="K2698" s="148"/>
      <c r="L2698" s="148"/>
      <c r="M2698" s="148"/>
      <c r="N2698" s="148"/>
    </row>
    <row r="2699" spans="1:14" ht="14.25" customHeight="1">
      <c r="B2699" s="326" t="str">
        <f xml:space="preserve"> ( '[1]Facility Detail'!$B$1917 + 4 ) &amp; " Surplus Applied to " &amp; ( '[1]Facility Detail'!$B$1917 + 3 )</f>
        <v>2015 Surplus Applied to 2014</v>
      </c>
      <c r="D2699" s="62"/>
      <c r="E2699" s="148"/>
      <c r="F2699" s="148"/>
      <c r="G2699" s="150"/>
      <c r="H2699" s="151"/>
      <c r="I2699" s="148"/>
      <c r="J2699" s="148"/>
      <c r="K2699" s="148"/>
      <c r="L2699" s="148"/>
      <c r="M2699" s="148"/>
      <c r="N2699" s="148"/>
    </row>
    <row r="2700" spans="1:14" ht="14.25" customHeight="1">
      <c r="B2700" s="326" t="str">
        <f xml:space="preserve"> ( '[1]Facility Detail'!$B$1917 + 4 ) &amp; " Surplus Applied to " &amp; ( '[1]Facility Detail'!$B$1917 + 5 )</f>
        <v>2015 Surplus Applied to 2016</v>
      </c>
      <c r="D2700" s="62"/>
      <c r="E2700" s="148"/>
      <c r="F2700" s="148"/>
      <c r="G2700" s="148"/>
      <c r="H2700" s="151">
        <v>0</v>
      </c>
      <c r="I2700" s="149">
        <f>H2700</f>
        <v>0</v>
      </c>
      <c r="J2700" s="149"/>
      <c r="K2700" s="149"/>
      <c r="L2700" s="149"/>
      <c r="M2700" s="149"/>
      <c r="N2700" s="149"/>
    </row>
    <row r="2701" spans="1:14" ht="14.25" customHeight="1">
      <c r="B2701" s="326" t="str">
        <f xml:space="preserve"> ( '[1]Facility Detail'!$B$1917 + 5 ) &amp; " Surplus Applied to " &amp; ( '[1]Facility Detail'!$B$1917 + 4 )</f>
        <v>2016 Surplus Applied to 2015</v>
      </c>
      <c r="D2701" s="62"/>
      <c r="E2701" s="148"/>
      <c r="F2701" s="148"/>
      <c r="G2701" s="148"/>
      <c r="H2701" s="70"/>
      <c r="I2701" s="151"/>
      <c r="J2701" s="151"/>
      <c r="K2701" s="151"/>
      <c r="L2701" s="151"/>
      <c r="M2701" s="151"/>
      <c r="N2701" s="151"/>
    </row>
    <row r="2702" spans="1:14" ht="14.25" customHeight="1">
      <c r="B2702" s="326" t="str">
        <f xml:space="preserve"> ( '[1]Facility Detail'!$B$1917 + 5 ) &amp; " Surplus Applied to " &amp; ( '[1]Facility Detail'!$B$1917 + 6 )</f>
        <v>2016 Surplus Applied to 2017</v>
      </c>
      <c r="D2702" s="63"/>
      <c r="E2702" s="133"/>
      <c r="F2702" s="133"/>
      <c r="G2702" s="133"/>
      <c r="H2702" s="133"/>
      <c r="I2702" s="153">
        <f>I2678</f>
        <v>0</v>
      </c>
      <c r="J2702" s="153"/>
      <c r="K2702" s="153"/>
      <c r="L2702" s="153"/>
      <c r="M2702" s="153"/>
      <c r="N2702" s="153"/>
    </row>
    <row r="2703" spans="1:14">
      <c r="B2703" s="33" t="s">
        <v>17</v>
      </c>
      <c r="D2703" s="180">
        <f xml:space="preserve"> D2698 - D2697</f>
        <v>0</v>
      </c>
      <c r="E2703" s="180">
        <f xml:space="preserve"> E2697 + E2700 - E2699 - E2698</f>
        <v>0</v>
      </c>
      <c r="F2703" s="180">
        <f>F2699 - F2700</f>
        <v>0</v>
      </c>
      <c r="G2703" s="180">
        <f t="shared" ref="G2703:H2703" si="1262">G2699 - G2700</f>
        <v>0</v>
      </c>
      <c r="H2703" s="180">
        <f t="shared" si="1262"/>
        <v>0</v>
      </c>
      <c r="I2703" s="180">
        <f>I2700</f>
        <v>0</v>
      </c>
      <c r="J2703" s="180">
        <f>J2702</f>
        <v>0</v>
      </c>
      <c r="K2703" s="180">
        <f>K2702</f>
        <v>0</v>
      </c>
      <c r="L2703" s="180">
        <f t="shared" ref="L2703:N2703" si="1263">L2702</f>
        <v>0</v>
      </c>
      <c r="M2703" s="180">
        <f t="shared" si="1263"/>
        <v>0</v>
      </c>
      <c r="N2703" s="180">
        <f t="shared" si="1263"/>
        <v>0</v>
      </c>
    </row>
    <row r="2704" spans="1:14">
      <c r="B2704" s="6"/>
      <c r="D2704" s="7"/>
      <c r="E2704" s="7"/>
      <c r="F2704" s="7"/>
      <c r="G2704" s="7"/>
      <c r="H2704" s="7"/>
      <c r="I2704" s="7"/>
      <c r="J2704" s="7"/>
      <c r="K2704" s="7"/>
      <c r="L2704" s="7"/>
      <c r="M2704" s="7"/>
      <c r="N2704" s="7"/>
    </row>
    <row r="2705" spans="1:14">
      <c r="B2705" s="33" t="s">
        <v>12</v>
      </c>
      <c r="C2705" s="71"/>
      <c r="D2705" s="99"/>
      <c r="E2705" s="100"/>
      <c r="F2705" s="160"/>
      <c r="G2705" s="160"/>
      <c r="H2705" s="160"/>
      <c r="I2705" s="160"/>
      <c r="J2705" s="160"/>
      <c r="K2705" s="160"/>
      <c r="L2705" s="160"/>
      <c r="M2705" s="160"/>
      <c r="N2705" s="160"/>
    </row>
    <row r="2706" spans="1:14">
      <c r="B2706" s="6"/>
      <c r="D2706" s="7"/>
      <c r="E2706" s="7"/>
      <c r="F2706" s="7"/>
      <c r="G2706" s="7"/>
      <c r="H2706" s="7"/>
      <c r="I2706" s="7"/>
      <c r="J2706" s="7"/>
      <c r="K2706" s="7"/>
      <c r="L2706" s="7"/>
      <c r="M2706" s="7"/>
      <c r="N2706" s="7"/>
    </row>
    <row r="2707" spans="1:14" ht="18.5">
      <c r="A2707" s="9" t="s">
        <v>26</v>
      </c>
      <c r="C2707" s="71"/>
      <c r="D2707" s="43">
        <f xml:space="preserve"> D2678 + D2683 - D2689 + D2703 + D2705</f>
        <v>0</v>
      </c>
      <c r="E2707" s="44">
        <f xml:space="preserve"> E2678 + E2683 - E2689 + E2703 + E2705</f>
        <v>0</v>
      </c>
      <c r="F2707" s="161">
        <f xml:space="preserve"> F2678 + F2683 - F2689 + F2703 + F2705</f>
        <v>0</v>
      </c>
      <c r="G2707" s="161">
        <f t="shared" ref="G2707:N2707" si="1264" xml:space="preserve"> G2678 + G2683 - G2689 + G2703 + G2705</f>
        <v>0</v>
      </c>
      <c r="H2707" s="161">
        <f t="shared" si="1264"/>
        <v>40000</v>
      </c>
      <c r="I2707" s="161">
        <f t="shared" si="1264"/>
        <v>0</v>
      </c>
      <c r="J2707" s="161">
        <f t="shared" si="1264"/>
        <v>0</v>
      </c>
      <c r="K2707" s="161">
        <f t="shared" si="1264"/>
        <v>0</v>
      </c>
      <c r="L2707" s="161">
        <f t="shared" si="1264"/>
        <v>0</v>
      </c>
      <c r="M2707" s="161">
        <f t="shared" si="1264"/>
        <v>0</v>
      </c>
      <c r="N2707" s="161">
        <f t="shared" si="1264"/>
        <v>0</v>
      </c>
    </row>
    <row r="2708" spans="1:14">
      <c r="B2708" s="6"/>
      <c r="D2708" s="7"/>
      <c r="E2708" s="7"/>
      <c r="F2708" s="7"/>
      <c r="G2708" s="28"/>
      <c r="H2708" s="28"/>
      <c r="I2708" s="28"/>
      <c r="J2708" s="28"/>
      <c r="K2708" s="28"/>
      <c r="L2708" s="28"/>
      <c r="M2708" s="28"/>
      <c r="N2708" s="28"/>
    </row>
    <row r="2709" spans="1:14" ht="15" thickBot="1"/>
    <row r="2710" spans="1:14" ht="15" thickBot="1">
      <c r="A2710" s="8"/>
      <c r="B2710" s="8"/>
      <c r="C2710" s="8"/>
      <c r="D2710" s="8"/>
      <c r="E2710" s="8"/>
      <c r="F2710" s="8"/>
      <c r="G2710" s="8"/>
      <c r="H2710" s="8"/>
      <c r="I2710" s="8"/>
      <c r="J2710" s="8"/>
      <c r="K2710" s="8"/>
      <c r="L2710" s="8"/>
      <c r="M2710" s="8"/>
      <c r="N2710" s="8"/>
    </row>
    <row r="2711" spans="1:14" ht="21.5" thickBot="1">
      <c r="A2711" s="13" t="s">
        <v>4</v>
      </c>
      <c r="B2711" s="13"/>
      <c r="C2711" s="340" t="str">
        <f>B58</f>
        <v>Stateline (WA) - FPL Energy Vansycle LLC - REC Only</v>
      </c>
      <c r="D2711" s="341"/>
      <c r="E2711" s="348"/>
      <c r="F2711" s="342"/>
    </row>
    <row r="2713" spans="1:14" ht="18.5">
      <c r="A2713" s="9" t="s">
        <v>21</v>
      </c>
      <c r="B2713" s="9"/>
      <c r="D2713" s="2">
        <f>'Facility Detail'!$B$3082</f>
        <v>2011</v>
      </c>
      <c r="E2713" s="2">
        <f>D2713+1</f>
        <v>2012</v>
      </c>
      <c r="F2713" s="2">
        <f t="shared" ref="F2713:N2713" si="1265">E2713+1</f>
        <v>2013</v>
      </c>
      <c r="G2713" s="2">
        <f t="shared" si="1265"/>
        <v>2014</v>
      </c>
      <c r="H2713" s="2">
        <f t="shared" si="1265"/>
        <v>2015</v>
      </c>
      <c r="I2713" s="2">
        <f t="shared" si="1265"/>
        <v>2016</v>
      </c>
      <c r="J2713" s="2">
        <f t="shared" si="1265"/>
        <v>2017</v>
      </c>
      <c r="K2713" s="2">
        <f t="shared" si="1265"/>
        <v>2018</v>
      </c>
      <c r="L2713" s="2">
        <f t="shared" si="1265"/>
        <v>2019</v>
      </c>
      <c r="M2713" s="2">
        <f t="shared" si="1265"/>
        <v>2020</v>
      </c>
      <c r="N2713" s="2">
        <f t="shared" si="1265"/>
        <v>2021</v>
      </c>
    </row>
    <row r="2714" spans="1:14">
      <c r="B2714" s="326" t="str">
        <f>"Total MWh Produced / Purchased from " &amp; C2711</f>
        <v>Total MWh Produced / Purchased from Stateline (WA) - FPL Energy Vansycle LLC - REC Only</v>
      </c>
      <c r="C2714" s="71"/>
      <c r="D2714" s="3"/>
      <c r="E2714" s="4"/>
      <c r="F2714" s="4"/>
      <c r="G2714" s="4"/>
      <c r="H2714" s="230"/>
      <c r="I2714" s="230">
        <v>12946</v>
      </c>
      <c r="J2714" s="230"/>
      <c r="K2714" s="230"/>
      <c r="L2714" s="230"/>
      <c r="M2714" s="230"/>
      <c r="N2714" s="230"/>
    </row>
    <row r="2715" spans="1:14">
      <c r="B2715" s="326" t="s">
        <v>25</v>
      </c>
      <c r="C2715" s="71"/>
      <c r="D2715" s="54"/>
      <c r="E2715" s="55"/>
      <c r="F2715" s="55"/>
      <c r="G2715" s="55"/>
      <c r="H2715" s="234"/>
      <c r="I2715" s="234">
        <v>1</v>
      </c>
      <c r="J2715" s="234"/>
      <c r="K2715" s="234"/>
      <c r="L2715" s="234"/>
      <c r="M2715" s="234"/>
      <c r="N2715" s="234"/>
    </row>
    <row r="2716" spans="1:14">
      <c r="B2716" s="326" t="s">
        <v>20</v>
      </c>
      <c r="C2716" s="71"/>
      <c r="D2716" s="48"/>
      <c r="E2716" s="49"/>
      <c r="F2716" s="49"/>
      <c r="G2716" s="49"/>
      <c r="H2716" s="49"/>
      <c r="I2716" s="49">
        <v>1</v>
      </c>
      <c r="J2716" s="49"/>
      <c r="K2716" s="49"/>
      <c r="L2716" s="49"/>
      <c r="M2716" s="49"/>
      <c r="N2716" s="49"/>
    </row>
    <row r="2717" spans="1:14">
      <c r="B2717" s="33" t="s">
        <v>22</v>
      </c>
      <c r="C2717" s="6"/>
      <c r="D2717" s="37">
        <v>0</v>
      </c>
      <c r="E2717" s="37">
        <v>0</v>
      </c>
      <c r="F2717" s="37">
        <v>0</v>
      </c>
      <c r="G2717" s="37">
        <v>0</v>
      </c>
      <c r="H2717" s="37">
        <v>0</v>
      </c>
      <c r="I2717" s="229">
        <v>12946</v>
      </c>
      <c r="J2717" s="229">
        <v>0</v>
      </c>
      <c r="K2717" s="229">
        <v>0</v>
      </c>
      <c r="L2717" s="229">
        <v>0</v>
      </c>
      <c r="M2717" s="229">
        <v>0</v>
      </c>
      <c r="N2717" s="229">
        <v>0</v>
      </c>
    </row>
    <row r="2718" spans="1:14">
      <c r="D2718" s="36"/>
      <c r="E2718" s="36"/>
      <c r="F2718" s="36"/>
      <c r="G2718" s="36"/>
      <c r="H2718" s="36"/>
      <c r="I2718" s="24"/>
      <c r="J2718" s="24"/>
      <c r="K2718" s="24"/>
      <c r="L2718" s="24"/>
      <c r="M2718" s="24"/>
      <c r="N2718" s="24"/>
    </row>
    <row r="2719" spans="1:14" ht="18.5">
      <c r="A2719" s="9" t="s">
        <v>119</v>
      </c>
      <c r="D2719" s="2">
        <f>'Facility Detail'!$B$3082</f>
        <v>2011</v>
      </c>
      <c r="E2719" s="2">
        <f>D2719+1</f>
        <v>2012</v>
      </c>
      <c r="F2719" s="2">
        <f t="shared" ref="F2719:N2719" si="1266">E2719+1</f>
        <v>2013</v>
      </c>
      <c r="G2719" s="2">
        <f t="shared" si="1266"/>
        <v>2014</v>
      </c>
      <c r="H2719" s="2">
        <f t="shared" si="1266"/>
        <v>2015</v>
      </c>
      <c r="I2719" s="2">
        <f t="shared" si="1266"/>
        <v>2016</v>
      </c>
      <c r="J2719" s="2">
        <f t="shared" si="1266"/>
        <v>2017</v>
      </c>
      <c r="K2719" s="2">
        <f t="shared" si="1266"/>
        <v>2018</v>
      </c>
      <c r="L2719" s="2">
        <f t="shared" si="1266"/>
        <v>2019</v>
      </c>
      <c r="M2719" s="2">
        <f t="shared" si="1266"/>
        <v>2020</v>
      </c>
      <c r="N2719" s="2">
        <f t="shared" si="1266"/>
        <v>2021</v>
      </c>
    </row>
    <row r="2720" spans="1:14">
      <c r="B2720" s="326" t="s">
        <v>10</v>
      </c>
      <c r="C2720" s="71"/>
      <c r="D2720" s="51">
        <f>IF($E58= "Eligible", D2717 * 'Facility Detail'!$B$3079, 0 )</f>
        <v>0</v>
      </c>
      <c r="E2720" s="51">
        <f>IF($E58= "Eligible", E2717 * 'Facility Detail'!$B$3079, 0 )</f>
        <v>0</v>
      </c>
      <c r="F2720" s="51">
        <f>IF($E58= "Eligible", F2717 * 'Facility Detail'!$B$3079, 0 )</f>
        <v>0</v>
      </c>
      <c r="G2720" s="51">
        <f>IF($E58= "Eligible", G2717 * 'Facility Detail'!$B$3079, 0 )</f>
        <v>0</v>
      </c>
      <c r="H2720" s="51">
        <f>IF($E58= "Eligible", H2717 * 'Facility Detail'!$B$3079, 0 )</f>
        <v>0</v>
      </c>
      <c r="I2720" s="51">
        <f>IF($E58= "Eligible", I2717 * 'Facility Detail'!$B$3079, 0 )</f>
        <v>0</v>
      </c>
      <c r="J2720" s="51">
        <f>IF($E58= "Eligible", J2717 * 'Facility Detail'!$B$3079, 0 )</f>
        <v>0</v>
      </c>
      <c r="K2720" s="51">
        <f>IF($E58= "Eligible", K2717 * 'Facility Detail'!$B$3079, 0 )</f>
        <v>0</v>
      </c>
      <c r="L2720" s="51">
        <f>IF($E58= "Eligible", L2717 * 'Facility Detail'!$B$3079, 0 )</f>
        <v>0</v>
      </c>
      <c r="M2720" s="51">
        <f>IF($E58= "Eligible", M2717 * 'Facility Detail'!$B$3079, 0 )</f>
        <v>0</v>
      </c>
      <c r="N2720" s="51">
        <f>IF($E58= "Eligible", N2717 * 'Facility Detail'!$B$3079, 0 )</f>
        <v>0</v>
      </c>
    </row>
    <row r="2721" spans="1:14">
      <c r="B2721" s="326" t="s">
        <v>6</v>
      </c>
      <c r="C2721" s="71"/>
      <c r="D2721" s="52">
        <f t="shared" ref="D2721:N2721" si="1267">IF($F58= "Eligible", D2717, 0 )</f>
        <v>0</v>
      </c>
      <c r="E2721" s="52">
        <f t="shared" si="1267"/>
        <v>0</v>
      </c>
      <c r="F2721" s="52">
        <f t="shared" si="1267"/>
        <v>0</v>
      </c>
      <c r="G2721" s="52">
        <f t="shared" si="1267"/>
        <v>0</v>
      </c>
      <c r="H2721" s="52">
        <f t="shared" si="1267"/>
        <v>0</v>
      </c>
      <c r="I2721" s="52">
        <f t="shared" si="1267"/>
        <v>0</v>
      </c>
      <c r="J2721" s="52">
        <f t="shared" si="1267"/>
        <v>0</v>
      </c>
      <c r="K2721" s="52">
        <f t="shared" si="1267"/>
        <v>0</v>
      </c>
      <c r="L2721" s="52">
        <f t="shared" si="1267"/>
        <v>0</v>
      </c>
      <c r="M2721" s="52">
        <f t="shared" si="1267"/>
        <v>0</v>
      </c>
      <c r="N2721" s="52">
        <f t="shared" si="1267"/>
        <v>0</v>
      </c>
    </row>
    <row r="2722" spans="1:14">
      <c r="B2722" s="33" t="s">
        <v>121</v>
      </c>
      <c r="C2722" s="6"/>
      <c r="D2722" s="39">
        <v>0</v>
      </c>
      <c r="E2722" s="40">
        <v>0</v>
      </c>
      <c r="F2722" s="40">
        <v>0</v>
      </c>
      <c r="G2722" s="40">
        <v>0</v>
      </c>
      <c r="H2722" s="40">
        <v>0</v>
      </c>
      <c r="I2722" s="40">
        <v>0</v>
      </c>
      <c r="J2722" s="40">
        <v>0</v>
      </c>
      <c r="K2722" s="40">
        <v>0</v>
      </c>
      <c r="L2722" s="40">
        <v>0</v>
      </c>
      <c r="M2722" s="40">
        <v>0</v>
      </c>
      <c r="N2722" s="40">
        <v>0</v>
      </c>
    </row>
    <row r="2723" spans="1:14">
      <c r="D2723" s="38"/>
      <c r="E2723" s="31"/>
      <c r="F2723" s="31"/>
      <c r="G2723" s="31"/>
      <c r="H2723" s="31"/>
      <c r="I2723" s="31"/>
      <c r="J2723" s="31"/>
      <c r="K2723" s="31"/>
      <c r="L2723" s="31"/>
      <c r="M2723" s="31"/>
      <c r="N2723" s="31"/>
    </row>
    <row r="2724" spans="1:14" ht="18.5">
      <c r="A2724" s="9" t="s">
        <v>30</v>
      </c>
      <c r="D2724" s="2">
        <f>'Facility Detail'!$B$3082</f>
        <v>2011</v>
      </c>
      <c r="E2724" s="2">
        <f>D2724+1</f>
        <v>2012</v>
      </c>
      <c r="F2724" s="2">
        <f t="shared" ref="F2724:N2724" si="1268">E2724+1</f>
        <v>2013</v>
      </c>
      <c r="G2724" s="2">
        <f t="shared" si="1268"/>
        <v>2014</v>
      </c>
      <c r="H2724" s="2">
        <f t="shared" si="1268"/>
        <v>2015</v>
      </c>
      <c r="I2724" s="2">
        <f t="shared" si="1268"/>
        <v>2016</v>
      </c>
      <c r="J2724" s="2">
        <f t="shared" si="1268"/>
        <v>2017</v>
      </c>
      <c r="K2724" s="2">
        <f t="shared" si="1268"/>
        <v>2018</v>
      </c>
      <c r="L2724" s="2">
        <f t="shared" si="1268"/>
        <v>2019</v>
      </c>
      <c r="M2724" s="2">
        <f t="shared" si="1268"/>
        <v>2020</v>
      </c>
      <c r="N2724" s="2">
        <f t="shared" si="1268"/>
        <v>2021</v>
      </c>
    </row>
    <row r="2725" spans="1:14">
      <c r="B2725" s="326" t="s">
        <v>47</v>
      </c>
      <c r="C2725" s="71"/>
      <c r="D2725" s="89"/>
      <c r="E2725" s="90"/>
      <c r="F2725" s="90"/>
      <c r="G2725" s="90"/>
      <c r="H2725" s="90"/>
      <c r="I2725" s="90"/>
      <c r="J2725" s="90"/>
      <c r="K2725" s="90"/>
      <c r="L2725" s="90"/>
      <c r="M2725" s="90"/>
      <c r="N2725" s="90"/>
    </row>
    <row r="2726" spans="1:14">
      <c r="B2726" s="330" t="s">
        <v>23</v>
      </c>
      <c r="C2726" s="331"/>
      <c r="D2726" s="92"/>
      <c r="E2726" s="93"/>
      <c r="F2726" s="93"/>
      <c r="G2726" s="93"/>
      <c r="H2726" s="93"/>
      <c r="I2726" s="93"/>
      <c r="J2726" s="93"/>
      <c r="K2726" s="93"/>
      <c r="L2726" s="93"/>
      <c r="M2726" s="93"/>
      <c r="N2726" s="93"/>
    </row>
    <row r="2727" spans="1:14">
      <c r="B2727" s="330" t="s">
        <v>89</v>
      </c>
      <c r="C2727" s="332"/>
      <c r="D2727" s="57"/>
      <c r="E2727" s="58"/>
      <c r="F2727" s="58"/>
      <c r="G2727" s="58"/>
      <c r="H2727" s="58"/>
      <c r="I2727" s="58"/>
      <c r="J2727" s="58"/>
      <c r="K2727" s="58"/>
      <c r="L2727" s="58"/>
      <c r="M2727" s="58"/>
      <c r="N2727" s="58"/>
    </row>
    <row r="2728" spans="1:14">
      <c r="B2728" s="33" t="s">
        <v>90</v>
      </c>
      <c r="D2728" s="7">
        <v>0</v>
      </c>
      <c r="E2728" s="7">
        <v>0</v>
      </c>
      <c r="F2728" s="7">
        <v>0</v>
      </c>
      <c r="G2728" s="7">
        <v>0</v>
      </c>
      <c r="H2728" s="7">
        <v>0</v>
      </c>
      <c r="I2728" s="7">
        <v>0</v>
      </c>
      <c r="J2728" s="7">
        <v>0</v>
      </c>
      <c r="K2728" s="7">
        <v>0</v>
      </c>
      <c r="L2728" s="7">
        <v>0</v>
      </c>
      <c r="M2728" s="7">
        <v>0</v>
      </c>
      <c r="N2728" s="7">
        <v>0</v>
      </c>
    </row>
    <row r="2729" spans="1:14">
      <c r="B2729" s="6"/>
      <c r="D2729" s="7"/>
      <c r="E2729" s="7"/>
      <c r="F2729" s="7"/>
      <c r="G2729" s="28"/>
      <c r="H2729" s="28"/>
      <c r="I2729" s="28"/>
      <c r="J2729" s="28"/>
      <c r="K2729" s="28"/>
      <c r="L2729" s="28"/>
      <c r="M2729" s="28"/>
      <c r="N2729" s="28"/>
    </row>
    <row r="2730" spans="1:14" ht="18.5">
      <c r="A2730" s="9" t="s">
        <v>100</v>
      </c>
      <c r="D2730" s="2">
        <f>'Facility Detail'!$B$3082</f>
        <v>2011</v>
      </c>
      <c r="E2730" s="2">
        <f>D2730+1</f>
        <v>2012</v>
      </c>
      <c r="F2730" s="2">
        <f t="shared" ref="F2730:N2730" si="1269">E2730+1</f>
        <v>2013</v>
      </c>
      <c r="G2730" s="2">
        <f t="shared" si="1269"/>
        <v>2014</v>
      </c>
      <c r="H2730" s="2">
        <f t="shared" si="1269"/>
        <v>2015</v>
      </c>
      <c r="I2730" s="2">
        <f t="shared" si="1269"/>
        <v>2016</v>
      </c>
      <c r="J2730" s="2">
        <f t="shared" si="1269"/>
        <v>2017</v>
      </c>
      <c r="K2730" s="2">
        <f t="shared" si="1269"/>
        <v>2018</v>
      </c>
      <c r="L2730" s="2">
        <f t="shared" si="1269"/>
        <v>2019</v>
      </c>
      <c r="M2730" s="2">
        <f t="shared" si="1269"/>
        <v>2020</v>
      </c>
      <c r="N2730" s="2">
        <f t="shared" si="1269"/>
        <v>2021</v>
      </c>
    </row>
    <row r="2731" spans="1:14">
      <c r="B2731" s="326" t="s">
        <v>68</v>
      </c>
      <c r="C2731" s="71"/>
      <c r="D2731" s="351"/>
      <c r="E2731" s="69">
        <f>D2731</f>
        <v>0</v>
      </c>
      <c r="F2731" s="352"/>
      <c r="G2731" s="352"/>
      <c r="H2731" s="352"/>
      <c r="I2731" s="352"/>
      <c r="J2731" s="352"/>
      <c r="K2731" s="352"/>
      <c r="L2731" s="352"/>
      <c r="M2731" s="352"/>
      <c r="N2731" s="352"/>
    </row>
    <row r="2732" spans="1:14">
      <c r="B2732" s="326" t="s">
        <v>69</v>
      </c>
      <c r="C2732" s="71"/>
      <c r="D2732" s="353">
        <f>E2732</f>
        <v>0</v>
      </c>
      <c r="E2732" s="354"/>
      <c r="F2732" s="355"/>
      <c r="G2732" s="355"/>
      <c r="H2732" s="355"/>
      <c r="I2732" s="355"/>
      <c r="J2732" s="355"/>
      <c r="K2732" s="355"/>
      <c r="L2732" s="355"/>
      <c r="M2732" s="355"/>
      <c r="N2732" s="355"/>
    </row>
    <row r="2733" spans="1:14">
      <c r="B2733" s="326" t="s">
        <v>70</v>
      </c>
      <c r="C2733" s="71"/>
      <c r="D2733" s="356"/>
      <c r="E2733" s="354">
        <f>E2717</f>
        <v>0</v>
      </c>
      <c r="F2733" s="357">
        <f>E2733</f>
        <v>0</v>
      </c>
      <c r="G2733" s="355"/>
      <c r="H2733" s="355"/>
      <c r="I2733" s="355"/>
      <c r="J2733" s="355"/>
      <c r="K2733" s="355"/>
      <c r="L2733" s="355"/>
      <c r="M2733" s="355"/>
      <c r="N2733" s="355"/>
    </row>
    <row r="2734" spans="1:14">
      <c r="B2734" s="326" t="s">
        <v>71</v>
      </c>
      <c r="C2734" s="71"/>
      <c r="D2734" s="356"/>
      <c r="E2734" s="357">
        <f>F2734</f>
        <v>0</v>
      </c>
      <c r="F2734" s="358"/>
      <c r="G2734" s="355"/>
      <c r="H2734" s="355"/>
      <c r="I2734" s="355"/>
      <c r="J2734" s="355"/>
      <c r="K2734" s="355"/>
      <c r="L2734" s="355"/>
      <c r="M2734" s="355"/>
      <c r="N2734" s="355"/>
    </row>
    <row r="2735" spans="1:14">
      <c r="B2735" s="326" t="s">
        <v>171</v>
      </c>
      <c r="D2735" s="356"/>
      <c r="E2735" s="359"/>
      <c r="F2735" s="354">
        <f>F2717</f>
        <v>0</v>
      </c>
      <c r="G2735" s="360">
        <f>F2735</f>
        <v>0</v>
      </c>
      <c r="H2735" s="355"/>
      <c r="I2735" s="355"/>
      <c r="J2735" s="355"/>
      <c r="K2735" s="355"/>
      <c r="L2735" s="355"/>
      <c r="M2735" s="355"/>
      <c r="N2735" s="355"/>
    </row>
    <row r="2736" spans="1:14">
      <c r="B2736" s="326" t="s">
        <v>172</v>
      </c>
      <c r="D2736" s="356"/>
      <c r="E2736" s="359"/>
      <c r="F2736" s="357">
        <f>G2736</f>
        <v>0</v>
      </c>
      <c r="G2736" s="354"/>
      <c r="H2736" s="355"/>
      <c r="I2736" s="355"/>
      <c r="J2736" s="355"/>
      <c r="K2736" s="355"/>
      <c r="L2736" s="355"/>
      <c r="M2736" s="355"/>
      <c r="N2736" s="355"/>
    </row>
    <row r="2737" spans="1:14">
      <c r="B2737" s="326" t="s">
        <v>173</v>
      </c>
      <c r="D2737" s="356"/>
      <c r="E2737" s="359"/>
      <c r="F2737" s="359"/>
      <c r="G2737" s="354">
        <f>G2717</f>
        <v>0</v>
      </c>
      <c r="H2737" s="360">
        <f>G2737</f>
        <v>0</v>
      </c>
      <c r="I2737" s="359"/>
      <c r="J2737" s="359"/>
      <c r="K2737" s="359"/>
      <c r="L2737" s="359"/>
      <c r="M2737" s="359"/>
      <c r="N2737" s="359"/>
    </row>
    <row r="2738" spans="1:14">
      <c r="B2738" s="326" t="s">
        <v>174</v>
      </c>
      <c r="D2738" s="356"/>
      <c r="E2738" s="359"/>
      <c r="F2738" s="359"/>
      <c r="G2738" s="361"/>
      <c r="H2738" s="362"/>
      <c r="I2738" s="359"/>
      <c r="J2738" s="359"/>
      <c r="K2738" s="359"/>
      <c r="L2738" s="359"/>
      <c r="M2738" s="359"/>
      <c r="N2738" s="359"/>
    </row>
    <row r="2739" spans="1:14">
      <c r="B2739" s="326" t="s">
        <v>175</v>
      </c>
      <c r="D2739" s="356"/>
      <c r="E2739" s="359"/>
      <c r="F2739" s="359"/>
      <c r="G2739" s="359"/>
      <c r="H2739" s="362">
        <v>0</v>
      </c>
      <c r="I2739" s="360">
        <f>H2739</f>
        <v>0</v>
      </c>
      <c r="J2739" s="360"/>
      <c r="K2739" s="360"/>
      <c r="L2739" s="360"/>
      <c r="M2739" s="360"/>
      <c r="N2739" s="360"/>
    </row>
    <row r="2740" spans="1:14">
      <c r="B2740" s="326" t="s">
        <v>176</v>
      </c>
      <c r="D2740" s="356"/>
      <c r="E2740" s="359"/>
      <c r="F2740" s="359"/>
      <c r="G2740" s="359"/>
      <c r="H2740" s="357"/>
      <c r="I2740" s="362"/>
      <c r="J2740" s="362"/>
      <c r="K2740" s="362"/>
      <c r="L2740" s="362"/>
      <c r="M2740" s="362"/>
      <c r="N2740" s="362"/>
    </row>
    <row r="2741" spans="1:14">
      <c r="B2741" s="326" t="s">
        <v>177</v>
      </c>
      <c r="D2741" s="356"/>
      <c r="E2741" s="359"/>
      <c r="F2741" s="359"/>
      <c r="G2741" s="359"/>
      <c r="H2741" s="359"/>
      <c r="I2741" s="362">
        <f>I2717</f>
        <v>12946</v>
      </c>
      <c r="J2741" s="362">
        <f>I2741</f>
        <v>12946</v>
      </c>
      <c r="K2741" s="362"/>
      <c r="L2741" s="362"/>
      <c r="M2741" s="362"/>
      <c r="N2741" s="362"/>
    </row>
    <row r="2742" spans="1:14">
      <c r="B2742" s="326" t="s">
        <v>168</v>
      </c>
      <c r="D2742" s="356"/>
      <c r="E2742" s="359"/>
      <c r="F2742" s="359"/>
      <c r="G2742" s="359"/>
      <c r="H2742" s="359"/>
      <c r="I2742" s="363"/>
      <c r="J2742" s="149"/>
      <c r="K2742" s="149"/>
      <c r="L2742" s="149"/>
      <c r="M2742" s="149"/>
      <c r="N2742" s="149"/>
    </row>
    <row r="2743" spans="1:14">
      <c r="B2743" s="326" t="s">
        <v>169</v>
      </c>
      <c r="D2743" s="364"/>
      <c r="E2743" s="365"/>
      <c r="F2743" s="365"/>
      <c r="G2743" s="365"/>
      <c r="H2743" s="365"/>
      <c r="I2743" s="365"/>
      <c r="J2743" s="365"/>
      <c r="K2743" s="365"/>
      <c r="L2743" s="365"/>
      <c r="M2743" s="365"/>
      <c r="N2743" s="365"/>
    </row>
    <row r="2744" spans="1:14">
      <c r="B2744" s="33" t="s">
        <v>17</v>
      </c>
      <c r="D2744" s="218">
        <f xml:space="preserve"> D2737 - D2736</f>
        <v>0</v>
      </c>
      <c r="E2744" s="218">
        <f xml:space="preserve"> E2736 + E2739 - E2738 - E2737</f>
        <v>0</v>
      </c>
      <c r="F2744" s="218">
        <f>F2738 - F2739</f>
        <v>0</v>
      </c>
      <c r="G2744" s="218">
        <f t="shared" ref="G2744" si="1270">G2738 - G2739</f>
        <v>0</v>
      </c>
      <c r="H2744" s="218">
        <f>H2737-H2738-H2739</f>
        <v>0</v>
      </c>
      <c r="I2744" s="237">
        <f>I2739-I2740-I2741</f>
        <v>-12946</v>
      </c>
      <c r="J2744" s="237">
        <f>J2741-J2742-J2743</f>
        <v>12946</v>
      </c>
      <c r="K2744" s="237">
        <f>K2743</f>
        <v>0</v>
      </c>
      <c r="L2744" s="237">
        <f t="shared" ref="L2744:N2744" si="1271">L2743</f>
        <v>0</v>
      </c>
      <c r="M2744" s="237">
        <f t="shared" si="1271"/>
        <v>0</v>
      </c>
      <c r="N2744" s="237">
        <f t="shared" si="1271"/>
        <v>0</v>
      </c>
    </row>
    <row r="2745" spans="1:14">
      <c r="B2745" s="6"/>
      <c r="D2745" s="218"/>
      <c r="E2745" s="218"/>
      <c r="F2745" s="218"/>
      <c r="G2745" s="218"/>
      <c r="H2745" s="218"/>
      <c r="I2745" s="218"/>
      <c r="J2745" s="218"/>
      <c r="K2745" s="218"/>
      <c r="L2745" s="218"/>
      <c r="M2745" s="218"/>
      <c r="N2745" s="218"/>
    </row>
    <row r="2746" spans="1:14">
      <c r="B2746" s="33" t="s">
        <v>12</v>
      </c>
      <c r="C2746" s="71"/>
      <c r="D2746" s="219"/>
      <c r="E2746" s="220"/>
      <c r="F2746" s="220"/>
      <c r="G2746" s="220"/>
      <c r="H2746" s="220"/>
      <c r="I2746" s="220"/>
      <c r="J2746" s="220"/>
      <c r="K2746" s="220"/>
      <c r="L2746" s="220"/>
      <c r="M2746" s="220"/>
      <c r="N2746" s="220"/>
    </row>
    <row r="2747" spans="1:14">
      <c r="B2747" s="6"/>
      <c r="D2747" s="218"/>
      <c r="E2747" s="218"/>
      <c r="F2747" s="218"/>
      <c r="G2747" s="218"/>
      <c r="H2747" s="218"/>
      <c r="I2747" s="218"/>
      <c r="J2747" s="218"/>
      <c r="K2747" s="218"/>
      <c r="L2747" s="218"/>
      <c r="M2747" s="218"/>
      <c r="N2747" s="218"/>
    </row>
    <row r="2748" spans="1:14" ht="18.5">
      <c r="A2748" s="9" t="s">
        <v>26</v>
      </c>
      <c r="C2748" s="71"/>
      <c r="D2748" s="221">
        <f xml:space="preserve"> D2717 + D2722 - D2728 + D2744 + D2746</f>
        <v>0</v>
      </c>
      <c r="E2748" s="222">
        <f xml:space="preserve"> E2717 + E2722 - E2728 + E2744 + E2746</f>
        <v>0</v>
      </c>
      <c r="F2748" s="222">
        <f xml:space="preserve"> F2717 + F2722 - F2728 + F2744 + F2746</f>
        <v>0</v>
      </c>
      <c r="G2748" s="222">
        <f t="shared" ref="G2748:N2748" si="1272" xml:space="preserve"> G2717 + G2722 - G2728 + G2744 + G2746</f>
        <v>0</v>
      </c>
      <c r="H2748" s="222">
        <f t="shared" si="1272"/>
        <v>0</v>
      </c>
      <c r="I2748" s="222">
        <f t="shared" si="1272"/>
        <v>0</v>
      </c>
      <c r="J2748" s="222">
        <f t="shared" si="1272"/>
        <v>12946</v>
      </c>
      <c r="K2748" s="222">
        <f t="shared" si="1272"/>
        <v>0</v>
      </c>
      <c r="L2748" s="222">
        <f t="shared" si="1272"/>
        <v>0</v>
      </c>
      <c r="M2748" s="222">
        <f t="shared" si="1272"/>
        <v>0</v>
      </c>
      <c r="N2748" s="222">
        <f t="shared" si="1272"/>
        <v>0</v>
      </c>
    </row>
    <row r="2749" spans="1:14">
      <c r="B2749" s="6"/>
      <c r="D2749" s="7"/>
      <c r="E2749" s="7"/>
      <c r="F2749" s="7"/>
      <c r="G2749" s="28"/>
      <c r="H2749" s="28"/>
      <c r="I2749" s="28"/>
      <c r="J2749" s="28"/>
      <c r="K2749" s="28"/>
      <c r="L2749" s="28"/>
      <c r="M2749" s="28"/>
      <c r="N2749" s="28"/>
    </row>
    <row r="2750" spans="1:14" ht="15" thickBot="1"/>
    <row r="2751" spans="1:14" ht="15" thickBot="1">
      <c r="A2751" s="8"/>
      <c r="B2751" s="8"/>
      <c r="C2751" s="8"/>
      <c r="D2751" s="8"/>
      <c r="E2751" s="8"/>
      <c r="F2751" s="8"/>
      <c r="G2751" s="8"/>
      <c r="H2751" s="8"/>
      <c r="I2751" s="8"/>
      <c r="J2751" s="8"/>
      <c r="K2751" s="8"/>
      <c r="L2751" s="8"/>
      <c r="M2751" s="8"/>
      <c r="N2751" s="8"/>
    </row>
    <row r="2752" spans="1:14" ht="21.5" thickBot="1">
      <c r="A2752" s="13" t="s">
        <v>4</v>
      </c>
      <c r="B2752" s="13"/>
      <c r="C2752" s="313" t="s">
        <v>269</v>
      </c>
      <c r="D2752" s="310"/>
      <c r="E2752" s="23"/>
      <c r="F2752" s="23"/>
    </row>
    <row r="2754" spans="1:14" ht="18.5">
      <c r="A2754" s="9" t="s">
        <v>21</v>
      </c>
      <c r="B2754" s="9"/>
      <c r="D2754" s="2">
        <v>2011</v>
      </c>
      <c r="E2754" s="2">
        <f>D2754+1</f>
        <v>2012</v>
      </c>
      <c r="F2754" s="2">
        <f t="shared" ref="F2754" si="1273">E2754+1</f>
        <v>2013</v>
      </c>
      <c r="G2754" s="2">
        <f t="shared" ref="G2754" si="1274">F2754+1</f>
        <v>2014</v>
      </c>
      <c r="H2754" s="2">
        <f t="shared" ref="H2754" si="1275">G2754+1</f>
        <v>2015</v>
      </c>
      <c r="I2754" s="2">
        <f t="shared" ref="I2754" si="1276">H2754+1</f>
        <v>2016</v>
      </c>
      <c r="J2754" s="2">
        <f t="shared" ref="J2754" si="1277">I2754+1</f>
        <v>2017</v>
      </c>
      <c r="K2754" s="2">
        <f t="shared" ref="K2754" si="1278">J2754+1</f>
        <v>2018</v>
      </c>
      <c r="L2754" s="2">
        <f t="shared" ref="L2754" si="1279">K2754+1</f>
        <v>2019</v>
      </c>
      <c r="M2754" s="2">
        <f t="shared" ref="M2754" si="1280">L2754+1</f>
        <v>2020</v>
      </c>
      <c r="N2754" s="2">
        <f t="shared" ref="N2754" si="1281">M2754+1</f>
        <v>2021</v>
      </c>
    </row>
    <row r="2755" spans="1:14">
      <c r="B2755" s="79" t="str">
        <f>"Total MWh Produced / Purchased from " &amp; C2752</f>
        <v>Total MWh Produced / Purchased from Sweetwater Solar</v>
      </c>
      <c r="C2755" s="71"/>
      <c r="D2755" s="3"/>
      <c r="E2755" s="4"/>
      <c r="F2755" s="4"/>
      <c r="G2755" s="4"/>
      <c r="H2755" s="4"/>
      <c r="I2755" s="4"/>
      <c r="J2755" s="4"/>
      <c r="K2755" s="4"/>
      <c r="L2755" s="4"/>
      <c r="M2755" s="230"/>
      <c r="N2755" s="230">
        <v>182770</v>
      </c>
    </row>
    <row r="2756" spans="1:14">
      <c r="B2756" s="79" t="s">
        <v>25</v>
      </c>
      <c r="C2756" s="71"/>
      <c r="D2756" s="54"/>
      <c r="E2756" s="55"/>
      <c r="F2756" s="55"/>
      <c r="G2756" s="55"/>
      <c r="H2756" s="55"/>
      <c r="I2756" s="55"/>
      <c r="J2756" s="55"/>
      <c r="K2756" s="55"/>
      <c r="L2756" s="55"/>
      <c r="M2756" s="234"/>
      <c r="N2756" s="234">
        <v>1</v>
      </c>
    </row>
    <row r="2757" spans="1:14">
      <c r="B2757" s="79" t="s">
        <v>20</v>
      </c>
      <c r="C2757" s="71"/>
      <c r="D2757" s="48"/>
      <c r="E2757" s="49"/>
      <c r="F2757" s="49"/>
      <c r="G2757" s="49"/>
      <c r="H2757" s="49"/>
      <c r="I2757" s="49"/>
      <c r="J2757" s="49"/>
      <c r="K2757" s="49"/>
      <c r="L2757" s="49"/>
      <c r="M2757" s="243"/>
      <c r="N2757" s="243">
        <f>N2627</f>
        <v>8.0780946790754593E-2</v>
      </c>
    </row>
    <row r="2758" spans="1:14">
      <c r="B2758" s="76" t="s">
        <v>22</v>
      </c>
      <c r="C2758" s="77"/>
      <c r="D2758" s="37">
        <v>0</v>
      </c>
      <c r="E2758" s="37">
        <v>0</v>
      </c>
      <c r="F2758" s="37">
        <v>0</v>
      </c>
      <c r="G2758" s="37">
        <v>0</v>
      </c>
      <c r="H2758" s="37">
        <v>0</v>
      </c>
      <c r="I2758" s="37">
        <v>0</v>
      </c>
      <c r="J2758" s="37">
        <v>0</v>
      </c>
      <c r="K2758" s="37">
        <v>0</v>
      </c>
      <c r="L2758" s="37">
        <f>L2755*L2757</f>
        <v>0</v>
      </c>
      <c r="M2758" s="37">
        <f>M2755*M2757</f>
        <v>0</v>
      </c>
      <c r="N2758" s="37">
        <f>N2755*N2757</f>
        <v>14764.333644946217</v>
      </c>
    </row>
    <row r="2759" spans="1:14">
      <c r="B2759" s="23"/>
      <c r="C2759" s="30"/>
      <c r="D2759" s="36"/>
      <c r="E2759" s="36"/>
      <c r="F2759" s="36"/>
      <c r="G2759" s="36"/>
      <c r="H2759" s="36"/>
      <c r="I2759" s="36"/>
      <c r="J2759" s="36"/>
      <c r="K2759" s="36"/>
      <c r="L2759" s="36"/>
      <c r="M2759" s="36"/>
      <c r="N2759" s="36"/>
    </row>
    <row r="2760" spans="1:14" ht="18.5">
      <c r="A2760" s="42" t="s">
        <v>119</v>
      </c>
      <c r="C2760" s="30"/>
      <c r="D2760" s="2">
        <v>2011</v>
      </c>
      <c r="E2760" s="2">
        <f>D2760+1</f>
        <v>2012</v>
      </c>
      <c r="F2760" s="2">
        <f t="shared" ref="F2760" si="1282">E2760+1</f>
        <v>2013</v>
      </c>
      <c r="G2760" s="2">
        <f t="shared" ref="G2760" si="1283">F2760+1</f>
        <v>2014</v>
      </c>
      <c r="H2760" s="2">
        <f t="shared" ref="H2760" si="1284">G2760+1</f>
        <v>2015</v>
      </c>
      <c r="I2760" s="2">
        <f t="shared" ref="I2760" si="1285">H2760+1</f>
        <v>2016</v>
      </c>
      <c r="J2760" s="2">
        <f t="shared" ref="J2760" si="1286">I2760+1</f>
        <v>2017</v>
      </c>
      <c r="K2760" s="2">
        <f t="shared" ref="K2760" si="1287">J2760+1</f>
        <v>2018</v>
      </c>
      <c r="L2760" s="2">
        <f t="shared" ref="L2760" si="1288">K2760+1</f>
        <v>2019</v>
      </c>
      <c r="M2760" s="2">
        <f t="shared" ref="M2760" si="1289">L2760+1</f>
        <v>2020</v>
      </c>
      <c r="N2760" s="2">
        <f t="shared" ref="N2760" si="1290">M2760+1</f>
        <v>2021</v>
      </c>
    </row>
    <row r="2761" spans="1:14">
      <c r="B2761" s="79" t="s">
        <v>10</v>
      </c>
      <c r="C2761" s="71"/>
      <c r="D2761" s="51">
        <f>IF($E59= "Eligible", D2758 * 'Facility Detail'!$B$3079, 0 )</f>
        <v>0</v>
      </c>
      <c r="E2761" s="51">
        <f>IF($E59= "Eligible", E2758 * 'Facility Detail'!$B$3079, 0 )</f>
        <v>0</v>
      </c>
      <c r="F2761" s="51">
        <f>IF($E59= "Eligible", F2758 * 'Facility Detail'!$B$3079, 0 )</f>
        <v>0</v>
      </c>
      <c r="G2761" s="51">
        <f>IF($E59= "Eligible", G2758 * 'Facility Detail'!$B$3079, 0 )</f>
        <v>0</v>
      </c>
      <c r="H2761" s="51">
        <f>IF($E59= "Eligible", H2758 * 'Facility Detail'!$B$3079, 0 )</f>
        <v>0</v>
      </c>
      <c r="I2761" s="51">
        <f>IF($E59= "Eligible", I2758 * 'Facility Detail'!$B$3079, 0 )</f>
        <v>0</v>
      </c>
      <c r="J2761" s="51">
        <f>IF($E59= "Eligible", J2758 * 'Facility Detail'!$B$3079, 0 )</f>
        <v>0</v>
      </c>
      <c r="K2761" s="51">
        <f>IF($E59= "Eligible", K2758 * 'Facility Detail'!$B$3079, 0 )</f>
        <v>0</v>
      </c>
      <c r="L2761" s="51">
        <f>IF($E59= "Eligible", L2758 * 'Facility Detail'!$B$3079, 0 )</f>
        <v>0</v>
      </c>
      <c r="M2761" s="51">
        <f>IF($E59= "Eligible", M2758 * 'Facility Detail'!$B$3079, 0 )</f>
        <v>0</v>
      </c>
      <c r="N2761" s="51">
        <f>IF($E59= "Eligible", N2758 * 'Facility Detail'!$B$3079, 0 )</f>
        <v>0</v>
      </c>
    </row>
    <row r="2762" spans="1:14">
      <c r="B2762" s="79" t="s">
        <v>6</v>
      </c>
      <c r="C2762" s="71"/>
      <c r="D2762" s="52">
        <f t="shared" ref="D2762:N2762" si="1291">IF($F59= "Eligible", D2758, 0 )</f>
        <v>0</v>
      </c>
      <c r="E2762" s="52">
        <f t="shared" si="1291"/>
        <v>0</v>
      </c>
      <c r="F2762" s="52">
        <f t="shared" si="1291"/>
        <v>0</v>
      </c>
      <c r="G2762" s="52">
        <f t="shared" si="1291"/>
        <v>0</v>
      </c>
      <c r="H2762" s="52">
        <f t="shared" si="1291"/>
        <v>0</v>
      </c>
      <c r="I2762" s="52">
        <f t="shared" si="1291"/>
        <v>0</v>
      </c>
      <c r="J2762" s="52">
        <f t="shared" si="1291"/>
        <v>0</v>
      </c>
      <c r="K2762" s="52">
        <f t="shared" si="1291"/>
        <v>0</v>
      </c>
      <c r="L2762" s="52">
        <f t="shared" si="1291"/>
        <v>0</v>
      </c>
      <c r="M2762" s="52">
        <f t="shared" si="1291"/>
        <v>0</v>
      </c>
      <c r="N2762" s="52">
        <f t="shared" si="1291"/>
        <v>0</v>
      </c>
    </row>
    <row r="2763" spans="1:14">
      <c r="B2763" s="78" t="s">
        <v>121</v>
      </c>
      <c r="C2763" s="77"/>
      <c r="D2763" s="39">
        <f>SUM(D2761:D2762)</f>
        <v>0</v>
      </c>
      <c r="E2763" s="39">
        <f t="shared" ref="E2763:N2763" si="1292">SUM(E2761:E2762)</f>
        <v>0</v>
      </c>
      <c r="F2763" s="39">
        <f t="shared" si="1292"/>
        <v>0</v>
      </c>
      <c r="G2763" s="39">
        <f t="shared" si="1292"/>
        <v>0</v>
      </c>
      <c r="H2763" s="39">
        <f t="shared" si="1292"/>
        <v>0</v>
      </c>
      <c r="I2763" s="39">
        <f t="shared" si="1292"/>
        <v>0</v>
      </c>
      <c r="J2763" s="39">
        <f t="shared" si="1292"/>
        <v>0</v>
      </c>
      <c r="K2763" s="39">
        <f t="shared" si="1292"/>
        <v>0</v>
      </c>
      <c r="L2763" s="39">
        <f t="shared" si="1292"/>
        <v>0</v>
      </c>
      <c r="M2763" s="39">
        <f t="shared" si="1292"/>
        <v>0</v>
      </c>
      <c r="N2763" s="39">
        <f t="shared" si="1292"/>
        <v>0</v>
      </c>
    </row>
    <row r="2764" spans="1:14">
      <c r="B2764" s="30"/>
      <c r="C2764" s="30"/>
      <c r="D2764" s="38"/>
      <c r="E2764" s="31"/>
      <c r="F2764" s="31"/>
      <c r="G2764" s="31"/>
      <c r="H2764" s="31"/>
      <c r="I2764" s="31"/>
      <c r="J2764" s="31"/>
      <c r="K2764" s="31"/>
      <c r="L2764" s="31"/>
      <c r="M2764" s="31"/>
      <c r="N2764" s="31"/>
    </row>
    <row r="2765" spans="1:14" ht="18.5">
      <c r="A2765" s="41" t="s">
        <v>30</v>
      </c>
      <c r="C2765" s="30"/>
      <c r="D2765" s="2">
        <v>2011</v>
      </c>
      <c r="E2765" s="2">
        <f>D2765+1</f>
        <v>2012</v>
      </c>
      <c r="F2765" s="2">
        <f t="shared" ref="F2765" si="1293">E2765+1</f>
        <v>2013</v>
      </c>
      <c r="G2765" s="2">
        <f t="shared" ref="G2765" si="1294">F2765+1</f>
        <v>2014</v>
      </c>
      <c r="H2765" s="2">
        <f t="shared" ref="H2765" si="1295">G2765+1</f>
        <v>2015</v>
      </c>
      <c r="I2765" s="2">
        <f t="shared" ref="I2765" si="1296">H2765+1</f>
        <v>2016</v>
      </c>
      <c r="J2765" s="2">
        <f t="shared" ref="J2765" si="1297">I2765+1</f>
        <v>2017</v>
      </c>
      <c r="K2765" s="2">
        <f t="shared" ref="K2765" si="1298">J2765+1</f>
        <v>2018</v>
      </c>
      <c r="L2765" s="2">
        <f t="shared" ref="L2765" si="1299">K2765+1</f>
        <v>2019</v>
      </c>
      <c r="M2765" s="2">
        <f t="shared" ref="M2765" si="1300">L2765+1</f>
        <v>2020</v>
      </c>
      <c r="N2765" s="2">
        <f t="shared" ref="N2765" si="1301">M2765+1</f>
        <v>2021</v>
      </c>
    </row>
    <row r="2766" spans="1:14">
      <c r="B2766" s="79" t="s">
        <v>47</v>
      </c>
      <c r="C2766" s="71"/>
      <c r="D2766" s="89"/>
      <c r="E2766" s="90"/>
      <c r="F2766" s="90"/>
      <c r="G2766" s="90"/>
      <c r="H2766" s="90"/>
      <c r="I2766" s="90"/>
      <c r="J2766" s="90"/>
      <c r="K2766" s="90"/>
      <c r="L2766" s="90"/>
      <c r="M2766" s="90"/>
      <c r="N2766" s="90"/>
    </row>
    <row r="2767" spans="1:14">
      <c r="B2767" s="80" t="s">
        <v>23</v>
      </c>
      <c r="C2767" s="175"/>
      <c r="D2767" s="92"/>
      <c r="E2767" s="93"/>
      <c r="F2767" s="93"/>
      <c r="G2767" s="93"/>
      <c r="H2767" s="93"/>
      <c r="I2767" s="93"/>
      <c r="J2767" s="93"/>
      <c r="K2767" s="93"/>
      <c r="L2767" s="93"/>
      <c r="M2767" s="93"/>
      <c r="N2767" s="93"/>
    </row>
    <row r="2768" spans="1:14">
      <c r="B2768" s="95" t="s">
        <v>89</v>
      </c>
      <c r="C2768" s="173"/>
      <c r="D2768" s="57"/>
      <c r="E2768" s="58"/>
      <c r="F2768" s="58"/>
      <c r="G2768" s="58"/>
      <c r="H2768" s="58"/>
      <c r="I2768" s="58"/>
      <c r="J2768" s="58"/>
      <c r="K2768" s="58"/>
      <c r="L2768" s="58"/>
      <c r="M2768" s="58"/>
      <c r="N2768" s="58"/>
    </row>
    <row r="2769" spans="1:14">
      <c r="B2769" s="33" t="s">
        <v>90</v>
      </c>
      <c r="D2769" s="7">
        <v>0</v>
      </c>
      <c r="E2769" s="7">
        <v>0</v>
      </c>
      <c r="F2769" s="7">
        <v>0</v>
      </c>
      <c r="G2769" s="7">
        <v>0</v>
      </c>
      <c r="H2769" s="7">
        <v>0</v>
      </c>
      <c r="I2769" s="7">
        <v>0</v>
      </c>
      <c r="J2769" s="7">
        <v>0</v>
      </c>
      <c r="K2769" s="7">
        <v>0</v>
      </c>
      <c r="L2769" s="7">
        <v>0</v>
      </c>
      <c r="M2769" s="7">
        <v>0</v>
      </c>
      <c r="N2769" s="7">
        <v>0</v>
      </c>
    </row>
    <row r="2770" spans="1:14">
      <c r="B2770" s="6"/>
      <c r="D2770" s="7"/>
      <c r="E2770" s="7"/>
      <c r="F2770" s="7"/>
      <c r="G2770" s="28"/>
      <c r="H2770" s="28"/>
      <c r="I2770" s="28"/>
      <c r="J2770" s="28"/>
      <c r="K2770" s="28"/>
      <c r="L2770" s="28"/>
      <c r="M2770" s="28"/>
      <c r="N2770" s="28"/>
    </row>
    <row r="2771" spans="1:14" ht="18.5">
      <c r="A2771" s="9" t="s">
        <v>100</v>
      </c>
      <c r="D2771" s="2">
        <f>'Facility Detail'!$B$3082</f>
        <v>2011</v>
      </c>
      <c r="E2771" s="2">
        <f>D2771+1</f>
        <v>2012</v>
      </c>
      <c r="F2771" s="2">
        <f t="shared" ref="F2771" si="1302">E2771+1</f>
        <v>2013</v>
      </c>
      <c r="G2771" s="2">
        <f t="shared" ref="G2771" si="1303">F2771+1</f>
        <v>2014</v>
      </c>
      <c r="H2771" s="2">
        <f t="shared" ref="H2771" si="1304">G2771+1</f>
        <v>2015</v>
      </c>
      <c r="I2771" s="2">
        <f t="shared" ref="I2771" si="1305">H2771+1</f>
        <v>2016</v>
      </c>
      <c r="J2771" s="2">
        <f t="shared" ref="J2771" si="1306">I2771+1</f>
        <v>2017</v>
      </c>
      <c r="K2771" s="2">
        <f t="shared" ref="K2771" si="1307">J2771+1</f>
        <v>2018</v>
      </c>
      <c r="L2771" s="2">
        <f t="shared" ref="L2771" si="1308">K2771+1</f>
        <v>2019</v>
      </c>
      <c r="M2771" s="2">
        <f t="shared" ref="M2771" si="1309">L2771+1</f>
        <v>2020</v>
      </c>
      <c r="N2771" s="2">
        <f t="shared" ref="N2771" si="1310">M2771+1</f>
        <v>2021</v>
      </c>
    </row>
    <row r="2772" spans="1:14">
      <c r="B2772" s="79" t="s">
        <v>68</v>
      </c>
      <c r="C2772" s="71"/>
      <c r="D2772" s="3"/>
      <c r="E2772" s="60">
        <f>D2772</f>
        <v>0</v>
      </c>
      <c r="F2772" s="131"/>
      <c r="G2772" s="131"/>
      <c r="H2772" s="131"/>
      <c r="I2772" s="131"/>
      <c r="J2772" s="131"/>
      <c r="K2772" s="131"/>
      <c r="L2772" s="131"/>
      <c r="M2772" s="131"/>
      <c r="N2772" s="61"/>
    </row>
    <row r="2773" spans="1:14">
      <c r="B2773" s="79" t="s">
        <v>69</v>
      </c>
      <c r="C2773" s="71"/>
      <c r="D2773" s="164">
        <f>E2773</f>
        <v>0</v>
      </c>
      <c r="E2773" s="10"/>
      <c r="F2773" s="74"/>
      <c r="G2773" s="74"/>
      <c r="H2773" s="74"/>
      <c r="I2773" s="74"/>
      <c r="J2773" s="74"/>
      <c r="K2773" s="74"/>
      <c r="L2773" s="74"/>
      <c r="M2773" s="74"/>
      <c r="N2773" s="165"/>
    </row>
    <row r="2774" spans="1:14">
      <c r="B2774" s="79" t="s">
        <v>70</v>
      </c>
      <c r="C2774" s="71"/>
      <c r="D2774" s="62"/>
      <c r="E2774" s="10">
        <f>E2758</f>
        <v>0</v>
      </c>
      <c r="F2774" s="70">
        <f>E2774</f>
        <v>0</v>
      </c>
      <c r="G2774" s="74"/>
      <c r="H2774" s="74"/>
      <c r="I2774" s="74"/>
      <c r="J2774" s="74"/>
      <c r="K2774" s="74"/>
      <c r="L2774" s="74"/>
      <c r="M2774" s="74"/>
      <c r="N2774" s="165"/>
    </row>
    <row r="2775" spans="1:14">
      <c r="B2775" s="79" t="s">
        <v>71</v>
      </c>
      <c r="C2775" s="71"/>
      <c r="D2775" s="62"/>
      <c r="E2775" s="70">
        <f>F2775</f>
        <v>0</v>
      </c>
      <c r="F2775" s="163"/>
      <c r="G2775" s="74"/>
      <c r="H2775" s="74"/>
      <c r="I2775" s="74"/>
      <c r="J2775" s="74"/>
      <c r="K2775" s="74"/>
      <c r="L2775" s="74"/>
      <c r="M2775" s="74"/>
      <c r="N2775" s="165"/>
    </row>
    <row r="2776" spans="1:14">
      <c r="B2776" s="79" t="s">
        <v>171</v>
      </c>
      <c r="C2776" s="30"/>
      <c r="D2776" s="62"/>
      <c r="E2776" s="148"/>
      <c r="F2776" s="10">
        <f>F2758</f>
        <v>0</v>
      </c>
      <c r="G2776" s="149">
        <f>F2776</f>
        <v>0</v>
      </c>
      <c r="H2776" s="74"/>
      <c r="I2776" s="74"/>
      <c r="J2776" s="74"/>
      <c r="K2776" s="74"/>
      <c r="L2776" s="74"/>
      <c r="M2776" s="74"/>
      <c r="N2776" s="165"/>
    </row>
    <row r="2777" spans="1:14">
      <c r="B2777" s="79" t="s">
        <v>172</v>
      </c>
      <c r="C2777" s="30"/>
      <c r="D2777" s="62"/>
      <c r="E2777" s="148"/>
      <c r="F2777" s="70">
        <f>G2777</f>
        <v>0</v>
      </c>
      <c r="G2777" s="10"/>
      <c r="H2777" s="74"/>
      <c r="I2777" s="74"/>
      <c r="J2777" s="74"/>
      <c r="K2777" s="74"/>
      <c r="L2777" s="74"/>
      <c r="M2777" s="74"/>
      <c r="N2777" s="165"/>
    </row>
    <row r="2778" spans="1:14">
      <c r="B2778" s="79" t="s">
        <v>173</v>
      </c>
      <c r="C2778" s="30"/>
      <c r="D2778" s="62"/>
      <c r="E2778" s="148"/>
      <c r="F2778" s="148"/>
      <c r="G2778" s="10">
        <f>G2758</f>
        <v>0</v>
      </c>
      <c r="H2778" s="149">
        <f>G2778</f>
        <v>0</v>
      </c>
      <c r="I2778" s="148"/>
      <c r="J2778" s="74"/>
      <c r="K2778" s="74"/>
      <c r="L2778" s="74"/>
      <c r="M2778" s="74"/>
      <c r="N2778" s="152"/>
    </row>
    <row r="2779" spans="1:14">
      <c r="B2779" s="79" t="s">
        <v>174</v>
      </c>
      <c r="C2779" s="30"/>
      <c r="D2779" s="62"/>
      <c r="E2779" s="148"/>
      <c r="F2779" s="148"/>
      <c r="G2779" s="70"/>
      <c r="H2779" s="10"/>
      <c r="I2779" s="148"/>
      <c r="J2779" s="74"/>
      <c r="K2779" s="74"/>
      <c r="L2779" s="74"/>
      <c r="M2779" s="74"/>
      <c r="N2779" s="152"/>
    </row>
    <row r="2780" spans="1:14">
      <c r="B2780" s="79" t="s">
        <v>175</v>
      </c>
      <c r="C2780" s="30"/>
      <c r="D2780" s="62"/>
      <c r="E2780" s="148"/>
      <c r="F2780" s="148"/>
      <c r="G2780" s="148"/>
      <c r="H2780" s="10">
        <v>0</v>
      </c>
      <c r="I2780" s="149">
        <f>H2780</f>
        <v>0</v>
      </c>
      <c r="J2780" s="74"/>
      <c r="K2780" s="74"/>
      <c r="L2780" s="74"/>
      <c r="M2780" s="74"/>
      <c r="N2780" s="152"/>
    </row>
    <row r="2781" spans="1:14">
      <c r="B2781" s="79" t="s">
        <v>176</v>
      </c>
      <c r="C2781" s="30"/>
      <c r="D2781" s="62"/>
      <c r="E2781" s="148"/>
      <c r="F2781" s="148"/>
      <c r="G2781" s="148"/>
      <c r="H2781" s="70"/>
      <c r="I2781" s="10"/>
      <c r="J2781" s="74"/>
      <c r="K2781" s="74"/>
      <c r="L2781" s="74"/>
      <c r="M2781" s="74"/>
      <c r="N2781" s="152"/>
    </row>
    <row r="2782" spans="1:14">
      <c r="B2782" s="79" t="s">
        <v>177</v>
      </c>
      <c r="C2782" s="30"/>
      <c r="D2782" s="62"/>
      <c r="E2782" s="148"/>
      <c r="F2782" s="148"/>
      <c r="G2782" s="148"/>
      <c r="H2782" s="148"/>
      <c r="I2782" s="207">
        <f>I2758</f>
        <v>0</v>
      </c>
      <c r="J2782" s="150">
        <f>I2782</f>
        <v>0</v>
      </c>
      <c r="K2782" s="74"/>
      <c r="L2782" s="74"/>
      <c r="M2782" s="74"/>
      <c r="N2782" s="152"/>
    </row>
    <row r="2783" spans="1:14">
      <c r="B2783" s="79" t="s">
        <v>168</v>
      </c>
      <c r="C2783" s="30"/>
      <c r="D2783" s="62"/>
      <c r="E2783" s="148"/>
      <c r="F2783" s="148"/>
      <c r="G2783" s="148"/>
      <c r="H2783" s="148"/>
      <c r="I2783" s="208"/>
      <c r="J2783" s="151"/>
      <c r="K2783" s="74"/>
      <c r="L2783" s="74"/>
      <c r="M2783" s="74"/>
      <c r="N2783" s="152"/>
    </row>
    <row r="2784" spans="1:14">
      <c r="B2784" s="79" t="s">
        <v>169</v>
      </c>
      <c r="C2784" s="30"/>
      <c r="D2784" s="62"/>
      <c r="E2784" s="148"/>
      <c r="F2784" s="148"/>
      <c r="G2784" s="148"/>
      <c r="H2784" s="148"/>
      <c r="I2784" s="148"/>
      <c r="J2784" s="151">
        <f>J2758</f>
        <v>0</v>
      </c>
      <c r="K2784" s="150">
        <f>J2784</f>
        <v>0</v>
      </c>
      <c r="L2784" s="74"/>
      <c r="M2784" s="74"/>
      <c r="N2784" s="152"/>
    </row>
    <row r="2785" spans="1:15">
      <c r="B2785" s="79" t="s">
        <v>186</v>
      </c>
      <c r="C2785" s="30"/>
      <c r="D2785" s="62"/>
      <c r="E2785" s="148"/>
      <c r="F2785" s="148"/>
      <c r="G2785" s="148"/>
      <c r="H2785" s="148"/>
      <c r="I2785" s="148"/>
      <c r="J2785" s="228"/>
      <c r="K2785" s="151"/>
      <c r="L2785" s="74"/>
      <c r="M2785" s="74"/>
      <c r="N2785" s="152"/>
    </row>
    <row r="2786" spans="1:15">
      <c r="B2786" s="79" t="s">
        <v>187</v>
      </c>
      <c r="C2786" s="30"/>
      <c r="D2786" s="62"/>
      <c r="E2786" s="148"/>
      <c r="F2786" s="148"/>
      <c r="G2786" s="148"/>
      <c r="H2786" s="148"/>
      <c r="I2786" s="148"/>
      <c r="J2786" s="148"/>
      <c r="K2786" s="151"/>
      <c r="L2786" s="150">
        <f>K2786</f>
        <v>0</v>
      </c>
      <c r="M2786" s="74"/>
      <c r="N2786" s="152"/>
    </row>
    <row r="2787" spans="1:15">
      <c r="B2787" s="79" t="s">
        <v>188</v>
      </c>
      <c r="C2787" s="30"/>
      <c r="D2787" s="62"/>
      <c r="E2787" s="148"/>
      <c r="F2787" s="148"/>
      <c r="G2787" s="148"/>
      <c r="H2787" s="148"/>
      <c r="I2787" s="148"/>
      <c r="J2787" s="148"/>
      <c r="K2787" s="145"/>
      <c r="L2787" s="151"/>
      <c r="M2787" s="74"/>
      <c r="N2787" s="152"/>
    </row>
    <row r="2788" spans="1:15">
      <c r="B2788" s="79" t="s">
        <v>189</v>
      </c>
      <c r="C2788" s="30"/>
      <c r="D2788" s="62"/>
      <c r="E2788" s="148"/>
      <c r="F2788" s="148"/>
      <c r="G2788" s="148"/>
      <c r="H2788" s="148"/>
      <c r="I2788" s="148"/>
      <c r="J2788" s="148"/>
      <c r="K2788" s="148"/>
      <c r="L2788" s="151"/>
      <c r="M2788" s="150">
        <f>L2788</f>
        <v>0</v>
      </c>
      <c r="N2788" s="152"/>
    </row>
    <row r="2789" spans="1:15">
      <c r="B2789" s="79" t="s">
        <v>190</v>
      </c>
      <c r="C2789" s="30"/>
      <c r="D2789" s="62"/>
      <c r="E2789" s="148"/>
      <c r="F2789" s="148"/>
      <c r="G2789" s="148"/>
      <c r="H2789" s="148"/>
      <c r="I2789" s="148"/>
      <c r="J2789" s="148"/>
      <c r="K2789" s="148"/>
      <c r="L2789" s="145">
        <f>M2758</f>
        <v>0</v>
      </c>
      <c r="M2789" s="151">
        <f>L2789</f>
        <v>0</v>
      </c>
      <c r="N2789" s="152"/>
    </row>
    <row r="2790" spans="1:15">
      <c r="B2790" s="79" t="s">
        <v>191</v>
      </c>
      <c r="C2790" s="30"/>
      <c r="D2790" s="62"/>
      <c r="E2790" s="148"/>
      <c r="F2790" s="148"/>
      <c r="G2790" s="148"/>
      <c r="H2790" s="148"/>
      <c r="I2790" s="148"/>
      <c r="J2790" s="148"/>
      <c r="K2790" s="148"/>
      <c r="L2790" s="148"/>
      <c r="M2790" s="151"/>
      <c r="N2790" s="150">
        <f>M2790</f>
        <v>0</v>
      </c>
    </row>
    <row r="2791" spans="1:15">
      <c r="B2791" s="79" t="s">
        <v>201</v>
      </c>
      <c r="C2791" s="30"/>
      <c r="D2791" s="62"/>
      <c r="E2791" s="148"/>
      <c r="F2791" s="148"/>
      <c r="G2791" s="148"/>
      <c r="H2791" s="148"/>
      <c r="I2791" s="148"/>
      <c r="J2791" s="148"/>
      <c r="K2791" s="148"/>
      <c r="L2791" s="148"/>
      <c r="M2791" s="145"/>
      <c r="N2791" s="151"/>
    </row>
    <row r="2792" spans="1:15">
      <c r="B2792" s="79" t="s">
        <v>202</v>
      </c>
      <c r="C2792" s="30"/>
      <c r="D2792" s="63"/>
      <c r="E2792" s="133"/>
      <c r="F2792" s="133"/>
      <c r="G2792" s="133"/>
      <c r="H2792" s="133"/>
      <c r="I2792" s="133"/>
      <c r="J2792" s="133"/>
      <c r="K2792" s="133"/>
      <c r="L2792" s="133"/>
      <c r="M2792" s="133"/>
      <c r="N2792" s="153"/>
    </row>
    <row r="2793" spans="1:15">
      <c r="B2793" s="33" t="s">
        <v>17</v>
      </c>
      <c r="D2793" s="218">
        <f xml:space="preserve"> D2778 - D2777</f>
        <v>0</v>
      </c>
      <c r="E2793" s="218">
        <f xml:space="preserve"> E2777 + E2780 - E2779 - E2778</f>
        <v>0</v>
      </c>
      <c r="F2793" s="218">
        <f>F2779 - F2780</f>
        <v>0</v>
      </c>
      <c r="G2793" s="218">
        <f>G2779 - G2780</f>
        <v>0</v>
      </c>
      <c r="H2793" s="218">
        <f>H2778-H2779-H2780</f>
        <v>0</v>
      </c>
      <c r="I2793" s="218">
        <f>I2780-I2781-I2782</f>
        <v>0</v>
      </c>
      <c r="J2793" s="218">
        <f>J2782-J2783-J2784</f>
        <v>0</v>
      </c>
      <c r="K2793" s="218">
        <f>K2784-K2785-K2786</f>
        <v>0</v>
      </c>
      <c r="L2793" s="218">
        <f>L2786+L2789-L2788-L2787</f>
        <v>0</v>
      </c>
      <c r="M2793" s="218">
        <f>M2788-M2789+M2791</f>
        <v>0</v>
      </c>
      <c r="N2793" s="218">
        <f>N2790-N2791-N2792</f>
        <v>0</v>
      </c>
    </row>
    <row r="2794" spans="1:15">
      <c r="B2794" s="6"/>
      <c r="D2794" s="218"/>
      <c r="E2794" s="218"/>
      <c r="F2794" s="218"/>
      <c r="G2794" s="218"/>
      <c r="H2794" s="218"/>
      <c r="I2794" s="218"/>
      <c r="J2794" s="218"/>
      <c r="K2794" s="218"/>
      <c r="L2794" s="218"/>
      <c r="M2794" s="218"/>
      <c r="N2794" s="218"/>
    </row>
    <row r="2795" spans="1:15">
      <c r="B2795" s="76" t="s">
        <v>12</v>
      </c>
      <c r="C2795" s="71"/>
      <c r="D2795" s="219"/>
      <c r="E2795" s="220"/>
      <c r="F2795" s="220"/>
      <c r="G2795" s="220"/>
      <c r="H2795" s="220"/>
      <c r="I2795" s="220"/>
      <c r="J2795" s="220"/>
      <c r="K2795" s="220"/>
      <c r="L2795" s="220"/>
      <c r="M2795" s="220"/>
      <c r="N2795" s="220"/>
    </row>
    <row r="2796" spans="1:15">
      <c r="B2796" s="6"/>
      <c r="D2796" s="218"/>
      <c r="E2796" s="218"/>
      <c r="F2796" s="218"/>
      <c r="G2796" s="218"/>
      <c r="H2796" s="218"/>
      <c r="I2796" s="218"/>
      <c r="J2796" s="218"/>
      <c r="K2796" s="218"/>
      <c r="L2796" s="218"/>
      <c r="M2796" s="218"/>
      <c r="N2796" s="218"/>
    </row>
    <row r="2797" spans="1:15" ht="18.5">
      <c r="A2797" s="41" t="s">
        <v>26</v>
      </c>
      <c r="C2797" s="71"/>
      <c r="D2797" s="221">
        <f t="shared" ref="D2797:N2797" si="1311" xml:space="preserve"> D2758 + D2763 - D2769 + D2793 + D2795</f>
        <v>0</v>
      </c>
      <c r="E2797" s="222">
        <f t="shared" si="1311"/>
        <v>0</v>
      </c>
      <c r="F2797" s="222">
        <f t="shared" si="1311"/>
        <v>0</v>
      </c>
      <c r="G2797" s="222">
        <f t="shared" si="1311"/>
        <v>0</v>
      </c>
      <c r="H2797" s="222">
        <f t="shared" si="1311"/>
        <v>0</v>
      </c>
      <c r="I2797" s="222">
        <f t="shared" si="1311"/>
        <v>0</v>
      </c>
      <c r="J2797" s="222">
        <f t="shared" si="1311"/>
        <v>0</v>
      </c>
      <c r="K2797" s="222">
        <f t="shared" si="1311"/>
        <v>0</v>
      </c>
      <c r="L2797" s="222">
        <f t="shared" si="1311"/>
        <v>0</v>
      </c>
      <c r="M2797" s="222">
        <f t="shared" si="1311"/>
        <v>0</v>
      </c>
      <c r="N2797" s="222">
        <f t="shared" si="1311"/>
        <v>14764.333644946217</v>
      </c>
      <c r="O2797" s="276"/>
    </row>
    <row r="2798" spans="1:15" ht="15" thickBot="1"/>
    <row r="2799" spans="1:15">
      <c r="A2799" s="8"/>
      <c r="B2799" s="8"/>
      <c r="C2799" s="8"/>
      <c r="D2799" s="8"/>
      <c r="E2799" s="8"/>
      <c r="F2799" s="8"/>
      <c r="G2799" s="8"/>
      <c r="H2799" s="8"/>
      <c r="I2799" s="8"/>
      <c r="J2799" s="8"/>
      <c r="K2799" s="8"/>
      <c r="L2799" s="8"/>
      <c r="M2799" s="8"/>
      <c r="N2799" s="8"/>
      <c r="O2799" s="30"/>
    </row>
    <row r="2800" spans="1:15" ht="15" thickBot="1">
      <c r="B2800" s="30"/>
      <c r="C2800" s="30"/>
      <c r="D2800" s="30"/>
      <c r="E2800" s="30"/>
      <c r="F2800" s="30"/>
      <c r="G2800" s="30"/>
      <c r="H2800" s="30"/>
      <c r="I2800" s="30"/>
      <c r="J2800" s="30"/>
      <c r="K2800" s="30"/>
      <c r="L2800" s="30"/>
      <c r="M2800" s="30"/>
      <c r="N2800" s="30"/>
      <c r="O2800" s="30"/>
    </row>
    <row r="2801" spans="1:15" ht="21.5" thickBot="1">
      <c r="A2801" s="13" t="s">
        <v>4</v>
      </c>
      <c r="B2801" s="13"/>
      <c r="C2801" s="313" t="s">
        <v>155</v>
      </c>
      <c r="D2801" s="310"/>
      <c r="E2801" s="23"/>
      <c r="F2801" s="23"/>
      <c r="O2801" s="30"/>
    </row>
    <row r="2802" spans="1:15">
      <c r="O2802" s="30"/>
    </row>
    <row r="2803" spans="1:15" ht="18.5">
      <c r="A2803" s="9" t="s">
        <v>21</v>
      </c>
      <c r="B2803" s="9"/>
      <c r="D2803" s="2">
        <f>'Facility Detail'!$B$3082</f>
        <v>2011</v>
      </c>
      <c r="E2803" s="2">
        <f t="shared" ref="E2803:K2803" si="1312">D2803+1</f>
        <v>2012</v>
      </c>
      <c r="F2803" s="2">
        <f t="shared" si="1312"/>
        <v>2013</v>
      </c>
      <c r="G2803" s="2">
        <f t="shared" si="1312"/>
        <v>2014</v>
      </c>
      <c r="H2803" s="2">
        <f t="shared" si="1312"/>
        <v>2015</v>
      </c>
      <c r="I2803" s="2">
        <f t="shared" si="1312"/>
        <v>2016</v>
      </c>
      <c r="J2803" s="2">
        <f t="shared" si="1312"/>
        <v>2017</v>
      </c>
      <c r="K2803" s="2">
        <f t="shared" si="1312"/>
        <v>2018</v>
      </c>
      <c r="L2803" s="2">
        <f t="shared" ref="L2803" si="1313">K2803+1</f>
        <v>2019</v>
      </c>
      <c r="M2803" s="2">
        <f t="shared" ref="M2803" si="1314">L2803+1</f>
        <v>2020</v>
      </c>
      <c r="N2803" s="2">
        <f t="shared" ref="N2803" si="1315">M2803+1</f>
        <v>2021</v>
      </c>
      <c r="O2803" s="30"/>
    </row>
    <row r="2804" spans="1:15">
      <c r="B2804" s="79" t="str">
        <f>"Total MWh Produced / Purchased from " &amp; C2801</f>
        <v>Total MWh Produced / Purchased from Top of the World</v>
      </c>
      <c r="C2804" s="71"/>
      <c r="D2804" s="3"/>
      <c r="E2804" s="4"/>
      <c r="F2804" s="4"/>
      <c r="G2804" s="4"/>
      <c r="H2804" s="4">
        <v>570069</v>
      </c>
      <c r="I2804" s="241">
        <v>651049</v>
      </c>
      <c r="J2804" s="225">
        <v>611543</v>
      </c>
      <c r="K2804" s="225">
        <v>532188.39900000009</v>
      </c>
      <c r="L2804" s="225">
        <v>263927</v>
      </c>
      <c r="M2804" s="227">
        <v>519246</v>
      </c>
      <c r="N2804" s="227">
        <v>610844</v>
      </c>
      <c r="O2804" s="30"/>
    </row>
    <row r="2805" spans="1:15">
      <c r="B2805" s="79" t="s">
        <v>25</v>
      </c>
      <c r="C2805" s="71"/>
      <c r="D2805" s="54"/>
      <c r="E2805" s="55"/>
      <c r="F2805" s="55"/>
      <c r="G2805" s="55"/>
      <c r="H2805" s="55">
        <v>1</v>
      </c>
      <c r="I2805" s="186">
        <v>1</v>
      </c>
      <c r="J2805" s="55">
        <v>1</v>
      </c>
      <c r="K2805" s="55">
        <v>1</v>
      </c>
      <c r="L2805" s="55">
        <v>1</v>
      </c>
      <c r="M2805" s="235">
        <v>1</v>
      </c>
      <c r="N2805" s="235">
        <v>1</v>
      </c>
      <c r="O2805" s="30"/>
    </row>
    <row r="2806" spans="1:15">
      <c r="B2806" s="79" t="s">
        <v>20</v>
      </c>
      <c r="C2806" s="71"/>
      <c r="D2806" s="48">
        <v>7.8921000000000005E-2</v>
      </c>
      <c r="E2806" s="49">
        <v>7.9619999999999996E-2</v>
      </c>
      <c r="F2806" s="49">
        <v>7.8747999999999999E-2</v>
      </c>
      <c r="G2806" s="49">
        <v>8.0235000000000001E-2</v>
      </c>
      <c r="H2806" s="49">
        <v>8.0535999999999996E-2</v>
      </c>
      <c r="I2806" s="49">
        <v>8.1698151927344531E-2</v>
      </c>
      <c r="J2806" s="49">
        <v>8.0833713568703974E-2</v>
      </c>
      <c r="K2806" s="49">
        <v>7.9451999999999995E-2</v>
      </c>
      <c r="L2806" s="49">
        <v>7.6724662968274293E-2</v>
      </c>
      <c r="M2806" s="243">
        <f>M2577</f>
        <v>8.1268700519883177E-2</v>
      </c>
      <c r="N2806" s="243">
        <f>N2577</f>
        <v>8.0780946790754593E-2</v>
      </c>
      <c r="O2806" s="30"/>
    </row>
    <row r="2807" spans="1:15">
      <c r="B2807" s="76" t="s">
        <v>22</v>
      </c>
      <c r="C2807" s="77"/>
      <c r="D2807" s="37">
        <f xml:space="preserve"> ROUND(D2804 * D2805 * D2806,0)</f>
        <v>0</v>
      </c>
      <c r="E2807" s="37">
        <f t="shared" ref="E2807:G2807" si="1316" xml:space="preserve"> ROUND(E2804 * E2805 * E2806,0)</f>
        <v>0</v>
      </c>
      <c r="F2807" s="37">
        <f t="shared" si="1316"/>
        <v>0</v>
      </c>
      <c r="G2807" s="37">
        <f t="shared" si="1316"/>
        <v>0</v>
      </c>
      <c r="H2807" s="37">
        <v>45911</v>
      </c>
      <c r="I2807" s="229">
        <v>53189</v>
      </c>
      <c r="J2807" s="229">
        <v>49434</v>
      </c>
      <c r="K2807" s="229">
        <v>42284</v>
      </c>
      <c r="L2807" s="229">
        <f>L2804*L2806</f>
        <v>20249.710123227731</v>
      </c>
      <c r="M2807" s="229">
        <f>M2804*M2806</f>
        <v>42198.447670147259</v>
      </c>
      <c r="N2807" s="229">
        <f>N2804*N2806</f>
        <v>49344.556661451701</v>
      </c>
      <c r="O2807" s="30"/>
    </row>
    <row r="2808" spans="1:15">
      <c r="B2808" s="23"/>
      <c r="C2808" s="30"/>
      <c r="D2808" s="36"/>
      <c r="E2808" s="36"/>
      <c r="F2808" s="36"/>
      <c r="G2808" s="24"/>
      <c r="H2808" s="24"/>
      <c r="I2808" s="24"/>
      <c r="J2808" s="24"/>
      <c r="K2808" s="24"/>
      <c r="L2808" s="24"/>
      <c r="M2808" s="24"/>
      <c r="N2808" s="24"/>
      <c r="O2808" s="30"/>
    </row>
    <row r="2809" spans="1:15" ht="18.5">
      <c r="A2809" s="42" t="s">
        <v>119</v>
      </c>
      <c r="C2809" s="30"/>
      <c r="D2809" s="2">
        <f>'Facility Detail'!$B$3082</f>
        <v>2011</v>
      </c>
      <c r="E2809" s="2">
        <f t="shared" ref="E2809:J2809" si="1317">D2809+1</f>
        <v>2012</v>
      </c>
      <c r="F2809" s="2">
        <f t="shared" si="1317"/>
        <v>2013</v>
      </c>
      <c r="G2809" s="2">
        <f t="shared" si="1317"/>
        <v>2014</v>
      </c>
      <c r="H2809" s="2">
        <f t="shared" si="1317"/>
        <v>2015</v>
      </c>
      <c r="I2809" s="2">
        <f t="shared" si="1317"/>
        <v>2016</v>
      </c>
      <c r="J2809" s="2">
        <f t="shared" si="1317"/>
        <v>2017</v>
      </c>
      <c r="K2809" s="2">
        <f>K2803</f>
        <v>2018</v>
      </c>
      <c r="L2809" s="2">
        <f t="shared" ref="L2809" si="1318">K2809+1</f>
        <v>2019</v>
      </c>
      <c r="M2809" s="2">
        <f t="shared" ref="M2809" si="1319">L2809+1</f>
        <v>2020</v>
      </c>
      <c r="N2809" s="2">
        <f t="shared" ref="N2809" si="1320">M2809+1</f>
        <v>2021</v>
      </c>
      <c r="O2809" s="30"/>
    </row>
    <row r="2810" spans="1:15">
      <c r="B2810" s="79" t="s">
        <v>10</v>
      </c>
      <c r="C2810" s="71"/>
      <c r="D2810" s="51">
        <f>IF($E60= "Eligible", D2807 * 'Facility Detail'!$B$3079, 0 )</f>
        <v>0</v>
      </c>
      <c r="E2810" s="51">
        <f>IF($E60= "Eligible", E2807 * 'Facility Detail'!$B$3079, 0 )</f>
        <v>0</v>
      </c>
      <c r="F2810" s="51">
        <f>IF($E60= "Eligible", F2807 * 'Facility Detail'!$B$3079, 0 )</f>
        <v>0</v>
      </c>
      <c r="G2810" s="51">
        <f>IF($E60= "Eligible", G2807 * 'Facility Detail'!$B$3079, 0 )</f>
        <v>0</v>
      </c>
      <c r="H2810" s="51">
        <f>IF($E60= "Eligible", H2807 * 'Facility Detail'!$B$3079, 0 )</f>
        <v>0</v>
      </c>
      <c r="I2810" s="51">
        <f>IF($E60= "Eligible", I2807 * 'Facility Detail'!$B$3079, 0 )</f>
        <v>0</v>
      </c>
      <c r="J2810" s="51">
        <f>IF($E60= "Eligible", J2807 * 'Facility Detail'!$B$3079, 0 )</f>
        <v>0</v>
      </c>
      <c r="K2810" s="51">
        <f>IF($E60= "Eligible", K2807 * 'Facility Detail'!$B$3079, 0 )</f>
        <v>0</v>
      </c>
      <c r="L2810" s="51">
        <f>IF($E60= "Eligible", L2807 * 'Facility Detail'!$B$3079, 0 )</f>
        <v>0</v>
      </c>
      <c r="M2810" s="51">
        <f>IF($E60= "Eligible", M2807 * 'Facility Detail'!$B$3079, 0 )</f>
        <v>0</v>
      </c>
      <c r="N2810" s="51">
        <f>IF($E60= "Eligible", N2807 * 'Facility Detail'!$B$3079, 0 )</f>
        <v>0</v>
      </c>
      <c r="O2810" s="30"/>
    </row>
    <row r="2811" spans="1:15">
      <c r="B2811" s="79" t="s">
        <v>6</v>
      </c>
      <c r="C2811" s="71"/>
      <c r="D2811" s="52">
        <f t="shared" ref="D2811:N2811" si="1321">IF($F60= "Eligible", D2807, 0 )</f>
        <v>0</v>
      </c>
      <c r="E2811" s="52">
        <f t="shared" si="1321"/>
        <v>0</v>
      </c>
      <c r="F2811" s="52">
        <f t="shared" si="1321"/>
        <v>0</v>
      </c>
      <c r="G2811" s="52">
        <f t="shared" si="1321"/>
        <v>0</v>
      </c>
      <c r="H2811" s="52">
        <f t="shared" si="1321"/>
        <v>0</v>
      </c>
      <c r="I2811" s="52">
        <f t="shared" si="1321"/>
        <v>0</v>
      </c>
      <c r="J2811" s="52">
        <f t="shared" si="1321"/>
        <v>0</v>
      </c>
      <c r="K2811" s="52">
        <f t="shared" si="1321"/>
        <v>0</v>
      </c>
      <c r="L2811" s="52">
        <f t="shared" si="1321"/>
        <v>0</v>
      </c>
      <c r="M2811" s="52">
        <f t="shared" si="1321"/>
        <v>0</v>
      </c>
      <c r="N2811" s="52">
        <f t="shared" si="1321"/>
        <v>0</v>
      </c>
      <c r="O2811" s="30"/>
    </row>
    <row r="2812" spans="1:15">
      <c r="B2812" s="78" t="s">
        <v>121</v>
      </c>
      <c r="C2812" s="77"/>
      <c r="D2812" s="39">
        <f>SUM(D2810:D2811)</f>
        <v>0</v>
      </c>
      <c r="E2812" s="39">
        <f t="shared" ref="E2812:N2812" si="1322">SUM(E2810:E2811)</f>
        <v>0</v>
      </c>
      <c r="F2812" s="39">
        <f t="shared" si="1322"/>
        <v>0</v>
      </c>
      <c r="G2812" s="39">
        <f t="shared" si="1322"/>
        <v>0</v>
      </c>
      <c r="H2812" s="39">
        <f t="shared" si="1322"/>
        <v>0</v>
      </c>
      <c r="I2812" s="39">
        <f t="shared" si="1322"/>
        <v>0</v>
      </c>
      <c r="J2812" s="39">
        <f t="shared" si="1322"/>
        <v>0</v>
      </c>
      <c r="K2812" s="39">
        <f t="shared" si="1322"/>
        <v>0</v>
      </c>
      <c r="L2812" s="39">
        <f t="shared" si="1322"/>
        <v>0</v>
      </c>
      <c r="M2812" s="39">
        <f t="shared" si="1322"/>
        <v>0</v>
      </c>
      <c r="N2812" s="39">
        <f t="shared" si="1322"/>
        <v>0</v>
      </c>
      <c r="O2812" s="30"/>
    </row>
    <row r="2813" spans="1:15">
      <c r="B2813" s="30"/>
      <c r="C2813" s="30"/>
      <c r="D2813" s="38"/>
      <c r="E2813" s="31"/>
      <c r="F2813" s="31"/>
      <c r="G2813" s="24"/>
      <c r="H2813" s="24"/>
      <c r="I2813" s="24"/>
      <c r="J2813" s="24"/>
      <c r="K2813" s="24"/>
      <c r="L2813" s="24"/>
      <c r="M2813" s="24"/>
      <c r="N2813" s="24"/>
      <c r="O2813" s="30"/>
    </row>
    <row r="2814" spans="1:15" ht="18.5">
      <c r="A2814" s="41" t="s">
        <v>30</v>
      </c>
      <c r="C2814" s="30"/>
      <c r="D2814" s="2">
        <f>'Facility Detail'!$B$3082</f>
        <v>2011</v>
      </c>
      <c r="E2814" s="2">
        <f t="shared" ref="E2814:J2814" si="1323">D2814+1</f>
        <v>2012</v>
      </c>
      <c r="F2814" s="2">
        <f t="shared" si="1323"/>
        <v>2013</v>
      </c>
      <c r="G2814" s="2">
        <f t="shared" si="1323"/>
        <v>2014</v>
      </c>
      <c r="H2814" s="2">
        <f t="shared" si="1323"/>
        <v>2015</v>
      </c>
      <c r="I2814" s="2">
        <f t="shared" si="1323"/>
        <v>2016</v>
      </c>
      <c r="J2814" s="2">
        <f t="shared" si="1323"/>
        <v>2017</v>
      </c>
      <c r="K2814" s="2">
        <f>K2803</f>
        <v>2018</v>
      </c>
      <c r="L2814" s="2">
        <f t="shared" ref="L2814:N2814" si="1324">L2803</f>
        <v>2019</v>
      </c>
      <c r="M2814" s="2">
        <f t="shared" si="1324"/>
        <v>2020</v>
      </c>
      <c r="N2814" s="2">
        <f t="shared" si="1324"/>
        <v>2021</v>
      </c>
      <c r="O2814" s="30"/>
    </row>
    <row r="2815" spans="1:15">
      <c r="B2815" s="79" t="s">
        <v>47</v>
      </c>
      <c r="C2815" s="71"/>
      <c r="D2815" s="89"/>
      <c r="E2815" s="90"/>
      <c r="F2815" s="90"/>
      <c r="G2815" s="155"/>
      <c r="H2815" s="155"/>
      <c r="I2815" s="155"/>
      <c r="J2815" s="155"/>
      <c r="K2815" s="155"/>
      <c r="L2815" s="155"/>
      <c r="M2815" s="140"/>
      <c r="N2815" s="140"/>
      <c r="O2815" s="30"/>
    </row>
    <row r="2816" spans="1:15">
      <c r="B2816" s="80" t="s">
        <v>23</v>
      </c>
      <c r="C2816" s="175"/>
      <c r="D2816" s="92"/>
      <c r="E2816" s="93"/>
      <c r="F2816" s="93"/>
      <c r="G2816" s="156"/>
      <c r="H2816" s="156"/>
      <c r="I2816" s="156"/>
      <c r="J2816" s="156"/>
      <c r="K2816" s="156"/>
      <c r="L2816" s="156"/>
      <c r="M2816" s="141"/>
      <c r="N2816" s="141"/>
      <c r="O2816" s="30"/>
    </row>
    <row r="2817" spans="1:15">
      <c r="B2817" s="95" t="s">
        <v>89</v>
      </c>
      <c r="C2817" s="173"/>
      <c r="D2817" s="57"/>
      <c r="E2817" s="58"/>
      <c r="F2817" s="58"/>
      <c r="G2817" s="157"/>
      <c r="H2817" s="157"/>
      <c r="I2817" s="157"/>
      <c r="J2817" s="157"/>
      <c r="K2817" s="157"/>
      <c r="L2817" s="157"/>
      <c r="M2817" s="142"/>
      <c r="N2817" s="142"/>
      <c r="O2817" s="30"/>
    </row>
    <row r="2818" spans="1:15">
      <c r="B2818" s="33" t="s">
        <v>90</v>
      </c>
      <c r="D2818" s="7">
        <f t="shared" ref="D2818:J2818" si="1325">SUM(D2815:D2817)</f>
        <v>0</v>
      </c>
      <c r="E2818" s="7">
        <f t="shared" si="1325"/>
        <v>0</v>
      </c>
      <c r="F2818" s="7">
        <f t="shared" si="1325"/>
        <v>0</v>
      </c>
      <c r="G2818" s="7">
        <f t="shared" si="1325"/>
        <v>0</v>
      </c>
      <c r="H2818" s="7">
        <f t="shared" si="1325"/>
        <v>0</v>
      </c>
      <c r="I2818" s="7">
        <f t="shared" si="1325"/>
        <v>0</v>
      </c>
      <c r="J2818" s="7">
        <f t="shared" si="1325"/>
        <v>0</v>
      </c>
      <c r="K2818" s="7">
        <f t="shared" ref="K2818:L2818" si="1326">SUM(K2815:K2817)</f>
        <v>0</v>
      </c>
      <c r="L2818" s="7">
        <f t="shared" si="1326"/>
        <v>0</v>
      </c>
      <c r="M2818" s="7">
        <f t="shared" ref="M2818:N2818" si="1327">SUM(M2815:M2817)</f>
        <v>0</v>
      </c>
      <c r="N2818" s="7">
        <f t="shared" si="1327"/>
        <v>0</v>
      </c>
      <c r="O2818" s="30"/>
    </row>
    <row r="2819" spans="1:15">
      <c r="B2819" s="6"/>
      <c r="D2819" s="7"/>
      <c r="E2819" s="7"/>
      <c r="F2819" s="7"/>
      <c r="G2819" s="28"/>
      <c r="H2819" s="28"/>
      <c r="I2819" s="28"/>
      <c r="J2819" s="28"/>
      <c r="K2819" s="28"/>
      <c r="L2819" s="28"/>
      <c r="M2819" s="28"/>
      <c r="N2819" s="28"/>
      <c r="O2819" s="30"/>
    </row>
    <row r="2820" spans="1:15" ht="18.5">
      <c r="A2820" s="9" t="s">
        <v>100</v>
      </c>
      <c r="D2820" s="2">
        <f>'Facility Detail'!$B$3082</f>
        <v>2011</v>
      </c>
      <c r="E2820" s="2">
        <f t="shared" ref="E2820:J2820" si="1328">D2820+1</f>
        <v>2012</v>
      </c>
      <c r="F2820" s="2">
        <f t="shared" si="1328"/>
        <v>2013</v>
      </c>
      <c r="G2820" s="2">
        <f t="shared" si="1328"/>
        <v>2014</v>
      </c>
      <c r="H2820" s="2">
        <f t="shared" si="1328"/>
        <v>2015</v>
      </c>
      <c r="I2820" s="2">
        <f t="shared" si="1328"/>
        <v>2016</v>
      </c>
      <c r="J2820" s="2">
        <f t="shared" si="1328"/>
        <v>2017</v>
      </c>
      <c r="K2820" s="2">
        <f>K2803</f>
        <v>2018</v>
      </c>
      <c r="L2820" s="2">
        <f t="shared" ref="L2820:N2820" si="1329">L2803</f>
        <v>2019</v>
      </c>
      <c r="M2820" s="2">
        <f t="shared" si="1329"/>
        <v>2020</v>
      </c>
      <c r="N2820" s="2">
        <f t="shared" si="1329"/>
        <v>2021</v>
      </c>
      <c r="O2820" s="30"/>
    </row>
    <row r="2821" spans="1:15">
      <c r="B2821" s="79" t="s">
        <v>68</v>
      </c>
      <c r="C2821" s="30"/>
      <c r="D2821" s="3">
        <f>D2807</f>
        <v>0</v>
      </c>
      <c r="E2821" s="60">
        <f>D2821</f>
        <v>0</v>
      </c>
      <c r="F2821" s="131"/>
      <c r="G2821" s="131"/>
      <c r="H2821" s="131"/>
      <c r="I2821" s="131"/>
      <c r="J2821" s="131"/>
      <c r="K2821" s="131"/>
      <c r="L2821" s="131"/>
      <c r="M2821" s="131"/>
      <c r="N2821" s="61"/>
      <c r="O2821" s="30"/>
    </row>
    <row r="2822" spans="1:15">
      <c r="B2822" s="79" t="s">
        <v>69</v>
      </c>
      <c r="C2822" s="30"/>
      <c r="D2822" s="164">
        <f>E2822</f>
        <v>0</v>
      </c>
      <c r="E2822" s="10"/>
      <c r="F2822" s="74"/>
      <c r="G2822" s="74"/>
      <c r="H2822" s="74"/>
      <c r="I2822" s="74"/>
      <c r="J2822" s="74"/>
      <c r="K2822" s="74"/>
      <c r="L2822" s="74"/>
      <c r="M2822" s="74"/>
      <c r="N2822" s="165"/>
      <c r="O2822" s="30"/>
    </row>
    <row r="2823" spans="1:15">
      <c r="B2823" s="79" t="s">
        <v>70</v>
      </c>
      <c r="C2823" s="30"/>
      <c r="D2823" s="62"/>
      <c r="E2823" s="10">
        <f>E2807</f>
        <v>0</v>
      </c>
      <c r="F2823" s="70">
        <f>E2823</f>
        <v>0</v>
      </c>
      <c r="G2823" s="74"/>
      <c r="H2823" s="74"/>
      <c r="I2823" s="74"/>
      <c r="J2823" s="74"/>
      <c r="K2823" s="74"/>
      <c r="L2823" s="74"/>
      <c r="M2823" s="74"/>
      <c r="N2823" s="165"/>
      <c r="O2823" s="30"/>
    </row>
    <row r="2824" spans="1:15">
      <c r="B2824" s="79" t="s">
        <v>71</v>
      </c>
      <c r="C2824" s="30"/>
      <c r="D2824" s="62"/>
      <c r="E2824" s="70">
        <f>F2824</f>
        <v>0</v>
      </c>
      <c r="F2824" s="163"/>
      <c r="G2824" s="74"/>
      <c r="H2824" s="74"/>
      <c r="I2824" s="74"/>
      <c r="J2824" s="74"/>
      <c r="K2824" s="74"/>
      <c r="L2824" s="74"/>
      <c r="M2824" s="74"/>
      <c r="N2824" s="165"/>
      <c r="O2824" s="30"/>
    </row>
    <row r="2825" spans="1:15">
      <c r="B2825" s="79" t="s">
        <v>171</v>
      </c>
      <c r="C2825" s="30"/>
      <c r="D2825" s="62"/>
      <c r="E2825" s="148"/>
      <c r="F2825" s="10">
        <f>F2807</f>
        <v>0</v>
      </c>
      <c r="G2825" s="149">
        <f>F2825</f>
        <v>0</v>
      </c>
      <c r="H2825" s="74"/>
      <c r="I2825" s="74"/>
      <c r="J2825" s="74"/>
      <c r="K2825" s="74"/>
      <c r="L2825" s="74"/>
      <c r="M2825" s="74"/>
      <c r="N2825" s="165"/>
      <c r="O2825" s="30"/>
    </row>
    <row r="2826" spans="1:15">
      <c r="B2826" s="79" t="s">
        <v>172</v>
      </c>
      <c r="C2826" s="30"/>
      <c r="D2826" s="62"/>
      <c r="E2826" s="148"/>
      <c r="F2826" s="70">
        <f>G2826</f>
        <v>0</v>
      </c>
      <c r="G2826" s="10"/>
      <c r="H2826" s="74"/>
      <c r="I2826" s="74"/>
      <c r="J2826" s="74" t="s">
        <v>170</v>
      </c>
      <c r="K2826" s="74"/>
      <c r="L2826" s="74"/>
      <c r="M2826" s="74"/>
      <c r="N2826" s="165"/>
      <c r="O2826" s="30"/>
    </row>
    <row r="2827" spans="1:15">
      <c r="B2827" s="79" t="s">
        <v>173</v>
      </c>
      <c r="C2827" s="30"/>
      <c r="D2827" s="62"/>
      <c r="E2827" s="148"/>
      <c r="F2827" s="148"/>
      <c r="G2827" s="10">
        <f>G2807</f>
        <v>0</v>
      </c>
      <c r="H2827" s="149">
        <f>G2827</f>
        <v>0</v>
      </c>
      <c r="I2827" s="148"/>
      <c r="J2827" s="74"/>
      <c r="K2827" s="74"/>
      <c r="L2827" s="74"/>
      <c r="M2827" s="74"/>
      <c r="N2827" s="152"/>
      <c r="O2827" s="30"/>
    </row>
    <row r="2828" spans="1:15">
      <c r="B2828" s="79" t="s">
        <v>174</v>
      </c>
      <c r="C2828" s="30"/>
      <c r="D2828" s="62"/>
      <c r="E2828" s="148"/>
      <c r="F2828" s="148"/>
      <c r="G2828" s="70"/>
      <c r="H2828" s="10"/>
      <c r="I2828" s="148"/>
      <c r="J2828" s="74"/>
      <c r="K2828" s="74"/>
      <c r="L2828" s="74"/>
      <c r="M2828" s="74"/>
      <c r="N2828" s="152"/>
      <c r="O2828" s="30"/>
    </row>
    <row r="2829" spans="1:15">
      <c r="B2829" s="79" t="s">
        <v>175</v>
      </c>
      <c r="C2829" s="30"/>
      <c r="D2829" s="62"/>
      <c r="E2829" s="148"/>
      <c r="F2829" s="148"/>
      <c r="G2829" s="148"/>
      <c r="H2829" s="10">
        <f>H2807</f>
        <v>45911</v>
      </c>
      <c r="I2829" s="149">
        <f>H2829</f>
        <v>45911</v>
      </c>
      <c r="J2829" s="74"/>
      <c r="K2829" s="74"/>
      <c r="L2829" s="74"/>
      <c r="M2829" s="74"/>
      <c r="N2829" s="152"/>
      <c r="O2829" s="30"/>
    </row>
    <row r="2830" spans="1:15">
      <c r="B2830" s="79" t="s">
        <v>176</v>
      </c>
      <c r="C2830" s="30"/>
      <c r="D2830" s="62"/>
      <c r="E2830" s="148"/>
      <c r="F2830" s="148"/>
      <c r="G2830" s="148"/>
      <c r="H2830" s="70"/>
      <c r="I2830" s="10"/>
      <c r="J2830" s="74"/>
      <c r="K2830" s="74"/>
      <c r="L2830" s="74"/>
      <c r="M2830" s="74"/>
      <c r="N2830" s="152"/>
      <c r="O2830" s="30"/>
    </row>
    <row r="2831" spans="1:15">
      <c r="B2831" s="79" t="s">
        <v>177</v>
      </c>
      <c r="C2831" s="30"/>
      <c r="D2831" s="62"/>
      <c r="E2831" s="148"/>
      <c r="F2831" s="148"/>
      <c r="G2831" s="148"/>
      <c r="H2831" s="148"/>
      <c r="I2831" s="257">
        <f>I2807</f>
        <v>53189</v>
      </c>
      <c r="J2831" s="258">
        <f>I2831</f>
        <v>53189</v>
      </c>
      <c r="K2831" s="74"/>
      <c r="L2831" s="74"/>
      <c r="M2831" s="74"/>
      <c r="N2831" s="152"/>
      <c r="O2831" s="30"/>
    </row>
    <row r="2832" spans="1:15">
      <c r="B2832" s="79" t="s">
        <v>168</v>
      </c>
      <c r="C2832" s="30"/>
      <c r="D2832" s="62"/>
      <c r="E2832" s="148"/>
      <c r="F2832" s="148"/>
      <c r="G2832" s="148"/>
      <c r="H2832" s="148"/>
      <c r="I2832" s="208"/>
      <c r="J2832" s="151"/>
      <c r="K2832" s="74"/>
      <c r="L2832" s="74"/>
      <c r="M2832" s="74"/>
      <c r="N2832" s="152"/>
      <c r="O2832" s="30"/>
    </row>
    <row r="2833" spans="1:15">
      <c r="B2833" s="79" t="s">
        <v>169</v>
      </c>
      <c r="C2833" s="30"/>
      <c r="D2833" s="62"/>
      <c r="E2833" s="148"/>
      <c r="F2833" s="148"/>
      <c r="G2833" s="148"/>
      <c r="H2833" s="148"/>
      <c r="I2833" s="148"/>
      <c r="J2833" s="151">
        <v>0</v>
      </c>
      <c r="K2833" s="150">
        <f>J2833</f>
        <v>0</v>
      </c>
      <c r="L2833" s="74"/>
      <c r="M2833" s="74"/>
      <c r="N2833" s="152"/>
      <c r="O2833" s="30"/>
    </row>
    <row r="2834" spans="1:15">
      <c r="B2834" s="79" t="s">
        <v>186</v>
      </c>
      <c r="C2834" s="30"/>
      <c r="D2834" s="62"/>
      <c r="E2834" s="148"/>
      <c r="F2834" s="148"/>
      <c r="G2834" s="148"/>
      <c r="H2834" s="148"/>
      <c r="I2834" s="148"/>
      <c r="J2834" s="228"/>
      <c r="K2834" s="151"/>
      <c r="L2834" s="74"/>
      <c r="M2834" s="74"/>
      <c r="N2834" s="152"/>
      <c r="O2834" s="30"/>
    </row>
    <row r="2835" spans="1:15">
      <c r="B2835" s="79" t="s">
        <v>187</v>
      </c>
      <c r="C2835" s="30"/>
      <c r="D2835" s="62"/>
      <c r="E2835" s="148"/>
      <c r="F2835" s="148"/>
      <c r="G2835" s="148"/>
      <c r="H2835" s="148"/>
      <c r="I2835" s="148"/>
      <c r="J2835" s="148"/>
      <c r="K2835" s="151"/>
      <c r="L2835" s="258"/>
      <c r="M2835" s="74"/>
      <c r="N2835" s="152"/>
      <c r="O2835" s="30"/>
    </row>
    <row r="2836" spans="1:15">
      <c r="B2836" s="79" t="s">
        <v>188</v>
      </c>
      <c r="C2836" s="30"/>
      <c r="D2836" s="62"/>
      <c r="E2836" s="148"/>
      <c r="F2836" s="148"/>
      <c r="G2836" s="148"/>
      <c r="H2836" s="148"/>
      <c r="I2836" s="148"/>
      <c r="J2836" s="148"/>
      <c r="K2836" s="275"/>
      <c r="L2836" s="151"/>
      <c r="M2836" s="74"/>
      <c r="N2836" s="233"/>
      <c r="O2836" s="30"/>
    </row>
    <row r="2837" spans="1:15">
      <c r="B2837" s="79" t="s">
        <v>189</v>
      </c>
      <c r="C2837" s="30"/>
      <c r="D2837" s="62"/>
      <c r="E2837" s="148"/>
      <c r="F2837" s="148"/>
      <c r="G2837" s="148"/>
      <c r="H2837" s="148"/>
      <c r="I2837" s="148"/>
      <c r="J2837" s="148"/>
      <c r="K2837" s="148"/>
      <c r="L2837" s="151"/>
      <c r="M2837" s="258"/>
      <c r="N2837" s="152"/>
      <c r="O2837" s="30"/>
    </row>
    <row r="2838" spans="1:15">
      <c r="B2838" s="79" t="s">
        <v>190</v>
      </c>
      <c r="C2838" s="30"/>
      <c r="D2838" s="62"/>
      <c r="E2838" s="148"/>
      <c r="F2838" s="148"/>
      <c r="G2838" s="148"/>
      <c r="H2838" s="148"/>
      <c r="I2838" s="148"/>
      <c r="J2838" s="148"/>
      <c r="K2838" s="148"/>
      <c r="L2838" s="228"/>
      <c r="M2838" s="151"/>
      <c r="N2838" s="178"/>
      <c r="O2838" s="30"/>
    </row>
    <row r="2839" spans="1:15">
      <c r="B2839" s="79" t="s">
        <v>191</v>
      </c>
      <c r="C2839" s="30"/>
      <c r="D2839" s="62"/>
      <c r="E2839" s="148"/>
      <c r="F2839" s="148"/>
      <c r="G2839" s="148"/>
      <c r="H2839" s="148"/>
      <c r="I2839" s="148"/>
      <c r="J2839" s="148"/>
      <c r="K2839" s="277"/>
      <c r="L2839" s="277"/>
      <c r="M2839" s="151">
        <v>0</v>
      </c>
      <c r="N2839" s="258">
        <f>M2839</f>
        <v>0</v>
      </c>
      <c r="O2839" s="30"/>
    </row>
    <row r="2840" spans="1:15">
      <c r="B2840" s="79" t="s">
        <v>201</v>
      </c>
      <c r="C2840" s="30"/>
      <c r="D2840" s="62"/>
      <c r="E2840" s="148"/>
      <c r="F2840" s="148"/>
      <c r="G2840" s="148"/>
      <c r="H2840" s="148"/>
      <c r="I2840" s="148"/>
      <c r="J2840" s="148"/>
      <c r="K2840" s="148"/>
      <c r="L2840" s="148"/>
      <c r="M2840" s="150"/>
      <c r="N2840" s="151"/>
      <c r="O2840" s="30"/>
    </row>
    <row r="2841" spans="1:15">
      <c r="B2841" s="79" t="s">
        <v>202</v>
      </c>
      <c r="C2841" s="30"/>
      <c r="D2841" s="63"/>
      <c r="E2841" s="133"/>
      <c r="F2841" s="133"/>
      <c r="G2841" s="133"/>
      <c r="H2841" s="133"/>
      <c r="I2841" s="133"/>
      <c r="J2841" s="133"/>
      <c r="K2841" s="133"/>
      <c r="L2841" s="133"/>
      <c r="M2841" s="133"/>
      <c r="N2841" s="153">
        <v>49345</v>
      </c>
      <c r="O2841" s="30"/>
    </row>
    <row r="2842" spans="1:15">
      <c r="B2842" s="33" t="s">
        <v>17</v>
      </c>
      <c r="D2842" s="180">
        <f xml:space="preserve"> D2827 - D2826</f>
        <v>0</v>
      </c>
      <c r="E2842" s="180">
        <f xml:space="preserve"> E2826 + E2829 - E2828 - E2827</f>
        <v>0</v>
      </c>
      <c r="F2842" s="180">
        <v>0</v>
      </c>
      <c r="G2842" s="180">
        <f>G2825-G2826-G2827</f>
        <v>0</v>
      </c>
      <c r="H2842" s="28">
        <f>H2827-H2828-H2829</f>
        <v>-45911</v>
      </c>
      <c r="I2842" s="28">
        <f>I2829-I2830-I2831</f>
        <v>-7278</v>
      </c>
      <c r="J2842" s="28">
        <f>J2831-J2832-J2833</f>
        <v>53189</v>
      </c>
      <c r="K2842" s="28">
        <f>K2833-K2834-K2835</f>
        <v>0</v>
      </c>
      <c r="L2842" s="28">
        <f>L2835-L2836-L2837</f>
        <v>0</v>
      </c>
      <c r="M2842" s="28">
        <f>M2840</f>
        <v>0</v>
      </c>
      <c r="N2842" s="28">
        <f>N2841*-1</f>
        <v>-49345</v>
      </c>
      <c r="O2842" s="30"/>
    </row>
    <row r="2843" spans="1:15">
      <c r="B2843" s="6"/>
      <c r="D2843" s="7"/>
      <c r="E2843" s="7"/>
      <c r="F2843" s="7"/>
      <c r="G2843" s="28"/>
      <c r="H2843" s="190"/>
      <c r="I2843" s="190"/>
      <c r="J2843" s="190"/>
      <c r="K2843" s="190"/>
      <c r="L2843" s="190"/>
      <c r="M2843" s="190"/>
      <c r="N2843" s="28"/>
      <c r="O2843" s="30"/>
    </row>
    <row r="2844" spans="1:15">
      <c r="B2844" s="76" t="s">
        <v>12</v>
      </c>
      <c r="C2844" s="71"/>
      <c r="D2844" s="99"/>
      <c r="E2844" s="100"/>
      <c r="F2844" s="160"/>
      <c r="G2844" s="100"/>
      <c r="H2844" s="191"/>
      <c r="I2844" s="192"/>
      <c r="J2844" s="192"/>
      <c r="K2844" s="192"/>
      <c r="L2844" s="192"/>
      <c r="M2844" s="242"/>
      <c r="N2844" s="101"/>
      <c r="O2844" s="30"/>
    </row>
    <row r="2845" spans="1:15">
      <c r="B2845" s="6"/>
      <c r="D2845" s="7"/>
      <c r="E2845" s="7"/>
      <c r="F2845" s="7"/>
      <c r="G2845" s="7"/>
      <c r="H2845" s="193"/>
      <c r="I2845" s="193"/>
      <c r="J2845" s="193"/>
      <c r="K2845" s="193"/>
      <c r="L2845" s="193"/>
      <c r="M2845" s="193"/>
      <c r="N2845" s="7"/>
      <c r="O2845" s="30"/>
    </row>
    <row r="2846" spans="1:15" ht="18.5">
      <c r="A2846" s="41" t="s">
        <v>26</v>
      </c>
      <c r="C2846" s="71"/>
      <c r="D2846" s="43">
        <f t="shared" ref="D2846:N2846" si="1330" xml:space="preserve"> D2807 + D2812 - D2818 + D2842 + D2844</f>
        <v>0</v>
      </c>
      <c r="E2846" s="44">
        <f t="shared" si="1330"/>
        <v>0</v>
      </c>
      <c r="F2846" s="161">
        <f t="shared" si="1330"/>
        <v>0</v>
      </c>
      <c r="G2846" s="161">
        <f t="shared" si="1330"/>
        <v>0</v>
      </c>
      <c r="H2846" s="161">
        <f t="shared" si="1330"/>
        <v>0</v>
      </c>
      <c r="I2846" s="161">
        <f t="shared" si="1330"/>
        <v>45911</v>
      </c>
      <c r="J2846" s="161">
        <f t="shared" si="1330"/>
        <v>102623</v>
      </c>
      <c r="K2846" s="161">
        <f t="shared" si="1330"/>
        <v>42284</v>
      </c>
      <c r="L2846" s="161">
        <f t="shared" si="1330"/>
        <v>20249.710123227731</v>
      </c>
      <c r="M2846" s="45">
        <f t="shared" si="1330"/>
        <v>42198.447670147259</v>
      </c>
      <c r="N2846" s="45">
        <f t="shared" si="1330"/>
        <v>-0.44333854829892516</v>
      </c>
      <c r="O2846" s="30"/>
    </row>
    <row r="2847" spans="1:15">
      <c r="B2847" s="6"/>
      <c r="D2847" s="7"/>
      <c r="E2847" s="7"/>
      <c r="F2847" s="7"/>
      <c r="G2847" s="28"/>
      <c r="H2847" s="28"/>
      <c r="I2847" s="28"/>
      <c r="J2847" s="28"/>
      <c r="K2847" s="28"/>
      <c r="L2847" s="28"/>
      <c r="M2847" s="28"/>
      <c r="N2847" s="28"/>
      <c r="O2847" s="30"/>
    </row>
    <row r="2848" spans="1:15" ht="15" thickBot="1">
      <c r="O2848" s="30"/>
    </row>
    <row r="2849" spans="1:14" ht="15" thickBot="1">
      <c r="A2849" s="8"/>
      <c r="B2849" s="8"/>
      <c r="C2849" s="8"/>
      <c r="D2849" s="8"/>
      <c r="E2849" s="8"/>
      <c r="F2849" s="8"/>
      <c r="G2849" s="8"/>
      <c r="H2849" s="8"/>
      <c r="I2849" s="8"/>
      <c r="J2849" s="8"/>
      <c r="K2849" s="8"/>
      <c r="L2849" s="8"/>
      <c r="M2849" s="8"/>
      <c r="N2849" s="8"/>
    </row>
    <row r="2850" spans="1:14" ht="21.5" thickBot="1">
      <c r="A2850" s="13" t="s">
        <v>4</v>
      </c>
      <c r="B2850" s="13"/>
      <c r="C2850" s="313" t="s">
        <v>270</v>
      </c>
      <c r="D2850" s="310"/>
      <c r="E2850" s="23"/>
      <c r="F2850" s="23"/>
    </row>
    <row r="2852" spans="1:14" ht="18.5">
      <c r="A2852" s="9" t="s">
        <v>21</v>
      </c>
      <c r="B2852" s="9"/>
      <c r="D2852" s="2">
        <v>2011</v>
      </c>
      <c r="E2852" s="2">
        <f>D2852+1</f>
        <v>2012</v>
      </c>
      <c r="F2852" s="2">
        <f t="shared" ref="F2852" si="1331">E2852+1</f>
        <v>2013</v>
      </c>
      <c r="G2852" s="2">
        <f t="shared" ref="G2852" si="1332">F2852+1</f>
        <v>2014</v>
      </c>
      <c r="H2852" s="2">
        <f t="shared" ref="H2852" si="1333">G2852+1</f>
        <v>2015</v>
      </c>
      <c r="I2852" s="2">
        <f t="shared" ref="I2852" si="1334">H2852+1</f>
        <v>2016</v>
      </c>
      <c r="J2852" s="2">
        <f t="shared" ref="J2852" si="1335">I2852+1</f>
        <v>2017</v>
      </c>
      <c r="K2852" s="2">
        <f t="shared" ref="K2852" si="1336">J2852+1</f>
        <v>2018</v>
      </c>
      <c r="L2852" s="2">
        <f t="shared" ref="L2852" si="1337">K2852+1</f>
        <v>2019</v>
      </c>
      <c r="M2852" s="2">
        <f t="shared" ref="M2852" si="1338">L2852+1</f>
        <v>2020</v>
      </c>
      <c r="N2852" s="2">
        <f t="shared" ref="N2852" si="1339">M2852+1</f>
        <v>2021</v>
      </c>
    </row>
    <row r="2853" spans="1:14">
      <c r="B2853" s="79" t="str">
        <f>"Total MWh Produced / Purchased from " &amp; C2850</f>
        <v>Total MWh Produced / Purchased from TB Flats Wind I</v>
      </c>
      <c r="C2853" s="71"/>
      <c r="D2853" s="3"/>
      <c r="E2853" s="4"/>
      <c r="F2853" s="4"/>
      <c r="G2853" s="4"/>
      <c r="H2853" s="4"/>
      <c r="I2853" s="4"/>
      <c r="J2853" s="4"/>
      <c r="K2853" s="4"/>
      <c r="L2853" s="4"/>
      <c r="M2853" s="230"/>
      <c r="N2853" s="230">
        <v>748736</v>
      </c>
    </row>
    <row r="2854" spans="1:14">
      <c r="B2854" s="79" t="s">
        <v>25</v>
      </c>
      <c r="C2854" s="71"/>
      <c r="D2854" s="54"/>
      <c r="E2854" s="55"/>
      <c r="F2854" s="55"/>
      <c r="G2854" s="55"/>
      <c r="H2854" s="55"/>
      <c r="I2854" s="55"/>
      <c r="J2854" s="55"/>
      <c r="K2854" s="55"/>
      <c r="L2854" s="55"/>
      <c r="M2854" s="234"/>
      <c r="N2854" s="234">
        <v>1</v>
      </c>
    </row>
    <row r="2855" spans="1:14">
      <c r="B2855" s="79" t="s">
        <v>20</v>
      </c>
      <c r="C2855" s="71"/>
      <c r="D2855" s="48"/>
      <c r="E2855" s="49"/>
      <c r="F2855" s="49"/>
      <c r="G2855" s="49"/>
      <c r="H2855" s="49"/>
      <c r="I2855" s="49"/>
      <c r="J2855" s="49"/>
      <c r="K2855" s="49"/>
      <c r="L2855" s="49"/>
      <c r="M2855" s="243"/>
      <c r="N2855" s="243">
        <f>N2806</f>
        <v>8.0780946790754593E-2</v>
      </c>
    </row>
    <row r="2856" spans="1:14">
      <c r="B2856" s="76" t="s">
        <v>22</v>
      </c>
      <c r="C2856" s="77"/>
      <c r="D2856" s="37">
        <v>0</v>
      </c>
      <c r="E2856" s="37">
        <v>0</v>
      </c>
      <c r="F2856" s="37">
        <v>0</v>
      </c>
      <c r="G2856" s="37">
        <v>0</v>
      </c>
      <c r="H2856" s="37">
        <v>0</v>
      </c>
      <c r="I2856" s="37">
        <v>0</v>
      </c>
      <c r="J2856" s="37">
        <v>0</v>
      </c>
      <c r="K2856" s="37">
        <v>0</v>
      </c>
      <c r="L2856" s="37">
        <f>L2853*L2855</f>
        <v>0</v>
      </c>
      <c r="M2856" s="37">
        <f>M2853*M2855</f>
        <v>0</v>
      </c>
      <c r="N2856" s="37">
        <f>N2853*N2855</f>
        <v>60483.602976322429</v>
      </c>
    </row>
    <row r="2857" spans="1:14">
      <c r="B2857" s="23"/>
      <c r="C2857" s="30"/>
      <c r="D2857" s="36"/>
      <c r="E2857" s="36"/>
      <c r="F2857" s="36"/>
      <c r="G2857" s="36"/>
      <c r="H2857" s="36"/>
      <c r="I2857" s="36"/>
      <c r="J2857" s="36"/>
      <c r="K2857" s="36"/>
      <c r="L2857" s="36"/>
      <c r="M2857" s="36"/>
      <c r="N2857" s="36"/>
    </row>
    <row r="2858" spans="1:14" ht="18.5">
      <c r="A2858" s="42" t="s">
        <v>119</v>
      </c>
      <c r="C2858" s="30"/>
      <c r="D2858" s="2">
        <v>2011</v>
      </c>
      <c r="E2858" s="2">
        <f>D2858+1</f>
        <v>2012</v>
      </c>
      <c r="F2858" s="2">
        <f t="shared" ref="F2858" si="1340">E2858+1</f>
        <v>2013</v>
      </c>
      <c r="G2858" s="2">
        <f t="shared" ref="G2858" si="1341">F2858+1</f>
        <v>2014</v>
      </c>
      <c r="H2858" s="2">
        <f t="shared" ref="H2858" si="1342">G2858+1</f>
        <v>2015</v>
      </c>
      <c r="I2858" s="2">
        <f t="shared" ref="I2858" si="1343">H2858+1</f>
        <v>2016</v>
      </c>
      <c r="J2858" s="2">
        <f t="shared" ref="J2858" si="1344">I2858+1</f>
        <v>2017</v>
      </c>
      <c r="K2858" s="2">
        <f t="shared" ref="K2858" si="1345">J2858+1</f>
        <v>2018</v>
      </c>
      <c r="L2858" s="2">
        <f t="shared" ref="L2858" si="1346">K2858+1</f>
        <v>2019</v>
      </c>
      <c r="M2858" s="2">
        <f t="shared" ref="M2858" si="1347">L2858+1</f>
        <v>2020</v>
      </c>
      <c r="N2858" s="2">
        <f t="shared" ref="N2858" si="1348">M2858+1</f>
        <v>2021</v>
      </c>
    </row>
    <row r="2859" spans="1:14">
      <c r="B2859" s="79" t="s">
        <v>10</v>
      </c>
      <c r="C2859" s="71"/>
      <c r="D2859" s="51">
        <f>IF($E61= "Eligible", D2856 * 'Facility Detail'!$B$3079, 0 )</f>
        <v>0</v>
      </c>
      <c r="E2859" s="51">
        <f>IF($E61= "Eligible", E2856 * 'Facility Detail'!$B$3079, 0 )</f>
        <v>0</v>
      </c>
      <c r="F2859" s="51">
        <f>IF($E61= "Eligible", F2856 * 'Facility Detail'!$B$3079, 0 )</f>
        <v>0</v>
      </c>
      <c r="G2859" s="51">
        <f>IF($E61= "Eligible", G2856 * 'Facility Detail'!$B$3079, 0 )</f>
        <v>0</v>
      </c>
      <c r="H2859" s="51">
        <f>IF($E61= "Eligible", H2856 * 'Facility Detail'!$B$3079, 0 )</f>
        <v>0</v>
      </c>
      <c r="I2859" s="51">
        <f>IF($E61= "Eligible", I2856 * 'Facility Detail'!$B$3079, 0 )</f>
        <v>0</v>
      </c>
      <c r="J2859" s="51">
        <f>IF($E61= "Eligible", J2856 * 'Facility Detail'!$B$3079, 0 )</f>
        <v>0</v>
      </c>
      <c r="K2859" s="51">
        <f>IF($E61= "Eligible", K2856 * 'Facility Detail'!$B$3079, 0 )</f>
        <v>0</v>
      </c>
      <c r="L2859" s="51">
        <f>IF($E61= "Eligible", L2856 * 'Facility Detail'!$B$3079, 0 )</f>
        <v>0</v>
      </c>
      <c r="M2859" s="51">
        <f>IF($E61= "Eligible", M2856 * 'Facility Detail'!$B$3079, 0 )</f>
        <v>0</v>
      </c>
      <c r="N2859" s="51">
        <f>IF($E61= "Eligible", N2856 * 'Facility Detail'!$B$3079, 0 )</f>
        <v>0</v>
      </c>
    </row>
    <row r="2860" spans="1:14">
      <c r="B2860" s="79" t="s">
        <v>6</v>
      </c>
      <c r="C2860" s="71"/>
      <c r="D2860" s="52">
        <f t="shared" ref="D2860:N2860" si="1349">IF($F61= "Eligible", D2856, 0 )</f>
        <v>0</v>
      </c>
      <c r="E2860" s="52">
        <f t="shared" si="1349"/>
        <v>0</v>
      </c>
      <c r="F2860" s="52">
        <f t="shared" si="1349"/>
        <v>0</v>
      </c>
      <c r="G2860" s="52">
        <f t="shared" si="1349"/>
        <v>0</v>
      </c>
      <c r="H2860" s="52">
        <f t="shared" si="1349"/>
        <v>0</v>
      </c>
      <c r="I2860" s="52">
        <f t="shared" si="1349"/>
        <v>0</v>
      </c>
      <c r="J2860" s="52">
        <f t="shared" si="1349"/>
        <v>0</v>
      </c>
      <c r="K2860" s="52">
        <f t="shared" si="1349"/>
        <v>0</v>
      </c>
      <c r="L2860" s="52">
        <f t="shared" si="1349"/>
        <v>0</v>
      </c>
      <c r="M2860" s="52">
        <f t="shared" si="1349"/>
        <v>0</v>
      </c>
      <c r="N2860" s="52">
        <f t="shared" si="1349"/>
        <v>0</v>
      </c>
    </row>
    <row r="2861" spans="1:14">
      <c r="B2861" s="78" t="s">
        <v>121</v>
      </c>
      <c r="C2861" s="77"/>
      <c r="D2861" s="39">
        <f>SUM(D2859:D2860)</f>
        <v>0</v>
      </c>
      <c r="E2861" s="39">
        <f t="shared" ref="E2861:N2861" si="1350">SUM(E2859:E2860)</f>
        <v>0</v>
      </c>
      <c r="F2861" s="39">
        <f t="shared" si="1350"/>
        <v>0</v>
      </c>
      <c r="G2861" s="39">
        <f t="shared" si="1350"/>
        <v>0</v>
      </c>
      <c r="H2861" s="39">
        <f t="shared" si="1350"/>
        <v>0</v>
      </c>
      <c r="I2861" s="39">
        <f t="shared" si="1350"/>
        <v>0</v>
      </c>
      <c r="J2861" s="39">
        <f t="shared" si="1350"/>
        <v>0</v>
      </c>
      <c r="K2861" s="39">
        <f t="shared" si="1350"/>
        <v>0</v>
      </c>
      <c r="L2861" s="39">
        <f t="shared" si="1350"/>
        <v>0</v>
      </c>
      <c r="M2861" s="39">
        <f t="shared" si="1350"/>
        <v>0</v>
      </c>
      <c r="N2861" s="39">
        <f t="shared" si="1350"/>
        <v>0</v>
      </c>
    </row>
    <row r="2862" spans="1:14">
      <c r="B2862" s="30"/>
      <c r="C2862" s="30"/>
      <c r="D2862" s="38"/>
      <c r="E2862" s="31"/>
      <c r="F2862" s="31"/>
      <c r="G2862" s="31"/>
      <c r="H2862" s="31"/>
      <c r="I2862" s="31"/>
      <c r="J2862" s="31"/>
      <c r="K2862" s="31"/>
      <c r="L2862" s="31"/>
      <c r="M2862" s="31"/>
      <c r="N2862" s="31"/>
    </row>
    <row r="2863" spans="1:14" ht="18.5">
      <c r="A2863" s="41" t="s">
        <v>30</v>
      </c>
      <c r="C2863" s="30"/>
      <c r="D2863" s="2">
        <v>2011</v>
      </c>
      <c r="E2863" s="2">
        <f>D2863+1</f>
        <v>2012</v>
      </c>
      <c r="F2863" s="2">
        <f t="shared" ref="F2863" si="1351">E2863+1</f>
        <v>2013</v>
      </c>
      <c r="G2863" s="2">
        <f t="shared" ref="G2863" si="1352">F2863+1</f>
        <v>2014</v>
      </c>
      <c r="H2863" s="2">
        <f t="shared" ref="H2863" si="1353">G2863+1</f>
        <v>2015</v>
      </c>
      <c r="I2863" s="2">
        <f t="shared" ref="I2863" si="1354">H2863+1</f>
        <v>2016</v>
      </c>
      <c r="J2863" s="2">
        <f t="shared" ref="J2863" si="1355">I2863+1</f>
        <v>2017</v>
      </c>
      <c r="K2863" s="2">
        <f t="shared" ref="K2863" si="1356">J2863+1</f>
        <v>2018</v>
      </c>
      <c r="L2863" s="2">
        <f t="shared" ref="L2863" si="1357">K2863+1</f>
        <v>2019</v>
      </c>
      <c r="M2863" s="2">
        <f t="shared" ref="M2863" si="1358">L2863+1</f>
        <v>2020</v>
      </c>
      <c r="N2863" s="2">
        <f t="shared" ref="N2863" si="1359">M2863+1</f>
        <v>2021</v>
      </c>
    </row>
    <row r="2864" spans="1:14">
      <c r="B2864" s="79" t="s">
        <v>47</v>
      </c>
      <c r="C2864" s="71"/>
      <c r="D2864" s="89"/>
      <c r="E2864" s="90"/>
      <c r="F2864" s="90"/>
      <c r="G2864" s="90"/>
      <c r="H2864" s="90"/>
      <c r="I2864" s="90"/>
      <c r="J2864" s="90"/>
      <c r="K2864" s="90"/>
      <c r="L2864" s="90"/>
      <c r="M2864" s="90"/>
      <c r="N2864" s="90"/>
    </row>
    <row r="2865" spans="1:14">
      <c r="B2865" s="80" t="s">
        <v>23</v>
      </c>
      <c r="C2865" s="175"/>
      <c r="D2865" s="92"/>
      <c r="E2865" s="93"/>
      <c r="F2865" s="93"/>
      <c r="G2865" s="93"/>
      <c r="H2865" s="93"/>
      <c r="I2865" s="93"/>
      <c r="J2865" s="93"/>
      <c r="K2865" s="93"/>
      <c r="L2865" s="93"/>
      <c r="M2865" s="93"/>
      <c r="N2865" s="93"/>
    </row>
    <row r="2866" spans="1:14">
      <c r="B2866" s="95" t="s">
        <v>89</v>
      </c>
      <c r="C2866" s="173"/>
      <c r="D2866" s="57"/>
      <c r="E2866" s="58"/>
      <c r="F2866" s="58"/>
      <c r="G2866" s="58"/>
      <c r="H2866" s="58"/>
      <c r="I2866" s="58"/>
      <c r="J2866" s="58"/>
      <c r="K2866" s="58"/>
      <c r="L2866" s="58"/>
      <c r="M2866" s="58"/>
      <c r="N2866" s="58"/>
    </row>
    <row r="2867" spans="1:14">
      <c r="B2867" s="33" t="s">
        <v>90</v>
      </c>
      <c r="D2867" s="7">
        <v>0</v>
      </c>
      <c r="E2867" s="7">
        <v>0</v>
      </c>
      <c r="F2867" s="7">
        <v>0</v>
      </c>
      <c r="G2867" s="7">
        <v>0</v>
      </c>
      <c r="H2867" s="7">
        <v>0</v>
      </c>
      <c r="I2867" s="7">
        <v>0</v>
      </c>
      <c r="J2867" s="7">
        <v>0</v>
      </c>
      <c r="K2867" s="7">
        <v>0</v>
      </c>
      <c r="L2867" s="7">
        <v>0</v>
      </c>
      <c r="M2867" s="7">
        <v>0</v>
      </c>
      <c r="N2867" s="7">
        <v>0</v>
      </c>
    </row>
    <row r="2868" spans="1:14">
      <c r="B2868" s="6"/>
      <c r="D2868" s="7"/>
      <c r="E2868" s="7"/>
      <c r="F2868" s="7"/>
      <c r="G2868" s="28"/>
      <c r="H2868" s="28"/>
      <c r="I2868" s="28"/>
      <c r="J2868" s="28"/>
      <c r="K2868" s="28"/>
      <c r="L2868" s="28"/>
      <c r="M2868" s="28"/>
      <c r="N2868" s="28"/>
    </row>
    <row r="2869" spans="1:14" ht="18.5">
      <c r="A2869" s="9" t="s">
        <v>100</v>
      </c>
      <c r="D2869" s="2">
        <f>'Facility Detail'!$B$3082</f>
        <v>2011</v>
      </c>
      <c r="E2869" s="2">
        <f>D2869+1</f>
        <v>2012</v>
      </c>
      <c r="F2869" s="2">
        <f t="shared" ref="F2869" si="1360">E2869+1</f>
        <v>2013</v>
      </c>
      <c r="G2869" s="2">
        <f t="shared" ref="G2869" si="1361">F2869+1</f>
        <v>2014</v>
      </c>
      <c r="H2869" s="2">
        <f t="shared" ref="H2869" si="1362">G2869+1</f>
        <v>2015</v>
      </c>
      <c r="I2869" s="2">
        <f t="shared" ref="I2869" si="1363">H2869+1</f>
        <v>2016</v>
      </c>
      <c r="J2869" s="2">
        <f t="shared" ref="J2869" si="1364">I2869+1</f>
        <v>2017</v>
      </c>
      <c r="K2869" s="2">
        <f t="shared" ref="K2869" si="1365">J2869+1</f>
        <v>2018</v>
      </c>
      <c r="L2869" s="2">
        <f t="shared" ref="L2869" si="1366">K2869+1</f>
        <v>2019</v>
      </c>
      <c r="M2869" s="2">
        <f t="shared" ref="M2869" si="1367">L2869+1</f>
        <v>2020</v>
      </c>
      <c r="N2869" s="2">
        <f t="shared" ref="N2869" si="1368">M2869+1</f>
        <v>2021</v>
      </c>
    </row>
    <row r="2870" spans="1:14">
      <c r="B2870" s="79" t="s">
        <v>68</v>
      </c>
      <c r="C2870" s="71"/>
      <c r="D2870" s="3"/>
      <c r="E2870" s="60">
        <f>D2870</f>
        <v>0</v>
      </c>
      <c r="F2870" s="131"/>
      <c r="G2870" s="131"/>
      <c r="H2870" s="131"/>
      <c r="I2870" s="131"/>
      <c r="J2870" s="131"/>
      <c r="K2870" s="131"/>
      <c r="L2870" s="131"/>
      <c r="M2870" s="131"/>
      <c r="N2870" s="61"/>
    </row>
    <row r="2871" spans="1:14">
      <c r="B2871" s="79" t="s">
        <v>69</v>
      </c>
      <c r="C2871" s="71"/>
      <c r="D2871" s="164">
        <f>E2871</f>
        <v>0</v>
      </c>
      <c r="E2871" s="10"/>
      <c r="F2871" s="74"/>
      <c r="G2871" s="74"/>
      <c r="H2871" s="74"/>
      <c r="I2871" s="74"/>
      <c r="J2871" s="74"/>
      <c r="K2871" s="74"/>
      <c r="L2871" s="74"/>
      <c r="M2871" s="74"/>
      <c r="N2871" s="165"/>
    </row>
    <row r="2872" spans="1:14">
      <c r="B2872" s="79" t="s">
        <v>70</v>
      </c>
      <c r="C2872" s="71"/>
      <c r="D2872" s="62"/>
      <c r="E2872" s="10">
        <f>E2856</f>
        <v>0</v>
      </c>
      <c r="F2872" s="70">
        <f>E2872</f>
        <v>0</v>
      </c>
      <c r="G2872" s="74"/>
      <c r="H2872" s="74"/>
      <c r="I2872" s="74"/>
      <c r="J2872" s="74"/>
      <c r="K2872" s="74"/>
      <c r="L2872" s="74"/>
      <c r="M2872" s="74"/>
      <c r="N2872" s="165"/>
    </row>
    <row r="2873" spans="1:14">
      <c r="B2873" s="79" t="s">
        <v>71</v>
      </c>
      <c r="C2873" s="71"/>
      <c r="D2873" s="62"/>
      <c r="E2873" s="70">
        <f>F2873</f>
        <v>0</v>
      </c>
      <c r="F2873" s="163"/>
      <c r="G2873" s="74"/>
      <c r="H2873" s="74"/>
      <c r="I2873" s="74"/>
      <c r="J2873" s="74"/>
      <c r="K2873" s="74"/>
      <c r="L2873" s="74"/>
      <c r="M2873" s="74"/>
      <c r="N2873" s="165"/>
    </row>
    <row r="2874" spans="1:14">
      <c r="B2874" s="79" t="s">
        <v>171</v>
      </c>
      <c r="C2874" s="30"/>
      <c r="D2874" s="62"/>
      <c r="E2874" s="148"/>
      <c r="F2874" s="10">
        <f>F2856</f>
        <v>0</v>
      </c>
      <c r="G2874" s="149">
        <f>F2874</f>
        <v>0</v>
      </c>
      <c r="H2874" s="74"/>
      <c r="I2874" s="74"/>
      <c r="J2874" s="74"/>
      <c r="K2874" s="74"/>
      <c r="L2874" s="74"/>
      <c r="M2874" s="74"/>
      <c r="N2874" s="165"/>
    </row>
    <row r="2875" spans="1:14">
      <c r="B2875" s="79" t="s">
        <v>172</v>
      </c>
      <c r="C2875" s="30"/>
      <c r="D2875" s="62"/>
      <c r="E2875" s="148"/>
      <c r="F2875" s="70">
        <f>G2875</f>
        <v>0</v>
      </c>
      <c r="G2875" s="10"/>
      <c r="H2875" s="74"/>
      <c r="I2875" s="74"/>
      <c r="J2875" s="74"/>
      <c r="K2875" s="74"/>
      <c r="L2875" s="74"/>
      <c r="M2875" s="74"/>
      <c r="N2875" s="165"/>
    </row>
    <row r="2876" spans="1:14">
      <c r="B2876" s="79" t="s">
        <v>173</v>
      </c>
      <c r="C2876" s="30"/>
      <c r="D2876" s="62"/>
      <c r="E2876" s="148"/>
      <c r="F2876" s="148"/>
      <c r="G2876" s="10">
        <f>G2856</f>
        <v>0</v>
      </c>
      <c r="H2876" s="149">
        <f>G2876</f>
        <v>0</v>
      </c>
      <c r="I2876" s="148"/>
      <c r="J2876" s="74"/>
      <c r="K2876" s="74"/>
      <c r="L2876" s="74"/>
      <c r="M2876" s="74"/>
      <c r="N2876" s="152"/>
    </row>
    <row r="2877" spans="1:14">
      <c r="B2877" s="79" t="s">
        <v>174</v>
      </c>
      <c r="C2877" s="30"/>
      <c r="D2877" s="62"/>
      <c r="E2877" s="148"/>
      <c r="F2877" s="148"/>
      <c r="G2877" s="70"/>
      <c r="H2877" s="10"/>
      <c r="I2877" s="148"/>
      <c r="J2877" s="74"/>
      <c r="K2877" s="74"/>
      <c r="L2877" s="74"/>
      <c r="M2877" s="74"/>
      <c r="N2877" s="152"/>
    </row>
    <row r="2878" spans="1:14">
      <c r="B2878" s="79" t="s">
        <v>175</v>
      </c>
      <c r="C2878" s="30"/>
      <c r="D2878" s="62"/>
      <c r="E2878" s="148"/>
      <c r="F2878" s="148"/>
      <c r="G2878" s="148"/>
      <c r="H2878" s="10">
        <v>0</v>
      </c>
      <c r="I2878" s="149">
        <f>H2878</f>
        <v>0</v>
      </c>
      <c r="J2878" s="74"/>
      <c r="K2878" s="74"/>
      <c r="L2878" s="74"/>
      <c r="M2878" s="74"/>
      <c r="N2878" s="152"/>
    </row>
    <row r="2879" spans="1:14">
      <c r="B2879" s="79" t="s">
        <v>176</v>
      </c>
      <c r="C2879" s="30"/>
      <c r="D2879" s="62"/>
      <c r="E2879" s="148"/>
      <c r="F2879" s="148"/>
      <c r="G2879" s="148"/>
      <c r="H2879" s="70"/>
      <c r="I2879" s="10"/>
      <c r="J2879" s="74"/>
      <c r="K2879" s="74"/>
      <c r="L2879" s="74"/>
      <c r="M2879" s="74"/>
      <c r="N2879" s="152"/>
    </row>
    <row r="2880" spans="1:14">
      <c r="B2880" s="79" t="s">
        <v>177</v>
      </c>
      <c r="C2880" s="30"/>
      <c r="D2880" s="62"/>
      <c r="E2880" s="148"/>
      <c r="F2880" s="148"/>
      <c r="G2880" s="148"/>
      <c r="H2880" s="148"/>
      <c r="I2880" s="207">
        <f>I2856</f>
        <v>0</v>
      </c>
      <c r="J2880" s="150">
        <f>I2880</f>
        <v>0</v>
      </c>
      <c r="K2880" s="74"/>
      <c r="L2880" s="74"/>
      <c r="M2880" s="74"/>
      <c r="N2880" s="152"/>
    </row>
    <row r="2881" spans="1:15">
      <c r="B2881" s="79" t="s">
        <v>168</v>
      </c>
      <c r="C2881" s="30"/>
      <c r="D2881" s="62"/>
      <c r="E2881" s="148"/>
      <c r="F2881" s="148"/>
      <c r="G2881" s="148"/>
      <c r="H2881" s="148"/>
      <c r="I2881" s="208"/>
      <c r="J2881" s="151"/>
      <c r="K2881" s="74"/>
      <c r="L2881" s="74"/>
      <c r="M2881" s="74"/>
      <c r="N2881" s="152"/>
    </row>
    <row r="2882" spans="1:15">
      <c r="B2882" s="79" t="s">
        <v>169</v>
      </c>
      <c r="C2882" s="30"/>
      <c r="D2882" s="62"/>
      <c r="E2882" s="148"/>
      <c r="F2882" s="148"/>
      <c r="G2882" s="148"/>
      <c r="H2882" s="148"/>
      <c r="I2882" s="148"/>
      <c r="J2882" s="151">
        <f>J2856</f>
        <v>0</v>
      </c>
      <c r="K2882" s="150">
        <f>J2882</f>
        <v>0</v>
      </c>
      <c r="L2882" s="74"/>
      <c r="M2882" s="74"/>
      <c r="N2882" s="152"/>
    </row>
    <row r="2883" spans="1:15">
      <c r="B2883" s="79" t="s">
        <v>186</v>
      </c>
      <c r="C2883" s="30"/>
      <c r="D2883" s="62"/>
      <c r="E2883" s="148"/>
      <c r="F2883" s="148"/>
      <c r="G2883" s="148"/>
      <c r="H2883" s="148"/>
      <c r="I2883" s="148"/>
      <c r="J2883" s="228"/>
      <c r="K2883" s="151"/>
      <c r="L2883" s="74"/>
      <c r="M2883" s="74"/>
      <c r="N2883" s="152"/>
    </row>
    <row r="2884" spans="1:15">
      <c r="B2884" s="79" t="s">
        <v>187</v>
      </c>
      <c r="C2884" s="30"/>
      <c r="D2884" s="62"/>
      <c r="E2884" s="148"/>
      <c r="F2884" s="148"/>
      <c r="G2884" s="148"/>
      <c r="H2884" s="148"/>
      <c r="I2884" s="148"/>
      <c r="J2884" s="148"/>
      <c r="K2884" s="151"/>
      <c r="L2884" s="150">
        <f>K2884</f>
        <v>0</v>
      </c>
      <c r="M2884" s="74"/>
      <c r="N2884" s="152"/>
    </row>
    <row r="2885" spans="1:15">
      <c r="B2885" s="79" t="s">
        <v>188</v>
      </c>
      <c r="C2885" s="30"/>
      <c r="D2885" s="62"/>
      <c r="E2885" s="148"/>
      <c r="F2885" s="148"/>
      <c r="G2885" s="148"/>
      <c r="H2885" s="148"/>
      <c r="I2885" s="148"/>
      <c r="J2885" s="148"/>
      <c r="K2885" s="145"/>
      <c r="L2885" s="151"/>
      <c r="M2885" s="74"/>
      <c r="N2885" s="74"/>
    </row>
    <row r="2886" spans="1:15">
      <c r="B2886" s="79" t="s">
        <v>189</v>
      </c>
      <c r="C2886" s="30"/>
      <c r="D2886" s="62"/>
      <c r="E2886" s="148"/>
      <c r="F2886" s="148"/>
      <c r="G2886" s="148"/>
      <c r="H2886" s="148"/>
      <c r="I2886" s="148"/>
      <c r="J2886" s="148"/>
      <c r="K2886" s="148"/>
      <c r="L2886" s="151"/>
      <c r="M2886" s="150">
        <f>L2886</f>
        <v>0</v>
      </c>
      <c r="N2886" s="74"/>
    </row>
    <row r="2887" spans="1:15">
      <c r="B2887" s="79" t="s">
        <v>190</v>
      </c>
      <c r="C2887" s="30"/>
      <c r="D2887" s="62"/>
      <c r="E2887" s="148"/>
      <c r="F2887" s="148"/>
      <c r="G2887" s="148"/>
      <c r="H2887" s="148"/>
      <c r="I2887" s="148"/>
      <c r="J2887" s="148"/>
      <c r="K2887" s="148"/>
      <c r="L2887" s="145">
        <f>M2856</f>
        <v>0</v>
      </c>
      <c r="M2887" s="151">
        <f>L2887</f>
        <v>0</v>
      </c>
      <c r="N2887" s="74"/>
    </row>
    <row r="2888" spans="1:15">
      <c r="B2888" s="79" t="s">
        <v>191</v>
      </c>
      <c r="C2888" s="30"/>
      <c r="D2888" s="62"/>
      <c r="E2888" s="148"/>
      <c r="F2888" s="148"/>
      <c r="G2888" s="148"/>
      <c r="H2888" s="148"/>
      <c r="I2888" s="148"/>
      <c r="J2888" s="148"/>
      <c r="K2888" s="148"/>
      <c r="L2888" s="148"/>
      <c r="M2888" s="151"/>
      <c r="N2888" s="150">
        <f>M2888</f>
        <v>0</v>
      </c>
    </row>
    <row r="2889" spans="1:15">
      <c r="B2889" s="79" t="s">
        <v>201</v>
      </c>
      <c r="C2889" s="30"/>
      <c r="D2889" s="62"/>
      <c r="E2889" s="148"/>
      <c r="F2889" s="148"/>
      <c r="G2889" s="148"/>
      <c r="H2889" s="148"/>
      <c r="I2889" s="148"/>
      <c r="J2889" s="148"/>
      <c r="K2889" s="148"/>
      <c r="L2889" s="148"/>
      <c r="M2889" s="145"/>
      <c r="N2889" s="151"/>
    </row>
    <row r="2890" spans="1:15">
      <c r="B2890" s="79" t="s">
        <v>202</v>
      </c>
      <c r="C2890" s="30"/>
      <c r="D2890" s="63"/>
      <c r="E2890" s="133"/>
      <c r="F2890" s="133"/>
      <c r="G2890" s="133"/>
      <c r="H2890" s="133"/>
      <c r="I2890" s="133"/>
      <c r="J2890" s="133"/>
      <c r="K2890" s="133"/>
      <c r="L2890" s="133"/>
      <c r="M2890" s="133"/>
      <c r="N2890" s="153">
        <v>60484</v>
      </c>
    </row>
    <row r="2891" spans="1:15">
      <c r="B2891" s="33" t="s">
        <v>17</v>
      </c>
      <c r="D2891" s="218">
        <f xml:space="preserve"> D2876 - D2875</f>
        <v>0</v>
      </c>
      <c r="E2891" s="218">
        <f xml:space="preserve"> E2875 + E2878 - E2877 - E2876</f>
        <v>0</v>
      </c>
      <c r="F2891" s="218">
        <f>F2877 - F2878</f>
        <v>0</v>
      </c>
      <c r="G2891" s="218">
        <f>G2877 - G2878</f>
        <v>0</v>
      </c>
      <c r="H2891" s="218">
        <f>H2876-H2877-H2878</f>
        <v>0</v>
      </c>
      <c r="I2891" s="218">
        <f>I2878-I2879-I2880</f>
        <v>0</v>
      </c>
      <c r="J2891" s="218">
        <f>J2880-J2881-J2882</f>
        <v>0</v>
      </c>
      <c r="K2891" s="218">
        <f>K2882-K2883-K2884</f>
        <v>0</v>
      </c>
      <c r="L2891" s="218">
        <f>L2884+L2887-L2886-L2885</f>
        <v>0</v>
      </c>
      <c r="M2891" s="218">
        <f>M2886-M2887+M2889</f>
        <v>0</v>
      </c>
      <c r="N2891" s="218">
        <f>N2888-N2889-N2890</f>
        <v>-60484</v>
      </c>
    </row>
    <row r="2892" spans="1:15">
      <c r="B2892" s="6"/>
      <c r="D2892" s="218"/>
      <c r="E2892" s="218"/>
      <c r="F2892" s="218"/>
      <c r="G2892" s="218"/>
      <c r="H2892" s="218"/>
      <c r="I2892" s="218"/>
      <c r="J2892" s="218"/>
      <c r="K2892" s="218"/>
      <c r="L2892" s="218"/>
      <c r="M2892" s="218"/>
      <c r="N2892" s="218"/>
    </row>
    <row r="2893" spans="1:15">
      <c r="B2893" s="76" t="s">
        <v>12</v>
      </c>
      <c r="C2893" s="71"/>
      <c r="D2893" s="219"/>
      <c r="E2893" s="220"/>
      <c r="F2893" s="220"/>
      <c r="G2893" s="220"/>
      <c r="H2893" s="220"/>
      <c r="I2893" s="220"/>
      <c r="J2893" s="220"/>
      <c r="K2893" s="220"/>
      <c r="L2893" s="220"/>
      <c r="M2893" s="220"/>
      <c r="N2893" s="220"/>
    </row>
    <row r="2894" spans="1:15">
      <c r="B2894" s="6"/>
      <c r="D2894" s="218"/>
      <c r="E2894" s="218"/>
      <c r="F2894" s="218"/>
      <c r="G2894" s="218"/>
      <c r="H2894" s="218"/>
      <c r="I2894" s="218"/>
      <c r="J2894" s="218"/>
      <c r="K2894" s="218"/>
      <c r="L2894" s="218"/>
      <c r="M2894" s="218"/>
      <c r="N2894" s="218"/>
    </row>
    <row r="2895" spans="1:15" ht="18.5">
      <c r="A2895" s="41" t="s">
        <v>26</v>
      </c>
      <c r="C2895" s="71"/>
      <c r="D2895" s="221">
        <f t="shared" ref="D2895:N2895" si="1369" xml:space="preserve"> D2856 + D2861 - D2867 + D2891 + D2893</f>
        <v>0</v>
      </c>
      <c r="E2895" s="222">
        <f t="shared" si="1369"/>
        <v>0</v>
      </c>
      <c r="F2895" s="222">
        <f t="shared" si="1369"/>
        <v>0</v>
      </c>
      <c r="G2895" s="222">
        <f t="shared" si="1369"/>
        <v>0</v>
      </c>
      <c r="H2895" s="222">
        <f t="shared" si="1369"/>
        <v>0</v>
      </c>
      <c r="I2895" s="222">
        <f t="shared" si="1369"/>
        <v>0</v>
      </c>
      <c r="J2895" s="222">
        <f t="shared" si="1369"/>
        <v>0</v>
      </c>
      <c r="K2895" s="222">
        <f t="shared" si="1369"/>
        <v>0</v>
      </c>
      <c r="L2895" s="222">
        <f t="shared" si="1369"/>
        <v>0</v>
      </c>
      <c r="M2895" s="222">
        <f t="shared" si="1369"/>
        <v>0</v>
      </c>
      <c r="N2895" s="222">
        <f t="shared" si="1369"/>
        <v>-0.39702367757126922</v>
      </c>
      <c r="O2895" s="276"/>
    </row>
    <row r="2896" spans="1:15" ht="15" thickBot="1"/>
    <row r="2897" spans="1:14" ht="15" thickBot="1">
      <c r="A2897" s="8"/>
      <c r="B2897" s="8"/>
      <c r="C2897" s="8"/>
      <c r="D2897" s="8"/>
      <c r="E2897" s="8"/>
      <c r="F2897" s="8"/>
      <c r="G2897" s="8"/>
      <c r="H2897" s="8"/>
      <c r="I2897" s="8"/>
      <c r="J2897" s="8"/>
      <c r="K2897" s="8"/>
      <c r="L2897" s="8"/>
      <c r="M2897" s="8"/>
      <c r="N2897" s="8"/>
    </row>
    <row r="2898" spans="1:14" ht="21.5" thickBot="1">
      <c r="A2898" s="13" t="s">
        <v>4</v>
      </c>
      <c r="B2898" s="13"/>
      <c r="C2898" s="313" t="s">
        <v>271</v>
      </c>
      <c r="D2898" s="310"/>
      <c r="E2898" s="23"/>
      <c r="F2898" s="23"/>
    </row>
    <row r="2900" spans="1:14" ht="18.5">
      <c r="A2900" s="9" t="s">
        <v>21</v>
      </c>
      <c r="B2900" s="9"/>
      <c r="D2900" s="2">
        <v>2011</v>
      </c>
      <c r="E2900" s="2">
        <f>D2900+1</f>
        <v>2012</v>
      </c>
      <c r="F2900" s="2">
        <f t="shared" ref="F2900" si="1370">E2900+1</f>
        <v>2013</v>
      </c>
      <c r="G2900" s="2">
        <f t="shared" ref="G2900" si="1371">F2900+1</f>
        <v>2014</v>
      </c>
      <c r="H2900" s="2">
        <f t="shared" ref="H2900" si="1372">G2900+1</f>
        <v>2015</v>
      </c>
      <c r="I2900" s="2">
        <f t="shared" ref="I2900" si="1373">H2900+1</f>
        <v>2016</v>
      </c>
      <c r="J2900" s="2">
        <f t="shared" ref="J2900" si="1374">I2900+1</f>
        <v>2017</v>
      </c>
      <c r="K2900" s="2">
        <f t="shared" ref="K2900" si="1375">J2900+1</f>
        <v>2018</v>
      </c>
      <c r="L2900" s="2">
        <f t="shared" ref="L2900" si="1376">K2900+1</f>
        <v>2019</v>
      </c>
      <c r="M2900" s="2">
        <f t="shared" ref="M2900" si="1377">L2900+1</f>
        <v>2020</v>
      </c>
      <c r="N2900" s="2">
        <f t="shared" ref="N2900" si="1378">M2900+1</f>
        <v>2021</v>
      </c>
    </row>
    <row r="2901" spans="1:14">
      <c r="B2901" s="79" t="str">
        <f>"Total MWh Produced / Purchased from " &amp; C2898</f>
        <v>Total MWh Produced / Purchased from TB Flats Wind II</v>
      </c>
      <c r="C2901" s="71"/>
      <c r="D2901" s="3"/>
      <c r="E2901" s="4"/>
      <c r="F2901" s="4"/>
      <c r="G2901" s="4"/>
      <c r="H2901" s="4"/>
      <c r="I2901" s="4"/>
      <c r="J2901" s="4"/>
      <c r="K2901" s="4"/>
      <c r="L2901" s="4"/>
      <c r="M2901" s="230"/>
      <c r="N2901" s="230">
        <v>561836</v>
      </c>
    </row>
    <row r="2902" spans="1:14">
      <c r="B2902" s="79" t="s">
        <v>25</v>
      </c>
      <c r="C2902" s="71"/>
      <c r="D2902" s="54"/>
      <c r="E2902" s="55"/>
      <c r="F2902" s="55"/>
      <c r="G2902" s="55"/>
      <c r="H2902" s="55"/>
      <c r="I2902" s="55"/>
      <c r="J2902" s="55"/>
      <c r="K2902" s="55"/>
      <c r="L2902" s="55"/>
      <c r="M2902" s="234"/>
      <c r="N2902" s="234">
        <v>1</v>
      </c>
    </row>
    <row r="2903" spans="1:14">
      <c r="B2903" s="79" t="s">
        <v>20</v>
      </c>
      <c r="C2903" s="71"/>
      <c r="D2903" s="48"/>
      <c r="E2903" s="49"/>
      <c r="F2903" s="49"/>
      <c r="G2903" s="49"/>
      <c r="H2903" s="49"/>
      <c r="I2903" s="49"/>
      <c r="J2903" s="49"/>
      <c r="K2903" s="49"/>
      <c r="L2903" s="49"/>
      <c r="M2903" s="243"/>
      <c r="N2903" s="243">
        <f>N2855</f>
        <v>8.0780946790754593E-2</v>
      </c>
    </row>
    <row r="2904" spans="1:14">
      <c r="B2904" s="76" t="s">
        <v>22</v>
      </c>
      <c r="C2904" s="77"/>
      <c r="D2904" s="37">
        <v>0</v>
      </c>
      <c r="E2904" s="37">
        <v>0</v>
      </c>
      <c r="F2904" s="37">
        <v>0</v>
      </c>
      <c r="G2904" s="37">
        <v>0</v>
      </c>
      <c r="H2904" s="37">
        <v>0</v>
      </c>
      <c r="I2904" s="37">
        <v>0</v>
      </c>
      <c r="J2904" s="37">
        <v>0</v>
      </c>
      <c r="K2904" s="37">
        <v>0</v>
      </c>
      <c r="L2904" s="37">
        <f>L2901*L2903</f>
        <v>0</v>
      </c>
      <c r="M2904" s="37">
        <f>M2901*M2903</f>
        <v>0</v>
      </c>
      <c r="N2904" s="37">
        <f>N2901*N2903</f>
        <v>45385.6440211304</v>
      </c>
    </row>
    <row r="2905" spans="1:14">
      <c r="B2905" s="23"/>
      <c r="C2905" s="30"/>
      <c r="D2905" s="36"/>
      <c r="E2905" s="36"/>
      <c r="F2905" s="36"/>
      <c r="G2905" s="36"/>
      <c r="H2905" s="36"/>
      <c r="I2905" s="36"/>
      <c r="J2905" s="36"/>
      <c r="K2905" s="36"/>
      <c r="L2905" s="36"/>
      <c r="M2905" s="36"/>
      <c r="N2905" s="36"/>
    </row>
    <row r="2906" spans="1:14" ht="18.5">
      <c r="A2906" s="42" t="s">
        <v>119</v>
      </c>
      <c r="C2906" s="30"/>
      <c r="D2906" s="2">
        <v>2011</v>
      </c>
      <c r="E2906" s="2">
        <f>D2906+1</f>
        <v>2012</v>
      </c>
      <c r="F2906" s="2">
        <f t="shared" ref="F2906" si="1379">E2906+1</f>
        <v>2013</v>
      </c>
      <c r="G2906" s="2">
        <f t="shared" ref="G2906" si="1380">F2906+1</f>
        <v>2014</v>
      </c>
      <c r="H2906" s="2">
        <f t="shared" ref="H2906" si="1381">G2906+1</f>
        <v>2015</v>
      </c>
      <c r="I2906" s="2">
        <f t="shared" ref="I2906" si="1382">H2906+1</f>
        <v>2016</v>
      </c>
      <c r="J2906" s="2">
        <f t="shared" ref="J2906" si="1383">I2906+1</f>
        <v>2017</v>
      </c>
      <c r="K2906" s="2">
        <f t="shared" ref="K2906" si="1384">J2906+1</f>
        <v>2018</v>
      </c>
      <c r="L2906" s="2">
        <f t="shared" ref="L2906" si="1385">K2906+1</f>
        <v>2019</v>
      </c>
      <c r="M2906" s="2">
        <f t="shared" ref="M2906" si="1386">L2906+1</f>
        <v>2020</v>
      </c>
      <c r="N2906" s="2">
        <f t="shared" ref="N2906" si="1387">M2906+1</f>
        <v>2021</v>
      </c>
    </row>
    <row r="2907" spans="1:14">
      <c r="B2907" s="79" t="s">
        <v>10</v>
      </c>
      <c r="C2907" s="71"/>
      <c r="D2907" s="51">
        <f>IF($E62= "Eligible", D2904 * 'Facility Detail'!$B$3079, 0 )</f>
        <v>0</v>
      </c>
      <c r="E2907" s="51">
        <f>IF($E62= "Eligible", E2904 * 'Facility Detail'!$B$3079, 0 )</f>
        <v>0</v>
      </c>
      <c r="F2907" s="51">
        <f>IF($E62= "Eligible", F2904 * 'Facility Detail'!$B$3079, 0 )</f>
        <v>0</v>
      </c>
      <c r="G2907" s="51">
        <f>IF($E62= "Eligible", G2904 * 'Facility Detail'!$B$3079, 0 )</f>
        <v>0</v>
      </c>
      <c r="H2907" s="51">
        <f>IF($E62= "Eligible", H2904 * 'Facility Detail'!$B$3079, 0 )</f>
        <v>0</v>
      </c>
      <c r="I2907" s="51">
        <f>IF($E62= "Eligible", I2904 * 'Facility Detail'!$B$3079, 0 )</f>
        <v>0</v>
      </c>
      <c r="J2907" s="51">
        <f>IF($E62= "Eligible", J2904 * 'Facility Detail'!$B$3079, 0 )</f>
        <v>0</v>
      </c>
      <c r="K2907" s="51">
        <f>IF($E62= "Eligible", K2904 * 'Facility Detail'!$B$3079, 0 )</f>
        <v>0</v>
      </c>
      <c r="L2907" s="51">
        <f>IF($E62= "Eligible", L2904 * 'Facility Detail'!$B$3079, 0 )</f>
        <v>0</v>
      </c>
      <c r="M2907" s="51">
        <f>IF($E62= "Eligible", M2904 * 'Facility Detail'!$B$3079, 0 )</f>
        <v>0</v>
      </c>
      <c r="N2907" s="51">
        <f>IF($E62= "Eligible", N2904 * 'Facility Detail'!$B$3079, 0 )</f>
        <v>0</v>
      </c>
    </row>
    <row r="2908" spans="1:14">
      <c r="B2908" s="79" t="s">
        <v>6</v>
      </c>
      <c r="C2908" s="71"/>
      <c r="D2908" s="52">
        <f t="shared" ref="D2908:N2908" si="1388">IF($F62= "Eligible", D2904, 0 )</f>
        <v>0</v>
      </c>
      <c r="E2908" s="52">
        <f t="shared" si="1388"/>
        <v>0</v>
      </c>
      <c r="F2908" s="52">
        <f t="shared" si="1388"/>
        <v>0</v>
      </c>
      <c r="G2908" s="52">
        <f t="shared" si="1388"/>
        <v>0</v>
      </c>
      <c r="H2908" s="52">
        <f t="shared" si="1388"/>
        <v>0</v>
      </c>
      <c r="I2908" s="52">
        <f t="shared" si="1388"/>
        <v>0</v>
      </c>
      <c r="J2908" s="52">
        <f t="shared" si="1388"/>
        <v>0</v>
      </c>
      <c r="K2908" s="52">
        <f t="shared" si="1388"/>
        <v>0</v>
      </c>
      <c r="L2908" s="52">
        <f t="shared" si="1388"/>
        <v>0</v>
      </c>
      <c r="M2908" s="52">
        <f t="shared" si="1388"/>
        <v>0</v>
      </c>
      <c r="N2908" s="52">
        <f t="shared" si="1388"/>
        <v>0</v>
      </c>
    </row>
    <row r="2909" spans="1:14">
      <c r="B2909" s="78" t="s">
        <v>121</v>
      </c>
      <c r="C2909" s="77"/>
      <c r="D2909" s="39">
        <f>SUM(D2907:D2908)</f>
        <v>0</v>
      </c>
      <c r="E2909" s="39">
        <f t="shared" ref="E2909:N2909" si="1389">SUM(E2907:E2908)</f>
        <v>0</v>
      </c>
      <c r="F2909" s="39">
        <f t="shared" si="1389"/>
        <v>0</v>
      </c>
      <c r="G2909" s="39">
        <f t="shared" si="1389"/>
        <v>0</v>
      </c>
      <c r="H2909" s="39">
        <f t="shared" si="1389"/>
        <v>0</v>
      </c>
      <c r="I2909" s="39">
        <f t="shared" si="1389"/>
        <v>0</v>
      </c>
      <c r="J2909" s="39">
        <f t="shared" si="1389"/>
        <v>0</v>
      </c>
      <c r="K2909" s="39">
        <f t="shared" si="1389"/>
        <v>0</v>
      </c>
      <c r="L2909" s="39">
        <f t="shared" si="1389"/>
        <v>0</v>
      </c>
      <c r="M2909" s="39">
        <f t="shared" si="1389"/>
        <v>0</v>
      </c>
      <c r="N2909" s="39">
        <f t="shared" si="1389"/>
        <v>0</v>
      </c>
    </row>
    <row r="2910" spans="1:14">
      <c r="B2910" s="30"/>
      <c r="C2910" s="30"/>
      <c r="D2910" s="38"/>
      <c r="E2910" s="31"/>
      <c r="F2910" s="31"/>
      <c r="G2910" s="31"/>
      <c r="H2910" s="31"/>
      <c r="I2910" s="31"/>
      <c r="J2910" s="31"/>
      <c r="K2910" s="31"/>
      <c r="L2910" s="31"/>
      <c r="M2910" s="31"/>
      <c r="N2910" s="31"/>
    </row>
    <row r="2911" spans="1:14" ht="18.5">
      <c r="A2911" s="41" t="s">
        <v>30</v>
      </c>
      <c r="C2911" s="30"/>
      <c r="D2911" s="2">
        <v>2011</v>
      </c>
      <c r="E2911" s="2">
        <f>D2911+1</f>
        <v>2012</v>
      </c>
      <c r="F2911" s="2">
        <f t="shared" ref="F2911" si="1390">E2911+1</f>
        <v>2013</v>
      </c>
      <c r="G2911" s="2">
        <f t="shared" ref="G2911" si="1391">F2911+1</f>
        <v>2014</v>
      </c>
      <c r="H2911" s="2">
        <f t="shared" ref="H2911" si="1392">G2911+1</f>
        <v>2015</v>
      </c>
      <c r="I2911" s="2">
        <f t="shared" ref="I2911" si="1393">H2911+1</f>
        <v>2016</v>
      </c>
      <c r="J2911" s="2">
        <f t="shared" ref="J2911" si="1394">I2911+1</f>
        <v>2017</v>
      </c>
      <c r="K2911" s="2">
        <f t="shared" ref="K2911" si="1395">J2911+1</f>
        <v>2018</v>
      </c>
      <c r="L2911" s="2">
        <f t="shared" ref="L2911" si="1396">K2911+1</f>
        <v>2019</v>
      </c>
      <c r="M2911" s="2">
        <f t="shared" ref="M2911" si="1397">L2911+1</f>
        <v>2020</v>
      </c>
      <c r="N2911" s="2">
        <f t="shared" ref="N2911" si="1398">M2911+1</f>
        <v>2021</v>
      </c>
    </row>
    <row r="2912" spans="1:14">
      <c r="B2912" s="79" t="s">
        <v>47</v>
      </c>
      <c r="C2912" s="71"/>
      <c r="D2912" s="89"/>
      <c r="E2912" s="90"/>
      <c r="F2912" s="90"/>
      <c r="G2912" s="90"/>
      <c r="H2912" s="90"/>
      <c r="I2912" s="90"/>
      <c r="J2912" s="90"/>
      <c r="K2912" s="90"/>
      <c r="L2912" s="90"/>
      <c r="M2912" s="90"/>
      <c r="N2912" s="90"/>
    </row>
    <row r="2913" spans="1:14">
      <c r="B2913" s="80" t="s">
        <v>23</v>
      </c>
      <c r="C2913" s="175"/>
      <c r="D2913" s="92"/>
      <c r="E2913" s="93"/>
      <c r="F2913" s="93"/>
      <c r="G2913" s="93"/>
      <c r="H2913" s="93"/>
      <c r="I2913" s="93"/>
      <c r="J2913" s="93"/>
      <c r="K2913" s="93"/>
      <c r="L2913" s="93"/>
      <c r="M2913" s="93"/>
      <c r="N2913" s="93"/>
    </row>
    <row r="2914" spans="1:14">
      <c r="B2914" s="95" t="s">
        <v>89</v>
      </c>
      <c r="C2914" s="173"/>
      <c r="D2914" s="57"/>
      <c r="E2914" s="58"/>
      <c r="F2914" s="58"/>
      <c r="G2914" s="58"/>
      <c r="H2914" s="58"/>
      <c r="I2914" s="58"/>
      <c r="J2914" s="58"/>
      <c r="K2914" s="58"/>
      <c r="L2914" s="58"/>
      <c r="M2914" s="58"/>
      <c r="N2914" s="58"/>
    </row>
    <row r="2915" spans="1:14">
      <c r="B2915" s="33" t="s">
        <v>90</v>
      </c>
      <c r="D2915" s="7">
        <v>0</v>
      </c>
      <c r="E2915" s="7">
        <v>0</v>
      </c>
      <c r="F2915" s="7">
        <v>0</v>
      </c>
      <c r="G2915" s="7">
        <v>0</v>
      </c>
      <c r="H2915" s="7">
        <v>0</v>
      </c>
      <c r="I2915" s="7">
        <v>0</v>
      </c>
      <c r="J2915" s="7">
        <v>0</v>
      </c>
      <c r="K2915" s="7">
        <v>0</v>
      </c>
      <c r="L2915" s="7">
        <v>0</v>
      </c>
      <c r="M2915" s="7">
        <v>0</v>
      </c>
      <c r="N2915" s="7">
        <v>0</v>
      </c>
    </row>
    <row r="2916" spans="1:14">
      <c r="B2916" s="6"/>
      <c r="D2916" s="7"/>
      <c r="E2916" s="7"/>
      <c r="F2916" s="7"/>
      <c r="G2916" s="28"/>
      <c r="H2916" s="28"/>
      <c r="I2916" s="28"/>
      <c r="J2916" s="28"/>
      <c r="K2916" s="28"/>
      <c r="L2916" s="28"/>
      <c r="M2916" s="28"/>
      <c r="N2916" s="28"/>
    </row>
    <row r="2917" spans="1:14" ht="18.5">
      <c r="A2917" s="9" t="s">
        <v>100</v>
      </c>
      <c r="D2917" s="2">
        <f>'Facility Detail'!$B$3082</f>
        <v>2011</v>
      </c>
      <c r="E2917" s="2">
        <f>D2917+1</f>
        <v>2012</v>
      </c>
      <c r="F2917" s="2">
        <f t="shared" ref="F2917" si="1399">E2917+1</f>
        <v>2013</v>
      </c>
      <c r="G2917" s="2">
        <f t="shared" ref="G2917" si="1400">F2917+1</f>
        <v>2014</v>
      </c>
      <c r="H2917" s="2">
        <f t="shared" ref="H2917" si="1401">G2917+1</f>
        <v>2015</v>
      </c>
      <c r="I2917" s="2">
        <f t="shared" ref="I2917" si="1402">H2917+1</f>
        <v>2016</v>
      </c>
      <c r="J2917" s="2">
        <f t="shared" ref="J2917" si="1403">I2917+1</f>
        <v>2017</v>
      </c>
      <c r="K2917" s="2">
        <f t="shared" ref="K2917" si="1404">J2917+1</f>
        <v>2018</v>
      </c>
      <c r="L2917" s="2">
        <f t="shared" ref="L2917" si="1405">K2917+1</f>
        <v>2019</v>
      </c>
      <c r="M2917" s="2">
        <f t="shared" ref="M2917" si="1406">L2917+1</f>
        <v>2020</v>
      </c>
      <c r="N2917" s="2">
        <f t="shared" ref="N2917" si="1407">M2917+1</f>
        <v>2021</v>
      </c>
    </row>
    <row r="2918" spans="1:14">
      <c r="B2918" s="79" t="s">
        <v>68</v>
      </c>
      <c r="C2918" s="71"/>
      <c r="D2918" s="3"/>
      <c r="E2918" s="60">
        <f>D2918</f>
        <v>0</v>
      </c>
      <c r="F2918" s="131"/>
      <c r="G2918" s="131"/>
      <c r="H2918" s="131"/>
      <c r="I2918" s="131"/>
      <c r="J2918" s="131"/>
      <c r="K2918" s="131"/>
      <c r="L2918" s="131"/>
      <c r="M2918" s="131"/>
      <c r="N2918" s="61"/>
    </row>
    <row r="2919" spans="1:14">
      <c r="B2919" s="79" t="s">
        <v>69</v>
      </c>
      <c r="C2919" s="71"/>
      <c r="D2919" s="164">
        <f>E2919</f>
        <v>0</v>
      </c>
      <c r="E2919" s="10"/>
      <c r="F2919" s="74"/>
      <c r="G2919" s="74"/>
      <c r="H2919" s="74"/>
      <c r="I2919" s="74"/>
      <c r="J2919" s="74"/>
      <c r="K2919" s="74"/>
      <c r="L2919" s="74"/>
      <c r="M2919" s="74"/>
      <c r="N2919" s="165"/>
    </row>
    <row r="2920" spans="1:14">
      <c r="B2920" s="79" t="s">
        <v>70</v>
      </c>
      <c r="C2920" s="71"/>
      <c r="D2920" s="62"/>
      <c r="E2920" s="10">
        <f>E2904</f>
        <v>0</v>
      </c>
      <c r="F2920" s="70">
        <f>E2920</f>
        <v>0</v>
      </c>
      <c r="G2920" s="74"/>
      <c r="H2920" s="74"/>
      <c r="I2920" s="74"/>
      <c r="J2920" s="74"/>
      <c r="K2920" s="74"/>
      <c r="L2920" s="74"/>
      <c r="M2920" s="74"/>
      <c r="N2920" s="165"/>
    </row>
    <row r="2921" spans="1:14">
      <c r="B2921" s="79" t="s">
        <v>71</v>
      </c>
      <c r="C2921" s="71"/>
      <c r="D2921" s="62"/>
      <c r="E2921" s="70">
        <f>F2921</f>
        <v>0</v>
      </c>
      <c r="F2921" s="163"/>
      <c r="G2921" s="74"/>
      <c r="H2921" s="74"/>
      <c r="I2921" s="74"/>
      <c r="J2921" s="74"/>
      <c r="K2921" s="74"/>
      <c r="L2921" s="74"/>
      <c r="M2921" s="74"/>
      <c r="N2921" s="165"/>
    </row>
    <row r="2922" spans="1:14">
      <c r="B2922" s="79" t="s">
        <v>171</v>
      </c>
      <c r="C2922" s="30"/>
      <c r="D2922" s="62"/>
      <c r="E2922" s="148"/>
      <c r="F2922" s="10">
        <f>F2904</f>
        <v>0</v>
      </c>
      <c r="G2922" s="149">
        <f>F2922</f>
        <v>0</v>
      </c>
      <c r="H2922" s="74"/>
      <c r="I2922" s="74"/>
      <c r="J2922" s="74"/>
      <c r="K2922" s="74"/>
      <c r="L2922" s="74"/>
      <c r="M2922" s="74"/>
      <c r="N2922" s="165"/>
    </row>
    <row r="2923" spans="1:14">
      <c r="B2923" s="79" t="s">
        <v>172</v>
      </c>
      <c r="C2923" s="30"/>
      <c r="D2923" s="62"/>
      <c r="E2923" s="148"/>
      <c r="F2923" s="70">
        <f>G2923</f>
        <v>0</v>
      </c>
      <c r="G2923" s="10"/>
      <c r="H2923" s="74"/>
      <c r="I2923" s="74"/>
      <c r="J2923" s="74"/>
      <c r="K2923" s="74"/>
      <c r="L2923" s="74"/>
      <c r="M2923" s="74"/>
      <c r="N2923" s="165"/>
    </row>
    <row r="2924" spans="1:14">
      <c r="B2924" s="79" t="s">
        <v>173</v>
      </c>
      <c r="C2924" s="30"/>
      <c r="D2924" s="62"/>
      <c r="E2924" s="148"/>
      <c r="F2924" s="148"/>
      <c r="G2924" s="10">
        <f>G2904</f>
        <v>0</v>
      </c>
      <c r="H2924" s="149">
        <f>G2924</f>
        <v>0</v>
      </c>
      <c r="I2924" s="148"/>
      <c r="J2924" s="74"/>
      <c r="K2924" s="74"/>
      <c r="L2924" s="74"/>
      <c r="M2924" s="74"/>
      <c r="N2924" s="152"/>
    </row>
    <row r="2925" spans="1:14">
      <c r="B2925" s="79" t="s">
        <v>174</v>
      </c>
      <c r="C2925" s="30"/>
      <c r="D2925" s="62"/>
      <c r="E2925" s="148"/>
      <c r="F2925" s="148"/>
      <c r="G2925" s="70"/>
      <c r="H2925" s="10"/>
      <c r="I2925" s="148"/>
      <c r="J2925" s="74"/>
      <c r="K2925" s="74"/>
      <c r="L2925" s="74"/>
      <c r="M2925" s="74"/>
      <c r="N2925" s="152"/>
    </row>
    <row r="2926" spans="1:14">
      <c r="B2926" s="79" t="s">
        <v>175</v>
      </c>
      <c r="C2926" s="30"/>
      <c r="D2926" s="62"/>
      <c r="E2926" s="148"/>
      <c r="F2926" s="148"/>
      <c r="G2926" s="148"/>
      <c r="H2926" s="10">
        <v>0</v>
      </c>
      <c r="I2926" s="149">
        <f>H2926</f>
        <v>0</v>
      </c>
      <c r="J2926" s="74"/>
      <c r="K2926" s="74"/>
      <c r="L2926" s="74"/>
      <c r="M2926" s="74"/>
      <c r="N2926" s="152"/>
    </row>
    <row r="2927" spans="1:14">
      <c r="B2927" s="79" t="s">
        <v>176</v>
      </c>
      <c r="C2927" s="30"/>
      <c r="D2927" s="62"/>
      <c r="E2927" s="148"/>
      <c r="F2927" s="148"/>
      <c r="G2927" s="148"/>
      <c r="H2927" s="70"/>
      <c r="I2927" s="10"/>
      <c r="J2927" s="74"/>
      <c r="K2927" s="74"/>
      <c r="L2927" s="74"/>
      <c r="M2927" s="74"/>
      <c r="N2927" s="152"/>
    </row>
    <row r="2928" spans="1:14">
      <c r="B2928" s="79" t="s">
        <v>177</v>
      </c>
      <c r="C2928" s="30"/>
      <c r="D2928" s="62"/>
      <c r="E2928" s="148"/>
      <c r="F2928" s="148"/>
      <c r="G2928" s="148"/>
      <c r="H2928" s="148"/>
      <c r="I2928" s="207">
        <f>I2904</f>
        <v>0</v>
      </c>
      <c r="J2928" s="150">
        <f>I2928</f>
        <v>0</v>
      </c>
      <c r="K2928" s="74"/>
      <c r="L2928" s="74"/>
      <c r="M2928" s="74"/>
      <c r="N2928" s="152"/>
    </row>
    <row r="2929" spans="1:15">
      <c r="B2929" s="79" t="s">
        <v>168</v>
      </c>
      <c r="C2929" s="30"/>
      <c r="D2929" s="62"/>
      <c r="E2929" s="148"/>
      <c r="F2929" s="148"/>
      <c r="G2929" s="148"/>
      <c r="H2929" s="148"/>
      <c r="I2929" s="208"/>
      <c r="J2929" s="151"/>
      <c r="K2929" s="74"/>
      <c r="L2929" s="74"/>
      <c r="M2929" s="74"/>
      <c r="N2929" s="152"/>
    </row>
    <row r="2930" spans="1:15">
      <c r="B2930" s="79" t="s">
        <v>169</v>
      </c>
      <c r="C2930" s="30"/>
      <c r="D2930" s="62"/>
      <c r="E2930" s="148"/>
      <c r="F2930" s="148"/>
      <c r="G2930" s="148"/>
      <c r="H2930" s="148"/>
      <c r="I2930" s="148"/>
      <c r="J2930" s="151">
        <f>J2904</f>
        <v>0</v>
      </c>
      <c r="K2930" s="150">
        <f>J2930</f>
        <v>0</v>
      </c>
      <c r="L2930" s="74"/>
      <c r="M2930" s="74"/>
      <c r="N2930" s="152"/>
    </row>
    <row r="2931" spans="1:15">
      <c r="B2931" s="79" t="s">
        <v>186</v>
      </c>
      <c r="C2931" s="30"/>
      <c r="D2931" s="62"/>
      <c r="E2931" s="148"/>
      <c r="F2931" s="148"/>
      <c r="G2931" s="148"/>
      <c r="H2931" s="148"/>
      <c r="I2931" s="148"/>
      <c r="J2931" s="228"/>
      <c r="K2931" s="151"/>
      <c r="L2931" s="74"/>
      <c r="M2931" s="74"/>
      <c r="N2931" s="152"/>
    </row>
    <row r="2932" spans="1:15">
      <c r="B2932" s="79" t="s">
        <v>187</v>
      </c>
      <c r="C2932" s="30"/>
      <c r="D2932" s="62"/>
      <c r="E2932" s="148"/>
      <c r="F2932" s="148"/>
      <c r="G2932" s="148"/>
      <c r="H2932" s="148"/>
      <c r="I2932" s="148"/>
      <c r="J2932" s="148"/>
      <c r="K2932" s="151"/>
      <c r="L2932" s="150">
        <f>K2932</f>
        <v>0</v>
      </c>
      <c r="M2932" s="74"/>
      <c r="N2932" s="152"/>
    </row>
    <row r="2933" spans="1:15">
      <c r="B2933" s="79" t="s">
        <v>188</v>
      </c>
      <c r="C2933" s="30"/>
      <c r="D2933" s="62"/>
      <c r="E2933" s="148"/>
      <c r="F2933" s="148"/>
      <c r="G2933" s="148"/>
      <c r="H2933" s="148"/>
      <c r="I2933" s="148"/>
      <c r="J2933" s="148"/>
      <c r="K2933" s="145"/>
      <c r="L2933" s="151"/>
      <c r="M2933" s="74"/>
      <c r="N2933" s="165"/>
    </row>
    <row r="2934" spans="1:15">
      <c r="B2934" s="79" t="s">
        <v>189</v>
      </c>
      <c r="C2934" s="30"/>
      <c r="D2934" s="62"/>
      <c r="E2934" s="148"/>
      <c r="F2934" s="148"/>
      <c r="G2934" s="148"/>
      <c r="H2934" s="148"/>
      <c r="I2934" s="148"/>
      <c r="J2934" s="148"/>
      <c r="K2934" s="148"/>
      <c r="L2934" s="151"/>
      <c r="M2934" s="150">
        <f>L2934</f>
        <v>0</v>
      </c>
      <c r="N2934" s="165"/>
    </row>
    <row r="2935" spans="1:15">
      <c r="B2935" s="79" t="s">
        <v>190</v>
      </c>
      <c r="C2935" s="30"/>
      <c r="D2935" s="62"/>
      <c r="E2935" s="148"/>
      <c r="F2935" s="148"/>
      <c r="G2935" s="148"/>
      <c r="H2935" s="148"/>
      <c r="I2935" s="148"/>
      <c r="J2935" s="148"/>
      <c r="K2935" s="148"/>
      <c r="L2935" s="145">
        <f>M2904</f>
        <v>0</v>
      </c>
      <c r="M2935" s="151">
        <f>L2935</f>
        <v>0</v>
      </c>
      <c r="N2935" s="165"/>
    </row>
    <row r="2936" spans="1:15">
      <c r="B2936" s="79" t="s">
        <v>191</v>
      </c>
      <c r="C2936" s="30"/>
      <c r="D2936" s="62"/>
      <c r="E2936" s="148"/>
      <c r="F2936" s="148"/>
      <c r="G2936" s="148"/>
      <c r="H2936" s="148"/>
      <c r="I2936" s="148"/>
      <c r="J2936" s="148"/>
      <c r="K2936" s="148"/>
      <c r="L2936" s="148"/>
      <c r="M2936" s="151"/>
      <c r="N2936" s="150">
        <f>M2936</f>
        <v>0</v>
      </c>
    </row>
    <row r="2937" spans="1:15">
      <c r="B2937" s="79" t="s">
        <v>201</v>
      </c>
      <c r="C2937" s="30"/>
      <c r="D2937" s="62"/>
      <c r="E2937" s="148"/>
      <c r="F2937" s="148"/>
      <c r="G2937" s="148"/>
      <c r="H2937" s="148"/>
      <c r="I2937" s="148"/>
      <c r="J2937" s="148"/>
      <c r="K2937" s="148"/>
      <c r="L2937" s="148"/>
      <c r="M2937" s="145"/>
      <c r="N2937" s="151"/>
    </row>
    <row r="2938" spans="1:15">
      <c r="B2938" s="79" t="s">
        <v>202</v>
      </c>
      <c r="C2938" s="30"/>
      <c r="D2938" s="63"/>
      <c r="E2938" s="133"/>
      <c r="F2938" s="133"/>
      <c r="G2938" s="133"/>
      <c r="H2938" s="133"/>
      <c r="I2938" s="133"/>
      <c r="J2938" s="133"/>
      <c r="K2938" s="133"/>
      <c r="L2938" s="133"/>
      <c r="M2938" s="133"/>
      <c r="N2938" s="153">
        <v>41900</v>
      </c>
    </row>
    <row r="2939" spans="1:15">
      <c r="B2939" s="33" t="s">
        <v>17</v>
      </c>
      <c r="D2939" s="218">
        <f xml:space="preserve"> D2924 - D2923</f>
        <v>0</v>
      </c>
      <c r="E2939" s="218">
        <f xml:space="preserve"> E2923 + E2926 - E2925 - E2924</f>
        <v>0</v>
      </c>
      <c r="F2939" s="218">
        <f>F2925 - F2926</f>
        <v>0</v>
      </c>
      <c r="G2939" s="218">
        <f>G2925 - G2926</f>
        <v>0</v>
      </c>
      <c r="H2939" s="218">
        <f>H2924-H2925-H2926</f>
        <v>0</v>
      </c>
      <c r="I2939" s="218">
        <f>I2926-I2927-I2928</f>
        <v>0</v>
      </c>
      <c r="J2939" s="218">
        <f>J2928-J2929-J2930</f>
        <v>0</v>
      </c>
      <c r="K2939" s="218">
        <f>K2930-K2931-K2932</f>
        <v>0</v>
      </c>
      <c r="L2939" s="218">
        <f>L2932+L2935-L2934-L2933</f>
        <v>0</v>
      </c>
      <c r="M2939" s="218">
        <f>M2934-M2935+M2937</f>
        <v>0</v>
      </c>
      <c r="N2939" s="218">
        <f>N2936-N2937-N2938</f>
        <v>-41900</v>
      </c>
    </row>
    <row r="2940" spans="1:15">
      <c r="B2940" s="6"/>
      <c r="D2940" s="218"/>
      <c r="E2940" s="218"/>
      <c r="F2940" s="218"/>
      <c r="G2940" s="218"/>
      <c r="H2940" s="218"/>
      <c r="I2940" s="218"/>
      <c r="J2940" s="218"/>
      <c r="K2940" s="218"/>
      <c r="L2940" s="218"/>
      <c r="M2940" s="218"/>
      <c r="N2940" s="218"/>
    </row>
    <row r="2941" spans="1:15">
      <c r="B2941" s="76" t="s">
        <v>12</v>
      </c>
      <c r="C2941" s="71"/>
      <c r="D2941" s="219"/>
      <c r="E2941" s="220"/>
      <c r="F2941" s="220"/>
      <c r="G2941" s="220"/>
      <c r="H2941" s="220"/>
      <c r="I2941" s="220"/>
      <c r="J2941" s="220"/>
      <c r="K2941" s="220"/>
      <c r="L2941" s="220"/>
      <c r="M2941" s="220"/>
      <c r="N2941" s="220"/>
    </row>
    <row r="2942" spans="1:15">
      <c r="B2942" s="6"/>
      <c r="D2942" s="218"/>
      <c r="E2942" s="218"/>
      <c r="F2942" s="218"/>
      <c r="G2942" s="218"/>
      <c r="H2942" s="218"/>
      <c r="I2942" s="218"/>
      <c r="J2942" s="218"/>
      <c r="K2942" s="218"/>
      <c r="L2942" s="218"/>
      <c r="M2942" s="218"/>
      <c r="N2942" s="218"/>
    </row>
    <row r="2943" spans="1:15" ht="18.5">
      <c r="A2943" s="41" t="s">
        <v>26</v>
      </c>
      <c r="C2943" s="71"/>
      <c r="D2943" s="221">
        <f t="shared" ref="D2943:N2943" si="1408" xml:space="preserve"> D2904 + D2909 - D2915 + D2939 + D2941</f>
        <v>0</v>
      </c>
      <c r="E2943" s="222">
        <f t="shared" si="1408"/>
        <v>0</v>
      </c>
      <c r="F2943" s="222">
        <f t="shared" si="1408"/>
        <v>0</v>
      </c>
      <c r="G2943" s="222">
        <f t="shared" si="1408"/>
        <v>0</v>
      </c>
      <c r="H2943" s="222">
        <f t="shared" si="1408"/>
        <v>0</v>
      </c>
      <c r="I2943" s="222">
        <f t="shared" si="1408"/>
        <v>0</v>
      </c>
      <c r="J2943" s="222">
        <f t="shared" si="1408"/>
        <v>0</v>
      </c>
      <c r="K2943" s="222">
        <f t="shared" si="1408"/>
        <v>0</v>
      </c>
      <c r="L2943" s="222">
        <f t="shared" si="1408"/>
        <v>0</v>
      </c>
      <c r="M2943" s="222">
        <f t="shared" si="1408"/>
        <v>0</v>
      </c>
      <c r="N2943" s="222">
        <f t="shared" si="1408"/>
        <v>3485.6440211303998</v>
      </c>
      <c r="O2943" s="276"/>
    </row>
    <row r="2944" spans="1:15" ht="15" thickBot="1"/>
    <row r="2945" spans="1:14">
      <c r="A2945" s="8"/>
      <c r="B2945" s="8"/>
      <c r="C2945" s="8"/>
      <c r="D2945" s="8"/>
      <c r="E2945" s="8"/>
      <c r="F2945" s="8"/>
      <c r="G2945" s="8"/>
      <c r="H2945" s="8"/>
      <c r="I2945" s="8"/>
      <c r="J2945" s="8"/>
      <c r="K2945" s="8"/>
      <c r="L2945" s="8"/>
      <c r="M2945" s="8"/>
      <c r="N2945" s="8"/>
    </row>
    <row r="2946" spans="1:14" ht="15" thickBot="1"/>
    <row r="2947" spans="1:14" ht="21.5" thickBot="1">
      <c r="A2947" s="13" t="s">
        <v>4</v>
      </c>
      <c r="B2947" s="13"/>
      <c r="C2947" s="343" t="str">
        <f>B63</f>
        <v>*Tuana Springs - REC Only</v>
      </c>
      <c r="D2947" s="344"/>
    </row>
    <row r="2949" spans="1:14" ht="18.5">
      <c r="A2949" s="9" t="s">
        <v>21</v>
      </c>
      <c r="B2949" s="9"/>
      <c r="D2949" s="2">
        <f>'Facility Detail'!$B$3082</f>
        <v>2011</v>
      </c>
      <c r="E2949" s="2">
        <f t="shared" ref="E2949:N2949" si="1409">D2949+1</f>
        <v>2012</v>
      </c>
      <c r="F2949" s="2">
        <f t="shared" si="1409"/>
        <v>2013</v>
      </c>
      <c r="G2949" s="2">
        <f t="shared" si="1409"/>
        <v>2014</v>
      </c>
      <c r="H2949" s="2">
        <f t="shared" si="1409"/>
        <v>2015</v>
      </c>
      <c r="I2949" s="2">
        <f t="shared" si="1409"/>
        <v>2016</v>
      </c>
      <c r="J2949" s="2">
        <f t="shared" si="1409"/>
        <v>2017</v>
      </c>
      <c r="K2949" s="2">
        <f t="shared" si="1409"/>
        <v>2018</v>
      </c>
      <c r="L2949" s="2">
        <f t="shared" si="1409"/>
        <v>2019</v>
      </c>
      <c r="M2949" s="2">
        <f t="shared" si="1409"/>
        <v>2020</v>
      </c>
      <c r="N2949" s="2">
        <f t="shared" si="1409"/>
        <v>2021</v>
      </c>
    </row>
    <row r="2950" spans="1:14">
      <c r="B2950" s="326" t="str">
        <f>"Total MWh Produced / Purchased from " &amp; C2947</f>
        <v>Total MWh Produced / Purchased from *Tuana Springs - REC Only</v>
      </c>
      <c r="C2950" s="71"/>
      <c r="D2950" s="3"/>
      <c r="E2950" s="4">
        <v>29430</v>
      </c>
      <c r="F2950" s="4">
        <v>32556</v>
      </c>
      <c r="G2950" s="4">
        <v>35021</v>
      </c>
      <c r="H2950" s="4"/>
      <c r="I2950" s="4"/>
      <c r="J2950" s="90"/>
      <c r="K2950" s="90"/>
      <c r="L2950" s="90"/>
      <c r="M2950" s="91"/>
      <c r="N2950" s="91"/>
    </row>
    <row r="2951" spans="1:14">
      <c r="B2951" s="326" t="s">
        <v>25</v>
      </c>
      <c r="C2951" s="71"/>
      <c r="D2951" s="54"/>
      <c r="E2951" s="55">
        <v>1</v>
      </c>
      <c r="F2951" s="55">
        <v>1</v>
      </c>
      <c r="G2951" s="55">
        <v>1</v>
      </c>
      <c r="H2951" s="55"/>
      <c r="I2951" s="55"/>
      <c r="J2951" s="211"/>
      <c r="K2951" s="211"/>
      <c r="L2951" s="211"/>
      <c r="M2951" s="327"/>
      <c r="N2951" s="327"/>
    </row>
    <row r="2952" spans="1:14">
      <c r="B2952" s="326" t="s">
        <v>20</v>
      </c>
      <c r="C2952" s="71"/>
      <c r="D2952" s="48"/>
      <c r="E2952" s="49">
        <v>1</v>
      </c>
      <c r="F2952" s="49">
        <v>1</v>
      </c>
      <c r="G2952" s="49">
        <v>1</v>
      </c>
      <c r="H2952" s="49"/>
      <c r="I2952" s="49"/>
      <c r="J2952" s="214"/>
      <c r="K2952" s="214"/>
      <c r="L2952" s="214"/>
      <c r="M2952" s="328"/>
      <c r="N2952" s="328"/>
    </row>
    <row r="2953" spans="1:14">
      <c r="B2953" s="33" t="s">
        <v>22</v>
      </c>
      <c r="C2953" s="6"/>
      <c r="D2953" s="37">
        <v>0</v>
      </c>
      <c r="E2953" s="37">
        <v>29430</v>
      </c>
      <c r="F2953" s="37">
        <v>32556</v>
      </c>
      <c r="G2953" s="37">
        <v>35021</v>
      </c>
      <c r="H2953" s="37">
        <f t="shared" ref="H2953:N2953" si="1410">ROUND(H2950 * H2951 * H2952,0)</f>
        <v>0</v>
      </c>
      <c r="I2953" s="37">
        <f t="shared" si="1410"/>
        <v>0</v>
      </c>
      <c r="J2953" s="37">
        <f t="shared" si="1410"/>
        <v>0</v>
      </c>
      <c r="K2953" s="37">
        <f t="shared" si="1410"/>
        <v>0</v>
      </c>
      <c r="L2953" s="37">
        <f t="shared" si="1410"/>
        <v>0</v>
      </c>
      <c r="M2953" s="37">
        <f t="shared" si="1410"/>
        <v>0</v>
      </c>
      <c r="N2953" s="37">
        <f t="shared" si="1410"/>
        <v>0</v>
      </c>
    </row>
    <row r="2954" spans="1:14">
      <c r="D2954" s="36"/>
      <c r="E2954" s="36"/>
      <c r="F2954" s="36"/>
      <c r="G2954" s="24"/>
      <c r="H2954" s="24"/>
      <c r="I2954" s="24"/>
      <c r="J2954" s="24"/>
      <c r="K2954" s="24"/>
      <c r="L2954" s="24"/>
      <c r="M2954" s="24"/>
      <c r="N2954" s="24"/>
    </row>
    <row r="2955" spans="1:14" ht="18.5">
      <c r="A2955" s="9" t="s">
        <v>119</v>
      </c>
      <c r="D2955" s="2">
        <f>'Facility Detail'!$B$3082</f>
        <v>2011</v>
      </c>
      <c r="E2955" s="2">
        <f>D2955+1</f>
        <v>2012</v>
      </c>
      <c r="F2955" s="2">
        <f>E2955+1</f>
        <v>2013</v>
      </c>
      <c r="G2955" s="2">
        <f>G2949</f>
        <v>2014</v>
      </c>
      <c r="H2955" s="2">
        <f>H2949</f>
        <v>2015</v>
      </c>
      <c r="I2955" s="2">
        <f>I2949</f>
        <v>2016</v>
      </c>
      <c r="J2955" s="2">
        <f>J2949</f>
        <v>2017</v>
      </c>
      <c r="K2955" s="2">
        <f t="shared" ref="K2955:N2955" si="1411">K2949</f>
        <v>2018</v>
      </c>
      <c r="L2955" s="2">
        <f t="shared" si="1411"/>
        <v>2019</v>
      </c>
      <c r="M2955" s="2">
        <f t="shared" si="1411"/>
        <v>2020</v>
      </c>
      <c r="N2955" s="2">
        <f t="shared" si="1411"/>
        <v>2021</v>
      </c>
    </row>
    <row r="2956" spans="1:14">
      <c r="B2956" s="326" t="s">
        <v>10</v>
      </c>
      <c r="C2956" s="71"/>
      <c r="D2956" s="51">
        <f>IF($E63= "Eligible", D2953 * 'Facility Detail'!$B$3079, 0 )</f>
        <v>0</v>
      </c>
      <c r="E2956" s="51">
        <f>IF($E63= "Eligible", E2953 * 'Facility Detail'!$B$3079, 0 )</f>
        <v>0</v>
      </c>
      <c r="F2956" s="51">
        <f>IF($E63= "Eligible", F2953 * 'Facility Detail'!$B$3079, 0 )</f>
        <v>0</v>
      </c>
      <c r="G2956" s="51">
        <f>IF($E63= "Eligible", G2953 * 'Facility Detail'!$B$3079, 0 )</f>
        <v>0</v>
      </c>
      <c r="H2956" s="51">
        <f>IF($E63= "Eligible", H2953 * 'Facility Detail'!$B$3079, 0 )</f>
        <v>0</v>
      </c>
      <c r="I2956" s="51">
        <f>IF($E63= "Eligible", I2953 * 'Facility Detail'!$B$3079, 0 )</f>
        <v>0</v>
      </c>
      <c r="J2956" s="51">
        <f>IF($E63= "Eligible", J2953 * 'Facility Detail'!$B$3079, 0 )</f>
        <v>0</v>
      </c>
      <c r="K2956" s="51">
        <f>IF($E63= "Eligible", K2953 * 'Facility Detail'!$B$3079, 0 )</f>
        <v>0</v>
      </c>
      <c r="L2956" s="51">
        <f>IF($E63= "Eligible", L2953 * 'Facility Detail'!$B$3079, 0 )</f>
        <v>0</v>
      </c>
      <c r="M2956" s="51">
        <f>IF($E63= "Eligible", M2953 * 'Facility Detail'!$B$3079, 0 )</f>
        <v>0</v>
      </c>
      <c r="N2956" s="51">
        <f>IF($E63= "Eligible", N2953 * 'Facility Detail'!$B$3079, 0 )</f>
        <v>0</v>
      </c>
    </row>
    <row r="2957" spans="1:14">
      <c r="B2957" s="326" t="s">
        <v>6</v>
      </c>
      <c r="C2957" s="71"/>
      <c r="D2957" s="52">
        <f t="shared" ref="D2957:N2957" si="1412">IF($F63= "Eligible", D2953, 0 )</f>
        <v>0</v>
      </c>
      <c r="E2957" s="52">
        <f t="shared" si="1412"/>
        <v>0</v>
      </c>
      <c r="F2957" s="52">
        <f t="shared" si="1412"/>
        <v>0</v>
      </c>
      <c r="G2957" s="52">
        <f t="shared" si="1412"/>
        <v>0</v>
      </c>
      <c r="H2957" s="52">
        <f t="shared" si="1412"/>
        <v>0</v>
      </c>
      <c r="I2957" s="52">
        <f t="shared" si="1412"/>
        <v>0</v>
      </c>
      <c r="J2957" s="52">
        <f t="shared" si="1412"/>
        <v>0</v>
      </c>
      <c r="K2957" s="52">
        <f t="shared" si="1412"/>
        <v>0</v>
      </c>
      <c r="L2957" s="52">
        <f t="shared" si="1412"/>
        <v>0</v>
      </c>
      <c r="M2957" s="52">
        <f t="shared" si="1412"/>
        <v>0</v>
      </c>
      <c r="N2957" s="52">
        <f t="shared" si="1412"/>
        <v>0</v>
      </c>
    </row>
    <row r="2958" spans="1:14">
      <c r="B2958" s="33" t="s">
        <v>121</v>
      </c>
      <c r="C2958" s="6"/>
      <c r="D2958" s="39">
        <f t="shared" ref="D2958:I2958" si="1413">SUM(D2956:D2957)</f>
        <v>0</v>
      </c>
      <c r="E2958" s="40">
        <f t="shared" si="1413"/>
        <v>0</v>
      </c>
      <c r="F2958" s="40">
        <f t="shared" si="1413"/>
        <v>0</v>
      </c>
      <c r="G2958" s="40">
        <f t="shared" si="1413"/>
        <v>0</v>
      </c>
      <c r="H2958" s="40">
        <f t="shared" si="1413"/>
        <v>0</v>
      </c>
      <c r="I2958" s="40">
        <f t="shared" si="1413"/>
        <v>0</v>
      </c>
      <c r="J2958" s="40">
        <f t="shared" ref="J2958:N2958" si="1414">SUM(J2956:J2957)</f>
        <v>0</v>
      </c>
      <c r="K2958" s="40">
        <f t="shared" si="1414"/>
        <v>0</v>
      </c>
      <c r="L2958" s="40">
        <f t="shared" si="1414"/>
        <v>0</v>
      </c>
      <c r="M2958" s="40">
        <f t="shared" si="1414"/>
        <v>0</v>
      </c>
      <c r="N2958" s="40">
        <f t="shared" si="1414"/>
        <v>0</v>
      </c>
    </row>
    <row r="2959" spans="1:14">
      <c r="D2959" s="38"/>
      <c r="E2959" s="31"/>
      <c r="F2959" s="31"/>
      <c r="G2959" s="24"/>
      <c r="H2959" s="24"/>
      <c r="I2959" s="24"/>
      <c r="J2959" s="24"/>
      <c r="K2959" s="24"/>
      <c r="L2959" s="24"/>
      <c r="M2959" s="24"/>
      <c r="N2959" s="24"/>
    </row>
    <row r="2960" spans="1:14" ht="18.5">
      <c r="A2960" s="9" t="s">
        <v>30</v>
      </c>
      <c r="D2960" s="2">
        <f>'Facility Detail'!$B$3082</f>
        <v>2011</v>
      </c>
      <c r="E2960" s="2">
        <f>D2960+1</f>
        <v>2012</v>
      </c>
      <c r="F2960" s="2">
        <f>E2960+1</f>
        <v>2013</v>
      </c>
      <c r="G2960" s="2">
        <f>G2949</f>
        <v>2014</v>
      </c>
      <c r="H2960" s="2">
        <f>H2949</f>
        <v>2015</v>
      </c>
      <c r="I2960" s="2">
        <f>I2949</f>
        <v>2016</v>
      </c>
      <c r="J2960" s="2">
        <f>J2949</f>
        <v>2017</v>
      </c>
      <c r="K2960" s="2">
        <f t="shared" ref="K2960:N2960" si="1415">K2949</f>
        <v>2018</v>
      </c>
      <c r="L2960" s="2">
        <f t="shared" si="1415"/>
        <v>2019</v>
      </c>
      <c r="M2960" s="2">
        <f t="shared" si="1415"/>
        <v>2020</v>
      </c>
      <c r="N2960" s="2">
        <f t="shared" si="1415"/>
        <v>2021</v>
      </c>
    </row>
    <row r="2961" spans="1:14">
      <c r="B2961" s="326" t="s">
        <v>47</v>
      </c>
      <c r="C2961" s="71"/>
      <c r="D2961" s="89"/>
      <c r="E2961" s="90"/>
      <c r="F2961" s="90"/>
      <c r="G2961" s="90"/>
      <c r="H2961" s="90"/>
      <c r="I2961" s="90"/>
      <c r="J2961" s="90"/>
      <c r="K2961" s="90"/>
      <c r="L2961" s="90"/>
      <c r="M2961" s="91"/>
      <c r="N2961" s="91"/>
    </row>
    <row r="2962" spans="1:14">
      <c r="B2962" s="330" t="s">
        <v>23</v>
      </c>
      <c r="C2962" s="331"/>
      <c r="D2962" s="92"/>
      <c r="E2962" s="93"/>
      <c r="F2962" s="93"/>
      <c r="G2962" s="93"/>
      <c r="H2962" s="93"/>
      <c r="I2962" s="93"/>
      <c r="J2962" s="93"/>
      <c r="K2962" s="93"/>
      <c r="L2962" s="93"/>
      <c r="M2962" s="94"/>
      <c r="N2962" s="94"/>
    </row>
    <row r="2963" spans="1:14">
      <c r="B2963" s="330" t="s">
        <v>89</v>
      </c>
      <c r="C2963" s="332"/>
      <c r="D2963" s="57"/>
      <c r="E2963" s="58"/>
      <c r="F2963" s="58"/>
      <c r="G2963" s="58"/>
      <c r="H2963" s="58"/>
      <c r="I2963" s="58"/>
      <c r="J2963" s="58"/>
      <c r="K2963" s="58"/>
      <c r="L2963" s="58"/>
      <c r="M2963" s="59"/>
      <c r="N2963" s="59"/>
    </row>
    <row r="2964" spans="1:14">
      <c r="B2964" s="33" t="s">
        <v>90</v>
      </c>
      <c r="D2964" s="7">
        <f t="shared" ref="D2964:N2964" si="1416">SUM(D2961:D2963)</f>
        <v>0</v>
      </c>
      <c r="E2964" s="7">
        <f t="shared" si="1416"/>
        <v>0</v>
      </c>
      <c r="F2964" s="7">
        <f t="shared" si="1416"/>
        <v>0</v>
      </c>
      <c r="G2964" s="7">
        <f t="shared" si="1416"/>
        <v>0</v>
      </c>
      <c r="H2964" s="7">
        <f t="shared" si="1416"/>
        <v>0</v>
      </c>
      <c r="I2964" s="7">
        <f t="shared" si="1416"/>
        <v>0</v>
      </c>
      <c r="J2964" s="7">
        <f t="shared" si="1416"/>
        <v>0</v>
      </c>
      <c r="K2964" s="7">
        <f t="shared" si="1416"/>
        <v>0</v>
      </c>
      <c r="L2964" s="7">
        <f t="shared" si="1416"/>
        <v>0</v>
      </c>
      <c r="M2964" s="7">
        <f t="shared" si="1416"/>
        <v>0</v>
      </c>
      <c r="N2964" s="7">
        <f t="shared" si="1416"/>
        <v>0</v>
      </c>
    </row>
    <row r="2965" spans="1:14">
      <c r="B2965" s="6"/>
      <c r="D2965" s="7"/>
      <c r="E2965" s="7"/>
      <c r="F2965" s="7"/>
      <c r="G2965" s="28"/>
      <c r="H2965" s="28"/>
      <c r="I2965" s="28"/>
      <c r="J2965" s="28"/>
      <c r="K2965" s="28"/>
      <c r="L2965" s="28"/>
      <c r="M2965" s="28"/>
      <c r="N2965" s="28"/>
    </row>
    <row r="2966" spans="1:14" ht="18.5">
      <c r="A2966" s="9" t="s">
        <v>100</v>
      </c>
      <c r="D2966" s="2">
        <f>'Facility Detail'!$B$3082</f>
        <v>2011</v>
      </c>
      <c r="E2966" s="2">
        <f t="shared" ref="E2966:N2966" si="1417">D2966+1</f>
        <v>2012</v>
      </c>
      <c r="F2966" s="2">
        <f t="shared" si="1417"/>
        <v>2013</v>
      </c>
      <c r="G2966" s="2">
        <f t="shared" si="1417"/>
        <v>2014</v>
      </c>
      <c r="H2966" s="2">
        <f t="shared" si="1417"/>
        <v>2015</v>
      </c>
      <c r="I2966" s="2">
        <f t="shared" si="1417"/>
        <v>2016</v>
      </c>
      <c r="J2966" s="2">
        <f t="shared" si="1417"/>
        <v>2017</v>
      </c>
      <c r="K2966" s="2">
        <f t="shared" si="1417"/>
        <v>2018</v>
      </c>
      <c r="L2966" s="2">
        <f t="shared" si="1417"/>
        <v>2019</v>
      </c>
      <c r="M2966" s="2">
        <f t="shared" si="1417"/>
        <v>2020</v>
      </c>
      <c r="N2966" s="2">
        <f t="shared" si="1417"/>
        <v>2021</v>
      </c>
    </row>
    <row r="2967" spans="1:14">
      <c r="B2967" s="326" t="str">
        <f xml:space="preserve"> '[1]Facility Detail'!$B$1917 &amp; " Surplus Applied to " &amp; ( '[1]Facility Detail'!$B$1917 + 1 )</f>
        <v>2011 Surplus Applied to 2012</v>
      </c>
      <c r="D2967" s="3"/>
      <c r="E2967" s="60">
        <f>D2967</f>
        <v>0</v>
      </c>
      <c r="F2967" s="131"/>
      <c r="G2967" s="131"/>
      <c r="H2967" s="131"/>
      <c r="I2967" s="131"/>
      <c r="J2967" s="131"/>
      <c r="K2967" s="131"/>
      <c r="L2967" s="131"/>
      <c r="M2967" s="61"/>
      <c r="N2967" s="61"/>
    </row>
    <row r="2968" spans="1:14">
      <c r="B2968" s="326" t="str">
        <f xml:space="preserve"> ( '[1]Facility Detail'!$B$1917 + 1 ) &amp; " Surplus Applied to " &amp; ( '[1]Facility Detail'!$B$1917 )</f>
        <v>2012 Surplus Applied to 2011</v>
      </c>
      <c r="D2968" s="47">
        <f>E2968</f>
        <v>0</v>
      </c>
      <c r="E2968" s="53"/>
      <c r="F2968" s="132"/>
      <c r="G2968" s="132"/>
      <c r="H2968" s="132"/>
      <c r="I2968" s="132"/>
      <c r="J2968" s="132"/>
      <c r="K2968" s="132"/>
      <c r="L2968" s="132"/>
      <c r="M2968" s="333"/>
      <c r="N2968" s="333"/>
    </row>
    <row r="2969" spans="1:14">
      <c r="B2969" s="326" t="str">
        <f xml:space="preserve"> ( '[1]Facility Detail'!$B$1917 + 1 ) &amp; " Surplus Applied to " &amp; ( '[1]Facility Detail'!$B$1917 + 2 )</f>
        <v>2012 Surplus Applied to 2013</v>
      </c>
      <c r="D2969" s="62"/>
      <c r="E2969" s="10">
        <v>17177</v>
      </c>
      <c r="F2969" s="70">
        <f>E2969</f>
        <v>17177</v>
      </c>
      <c r="G2969" s="132"/>
      <c r="H2969" s="132"/>
      <c r="I2969" s="132"/>
      <c r="J2969" s="132"/>
      <c r="K2969" s="132"/>
      <c r="L2969" s="132"/>
      <c r="M2969" s="333"/>
      <c r="N2969" s="333"/>
    </row>
    <row r="2970" spans="1:14">
      <c r="B2970" s="326" t="str">
        <f xml:space="preserve"> ( '[1]Facility Detail'!$B$1917 + 2 ) &amp; " Surplus Applied to " &amp; ( '[1]Facility Detail'!$B$1917 + 1 )</f>
        <v>2013 Surplus Applied to 2012</v>
      </c>
      <c r="D2970" s="62"/>
      <c r="E2970" s="70">
        <f>F2970</f>
        <v>0</v>
      </c>
      <c r="F2970" s="138"/>
      <c r="G2970" s="132"/>
      <c r="H2970" s="132"/>
      <c r="I2970" s="132"/>
      <c r="J2970" s="132"/>
      <c r="K2970" s="132"/>
      <c r="L2970" s="132"/>
      <c r="M2970" s="333"/>
      <c r="N2970" s="333"/>
    </row>
    <row r="2971" spans="1:14">
      <c r="B2971" s="326" t="str">
        <f xml:space="preserve"> ( '[1]Facility Detail'!$B$1917 + 2 ) &amp; " Surplus Applied to " &amp; ( '[1]Facility Detail'!$B$1917 + 3 )</f>
        <v>2013 Surplus Applied to 2014</v>
      </c>
      <c r="D2971" s="144"/>
      <c r="E2971" s="146"/>
      <c r="F2971" s="53">
        <v>6731</v>
      </c>
      <c r="G2971" s="147">
        <f>F2971</f>
        <v>6731</v>
      </c>
      <c r="H2971" s="132"/>
      <c r="I2971" s="132"/>
      <c r="J2971" s="132"/>
      <c r="K2971" s="132"/>
      <c r="L2971" s="132"/>
      <c r="M2971" s="333"/>
      <c r="N2971" s="333"/>
    </row>
    <row r="2972" spans="1:14">
      <c r="B2972" s="326" t="str">
        <f xml:space="preserve"> ( '[1]Facility Detail'!$B$1917 + 3 ) &amp; " Surplus Applied to " &amp; ( '[1]Facility Detail'!$B$1917 + 2 )</f>
        <v>2014 Surplus Applied to 2013</v>
      </c>
      <c r="D2972" s="144"/>
      <c r="E2972" s="146"/>
      <c r="F2972" s="145">
        <f>G2972</f>
        <v>0</v>
      </c>
      <c r="G2972" s="53"/>
      <c r="H2972" s="132"/>
      <c r="I2972" s="146"/>
      <c r="J2972" s="146"/>
      <c r="K2972" s="146"/>
      <c r="L2972" s="146"/>
      <c r="M2972" s="233"/>
      <c r="N2972" s="233"/>
    </row>
    <row r="2973" spans="1:14">
      <c r="B2973" s="326" t="str">
        <f xml:space="preserve"> ( '[1]Facility Detail'!$B$1917 + 3 ) &amp; " Surplus Applied to " &amp; ( '[1]Facility Detail'!$B$1917 + 4 )</f>
        <v>2014 Surplus Applied to 2015</v>
      </c>
      <c r="D2973" s="144"/>
      <c r="E2973" s="146"/>
      <c r="F2973" s="146"/>
      <c r="G2973" s="53">
        <v>0</v>
      </c>
      <c r="H2973" s="154">
        <f>G2973</f>
        <v>0</v>
      </c>
      <c r="I2973" s="146"/>
      <c r="J2973" s="146"/>
      <c r="K2973" s="146"/>
      <c r="L2973" s="146"/>
      <c r="M2973" s="233"/>
      <c r="N2973" s="233"/>
    </row>
    <row r="2974" spans="1:14">
      <c r="B2974" s="326" t="str">
        <f xml:space="preserve"> ( '[1]Facility Detail'!$B$1917 + 4 ) &amp; " Surplus Applied to " &amp; ( '[1]Facility Detail'!$B$1917 + 3 )</f>
        <v>2015 Surplus Applied to 2014</v>
      </c>
      <c r="D2974" s="62"/>
      <c r="E2974" s="148"/>
      <c r="F2974" s="148"/>
      <c r="G2974" s="70">
        <f>H2974</f>
        <v>0</v>
      </c>
      <c r="H2974" s="151"/>
      <c r="I2974" s="148"/>
      <c r="J2974" s="148"/>
      <c r="K2974" s="148"/>
      <c r="L2974" s="148"/>
      <c r="M2974" s="152"/>
      <c r="N2974" s="152"/>
    </row>
    <row r="2975" spans="1:14">
      <c r="B2975" s="326" t="str">
        <f xml:space="preserve"> ( '[1]Facility Detail'!$B$1917 + 4 ) &amp; " Surplus Applied to " &amp; ( '[1]Facility Detail'!$B$1917 + 5 )</f>
        <v>2015 Surplus Applied to 2016</v>
      </c>
      <c r="D2975" s="63"/>
      <c r="E2975" s="133"/>
      <c r="F2975" s="133"/>
      <c r="G2975" s="133"/>
      <c r="H2975" s="153"/>
      <c r="I2975" s="133">
        <f>H2975</f>
        <v>0</v>
      </c>
      <c r="J2975" s="133"/>
      <c r="K2975" s="133"/>
      <c r="L2975" s="133"/>
      <c r="M2975" s="334"/>
      <c r="N2975" s="334"/>
    </row>
    <row r="2976" spans="1:14">
      <c r="B2976" s="33" t="s">
        <v>17</v>
      </c>
      <c r="D2976" s="7">
        <f xml:space="preserve"> D2968 - D2967</f>
        <v>0</v>
      </c>
      <c r="E2976" s="7">
        <f xml:space="preserve"> E2967 + E2970 - E2969 - E2968</f>
        <v>-17177</v>
      </c>
      <c r="F2976" s="7">
        <f>F2969 - F2970 -F2971</f>
        <v>10446</v>
      </c>
      <c r="G2976" s="7">
        <f>G2971-G2972-G2973</f>
        <v>6731</v>
      </c>
      <c r="H2976" s="7">
        <f>H2973-H2974-H2975</f>
        <v>0</v>
      </c>
      <c r="I2976" s="7">
        <f>I2973</f>
        <v>0</v>
      </c>
      <c r="J2976" s="7"/>
      <c r="K2976" s="7"/>
      <c r="L2976" s="7"/>
      <c r="M2976" s="7"/>
      <c r="N2976" s="7"/>
    </row>
    <row r="2977" spans="1:14">
      <c r="B2977" s="6"/>
      <c r="D2977" s="7"/>
      <c r="E2977" s="7"/>
      <c r="F2977" s="7"/>
      <c r="G2977" s="7"/>
      <c r="H2977" s="7"/>
      <c r="I2977" s="7"/>
      <c r="J2977" s="7"/>
      <c r="K2977" s="7"/>
      <c r="L2977" s="7"/>
      <c r="M2977" s="7"/>
      <c r="N2977" s="7"/>
    </row>
    <row r="2978" spans="1:14">
      <c r="B2978" s="33" t="s">
        <v>12</v>
      </c>
      <c r="C2978" s="71"/>
      <c r="D2978" s="99"/>
      <c r="E2978" s="100"/>
      <c r="F2978" s="100"/>
      <c r="G2978" s="100"/>
      <c r="H2978" s="100"/>
      <c r="I2978" s="100"/>
      <c r="J2978" s="100"/>
      <c r="K2978" s="100"/>
      <c r="L2978" s="100"/>
      <c r="M2978" s="335"/>
      <c r="N2978" s="335"/>
    </row>
    <row r="2979" spans="1:14">
      <c r="B2979" s="6"/>
      <c r="D2979" s="7"/>
      <c r="E2979" s="7"/>
      <c r="F2979" s="7"/>
      <c r="G2979" s="7"/>
      <c r="H2979" s="7"/>
      <c r="I2979" s="7"/>
      <c r="J2979" s="7"/>
      <c r="K2979" s="7"/>
      <c r="L2979" s="7"/>
      <c r="M2979" s="7"/>
      <c r="N2979" s="7"/>
    </row>
    <row r="2980" spans="1:14" ht="18.5">
      <c r="A2980" s="9" t="s">
        <v>26</v>
      </c>
      <c r="C2980" s="71"/>
      <c r="D2980" s="43">
        <f t="shared" ref="D2980:N2980" si="1418" xml:space="preserve"> D2953 + D2958 - D2964 + D2976 + D2978</f>
        <v>0</v>
      </c>
      <c r="E2980" s="44">
        <f t="shared" si="1418"/>
        <v>12253</v>
      </c>
      <c r="F2980" s="44">
        <f t="shared" si="1418"/>
        <v>43002</v>
      </c>
      <c r="G2980" s="44">
        <f t="shared" si="1418"/>
        <v>41752</v>
      </c>
      <c r="H2980" s="44">
        <f t="shared" si="1418"/>
        <v>0</v>
      </c>
      <c r="I2980" s="44">
        <f t="shared" si="1418"/>
        <v>0</v>
      </c>
      <c r="J2980" s="44">
        <f t="shared" si="1418"/>
        <v>0</v>
      </c>
      <c r="K2980" s="44">
        <f t="shared" si="1418"/>
        <v>0</v>
      </c>
      <c r="L2980" s="44">
        <f t="shared" si="1418"/>
        <v>0</v>
      </c>
      <c r="M2980" s="143">
        <f t="shared" si="1418"/>
        <v>0</v>
      </c>
      <c r="N2980" s="143">
        <f t="shared" si="1418"/>
        <v>0</v>
      </c>
    </row>
    <row r="2981" spans="1:14">
      <c r="B2981" s="6"/>
      <c r="D2981" s="7"/>
      <c r="E2981" s="7"/>
      <c r="F2981" s="7"/>
      <c r="G2981" s="190" t="s">
        <v>278</v>
      </c>
      <c r="H2981" s="28"/>
      <c r="I2981" s="28"/>
      <c r="J2981" s="28"/>
      <c r="K2981" s="28"/>
      <c r="L2981" s="28"/>
      <c r="M2981" s="28"/>
      <c r="N2981" s="28"/>
    </row>
    <row r="2982" spans="1:14" ht="15" thickBot="1"/>
    <row r="2983" spans="1:14">
      <c r="A2983" s="8"/>
      <c r="B2983" s="8"/>
      <c r="C2983" s="8"/>
      <c r="D2983" s="8"/>
      <c r="E2983" s="8"/>
      <c r="F2983" s="8"/>
      <c r="G2983" s="8"/>
      <c r="H2983" s="8"/>
      <c r="I2983" s="8"/>
      <c r="J2983" s="8"/>
      <c r="K2983" s="8"/>
      <c r="L2983" s="8"/>
      <c r="M2983" s="8"/>
      <c r="N2983" s="8"/>
    </row>
    <row r="2984" spans="1:14" ht="15" thickBot="1"/>
    <row r="2985" spans="1:14" ht="21.5" thickBot="1">
      <c r="A2985" s="13" t="s">
        <v>4</v>
      </c>
      <c r="B2985" s="13"/>
      <c r="C2985" s="343" t="str">
        <f>B64</f>
        <v>Wanapum (Upgrade)</v>
      </c>
      <c r="D2985" s="344"/>
    </row>
    <row r="2987" spans="1:14" ht="18.5">
      <c r="A2987" s="9" t="s">
        <v>21</v>
      </c>
      <c r="B2987" s="9"/>
      <c r="D2987" s="2">
        <f>'Facility Detail'!$B$3082</f>
        <v>2011</v>
      </c>
      <c r="E2987" s="2">
        <f t="shared" ref="E2987:N2987" si="1419">D2987+1</f>
        <v>2012</v>
      </c>
      <c r="F2987" s="2">
        <f t="shared" si="1419"/>
        <v>2013</v>
      </c>
      <c r="G2987" s="2">
        <f t="shared" si="1419"/>
        <v>2014</v>
      </c>
      <c r="H2987" s="2">
        <f t="shared" si="1419"/>
        <v>2015</v>
      </c>
      <c r="I2987" s="169">
        <f t="shared" si="1419"/>
        <v>2016</v>
      </c>
      <c r="J2987" s="169">
        <f t="shared" si="1419"/>
        <v>2017</v>
      </c>
      <c r="K2987" s="169">
        <f t="shared" si="1419"/>
        <v>2018</v>
      </c>
      <c r="L2987" s="169">
        <f t="shared" si="1419"/>
        <v>2019</v>
      </c>
      <c r="M2987" s="169">
        <f t="shared" si="1419"/>
        <v>2020</v>
      </c>
      <c r="N2987" s="169">
        <f t="shared" si="1419"/>
        <v>2021</v>
      </c>
    </row>
    <row r="2988" spans="1:14">
      <c r="B2988" s="326" t="str">
        <f>"Total MWh Produced / Purchased from " &amp; C2985</f>
        <v>Total MWh Produced / Purchased from Wanapum (Upgrade)</v>
      </c>
      <c r="C2988" s="71"/>
      <c r="D2988" s="3"/>
      <c r="E2988" s="4">
        <v>8509.334807773188</v>
      </c>
      <c r="F2988" s="4">
        <v>8015.2443995799058</v>
      </c>
      <c r="G2988" s="4"/>
      <c r="H2988" s="4"/>
      <c r="I2988" s="4"/>
      <c r="J2988" s="4"/>
      <c r="K2988" s="4"/>
      <c r="L2988" s="4"/>
      <c r="M2988" s="91"/>
      <c r="N2988" s="91"/>
    </row>
    <row r="2989" spans="1:14">
      <c r="B2989" s="326" t="s">
        <v>25</v>
      </c>
      <c r="C2989" s="71"/>
      <c r="D2989" s="54"/>
      <c r="E2989" s="55">
        <v>1</v>
      </c>
      <c r="F2989" s="55">
        <v>1</v>
      </c>
      <c r="G2989" s="55"/>
      <c r="H2989" s="55"/>
      <c r="I2989" s="55"/>
      <c r="J2989" s="55"/>
      <c r="K2989" s="55"/>
      <c r="L2989" s="55"/>
      <c r="M2989" s="327"/>
      <c r="N2989" s="327"/>
    </row>
    <row r="2990" spans="1:14">
      <c r="B2990" s="326" t="s">
        <v>20</v>
      </c>
      <c r="C2990" s="71"/>
      <c r="D2990" s="48"/>
      <c r="E2990" s="49">
        <v>7.9619999999999996E-2</v>
      </c>
      <c r="F2990" s="49">
        <v>7.8747999999999999E-2</v>
      </c>
      <c r="G2990" s="49"/>
      <c r="H2990" s="49"/>
      <c r="I2990" s="49"/>
      <c r="J2990" s="49"/>
      <c r="K2990" s="49"/>
      <c r="L2990" s="49"/>
      <c r="M2990" s="328"/>
      <c r="N2990" s="328"/>
    </row>
    <row r="2991" spans="1:14">
      <c r="B2991" s="33" t="s">
        <v>22</v>
      </c>
      <c r="C2991" s="6"/>
      <c r="D2991" s="37">
        <f>ROUND(D2988 * D2989 * D2990,0)</f>
        <v>0</v>
      </c>
      <c r="E2991" s="37">
        <v>678</v>
      </c>
      <c r="F2991" s="37">
        <v>631</v>
      </c>
      <c r="G2991" s="37">
        <f t="shared" ref="G2991:N2991" si="1420">ROUND(G2988 * G2989 * G2990,0)</f>
        <v>0</v>
      </c>
      <c r="H2991" s="37">
        <f t="shared" si="1420"/>
        <v>0</v>
      </c>
      <c r="I2991" s="37">
        <f t="shared" si="1420"/>
        <v>0</v>
      </c>
      <c r="J2991" s="37">
        <f t="shared" si="1420"/>
        <v>0</v>
      </c>
      <c r="K2991" s="37">
        <f t="shared" si="1420"/>
        <v>0</v>
      </c>
      <c r="L2991" s="37">
        <f t="shared" si="1420"/>
        <v>0</v>
      </c>
      <c r="M2991" s="37">
        <f t="shared" si="1420"/>
        <v>0</v>
      </c>
      <c r="N2991" s="37">
        <f t="shared" si="1420"/>
        <v>0</v>
      </c>
    </row>
    <row r="2992" spans="1:14">
      <c r="D2992" s="36"/>
      <c r="E2992" s="36"/>
      <c r="F2992" s="36"/>
      <c r="G2992" s="24"/>
      <c r="H2992" s="24"/>
      <c r="I2992" s="24"/>
      <c r="J2992" s="24"/>
      <c r="K2992" s="24"/>
      <c r="L2992" s="24"/>
      <c r="M2992" s="24"/>
      <c r="N2992" s="24"/>
    </row>
    <row r="2993" spans="1:14" ht="18.5">
      <c r="A2993" s="9" t="s">
        <v>119</v>
      </c>
      <c r="D2993" s="2">
        <f>'Facility Detail'!$B$3082</f>
        <v>2011</v>
      </c>
      <c r="E2993" s="2">
        <f>D2993+1</f>
        <v>2012</v>
      </c>
      <c r="F2993" s="2">
        <f>E2993+1</f>
        <v>2013</v>
      </c>
      <c r="G2993" s="2">
        <f>G2987</f>
        <v>2014</v>
      </c>
      <c r="H2993" s="2">
        <f>H2987</f>
        <v>2015</v>
      </c>
      <c r="I2993" s="2">
        <f>I2987</f>
        <v>2016</v>
      </c>
      <c r="J2993" s="2">
        <f t="shared" ref="J2993:N2993" si="1421">J2987</f>
        <v>2017</v>
      </c>
      <c r="K2993" s="2">
        <f t="shared" si="1421"/>
        <v>2018</v>
      </c>
      <c r="L2993" s="2">
        <f t="shared" si="1421"/>
        <v>2019</v>
      </c>
      <c r="M2993" s="2">
        <f t="shared" si="1421"/>
        <v>2020</v>
      </c>
      <c r="N2993" s="2">
        <f t="shared" si="1421"/>
        <v>2021</v>
      </c>
    </row>
    <row r="2994" spans="1:14">
      <c r="B2994" s="326" t="s">
        <v>10</v>
      </c>
      <c r="C2994" s="71"/>
      <c r="D2994" s="51">
        <f>IF($E64= "Eligible", D2991 * 'Facility Detail'!$B$3079, 0 )</f>
        <v>0</v>
      </c>
      <c r="E2994" s="51">
        <f>IF($E64= "Eligible", E2991 * 'Facility Detail'!$B$3079, 0 )</f>
        <v>0</v>
      </c>
      <c r="F2994" s="51">
        <f>IF($E64= "Eligible", F2991 * 'Facility Detail'!$B$3079, 0 )</f>
        <v>0</v>
      </c>
      <c r="G2994" s="51">
        <f>IF($E64= "Eligible", G2991 * 'Facility Detail'!$B$3079, 0 )</f>
        <v>0</v>
      </c>
      <c r="H2994" s="51">
        <f>IF($E64= "Eligible", H2991 * 'Facility Detail'!$B$3079, 0 )</f>
        <v>0</v>
      </c>
      <c r="I2994" s="51">
        <f>IF($E64= "Eligible", I2991 * 'Facility Detail'!$B$3079, 0 )</f>
        <v>0</v>
      </c>
      <c r="J2994" s="51">
        <f>IF($E64= "Eligible", J2991 * 'Facility Detail'!$B$3079, 0 )</f>
        <v>0</v>
      </c>
      <c r="K2994" s="51">
        <f>IF($E64= "Eligible", K2991 * 'Facility Detail'!$B$3079, 0 )</f>
        <v>0</v>
      </c>
      <c r="L2994" s="51">
        <f>IF($E64= "Eligible", L2991 * 'Facility Detail'!$B$3079, 0 )</f>
        <v>0</v>
      </c>
      <c r="M2994" s="51">
        <f>IF($E64= "Eligible", M2991 * 'Facility Detail'!$B$3079, 0 )</f>
        <v>0</v>
      </c>
      <c r="N2994" s="51">
        <f>IF($E64= "Eligible", N2991 * 'Facility Detail'!$B$3079, 0 )</f>
        <v>0</v>
      </c>
    </row>
    <row r="2995" spans="1:14">
      <c r="B2995" s="326" t="s">
        <v>6</v>
      </c>
      <c r="C2995" s="71"/>
      <c r="D2995" s="52">
        <f t="shared" ref="D2995:N2995" si="1422">IF($F64= "Eligible", D2991, 0 )</f>
        <v>0</v>
      </c>
      <c r="E2995" s="52">
        <f t="shared" si="1422"/>
        <v>0</v>
      </c>
      <c r="F2995" s="52">
        <f t="shared" si="1422"/>
        <v>0</v>
      </c>
      <c r="G2995" s="52">
        <f t="shared" si="1422"/>
        <v>0</v>
      </c>
      <c r="H2995" s="52">
        <f t="shared" si="1422"/>
        <v>0</v>
      </c>
      <c r="I2995" s="52">
        <f t="shared" si="1422"/>
        <v>0</v>
      </c>
      <c r="J2995" s="52">
        <f t="shared" si="1422"/>
        <v>0</v>
      </c>
      <c r="K2995" s="52">
        <f t="shared" si="1422"/>
        <v>0</v>
      </c>
      <c r="L2995" s="52">
        <f t="shared" si="1422"/>
        <v>0</v>
      </c>
      <c r="M2995" s="52">
        <f t="shared" si="1422"/>
        <v>0</v>
      </c>
      <c r="N2995" s="52">
        <f t="shared" si="1422"/>
        <v>0</v>
      </c>
    </row>
    <row r="2996" spans="1:14">
      <c r="B2996" s="33" t="s">
        <v>121</v>
      </c>
      <c r="C2996" s="6"/>
      <c r="D2996" s="39">
        <f t="shared" ref="D2996:I2996" si="1423">SUM(D2994:D2995)</f>
        <v>0</v>
      </c>
      <c r="E2996" s="40">
        <f t="shared" si="1423"/>
        <v>0</v>
      </c>
      <c r="F2996" s="40">
        <f t="shared" si="1423"/>
        <v>0</v>
      </c>
      <c r="G2996" s="40">
        <f t="shared" si="1423"/>
        <v>0</v>
      </c>
      <c r="H2996" s="40">
        <f t="shared" si="1423"/>
        <v>0</v>
      </c>
      <c r="I2996" s="40">
        <f t="shared" si="1423"/>
        <v>0</v>
      </c>
      <c r="J2996" s="40">
        <f t="shared" ref="J2996:N2996" si="1424">SUM(J2994:J2995)</f>
        <v>0</v>
      </c>
      <c r="K2996" s="40">
        <f t="shared" si="1424"/>
        <v>0</v>
      </c>
      <c r="L2996" s="40">
        <f t="shared" si="1424"/>
        <v>0</v>
      </c>
      <c r="M2996" s="40">
        <f t="shared" si="1424"/>
        <v>0</v>
      </c>
      <c r="N2996" s="40">
        <f t="shared" si="1424"/>
        <v>0</v>
      </c>
    </row>
    <row r="2997" spans="1:14">
      <c r="D2997" s="38"/>
      <c r="E2997" s="31"/>
      <c r="F2997" s="31"/>
      <c r="G2997" s="24"/>
      <c r="H2997" s="24"/>
      <c r="I2997" s="24"/>
      <c r="J2997" s="24"/>
      <c r="K2997" s="24"/>
      <c r="L2997" s="24"/>
      <c r="M2997" s="24"/>
      <c r="N2997" s="24"/>
    </row>
    <row r="2998" spans="1:14" ht="18.5">
      <c r="A2998" s="9" t="s">
        <v>30</v>
      </c>
      <c r="D2998" s="2">
        <f>'Facility Detail'!$B$3082</f>
        <v>2011</v>
      </c>
      <c r="E2998" s="2">
        <f>D2998+1</f>
        <v>2012</v>
      </c>
      <c r="F2998" s="2">
        <f>E2998+1</f>
        <v>2013</v>
      </c>
      <c r="G2998" s="2">
        <f>G2987</f>
        <v>2014</v>
      </c>
      <c r="H2998" s="2">
        <f>H2987</f>
        <v>2015</v>
      </c>
      <c r="I2998" s="2">
        <f>I2987</f>
        <v>2016</v>
      </c>
      <c r="J2998" s="2">
        <f t="shared" ref="J2998:N2998" si="1425">J2987</f>
        <v>2017</v>
      </c>
      <c r="K2998" s="2">
        <f t="shared" si="1425"/>
        <v>2018</v>
      </c>
      <c r="L2998" s="2">
        <f t="shared" si="1425"/>
        <v>2019</v>
      </c>
      <c r="M2998" s="2">
        <f t="shared" si="1425"/>
        <v>2020</v>
      </c>
      <c r="N2998" s="2">
        <f t="shared" si="1425"/>
        <v>2021</v>
      </c>
    </row>
    <row r="2999" spans="1:14">
      <c r="B2999" s="326" t="s">
        <v>47</v>
      </c>
      <c r="C2999" s="71"/>
      <c r="D2999" s="89"/>
      <c r="E2999" s="90"/>
      <c r="F2999" s="90"/>
      <c r="G2999" s="90"/>
      <c r="H2999" s="90"/>
      <c r="I2999" s="90"/>
      <c r="J2999" s="90"/>
      <c r="K2999" s="90"/>
      <c r="L2999" s="90"/>
      <c r="M2999" s="91"/>
      <c r="N2999" s="91"/>
    </row>
    <row r="3000" spans="1:14">
      <c r="B3000" s="330" t="s">
        <v>23</v>
      </c>
      <c r="C3000" s="331"/>
      <c r="D3000" s="92"/>
      <c r="E3000" s="93"/>
      <c r="F3000" s="93"/>
      <c r="G3000" s="93"/>
      <c r="H3000" s="93"/>
      <c r="I3000" s="93"/>
      <c r="J3000" s="93"/>
      <c r="K3000" s="93"/>
      <c r="L3000" s="93"/>
      <c r="M3000" s="94"/>
      <c r="N3000" s="94"/>
    </row>
    <row r="3001" spans="1:14">
      <c r="B3001" s="330" t="s">
        <v>89</v>
      </c>
      <c r="C3001" s="332"/>
      <c r="D3001" s="57"/>
      <c r="E3001" s="58"/>
      <c r="F3001" s="58"/>
      <c r="G3001" s="58"/>
      <c r="H3001" s="58"/>
      <c r="I3001" s="58"/>
      <c r="J3001" s="58"/>
      <c r="K3001" s="58"/>
      <c r="L3001" s="58"/>
      <c r="M3001" s="59"/>
      <c r="N3001" s="59"/>
    </row>
    <row r="3002" spans="1:14">
      <c r="B3002" s="33" t="s">
        <v>90</v>
      </c>
      <c r="D3002" s="7">
        <f t="shared" ref="D3002:N3002" si="1426">SUM(D2999:D3001)</f>
        <v>0</v>
      </c>
      <c r="E3002" s="7">
        <f t="shared" si="1426"/>
        <v>0</v>
      </c>
      <c r="F3002" s="7">
        <f t="shared" si="1426"/>
        <v>0</v>
      </c>
      <c r="G3002" s="7">
        <f t="shared" si="1426"/>
        <v>0</v>
      </c>
      <c r="H3002" s="7">
        <f t="shared" si="1426"/>
        <v>0</v>
      </c>
      <c r="I3002" s="7">
        <f t="shared" si="1426"/>
        <v>0</v>
      </c>
      <c r="J3002" s="7">
        <f t="shared" si="1426"/>
        <v>0</v>
      </c>
      <c r="K3002" s="7">
        <f t="shared" si="1426"/>
        <v>0</v>
      </c>
      <c r="L3002" s="7">
        <f t="shared" si="1426"/>
        <v>0</v>
      </c>
      <c r="M3002" s="7">
        <f t="shared" si="1426"/>
        <v>0</v>
      </c>
      <c r="N3002" s="7">
        <f t="shared" si="1426"/>
        <v>0</v>
      </c>
    </row>
    <row r="3003" spans="1:14">
      <c r="B3003" s="6"/>
      <c r="D3003" s="7"/>
      <c r="E3003" s="7"/>
      <c r="F3003" s="7"/>
      <c r="G3003" s="28"/>
      <c r="H3003" s="28"/>
      <c r="I3003" s="28"/>
      <c r="J3003" s="28"/>
      <c r="K3003" s="28"/>
      <c r="L3003" s="28"/>
      <c r="M3003" s="28"/>
      <c r="N3003" s="28"/>
    </row>
    <row r="3004" spans="1:14" ht="18.5">
      <c r="A3004" s="9" t="s">
        <v>100</v>
      </c>
      <c r="D3004" s="2">
        <f>'Facility Detail'!$B$3082</f>
        <v>2011</v>
      </c>
      <c r="E3004" s="2">
        <f>D3004+1</f>
        <v>2012</v>
      </c>
      <c r="F3004" s="2">
        <f>E3004+1</f>
        <v>2013</v>
      </c>
      <c r="G3004" s="2">
        <f>F3004+1</f>
        <v>2014</v>
      </c>
      <c r="H3004" s="2">
        <f>G3004+1</f>
        <v>2015</v>
      </c>
      <c r="I3004" s="2">
        <f>H3004+1</f>
        <v>2016</v>
      </c>
      <c r="J3004" s="2">
        <f t="shared" ref="J3004:N3004" si="1427">I3004+1</f>
        <v>2017</v>
      </c>
      <c r="K3004" s="2">
        <f t="shared" si="1427"/>
        <v>2018</v>
      </c>
      <c r="L3004" s="2">
        <f t="shared" si="1427"/>
        <v>2019</v>
      </c>
      <c r="M3004" s="2">
        <f t="shared" si="1427"/>
        <v>2020</v>
      </c>
      <c r="N3004" s="2">
        <f t="shared" si="1427"/>
        <v>2021</v>
      </c>
    </row>
    <row r="3005" spans="1:14">
      <c r="B3005" s="326" t="str">
        <f xml:space="preserve"> '[1]Facility Detail'!$B$1917 &amp; " Surplus Applied to " &amp; ( '[1]Facility Detail'!$B$1917 + 1 )</f>
        <v>2011 Surplus Applied to 2012</v>
      </c>
      <c r="D3005" s="3"/>
      <c r="E3005" s="60">
        <f>D3005</f>
        <v>0</v>
      </c>
      <c r="F3005" s="131"/>
      <c r="G3005" s="131"/>
      <c r="H3005" s="131"/>
      <c r="I3005" s="131"/>
      <c r="J3005" s="131"/>
      <c r="K3005" s="131"/>
      <c r="L3005" s="131"/>
      <c r="M3005" s="61"/>
      <c r="N3005" s="61"/>
    </row>
    <row r="3006" spans="1:14">
      <c r="B3006" s="326" t="str">
        <f xml:space="preserve"> ( '[1]Facility Detail'!$B$1917 + 1 ) &amp; " Surplus Applied to " &amp; ( '[1]Facility Detail'!$B$1917 )</f>
        <v>2012 Surplus Applied to 2011</v>
      </c>
      <c r="D3006" s="47">
        <f>E3006</f>
        <v>0</v>
      </c>
      <c r="E3006" s="53"/>
      <c r="F3006" s="132"/>
      <c r="G3006" s="132"/>
      <c r="H3006" s="132"/>
      <c r="I3006" s="132"/>
      <c r="J3006" s="132"/>
      <c r="K3006" s="132"/>
      <c r="L3006" s="132"/>
      <c r="M3006" s="333"/>
      <c r="N3006" s="333"/>
    </row>
    <row r="3007" spans="1:14">
      <c r="B3007" s="326" t="str">
        <f xml:space="preserve"> ( '[1]Facility Detail'!$B$1917 + 1 ) &amp; " Surplus Applied to " &amp; ( '[1]Facility Detail'!$B$1917 + 2 )</f>
        <v>2012 Surplus Applied to 2013</v>
      </c>
      <c r="D3007" s="62"/>
      <c r="E3007" s="10"/>
      <c r="F3007" s="70">
        <f>E3007</f>
        <v>0</v>
      </c>
      <c r="G3007" s="132"/>
      <c r="H3007" s="132"/>
      <c r="I3007" s="132"/>
      <c r="J3007" s="132"/>
      <c r="K3007" s="132"/>
      <c r="L3007" s="132"/>
      <c r="M3007" s="333"/>
      <c r="N3007" s="333"/>
    </row>
    <row r="3008" spans="1:14">
      <c r="B3008" s="326" t="str">
        <f xml:space="preserve"> ( '[1]Facility Detail'!$B$1917 + 2 ) &amp; " Surplus Applied to " &amp; ( '[1]Facility Detail'!$B$1917 + 1 )</f>
        <v>2013 Surplus Applied to 2012</v>
      </c>
      <c r="D3008" s="62"/>
      <c r="E3008" s="70">
        <f>F3008</f>
        <v>0</v>
      </c>
      <c r="F3008" s="138"/>
      <c r="G3008" s="132"/>
      <c r="H3008" s="132"/>
      <c r="I3008" s="132"/>
      <c r="J3008" s="132"/>
      <c r="K3008" s="132"/>
      <c r="L3008" s="132"/>
      <c r="M3008" s="333"/>
      <c r="N3008" s="333"/>
    </row>
    <row r="3009" spans="1:14">
      <c r="B3009" s="326" t="str">
        <f xml:space="preserve"> ( '[1]Facility Detail'!$B$1917 + 2 ) &amp; " Surplus Applied to " &amp; ( '[1]Facility Detail'!$B$1917 + 3 )</f>
        <v>2013 Surplus Applied to 2014</v>
      </c>
      <c r="D3009" s="144"/>
      <c r="E3009" s="146"/>
      <c r="F3009" s="53"/>
      <c r="G3009" s="147">
        <f>F3009</f>
        <v>0</v>
      </c>
      <c r="H3009" s="132"/>
      <c r="I3009" s="132"/>
      <c r="J3009" s="132"/>
      <c r="K3009" s="132"/>
      <c r="L3009" s="132"/>
      <c r="M3009" s="333"/>
      <c r="N3009" s="333"/>
    </row>
    <row r="3010" spans="1:14">
      <c r="B3010" s="326" t="str">
        <f xml:space="preserve"> ( '[1]Facility Detail'!$B$1917 + 3 ) &amp; " Surplus Applied to " &amp; ( '[1]Facility Detail'!$B$1917 + 2 )</f>
        <v>2014 Surplus Applied to 2013</v>
      </c>
      <c r="D3010" s="62"/>
      <c r="E3010" s="148"/>
      <c r="F3010" s="70">
        <f>G3010</f>
        <v>0</v>
      </c>
      <c r="G3010" s="10"/>
      <c r="H3010" s="74"/>
      <c r="I3010" s="148"/>
      <c r="J3010" s="148"/>
      <c r="K3010" s="148"/>
      <c r="L3010" s="148"/>
      <c r="M3010" s="152"/>
      <c r="N3010" s="152"/>
    </row>
    <row r="3011" spans="1:14">
      <c r="B3011" s="326" t="str">
        <f xml:space="preserve"> ( '[1]Facility Detail'!$B$1917 + 3 ) &amp; " Surplus Applied to " &amp; ( '[1]Facility Detail'!$B$1917 + 4 )</f>
        <v>2014 Surplus Applied to 2015</v>
      </c>
      <c r="D3011" s="62"/>
      <c r="E3011" s="148"/>
      <c r="F3011" s="148"/>
      <c r="G3011" s="10"/>
      <c r="H3011" s="149">
        <f>G3011</f>
        <v>0</v>
      </c>
      <c r="I3011" s="148"/>
      <c r="J3011" s="148"/>
      <c r="K3011" s="148"/>
      <c r="L3011" s="148"/>
      <c r="M3011" s="152"/>
      <c r="N3011" s="152"/>
    </row>
    <row r="3012" spans="1:14">
      <c r="B3012" s="326" t="str">
        <f xml:space="preserve"> ( '[1]Facility Detail'!$B$1917 + 4 ) &amp; " Surplus Applied to " &amp; ( '[1]Facility Detail'!$B$1917 + 3 )</f>
        <v>2015 Surplus Applied to 2014</v>
      </c>
      <c r="D3012" s="62"/>
      <c r="E3012" s="148"/>
      <c r="F3012" s="148"/>
      <c r="G3012" s="150"/>
      <c r="H3012" s="151"/>
      <c r="I3012" s="148"/>
      <c r="J3012" s="148"/>
      <c r="K3012" s="148"/>
      <c r="L3012" s="148"/>
      <c r="M3012" s="152"/>
      <c r="N3012" s="152"/>
    </row>
    <row r="3013" spans="1:14">
      <c r="B3013" s="326" t="str">
        <f xml:space="preserve"> ( '[1]Facility Detail'!$B$1917 + 4 ) &amp; " Surplus Applied to " &amp; ( '[1]Facility Detail'!$B$1917 + 5 )</f>
        <v>2015 Surplus Applied to 2016</v>
      </c>
      <c r="D3013" s="63"/>
      <c r="E3013" s="133"/>
      <c r="F3013" s="133"/>
      <c r="G3013" s="133"/>
      <c r="H3013" s="153"/>
      <c r="I3013" s="146"/>
      <c r="J3013" s="146"/>
      <c r="K3013" s="146"/>
      <c r="L3013" s="146"/>
      <c r="M3013" s="152"/>
      <c r="N3013" s="152"/>
    </row>
    <row r="3014" spans="1:14">
      <c r="B3014" s="33" t="s">
        <v>17</v>
      </c>
      <c r="D3014" s="7">
        <f xml:space="preserve"> D3006 - D3005</f>
        <v>0</v>
      </c>
      <c r="E3014" s="7">
        <f xml:space="preserve"> E3005 + E3008 - E3007 - E3006</f>
        <v>0</v>
      </c>
      <c r="F3014" s="7">
        <f>F3007 - F3008 -F3009</f>
        <v>0</v>
      </c>
      <c r="G3014" s="7">
        <f>G3009-G3010-G3011</f>
        <v>0</v>
      </c>
      <c r="H3014" s="7">
        <f>H3011</f>
        <v>0</v>
      </c>
      <c r="I3014" s="40">
        <f t="shared" ref="I3014:N3014" si="1428">I3011</f>
        <v>0</v>
      </c>
      <c r="J3014" s="40">
        <f t="shared" si="1428"/>
        <v>0</v>
      </c>
      <c r="K3014" s="40">
        <f t="shared" si="1428"/>
        <v>0</v>
      </c>
      <c r="L3014" s="40">
        <f t="shared" si="1428"/>
        <v>0</v>
      </c>
      <c r="M3014" s="7">
        <f t="shared" si="1428"/>
        <v>0</v>
      </c>
      <c r="N3014" s="7">
        <f t="shared" si="1428"/>
        <v>0</v>
      </c>
    </row>
    <row r="3015" spans="1:14">
      <c r="B3015" s="6"/>
      <c r="D3015" s="7"/>
      <c r="E3015" s="7"/>
      <c r="F3015" s="7"/>
      <c r="G3015" s="7"/>
      <c r="H3015" s="7"/>
      <c r="I3015" s="7"/>
      <c r="J3015" s="7"/>
      <c r="K3015" s="7"/>
      <c r="L3015" s="7"/>
      <c r="M3015" s="7"/>
      <c r="N3015" s="7"/>
    </row>
    <row r="3016" spans="1:14">
      <c r="B3016" s="33" t="s">
        <v>12</v>
      </c>
      <c r="C3016" s="71"/>
      <c r="D3016" s="99"/>
      <c r="E3016" s="100"/>
      <c r="F3016" s="100"/>
      <c r="G3016" s="100"/>
      <c r="H3016" s="100"/>
      <c r="I3016" s="100"/>
      <c r="J3016" s="100"/>
      <c r="K3016" s="100"/>
      <c r="L3016" s="100"/>
      <c r="M3016" s="101"/>
      <c r="N3016" s="101"/>
    </row>
    <row r="3017" spans="1:14">
      <c r="B3017" s="6"/>
      <c r="D3017" s="7"/>
      <c r="E3017" s="7"/>
      <c r="F3017" s="7"/>
      <c r="G3017" s="7"/>
      <c r="H3017" s="7"/>
      <c r="I3017" s="7"/>
      <c r="J3017" s="7"/>
      <c r="K3017" s="7"/>
      <c r="L3017" s="7"/>
      <c r="M3017" s="7"/>
      <c r="N3017" s="7"/>
    </row>
    <row r="3018" spans="1:14" ht="18.5">
      <c r="A3018" s="9" t="s">
        <v>26</v>
      </c>
      <c r="C3018" s="71"/>
      <c r="D3018" s="43">
        <f t="shared" ref="D3018:N3018" si="1429" xml:space="preserve"> D2991 + D2996 - D3002 + D3014 + D3016</f>
        <v>0</v>
      </c>
      <c r="E3018" s="44">
        <f t="shared" si="1429"/>
        <v>678</v>
      </c>
      <c r="F3018" s="44">
        <f t="shared" si="1429"/>
        <v>631</v>
      </c>
      <c r="G3018" s="44">
        <f t="shared" si="1429"/>
        <v>0</v>
      </c>
      <c r="H3018" s="161">
        <f t="shared" si="1429"/>
        <v>0</v>
      </c>
      <c r="I3018" s="44">
        <f t="shared" si="1429"/>
        <v>0</v>
      </c>
      <c r="J3018" s="44">
        <f t="shared" si="1429"/>
        <v>0</v>
      </c>
      <c r="K3018" s="44">
        <f t="shared" si="1429"/>
        <v>0</v>
      </c>
      <c r="L3018" s="44">
        <f t="shared" si="1429"/>
        <v>0</v>
      </c>
      <c r="M3018" s="45">
        <f t="shared" si="1429"/>
        <v>0</v>
      </c>
      <c r="N3018" s="45">
        <f t="shared" si="1429"/>
        <v>0</v>
      </c>
    </row>
    <row r="3019" spans="1:14">
      <c r="B3019" s="6"/>
      <c r="D3019" s="7"/>
      <c r="E3019" s="7"/>
      <c r="F3019" s="7"/>
      <c r="G3019" s="28"/>
      <c r="H3019" s="28"/>
      <c r="I3019" s="28"/>
      <c r="J3019" s="28"/>
      <c r="K3019" s="28"/>
      <c r="L3019" s="28"/>
      <c r="M3019" s="28"/>
      <c r="N3019" s="28"/>
    </row>
    <row r="3020" spans="1:14" ht="15" thickBot="1"/>
    <row r="3021" spans="1:14" ht="15" thickBot="1">
      <c r="A3021" s="8"/>
      <c r="B3021" s="8"/>
      <c r="C3021" s="8"/>
      <c r="D3021" s="8"/>
      <c r="E3021" s="8"/>
      <c r="F3021" s="8"/>
      <c r="G3021" s="8"/>
      <c r="H3021" s="8"/>
      <c r="I3021" s="8"/>
      <c r="J3021" s="8"/>
      <c r="K3021" s="8"/>
      <c r="L3021" s="8"/>
      <c r="M3021" s="8"/>
      <c r="N3021" s="8"/>
    </row>
    <row r="3022" spans="1:14" ht="21.5" thickBot="1">
      <c r="A3022" s="13" t="s">
        <v>4</v>
      </c>
      <c r="B3022" s="13"/>
      <c r="C3022" s="313" t="s">
        <v>272</v>
      </c>
      <c r="D3022" s="310"/>
      <c r="E3022" s="23"/>
      <c r="F3022" s="23"/>
    </row>
    <row r="3024" spans="1:14" ht="18.5">
      <c r="A3024" s="9" t="s">
        <v>21</v>
      </c>
      <c r="B3024" s="9"/>
      <c r="D3024" s="2">
        <v>2011</v>
      </c>
      <c r="E3024" s="2">
        <f>D3024+1</f>
        <v>2012</v>
      </c>
      <c r="F3024" s="2">
        <f t="shared" ref="F3024" si="1430">E3024+1</f>
        <v>2013</v>
      </c>
      <c r="G3024" s="2">
        <f t="shared" ref="G3024" si="1431">F3024+1</f>
        <v>2014</v>
      </c>
      <c r="H3024" s="2">
        <f t="shared" ref="H3024" si="1432">G3024+1</f>
        <v>2015</v>
      </c>
      <c r="I3024" s="2">
        <f t="shared" ref="I3024" si="1433">H3024+1</f>
        <v>2016</v>
      </c>
      <c r="J3024" s="2">
        <f t="shared" ref="J3024" si="1434">I3024+1</f>
        <v>2017</v>
      </c>
      <c r="K3024" s="2">
        <f t="shared" ref="K3024" si="1435">J3024+1</f>
        <v>2018</v>
      </c>
      <c r="L3024" s="2">
        <f t="shared" ref="L3024" si="1436">K3024+1</f>
        <v>2019</v>
      </c>
      <c r="M3024" s="2">
        <f t="shared" ref="M3024" si="1437">L3024+1</f>
        <v>2020</v>
      </c>
      <c r="N3024" s="2">
        <f t="shared" ref="N3024" si="1438">M3024+1</f>
        <v>2021</v>
      </c>
    </row>
    <row r="3025" spans="1:14">
      <c r="B3025" s="79" t="str">
        <f>"Total MWh Produced / Purchased from " &amp; C3022</f>
        <v>Total MWh Produced / Purchased from Wolverine Creek</v>
      </c>
      <c r="C3025" s="71"/>
      <c r="D3025" s="3"/>
      <c r="E3025" s="4"/>
      <c r="F3025" s="4"/>
      <c r="G3025" s="4"/>
      <c r="H3025" s="4"/>
      <c r="I3025" s="4"/>
      <c r="J3025" s="4"/>
      <c r="K3025" s="4"/>
      <c r="L3025" s="4"/>
      <c r="M3025" s="230"/>
      <c r="N3025" s="230">
        <v>176125</v>
      </c>
    </row>
    <row r="3026" spans="1:14">
      <c r="B3026" s="79" t="s">
        <v>25</v>
      </c>
      <c r="C3026" s="71"/>
      <c r="D3026" s="54"/>
      <c r="E3026" s="55"/>
      <c r="F3026" s="55"/>
      <c r="G3026" s="55"/>
      <c r="H3026" s="55"/>
      <c r="I3026" s="55"/>
      <c r="J3026" s="55"/>
      <c r="K3026" s="55"/>
      <c r="L3026" s="55"/>
      <c r="M3026" s="234"/>
      <c r="N3026" s="234">
        <v>1</v>
      </c>
    </row>
    <row r="3027" spans="1:14">
      <c r="B3027" s="79" t="s">
        <v>20</v>
      </c>
      <c r="C3027" s="71"/>
      <c r="D3027" s="48"/>
      <c r="E3027" s="49"/>
      <c r="F3027" s="49"/>
      <c r="G3027" s="49"/>
      <c r="H3027" s="49"/>
      <c r="I3027" s="49"/>
      <c r="J3027" s="49"/>
      <c r="K3027" s="49"/>
      <c r="L3027" s="49"/>
      <c r="M3027" s="243"/>
      <c r="N3027" s="243">
        <f>N2903</f>
        <v>8.0780946790754593E-2</v>
      </c>
    </row>
    <row r="3028" spans="1:14">
      <c r="B3028" s="76" t="s">
        <v>22</v>
      </c>
      <c r="C3028" s="77"/>
      <c r="D3028" s="37">
        <v>0</v>
      </c>
      <c r="E3028" s="37">
        <v>0</v>
      </c>
      <c r="F3028" s="37">
        <v>0</v>
      </c>
      <c r="G3028" s="37">
        <v>0</v>
      </c>
      <c r="H3028" s="37">
        <v>0</v>
      </c>
      <c r="I3028" s="37">
        <v>0</v>
      </c>
      <c r="J3028" s="37">
        <v>0</v>
      </c>
      <c r="K3028" s="37">
        <v>0</v>
      </c>
      <c r="L3028" s="37">
        <f>L3025*L3027</f>
        <v>0</v>
      </c>
      <c r="M3028" s="37">
        <f>M3025*M3027</f>
        <v>0</v>
      </c>
      <c r="N3028" s="37">
        <f>N3025*N3027</f>
        <v>14227.544253521653</v>
      </c>
    </row>
    <row r="3029" spans="1:14">
      <c r="B3029" s="23"/>
      <c r="C3029" s="30"/>
      <c r="D3029" s="36"/>
      <c r="E3029" s="36"/>
      <c r="F3029" s="36"/>
      <c r="G3029" s="36"/>
      <c r="H3029" s="36"/>
      <c r="I3029" s="36"/>
      <c r="J3029" s="36"/>
      <c r="K3029" s="36"/>
      <c r="L3029" s="36"/>
      <c r="M3029" s="36"/>
      <c r="N3029" s="36"/>
    </row>
    <row r="3030" spans="1:14" ht="18.5">
      <c r="A3030" s="42" t="s">
        <v>119</v>
      </c>
      <c r="C3030" s="30"/>
      <c r="D3030" s="2">
        <v>2011</v>
      </c>
      <c r="E3030" s="2">
        <f>D3030+1</f>
        <v>2012</v>
      </c>
      <c r="F3030" s="2">
        <f t="shared" ref="F3030" si="1439">E3030+1</f>
        <v>2013</v>
      </c>
      <c r="G3030" s="2">
        <f t="shared" ref="G3030" si="1440">F3030+1</f>
        <v>2014</v>
      </c>
      <c r="H3030" s="2">
        <f t="shared" ref="H3030" si="1441">G3030+1</f>
        <v>2015</v>
      </c>
      <c r="I3030" s="2">
        <f t="shared" ref="I3030" si="1442">H3030+1</f>
        <v>2016</v>
      </c>
      <c r="J3030" s="2">
        <f t="shared" ref="J3030" si="1443">I3030+1</f>
        <v>2017</v>
      </c>
      <c r="K3030" s="2">
        <f t="shared" ref="K3030" si="1444">J3030+1</f>
        <v>2018</v>
      </c>
      <c r="L3030" s="2">
        <f t="shared" ref="L3030" si="1445">K3030+1</f>
        <v>2019</v>
      </c>
      <c r="M3030" s="2">
        <f t="shared" ref="M3030" si="1446">L3030+1</f>
        <v>2020</v>
      </c>
      <c r="N3030" s="2">
        <f t="shared" ref="N3030" si="1447">M3030+1</f>
        <v>2021</v>
      </c>
    </row>
    <row r="3031" spans="1:14">
      <c r="B3031" s="79" t="s">
        <v>10</v>
      </c>
      <c r="C3031" s="71"/>
      <c r="D3031" s="51">
        <f>IF($E65= "Eligible", D3028 * 'Facility Detail'!$B$3079, 0 )</f>
        <v>0</v>
      </c>
      <c r="E3031" s="51">
        <f>IF($E65= "Eligible", E3028 * 'Facility Detail'!$B$3079, 0 )</f>
        <v>0</v>
      </c>
      <c r="F3031" s="51">
        <f>IF($E65= "Eligible", F3028 * 'Facility Detail'!$B$3079, 0 )</f>
        <v>0</v>
      </c>
      <c r="G3031" s="51">
        <f>IF($E65= "Eligible", G3028 * 'Facility Detail'!$B$3079, 0 )</f>
        <v>0</v>
      </c>
      <c r="H3031" s="51">
        <f>IF($E65= "Eligible", H3028 * 'Facility Detail'!$B$3079, 0 )</f>
        <v>0</v>
      </c>
      <c r="I3031" s="51">
        <f>IF($E65= "Eligible", I3028 * 'Facility Detail'!$B$3079, 0 )</f>
        <v>0</v>
      </c>
      <c r="J3031" s="51">
        <f>IF($E65= "Eligible", J3028 * 'Facility Detail'!$B$3079, 0 )</f>
        <v>0</v>
      </c>
      <c r="K3031" s="51">
        <f>IF($E65= "Eligible", K3028 * 'Facility Detail'!$B$3079, 0 )</f>
        <v>0</v>
      </c>
      <c r="L3031" s="51">
        <f>IF($E65= "Eligible", L3028 * 'Facility Detail'!$B$3079, 0 )</f>
        <v>0</v>
      </c>
      <c r="M3031" s="51">
        <f>IF($E65= "Eligible", M3028 * 'Facility Detail'!$B$3079, 0 )</f>
        <v>0</v>
      </c>
      <c r="N3031" s="51">
        <f>IF($E65= "Eligible", N3028 * 'Facility Detail'!$B$3079, 0 )</f>
        <v>0</v>
      </c>
    </row>
    <row r="3032" spans="1:14">
      <c r="B3032" s="79" t="s">
        <v>6</v>
      </c>
      <c r="C3032" s="71"/>
      <c r="D3032" s="52">
        <f t="shared" ref="D3032:N3032" si="1448">IF($F65= "Eligible", D3028, 0 )</f>
        <v>0</v>
      </c>
      <c r="E3032" s="52">
        <f t="shared" si="1448"/>
        <v>0</v>
      </c>
      <c r="F3032" s="52">
        <f t="shared" si="1448"/>
        <v>0</v>
      </c>
      <c r="G3032" s="52">
        <f t="shared" si="1448"/>
        <v>0</v>
      </c>
      <c r="H3032" s="52">
        <f t="shared" si="1448"/>
        <v>0</v>
      </c>
      <c r="I3032" s="52">
        <f t="shared" si="1448"/>
        <v>0</v>
      </c>
      <c r="J3032" s="52">
        <f t="shared" si="1448"/>
        <v>0</v>
      </c>
      <c r="K3032" s="52">
        <f t="shared" si="1448"/>
        <v>0</v>
      </c>
      <c r="L3032" s="52">
        <f t="shared" si="1448"/>
        <v>0</v>
      </c>
      <c r="M3032" s="52">
        <f t="shared" si="1448"/>
        <v>0</v>
      </c>
      <c r="N3032" s="52">
        <f t="shared" si="1448"/>
        <v>0</v>
      </c>
    </row>
    <row r="3033" spans="1:14">
      <c r="B3033" s="78" t="s">
        <v>121</v>
      </c>
      <c r="C3033" s="77"/>
      <c r="D3033" s="39">
        <f>SUM(D3031:D3032)</f>
        <v>0</v>
      </c>
      <c r="E3033" s="39">
        <f t="shared" ref="E3033:N3033" si="1449">SUM(E3031:E3032)</f>
        <v>0</v>
      </c>
      <c r="F3033" s="39">
        <f t="shared" si="1449"/>
        <v>0</v>
      </c>
      <c r="G3033" s="39">
        <f t="shared" si="1449"/>
        <v>0</v>
      </c>
      <c r="H3033" s="39">
        <f t="shared" si="1449"/>
        <v>0</v>
      </c>
      <c r="I3033" s="39">
        <f t="shared" si="1449"/>
        <v>0</v>
      </c>
      <c r="J3033" s="39">
        <f t="shared" si="1449"/>
        <v>0</v>
      </c>
      <c r="K3033" s="39">
        <f t="shared" si="1449"/>
        <v>0</v>
      </c>
      <c r="L3033" s="39">
        <f t="shared" si="1449"/>
        <v>0</v>
      </c>
      <c r="M3033" s="39">
        <f t="shared" si="1449"/>
        <v>0</v>
      </c>
      <c r="N3033" s="39">
        <f t="shared" si="1449"/>
        <v>0</v>
      </c>
    </row>
    <row r="3034" spans="1:14">
      <c r="B3034" s="30"/>
      <c r="C3034" s="30"/>
      <c r="D3034" s="38"/>
      <c r="E3034" s="31"/>
      <c r="F3034" s="31"/>
      <c r="G3034" s="31"/>
      <c r="H3034" s="31"/>
      <c r="I3034" s="31"/>
      <c r="J3034" s="31"/>
      <c r="K3034" s="31"/>
      <c r="L3034" s="31"/>
      <c r="M3034" s="31"/>
      <c r="N3034" s="31"/>
    </row>
    <row r="3035" spans="1:14" ht="18.5">
      <c r="A3035" s="41" t="s">
        <v>30</v>
      </c>
      <c r="C3035" s="30"/>
      <c r="D3035" s="2">
        <v>2011</v>
      </c>
      <c r="E3035" s="2">
        <f>D3035+1</f>
        <v>2012</v>
      </c>
      <c r="F3035" s="2">
        <f t="shared" ref="F3035" si="1450">E3035+1</f>
        <v>2013</v>
      </c>
      <c r="G3035" s="2">
        <f t="shared" ref="G3035" si="1451">F3035+1</f>
        <v>2014</v>
      </c>
      <c r="H3035" s="2">
        <f t="shared" ref="H3035" si="1452">G3035+1</f>
        <v>2015</v>
      </c>
      <c r="I3035" s="2">
        <f t="shared" ref="I3035" si="1453">H3035+1</f>
        <v>2016</v>
      </c>
      <c r="J3035" s="2">
        <f t="shared" ref="J3035" si="1454">I3035+1</f>
        <v>2017</v>
      </c>
      <c r="K3035" s="2">
        <f t="shared" ref="K3035" si="1455">J3035+1</f>
        <v>2018</v>
      </c>
      <c r="L3035" s="2">
        <f t="shared" ref="L3035" si="1456">K3035+1</f>
        <v>2019</v>
      </c>
      <c r="M3035" s="2">
        <f t="shared" ref="M3035" si="1457">L3035+1</f>
        <v>2020</v>
      </c>
      <c r="N3035" s="2">
        <f t="shared" ref="N3035" si="1458">M3035+1</f>
        <v>2021</v>
      </c>
    </row>
    <row r="3036" spans="1:14">
      <c r="B3036" s="79" t="s">
        <v>47</v>
      </c>
      <c r="C3036" s="71"/>
      <c r="D3036" s="89"/>
      <c r="E3036" s="90"/>
      <c r="F3036" s="90"/>
      <c r="G3036" s="90"/>
      <c r="H3036" s="90"/>
      <c r="I3036" s="90"/>
      <c r="J3036" s="90"/>
      <c r="K3036" s="90"/>
      <c r="L3036" s="90"/>
      <c r="M3036" s="90"/>
      <c r="N3036" s="90"/>
    </row>
    <row r="3037" spans="1:14">
      <c r="B3037" s="80" t="s">
        <v>23</v>
      </c>
      <c r="C3037" s="175"/>
      <c r="D3037" s="92"/>
      <c r="E3037" s="93"/>
      <c r="F3037" s="93"/>
      <c r="G3037" s="93"/>
      <c r="H3037" s="93"/>
      <c r="I3037" s="93"/>
      <c r="J3037" s="93"/>
      <c r="K3037" s="93"/>
      <c r="L3037" s="93"/>
      <c r="M3037" s="93"/>
      <c r="N3037" s="93"/>
    </row>
    <row r="3038" spans="1:14">
      <c r="B3038" s="95" t="s">
        <v>89</v>
      </c>
      <c r="C3038" s="173"/>
      <c r="D3038" s="57"/>
      <c r="E3038" s="58"/>
      <c r="F3038" s="58"/>
      <c r="G3038" s="58"/>
      <c r="H3038" s="58"/>
      <c r="I3038" s="58"/>
      <c r="J3038" s="58"/>
      <c r="K3038" s="58"/>
      <c r="L3038" s="58"/>
      <c r="M3038" s="58"/>
      <c r="N3038" s="58"/>
    </row>
    <row r="3039" spans="1:14">
      <c r="B3039" s="33" t="s">
        <v>90</v>
      </c>
      <c r="D3039" s="7">
        <v>0</v>
      </c>
      <c r="E3039" s="7">
        <v>0</v>
      </c>
      <c r="F3039" s="7">
        <v>0</v>
      </c>
      <c r="G3039" s="7">
        <v>0</v>
      </c>
      <c r="H3039" s="7">
        <v>0</v>
      </c>
      <c r="I3039" s="7">
        <v>0</v>
      </c>
      <c r="J3039" s="7">
        <v>0</v>
      </c>
      <c r="K3039" s="7">
        <v>0</v>
      </c>
      <c r="L3039" s="7">
        <v>0</v>
      </c>
      <c r="M3039" s="7">
        <v>0</v>
      </c>
      <c r="N3039" s="7">
        <v>0</v>
      </c>
    </row>
    <row r="3040" spans="1:14">
      <c r="B3040" s="6"/>
      <c r="D3040" s="7"/>
      <c r="E3040" s="7"/>
      <c r="F3040" s="7"/>
      <c r="G3040" s="28"/>
      <c r="H3040" s="28"/>
      <c r="I3040" s="28"/>
      <c r="J3040" s="28"/>
      <c r="K3040" s="28"/>
      <c r="L3040" s="28"/>
      <c r="M3040" s="28"/>
      <c r="N3040" s="28"/>
    </row>
    <row r="3041" spans="1:14" ht="18.5">
      <c r="A3041" s="9" t="s">
        <v>100</v>
      </c>
      <c r="D3041" s="2">
        <f>'Facility Detail'!$B$3082</f>
        <v>2011</v>
      </c>
      <c r="E3041" s="2">
        <f>D3041+1</f>
        <v>2012</v>
      </c>
      <c r="F3041" s="2">
        <f t="shared" ref="F3041" si="1459">E3041+1</f>
        <v>2013</v>
      </c>
      <c r="G3041" s="2">
        <f t="shared" ref="G3041" si="1460">F3041+1</f>
        <v>2014</v>
      </c>
      <c r="H3041" s="2">
        <f t="shared" ref="H3041" si="1461">G3041+1</f>
        <v>2015</v>
      </c>
      <c r="I3041" s="2">
        <f t="shared" ref="I3041" si="1462">H3041+1</f>
        <v>2016</v>
      </c>
      <c r="J3041" s="2">
        <f t="shared" ref="J3041" si="1463">I3041+1</f>
        <v>2017</v>
      </c>
      <c r="K3041" s="2">
        <f t="shared" ref="K3041" si="1464">J3041+1</f>
        <v>2018</v>
      </c>
      <c r="L3041" s="2">
        <f t="shared" ref="L3041" si="1465">K3041+1</f>
        <v>2019</v>
      </c>
      <c r="M3041" s="2">
        <f t="shared" ref="M3041" si="1466">L3041+1</f>
        <v>2020</v>
      </c>
      <c r="N3041" s="2">
        <f t="shared" ref="N3041" si="1467">M3041+1</f>
        <v>2021</v>
      </c>
    </row>
    <row r="3042" spans="1:14">
      <c r="B3042" s="79" t="s">
        <v>68</v>
      </c>
      <c r="C3042" s="71"/>
      <c r="D3042" s="3"/>
      <c r="E3042" s="60">
        <f>D3042</f>
        <v>0</v>
      </c>
      <c r="F3042" s="131"/>
      <c r="G3042" s="131"/>
      <c r="H3042" s="131"/>
      <c r="I3042" s="131"/>
      <c r="J3042" s="131"/>
      <c r="K3042" s="131"/>
      <c r="L3042" s="131"/>
      <c r="M3042" s="131"/>
      <c r="N3042" s="61"/>
    </row>
    <row r="3043" spans="1:14">
      <c r="B3043" s="79" t="s">
        <v>69</v>
      </c>
      <c r="C3043" s="71"/>
      <c r="D3043" s="164">
        <f>E3043</f>
        <v>0</v>
      </c>
      <c r="E3043" s="10"/>
      <c r="F3043" s="74"/>
      <c r="G3043" s="74"/>
      <c r="H3043" s="74"/>
      <c r="I3043" s="74"/>
      <c r="J3043" s="74"/>
      <c r="K3043" s="74"/>
      <c r="L3043" s="74"/>
      <c r="M3043" s="74"/>
      <c r="N3043" s="165"/>
    </row>
    <row r="3044" spans="1:14">
      <c r="B3044" s="79" t="s">
        <v>70</v>
      </c>
      <c r="C3044" s="71"/>
      <c r="D3044" s="62"/>
      <c r="E3044" s="10">
        <f>E3028</f>
        <v>0</v>
      </c>
      <c r="F3044" s="70">
        <f>E3044</f>
        <v>0</v>
      </c>
      <c r="G3044" s="74"/>
      <c r="H3044" s="74"/>
      <c r="I3044" s="74"/>
      <c r="J3044" s="74"/>
      <c r="K3044" s="74"/>
      <c r="L3044" s="74"/>
      <c r="M3044" s="74"/>
      <c r="N3044" s="165"/>
    </row>
    <row r="3045" spans="1:14">
      <c r="B3045" s="79" t="s">
        <v>71</v>
      </c>
      <c r="C3045" s="71"/>
      <c r="D3045" s="62"/>
      <c r="E3045" s="70">
        <f>F3045</f>
        <v>0</v>
      </c>
      <c r="F3045" s="163"/>
      <c r="G3045" s="74"/>
      <c r="H3045" s="74"/>
      <c r="I3045" s="74"/>
      <c r="J3045" s="74"/>
      <c r="K3045" s="74"/>
      <c r="L3045" s="74"/>
      <c r="M3045" s="74"/>
      <c r="N3045" s="165"/>
    </row>
    <row r="3046" spans="1:14">
      <c r="B3046" s="79" t="s">
        <v>171</v>
      </c>
      <c r="C3046" s="30"/>
      <c r="D3046" s="62"/>
      <c r="E3046" s="148"/>
      <c r="F3046" s="10">
        <f>F3028</f>
        <v>0</v>
      </c>
      <c r="G3046" s="149">
        <f>F3046</f>
        <v>0</v>
      </c>
      <c r="H3046" s="74"/>
      <c r="I3046" s="74"/>
      <c r="J3046" s="74"/>
      <c r="K3046" s="74"/>
      <c r="L3046" s="74"/>
      <c r="M3046" s="74"/>
      <c r="N3046" s="165"/>
    </row>
    <row r="3047" spans="1:14">
      <c r="B3047" s="79" t="s">
        <v>172</v>
      </c>
      <c r="C3047" s="30"/>
      <c r="D3047" s="62"/>
      <c r="E3047" s="148"/>
      <c r="F3047" s="70">
        <f>G3047</f>
        <v>0</v>
      </c>
      <c r="G3047" s="10"/>
      <c r="H3047" s="74"/>
      <c r="I3047" s="74"/>
      <c r="J3047" s="74"/>
      <c r="K3047" s="74"/>
      <c r="L3047" s="74"/>
      <c r="M3047" s="74"/>
      <c r="N3047" s="165"/>
    </row>
    <row r="3048" spans="1:14">
      <c r="B3048" s="79" t="s">
        <v>173</v>
      </c>
      <c r="C3048" s="30"/>
      <c r="D3048" s="62"/>
      <c r="E3048" s="148"/>
      <c r="F3048" s="148"/>
      <c r="G3048" s="10">
        <f>G3028</f>
        <v>0</v>
      </c>
      <c r="H3048" s="149">
        <f>G3048</f>
        <v>0</v>
      </c>
      <c r="I3048" s="148"/>
      <c r="J3048" s="74"/>
      <c r="K3048" s="74"/>
      <c r="L3048" s="74"/>
      <c r="M3048" s="74"/>
      <c r="N3048" s="152"/>
    </row>
    <row r="3049" spans="1:14">
      <c r="B3049" s="79" t="s">
        <v>174</v>
      </c>
      <c r="C3049" s="30"/>
      <c r="D3049" s="62"/>
      <c r="E3049" s="148"/>
      <c r="F3049" s="148"/>
      <c r="G3049" s="70"/>
      <c r="H3049" s="10"/>
      <c r="I3049" s="148"/>
      <c r="J3049" s="74"/>
      <c r="K3049" s="74"/>
      <c r="L3049" s="74"/>
      <c r="M3049" s="74"/>
      <c r="N3049" s="152"/>
    </row>
    <row r="3050" spans="1:14">
      <c r="B3050" s="79" t="s">
        <v>175</v>
      </c>
      <c r="C3050" s="30"/>
      <c r="D3050" s="62"/>
      <c r="E3050" s="148"/>
      <c r="F3050" s="148"/>
      <c r="G3050" s="148"/>
      <c r="H3050" s="10">
        <v>0</v>
      </c>
      <c r="I3050" s="149">
        <f>H3050</f>
        <v>0</v>
      </c>
      <c r="J3050" s="74"/>
      <c r="K3050" s="74"/>
      <c r="L3050" s="74"/>
      <c r="M3050" s="74"/>
      <c r="N3050" s="152"/>
    </row>
    <row r="3051" spans="1:14">
      <c r="B3051" s="79" t="s">
        <v>176</v>
      </c>
      <c r="C3051" s="30"/>
      <c r="D3051" s="62"/>
      <c r="E3051" s="148"/>
      <c r="F3051" s="148"/>
      <c r="G3051" s="148"/>
      <c r="H3051" s="70"/>
      <c r="I3051" s="10"/>
      <c r="J3051" s="74"/>
      <c r="K3051" s="74"/>
      <c r="L3051" s="74"/>
      <c r="M3051" s="74"/>
      <c r="N3051" s="152"/>
    </row>
    <row r="3052" spans="1:14">
      <c r="B3052" s="79" t="s">
        <v>177</v>
      </c>
      <c r="C3052" s="30"/>
      <c r="D3052" s="62"/>
      <c r="E3052" s="148"/>
      <c r="F3052" s="148"/>
      <c r="G3052" s="148"/>
      <c r="H3052" s="148"/>
      <c r="I3052" s="207">
        <f>I3028</f>
        <v>0</v>
      </c>
      <c r="J3052" s="150">
        <f>I3052</f>
        <v>0</v>
      </c>
      <c r="K3052" s="74"/>
      <c r="L3052" s="74"/>
      <c r="M3052" s="74"/>
      <c r="N3052" s="152"/>
    </row>
    <row r="3053" spans="1:14">
      <c r="B3053" s="79" t="s">
        <v>168</v>
      </c>
      <c r="C3053" s="30"/>
      <c r="D3053" s="62"/>
      <c r="E3053" s="148"/>
      <c r="F3053" s="148"/>
      <c r="G3053" s="148"/>
      <c r="H3053" s="148"/>
      <c r="I3053" s="208"/>
      <c r="J3053" s="151"/>
      <c r="K3053" s="74"/>
      <c r="L3053" s="74"/>
      <c r="M3053" s="74"/>
      <c r="N3053" s="152"/>
    </row>
    <row r="3054" spans="1:14">
      <c r="B3054" s="79" t="s">
        <v>169</v>
      </c>
      <c r="C3054" s="30"/>
      <c r="D3054" s="62"/>
      <c r="E3054" s="148"/>
      <c r="F3054" s="148"/>
      <c r="G3054" s="148"/>
      <c r="H3054" s="148"/>
      <c r="I3054" s="148"/>
      <c r="J3054" s="151">
        <f>J3028</f>
        <v>0</v>
      </c>
      <c r="K3054" s="150">
        <f>J3054</f>
        <v>0</v>
      </c>
      <c r="L3054" s="74"/>
      <c r="M3054" s="74"/>
      <c r="N3054" s="152"/>
    </row>
    <row r="3055" spans="1:14">
      <c r="B3055" s="79" t="s">
        <v>186</v>
      </c>
      <c r="C3055" s="30"/>
      <c r="D3055" s="62"/>
      <c r="E3055" s="148"/>
      <c r="F3055" s="148"/>
      <c r="G3055" s="148"/>
      <c r="H3055" s="148"/>
      <c r="I3055" s="148"/>
      <c r="J3055" s="228"/>
      <c r="K3055" s="151"/>
      <c r="L3055" s="74"/>
      <c r="M3055" s="74"/>
      <c r="N3055" s="152"/>
    </row>
    <row r="3056" spans="1:14">
      <c r="B3056" s="79" t="s">
        <v>187</v>
      </c>
      <c r="C3056" s="30"/>
      <c r="D3056" s="62"/>
      <c r="E3056" s="148"/>
      <c r="F3056" s="148"/>
      <c r="G3056" s="148"/>
      <c r="H3056" s="148"/>
      <c r="I3056" s="148"/>
      <c r="J3056" s="148"/>
      <c r="K3056" s="151"/>
      <c r="L3056" s="150">
        <f>K3056</f>
        <v>0</v>
      </c>
      <c r="M3056" s="74"/>
      <c r="N3056" s="152"/>
    </row>
    <row r="3057" spans="1:15">
      <c r="B3057" s="79" t="s">
        <v>188</v>
      </c>
      <c r="C3057" s="30"/>
      <c r="D3057" s="62"/>
      <c r="E3057" s="148"/>
      <c r="F3057" s="148"/>
      <c r="G3057" s="148"/>
      <c r="H3057" s="148"/>
      <c r="I3057" s="148"/>
      <c r="J3057" s="148"/>
      <c r="K3057" s="145"/>
      <c r="L3057" s="151"/>
      <c r="M3057" s="74"/>
      <c r="N3057" s="152"/>
    </row>
    <row r="3058" spans="1:15">
      <c r="B3058" s="79" t="s">
        <v>189</v>
      </c>
      <c r="C3058" s="30"/>
      <c r="D3058" s="62"/>
      <c r="E3058" s="148"/>
      <c r="F3058" s="148"/>
      <c r="G3058" s="148"/>
      <c r="H3058" s="148"/>
      <c r="I3058" s="148"/>
      <c r="J3058" s="148"/>
      <c r="K3058" s="148"/>
      <c r="L3058" s="151"/>
      <c r="M3058" s="150">
        <f>L3058</f>
        <v>0</v>
      </c>
      <c r="N3058" s="152"/>
    </row>
    <row r="3059" spans="1:15">
      <c r="B3059" s="79" t="s">
        <v>190</v>
      </c>
      <c r="C3059" s="30"/>
      <c r="D3059" s="62"/>
      <c r="E3059" s="148"/>
      <c r="F3059" s="148"/>
      <c r="G3059" s="148"/>
      <c r="H3059" s="148"/>
      <c r="I3059" s="148"/>
      <c r="J3059" s="148"/>
      <c r="K3059" s="148"/>
      <c r="L3059" s="145">
        <f>M3028</f>
        <v>0</v>
      </c>
      <c r="M3059" s="151">
        <f>L3059</f>
        <v>0</v>
      </c>
      <c r="N3059" s="152"/>
    </row>
    <row r="3060" spans="1:15">
      <c r="B3060" s="79" t="s">
        <v>191</v>
      </c>
      <c r="C3060" s="30"/>
      <c r="D3060" s="62"/>
      <c r="E3060" s="148"/>
      <c r="F3060" s="148"/>
      <c r="G3060" s="148"/>
      <c r="H3060" s="148"/>
      <c r="I3060" s="148"/>
      <c r="J3060" s="148"/>
      <c r="K3060" s="148"/>
      <c r="L3060" s="148"/>
      <c r="M3060" s="151"/>
      <c r="N3060" s="150">
        <f>M3060</f>
        <v>0</v>
      </c>
    </row>
    <row r="3061" spans="1:15">
      <c r="B3061" s="79" t="s">
        <v>201</v>
      </c>
      <c r="C3061" s="30"/>
      <c r="D3061" s="62"/>
      <c r="E3061" s="148"/>
      <c r="F3061" s="148"/>
      <c r="G3061" s="148"/>
      <c r="H3061" s="148"/>
      <c r="I3061" s="148"/>
      <c r="J3061" s="148"/>
      <c r="K3061" s="148"/>
      <c r="L3061" s="148"/>
      <c r="M3061" s="145"/>
      <c r="N3061" s="151"/>
    </row>
    <row r="3062" spans="1:15">
      <c r="B3062" s="79" t="s">
        <v>202</v>
      </c>
      <c r="C3062" s="30"/>
      <c r="D3062" s="63"/>
      <c r="E3062" s="133"/>
      <c r="F3062" s="133"/>
      <c r="G3062" s="133"/>
      <c r="H3062" s="133"/>
      <c r="I3062" s="133"/>
      <c r="J3062" s="133"/>
      <c r="K3062" s="133"/>
      <c r="L3062" s="133"/>
      <c r="M3062" s="133"/>
      <c r="N3062" s="153">
        <v>14228</v>
      </c>
    </row>
    <row r="3063" spans="1:15">
      <c r="B3063" s="33" t="s">
        <v>17</v>
      </c>
      <c r="D3063" s="218">
        <f xml:space="preserve"> D3048 - D3047</f>
        <v>0</v>
      </c>
      <c r="E3063" s="218">
        <f xml:space="preserve"> E3047 + E3050 - E3049 - E3048</f>
        <v>0</v>
      </c>
      <c r="F3063" s="218">
        <f>F3049 - F3050</f>
        <v>0</v>
      </c>
      <c r="G3063" s="218">
        <f>G3049 - G3050</f>
        <v>0</v>
      </c>
      <c r="H3063" s="218">
        <f>H3048-H3049-H3050</f>
        <v>0</v>
      </c>
      <c r="I3063" s="218">
        <f>I3050-I3051-I3052</f>
        <v>0</v>
      </c>
      <c r="J3063" s="218">
        <f>J3052-J3053-J3054</f>
        <v>0</v>
      </c>
      <c r="K3063" s="218">
        <f>K3054-K3055-K3056</f>
        <v>0</v>
      </c>
      <c r="L3063" s="218">
        <f>L3056+L3059-L3058-L3057</f>
        <v>0</v>
      </c>
      <c r="M3063" s="218">
        <f>M3058-M3059+M3061</f>
        <v>0</v>
      </c>
      <c r="N3063" s="218">
        <f>N3060-N3061-N3062</f>
        <v>-14228</v>
      </c>
    </row>
    <row r="3064" spans="1:15">
      <c r="B3064" s="6"/>
      <c r="D3064" s="218"/>
      <c r="E3064" s="218"/>
      <c r="F3064" s="218"/>
      <c r="G3064" s="218"/>
      <c r="H3064" s="218"/>
      <c r="I3064" s="218"/>
      <c r="J3064" s="218"/>
      <c r="K3064" s="218"/>
      <c r="L3064" s="218"/>
      <c r="M3064" s="218"/>
      <c r="N3064" s="218"/>
    </row>
    <row r="3065" spans="1:15">
      <c r="B3065" s="76" t="s">
        <v>12</v>
      </c>
      <c r="C3065" s="71"/>
      <c r="D3065" s="219"/>
      <c r="E3065" s="220"/>
      <c r="F3065" s="220"/>
      <c r="G3065" s="220"/>
      <c r="H3065" s="220"/>
      <c r="I3065" s="220"/>
      <c r="J3065" s="220"/>
      <c r="K3065" s="220"/>
      <c r="L3065" s="220"/>
      <c r="M3065" s="220"/>
      <c r="N3065" s="220"/>
    </row>
    <row r="3066" spans="1:15">
      <c r="B3066" s="6"/>
      <c r="D3066" s="218"/>
      <c r="E3066" s="218"/>
      <c r="F3066" s="218"/>
      <c r="G3066" s="218"/>
      <c r="H3066" s="218"/>
      <c r="I3066" s="218"/>
      <c r="J3066" s="218"/>
      <c r="K3066" s="218"/>
      <c r="L3066" s="218"/>
      <c r="M3066" s="218"/>
      <c r="N3066" s="218"/>
    </row>
    <row r="3067" spans="1:15" ht="18.5">
      <c r="A3067" s="41" t="s">
        <v>26</v>
      </c>
      <c r="C3067" s="71"/>
      <c r="D3067" s="221">
        <f t="shared" ref="D3067:N3067" si="1468" xml:space="preserve"> D3028 + D3033 - D3039 + D3063 + D3065</f>
        <v>0</v>
      </c>
      <c r="E3067" s="222">
        <f t="shared" si="1468"/>
        <v>0</v>
      </c>
      <c r="F3067" s="222">
        <f t="shared" si="1468"/>
        <v>0</v>
      </c>
      <c r="G3067" s="222">
        <f t="shared" si="1468"/>
        <v>0</v>
      </c>
      <c r="H3067" s="222">
        <f t="shared" si="1468"/>
        <v>0</v>
      </c>
      <c r="I3067" s="222">
        <f t="shared" si="1468"/>
        <v>0</v>
      </c>
      <c r="J3067" s="222">
        <f t="shared" si="1468"/>
        <v>0</v>
      </c>
      <c r="K3067" s="222">
        <f t="shared" si="1468"/>
        <v>0</v>
      </c>
      <c r="L3067" s="222">
        <f t="shared" si="1468"/>
        <v>0</v>
      </c>
      <c r="M3067" s="222">
        <f t="shared" si="1468"/>
        <v>0</v>
      </c>
      <c r="N3067" s="222">
        <f t="shared" si="1468"/>
        <v>-0.4557464783465548</v>
      </c>
      <c r="O3067" s="276"/>
    </row>
    <row r="3069" spans="1:15">
      <c r="B3069" s="6"/>
      <c r="D3069" s="7"/>
      <c r="E3069" s="7"/>
      <c r="F3069" s="7"/>
      <c r="G3069" s="28"/>
      <c r="H3069" s="28"/>
      <c r="I3069" s="28"/>
      <c r="J3069" s="28"/>
      <c r="K3069" s="28"/>
      <c r="L3069" s="28"/>
    </row>
    <row r="3070" spans="1:15">
      <c r="B3070" s="6"/>
      <c r="D3070" s="7"/>
      <c r="E3070" s="7"/>
      <c r="F3070" s="7"/>
      <c r="G3070" s="28"/>
      <c r="H3070" s="28"/>
      <c r="I3070" s="28"/>
      <c r="J3070" s="28"/>
      <c r="K3070" s="28"/>
      <c r="L3070" s="28"/>
    </row>
    <row r="3071" spans="1:15">
      <c r="B3071" s="6"/>
      <c r="D3071" s="7"/>
      <c r="E3071" s="7"/>
      <c r="F3071" s="7"/>
      <c r="G3071" s="28"/>
      <c r="H3071" s="28"/>
      <c r="I3071" s="28"/>
      <c r="J3071" s="28"/>
      <c r="K3071" s="28"/>
      <c r="L3071" s="28"/>
    </row>
    <row r="3072" spans="1:15" outlineLevel="1"/>
    <row r="3073" spans="2:2" outlineLevel="1">
      <c r="B3073" s="6" t="s">
        <v>29</v>
      </c>
    </row>
    <row r="3074" spans="2:2" outlineLevel="1">
      <c r="B3074" s="15" t="s">
        <v>0</v>
      </c>
    </row>
    <row r="3075" spans="2:2" outlineLevel="1">
      <c r="B3075" s="17" t="s">
        <v>1</v>
      </c>
    </row>
    <row r="3076" spans="2:2" outlineLevel="1">
      <c r="B3076" s="18" t="s">
        <v>2</v>
      </c>
    </row>
    <row r="3077" spans="2:2" outlineLevel="1"/>
    <row r="3078" spans="2:2" outlineLevel="1">
      <c r="B3078" s="6" t="s">
        <v>28</v>
      </c>
    </row>
    <row r="3079" spans="2:2" outlineLevel="1">
      <c r="B3079" s="16">
        <v>0.2</v>
      </c>
    </row>
    <row r="3080" spans="2:2" outlineLevel="1"/>
    <row r="3081" spans="2:2" outlineLevel="1">
      <c r="B3081" s="6" t="s">
        <v>8</v>
      </c>
    </row>
    <row r="3082" spans="2:2" outlineLevel="1">
      <c r="B3082" s="16">
        <v>2011</v>
      </c>
    </row>
    <row r="3083" spans="2:2" outlineLevel="1"/>
    <row r="3084" spans="2:2" outlineLevel="1">
      <c r="B3084" s="6" t="s">
        <v>106</v>
      </c>
    </row>
    <row r="3085" spans="2:2" outlineLevel="1">
      <c r="B3085" s="15"/>
    </row>
    <row r="3086" spans="2:2" outlineLevel="1">
      <c r="B3086" s="17" t="s">
        <v>107</v>
      </c>
    </row>
    <row r="3087" spans="2:2" outlineLevel="1">
      <c r="B3087" s="17" t="s">
        <v>108</v>
      </c>
    </row>
    <row r="3088" spans="2:2" outlineLevel="1">
      <c r="B3088" s="17" t="s">
        <v>114</v>
      </c>
    </row>
    <row r="3089" spans="2:2" outlineLevel="1">
      <c r="B3089" s="17" t="s">
        <v>112</v>
      </c>
    </row>
    <row r="3090" spans="2:2" outlineLevel="1">
      <c r="B3090" s="17" t="s">
        <v>109</v>
      </c>
    </row>
    <row r="3091" spans="2:2" outlineLevel="1">
      <c r="B3091" s="17" t="s">
        <v>110</v>
      </c>
    </row>
    <row r="3092" spans="2:2" outlineLevel="1">
      <c r="B3092" s="17" t="s">
        <v>113</v>
      </c>
    </row>
    <row r="3093" spans="2:2" outlineLevel="1">
      <c r="B3093" s="17" t="s">
        <v>111</v>
      </c>
    </row>
    <row r="3094" spans="2:2" outlineLevel="1">
      <c r="B3094" s="106" t="s">
        <v>120</v>
      </c>
    </row>
    <row r="3095" spans="2:2" outlineLevel="1"/>
  </sheetData>
  <mergeCells count="2">
    <mergeCell ref="B67:G67"/>
    <mergeCell ref="B68:G68"/>
  </mergeCells>
  <phoneticPr fontId="5" type="noConversion"/>
  <dataValidations count="2">
    <dataValidation type="list" allowBlank="1" showInputMessage="1" showErrorMessage="1" sqref="E2:F66" xr:uid="{00000000-0002-0000-0300-000000000000}">
      <formula1>LaborBonus</formula1>
    </dataValidation>
    <dataValidation type="list" allowBlank="1" showInputMessage="1" showErrorMessage="1" sqref="D2:D66" xr:uid="{00000000-0002-0000-0300-000001000000}">
      <formula1>Facility</formula1>
    </dataValidation>
  </dataValidations>
  <printOptions horizontalCentered="1"/>
  <pageMargins left="0" right="0" top="0" bottom="0.5" header="0" footer="0"/>
  <pageSetup scale="50" fitToHeight="0" orientation="landscape" r:id="rId1"/>
  <headerFooter alignWithMargins="0"/>
  <rowBreaks count="22" manualBreakCount="22">
    <brk id="1530" max="12" man="1"/>
    <brk id="1722" max="12" man="1"/>
    <brk id="1772" max="12" man="1"/>
    <brk id="166" max="12" man="1"/>
    <brk id="1345" max="12" man="1"/>
    <brk id="2277" max="12" man="1"/>
    <brk id="1580" max="12" man="1"/>
    <brk id="1390" max="12" man="1"/>
    <brk id="1630" max="12" man="1"/>
    <brk id="2569" max="12" man="1"/>
    <brk id="2798" max="12" man="1"/>
    <brk id="683" max="12" man="1"/>
    <brk id="405" max="12" man="1"/>
    <brk id="1011" max="12" man="1"/>
    <brk id="2375" max="12" man="1"/>
    <brk id="68" max="12" man="1"/>
    <brk id="117" max="12" man="1"/>
    <brk id="357" max="12" man="1"/>
    <brk id="783" max="12" man="1"/>
    <brk id="873" max="12" man="1"/>
    <brk id="2133" max="12" man="1"/>
    <brk id="120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N85"/>
  <sheetViews>
    <sheetView showGridLines="0" view="pageBreakPreview" topLeftCell="D1" zoomScale="85" zoomScaleNormal="100" zoomScaleSheetLayoutView="85" workbookViewId="0">
      <selection activeCell="M5" sqref="M5:M9"/>
    </sheetView>
  </sheetViews>
  <sheetFormatPr defaultColWidth="9.1796875" defaultRowHeight="13" outlineLevelRow="1"/>
  <cols>
    <col min="1" max="1" width="27" style="107" customWidth="1"/>
    <col min="2" max="10" width="21.453125" style="107" customWidth="1"/>
    <col min="11" max="12" width="17" style="107" customWidth="1"/>
    <col min="13" max="13" width="18.453125" style="107" customWidth="1"/>
    <col min="14" max="16384" width="9.1796875" style="107"/>
  </cols>
  <sheetData>
    <row r="2" spans="1:14" ht="21">
      <c r="A2" s="114" t="s">
        <v>118</v>
      </c>
      <c r="B2" s="114"/>
    </row>
    <row r="3" spans="1:14">
      <c r="K3" s="292"/>
      <c r="L3" s="292"/>
      <c r="M3" s="292"/>
      <c r="N3" s="290"/>
    </row>
    <row r="4" spans="1:14" ht="14.5">
      <c r="C4" s="109">
        <v>2011</v>
      </c>
      <c r="D4" s="109">
        <v>2012</v>
      </c>
      <c r="E4" s="109">
        <v>2013</v>
      </c>
      <c r="F4" s="109">
        <v>2014</v>
      </c>
      <c r="G4" s="109">
        <v>2015</v>
      </c>
      <c r="H4" s="109">
        <v>2016</v>
      </c>
      <c r="I4" s="109">
        <v>2017</v>
      </c>
      <c r="J4" s="109">
        <v>2018</v>
      </c>
      <c r="K4" s="293">
        <v>2019</v>
      </c>
      <c r="L4" s="293">
        <v>2020</v>
      </c>
      <c r="M4" s="293">
        <v>2021</v>
      </c>
      <c r="N4" s="294"/>
    </row>
    <row r="5" spans="1:14" ht="14.5">
      <c r="A5" s="108" t="s">
        <v>107</v>
      </c>
      <c r="B5" s="108"/>
      <c r="C5" s="111">
        <f t="shared" ref="C5:M13" si="0" xml:space="preserve"> SUMIF( $B$21:$B$84, $A5, C$21:C$84 )</f>
        <v>0</v>
      </c>
      <c r="D5" s="111">
        <f t="shared" si="0"/>
        <v>117079</v>
      </c>
      <c r="E5" s="111">
        <f t="shared" si="0"/>
        <v>118504</v>
      </c>
      <c r="F5" s="111">
        <f t="shared" si="0"/>
        <v>120300</v>
      </c>
      <c r="G5" s="111">
        <f t="shared" si="0"/>
        <v>81660</v>
      </c>
      <c r="H5" s="111">
        <f t="shared" si="0"/>
        <v>354847</v>
      </c>
      <c r="I5" s="111">
        <f t="shared" si="0"/>
        <v>313597</v>
      </c>
      <c r="J5" s="111">
        <f t="shared" si="0"/>
        <v>276317</v>
      </c>
      <c r="K5" s="111">
        <f t="shared" si="0"/>
        <v>146818.93641063778</v>
      </c>
      <c r="L5" s="111">
        <f t="shared" si="0"/>
        <v>419816.87766732485</v>
      </c>
      <c r="M5" s="111">
        <f t="shared" si="0"/>
        <v>459325.52478534362</v>
      </c>
      <c r="N5" s="295"/>
    </row>
    <row r="6" spans="1:14" ht="14.5">
      <c r="A6" s="108" t="s">
        <v>108</v>
      </c>
      <c r="B6" s="108"/>
      <c r="C6" s="111">
        <f t="shared" si="0"/>
        <v>0</v>
      </c>
      <c r="D6" s="111">
        <f t="shared" si="0"/>
        <v>0</v>
      </c>
      <c r="E6" s="111">
        <f t="shared" si="0"/>
        <v>0</v>
      </c>
      <c r="F6" s="111">
        <f t="shared" si="0"/>
        <v>0</v>
      </c>
      <c r="G6" s="111">
        <f t="shared" si="0"/>
        <v>0</v>
      </c>
      <c r="H6" s="111">
        <f t="shared" si="0"/>
        <v>316</v>
      </c>
      <c r="I6" s="111">
        <f t="shared" si="0"/>
        <v>44237.406696699145</v>
      </c>
      <c r="J6" s="111">
        <f t="shared" si="0"/>
        <v>91254</v>
      </c>
      <c r="K6" s="111">
        <f t="shared" si="0"/>
        <v>219388.66488643436</v>
      </c>
      <c r="L6" s="111">
        <f t="shared" si="0"/>
        <v>186034.39216344824</v>
      </c>
      <c r="M6" s="111">
        <f t="shared" si="0"/>
        <v>130695.20745409089</v>
      </c>
      <c r="N6" s="295"/>
    </row>
    <row r="7" spans="1:14" ht="14.5">
      <c r="A7" s="108" t="s">
        <v>114</v>
      </c>
      <c r="B7" s="108"/>
      <c r="C7" s="111">
        <f t="shared" si="0"/>
        <v>0</v>
      </c>
      <c r="D7" s="111">
        <f t="shared" si="0"/>
        <v>2779</v>
      </c>
      <c r="E7" s="111">
        <f t="shared" si="0"/>
        <v>2212</v>
      </c>
      <c r="F7" s="111">
        <f t="shared" si="0"/>
        <v>1719</v>
      </c>
      <c r="G7" s="111">
        <f t="shared" si="0"/>
        <v>1495</v>
      </c>
      <c r="H7" s="111">
        <f t="shared" si="0"/>
        <v>1772</v>
      </c>
      <c r="I7" s="111">
        <f t="shared" si="0"/>
        <v>2253</v>
      </c>
      <c r="J7" s="111">
        <f t="shared" si="0"/>
        <v>1562</v>
      </c>
      <c r="K7" s="111">
        <f t="shared" si="0"/>
        <v>1460.2135635589598</v>
      </c>
      <c r="L7" s="111">
        <f t="shared" si="0"/>
        <v>1176.2339837673287</v>
      </c>
      <c r="M7" s="111">
        <f t="shared" si="0"/>
        <v>1857.6957004963258</v>
      </c>
      <c r="N7" s="295"/>
    </row>
    <row r="8" spans="1:14" ht="14.5">
      <c r="A8" s="108" t="s">
        <v>112</v>
      </c>
      <c r="B8" s="108"/>
      <c r="C8" s="111">
        <f t="shared" si="0"/>
        <v>0</v>
      </c>
      <c r="D8" s="111">
        <f t="shared" si="0"/>
        <v>0</v>
      </c>
      <c r="E8" s="111">
        <f t="shared" si="0"/>
        <v>0</v>
      </c>
      <c r="F8" s="111">
        <f t="shared" si="0"/>
        <v>0</v>
      </c>
      <c r="G8" s="111">
        <f t="shared" si="0"/>
        <v>40000</v>
      </c>
      <c r="H8" s="111">
        <f t="shared" si="0"/>
        <v>0</v>
      </c>
      <c r="I8" s="111">
        <f t="shared" si="0"/>
        <v>0</v>
      </c>
      <c r="J8" s="111">
        <f t="shared" si="0"/>
        <v>0</v>
      </c>
      <c r="K8" s="111">
        <f t="shared" si="0"/>
        <v>0</v>
      </c>
      <c r="L8" s="111">
        <f t="shared" si="0"/>
        <v>0</v>
      </c>
      <c r="M8" s="111">
        <f t="shared" si="0"/>
        <v>0</v>
      </c>
      <c r="N8" s="295"/>
    </row>
    <row r="9" spans="1:14" ht="14.5">
      <c r="A9" s="108" t="s">
        <v>109</v>
      </c>
      <c r="B9" s="108"/>
      <c r="C9" s="111">
        <f t="shared" si="0"/>
        <v>0</v>
      </c>
      <c r="D9" s="111">
        <f t="shared" si="0"/>
        <v>0</v>
      </c>
      <c r="E9" s="111">
        <f t="shared" si="0"/>
        <v>0</v>
      </c>
      <c r="F9" s="111">
        <f t="shared" si="0"/>
        <v>0</v>
      </c>
      <c r="G9" s="111">
        <f t="shared" si="0"/>
        <v>0</v>
      </c>
      <c r="H9" s="111">
        <f t="shared" si="0"/>
        <v>0</v>
      </c>
      <c r="I9" s="111">
        <f t="shared" si="0"/>
        <v>0</v>
      </c>
      <c r="J9" s="111">
        <f t="shared" si="0"/>
        <v>0</v>
      </c>
      <c r="K9" s="111">
        <f t="shared" si="0"/>
        <v>0</v>
      </c>
      <c r="L9" s="111">
        <f t="shared" si="0"/>
        <v>0</v>
      </c>
      <c r="M9" s="111">
        <f t="shared" si="0"/>
        <v>23852.351720799692</v>
      </c>
      <c r="N9" s="295"/>
    </row>
    <row r="10" spans="1:14" ht="14.5">
      <c r="A10" s="108" t="s">
        <v>110</v>
      </c>
      <c r="B10" s="108"/>
      <c r="C10" s="111">
        <f t="shared" si="0"/>
        <v>0</v>
      </c>
      <c r="D10" s="111">
        <f t="shared" si="0"/>
        <v>0</v>
      </c>
      <c r="E10" s="111">
        <f t="shared" si="0"/>
        <v>0</v>
      </c>
      <c r="F10" s="111">
        <f t="shared" si="0"/>
        <v>0</v>
      </c>
      <c r="G10" s="111">
        <f t="shared" si="0"/>
        <v>0</v>
      </c>
      <c r="H10" s="111">
        <f t="shared" si="0"/>
        <v>13231</v>
      </c>
      <c r="I10" s="111">
        <f t="shared" si="0"/>
        <v>3960</v>
      </c>
      <c r="J10" s="111">
        <f t="shared" si="0"/>
        <v>0</v>
      </c>
      <c r="K10" s="111">
        <f t="shared" si="0"/>
        <v>0</v>
      </c>
      <c r="L10" s="111">
        <f t="shared" si="0"/>
        <v>0</v>
      </c>
      <c r="M10" s="111">
        <f t="shared" si="0"/>
        <v>0</v>
      </c>
      <c r="N10" s="295"/>
    </row>
    <row r="11" spans="1:14" ht="14.5">
      <c r="A11" s="108" t="s">
        <v>113</v>
      </c>
      <c r="B11" s="108"/>
      <c r="C11" s="111">
        <f t="shared" si="0"/>
        <v>0</v>
      </c>
      <c r="D11" s="111">
        <f t="shared" si="0"/>
        <v>0</v>
      </c>
      <c r="E11" s="111">
        <f t="shared" si="0"/>
        <v>0</v>
      </c>
      <c r="F11" s="111">
        <f t="shared" si="0"/>
        <v>0</v>
      </c>
      <c r="G11" s="111">
        <f t="shared" si="0"/>
        <v>0</v>
      </c>
      <c r="H11" s="111">
        <f t="shared" si="0"/>
        <v>0</v>
      </c>
      <c r="I11" s="111">
        <f t="shared" si="0"/>
        <v>0</v>
      </c>
      <c r="J11" s="111">
        <f t="shared" si="0"/>
        <v>0</v>
      </c>
      <c r="K11" s="111">
        <f t="shared" si="0"/>
        <v>0</v>
      </c>
      <c r="L11" s="111">
        <f t="shared" si="0"/>
        <v>0</v>
      </c>
      <c r="M11" s="111">
        <f t="shared" si="0"/>
        <v>0</v>
      </c>
      <c r="N11" s="295"/>
    </row>
    <row r="12" spans="1:14" ht="14.5">
      <c r="A12" s="108" t="s">
        <v>111</v>
      </c>
      <c r="B12" s="108"/>
      <c r="C12" s="111">
        <f t="shared" si="0"/>
        <v>0</v>
      </c>
      <c r="D12" s="111">
        <f t="shared" si="0"/>
        <v>0</v>
      </c>
      <c r="E12" s="111">
        <f t="shared" si="0"/>
        <v>0</v>
      </c>
      <c r="F12" s="111">
        <f t="shared" si="0"/>
        <v>0</v>
      </c>
      <c r="G12" s="111">
        <f t="shared" si="0"/>
        <v>0</v>
      </c>
      <c r="H12" s="111">
        <f t="shared" si="0"/>
        <v>0</v>
      </c>
      <c r="I12" s="111">
        <f t="shared" si="0"/>
        <v>0</v>
      </c>
      <c r="J12" s="111">
        <f t="shared" si="0"/>
        <v>0</v>
      </c>
      <c r="K12" s="111">
        <f t="shared" si="0"/>
        <v>0</v>
      </c>
      <c r="L12" s="111">
        <f t="shared" si="0"/>
        <v>0</v>
      </c>
      <c r="M12" s="111">
        <f t="shared" si="0"/>
        <v>0</v>
      </c>
      <c r="N12" s="295"/>
    </row>
    <row r="13" spans="1:14" ht="14.5">
      <c r="A13" s="108" t="s">
        <v>120</v>
      </c>
      <c r="B13" s="108"/>
      <c r="C13" s="111">
        <f t="shared" si="0"/>
        <v>0</v>
      </c>
      <c r="D13" s="111">
        <f t="shared" si="0"/>
        <v>0</v>
      </c>
      <c r="E13" s="111">
        <f t="shared" si="0"/>
        <v>0</v>
      </c>
      <c r="F13" s="111">
        <f t="shared" si="0"/>
        <v>0</v>
      </c>
      <c r="G13" s="111">
        <f t="shared" si="0"/>
        <v>0</v>
      </c>
      <c r="H13" s="111">
        <f t="shared" si="0"/>
        <v>0</v>
      </c>
      <c r="I13" s="111">
        <f t="shared" si="0"/>
        <v>0</v>
      </c>
      <c r="J13" s="111">
        <f t="shared" si="0"/>
        <v>0</v>
      </c>
      <c r="K13" s="111">
        <f t="shared" si="0"/>
        <v>0</v>
      </c>
      <c r="L13" s="111">
        <f t="shared" si="0"/>
        <v>0</v>
      </c>
      <c r="M13" s="111">
        <f t="shared" si="0"/>
        <v>0</v>
      </c>
      <c r="N13" s="295"/>
    </row>
    <row r="14" spans="1:14" ht="15.5">
      <c r="A14" s="115"/>
      <c r="B14" s="116"/>
      <c r="C14" s="116"/>
      <c r="D14" s="116"/>
      <c r="E14" s="116"/>
      <c r="F14" s="116"/>
      <c r="G14" s="116"/>
    </row>
    <row r="19" spans="1:14" outlineLevel="1"/>
    <row r="20" spans="1:14" ht="14.5" outlineLevel="1">
      <c r="A20" s="113" t="s">
        <v>48</v>
      </c>
      <c r="B20" s="112" t="s">
        <v>115</v>
      </c>
      <c r="C20" s="112">
        <v>2011</v>
      </c>
      <c r="D20" s="112">
        <v>2012</v>
      </c>
      <c r="E20" s="112">
        <v>2013</v>
      </c>
      <c r="F20" s="112">
        <v>2014</v>
      </c>
      <c r="G20" s="112">
        <v>2015</v>
      </c>
      <c r="H20" s="112">
        <v>2016</v>
      </c>
      <c r="I20" s="112">
        <v>2017</v>
      </c>
      <c r="J20" s="112">
        <v>2018</v>
      </c>
      <c r="K20" s="112">
        <v>2019</v>
      </c>
      <c r="L20" s="112">
        <v>2020</v>
      </c>
      <c r="M20" s="112">
        <v>2021</v>
      </c>
      <c r="N20" s="112">
        <v>2022</v>
      </c>
    </row>
    <row r="21" spans="1:14" ht="14.5" outlineLevel="1">
      <c r="A21" s="110" t="str">
        <f>'Facility Detail'!B2</f>
        <v>Adams Solar</v>
      </c>
      <c r="B21" s="110" t="str">
        <f xml:space="preserve"> IF( 'Facility Detail'!D2 = "", "", 'Facility Detail'!D2 )</f>
        <v>Solar</v>
      </c>
      <c r="C21" s="111">
        <f>'Facility Detail'!D115</f>
        <v>0</v>
      </c>
      <c r="D21" s="111">
        <f>'Facility Detail'!E115</f>
        <v>0</v>
      </c>
      <c r="E21" s="111">
        <f>'Facility Detail'!F115</f>
        <v>0</v>
      </c>
      <c r="F21" s="111">
        <f>'Facility Detail'!G115</f>
        <v>0</v>
      </c>
      <c r="G21" s="111">
        <f>'Facility Detail'!H115</f>
        <v>0</v>
      </c>
      <c r="H21" s="111">
        <f>'Facility Detail'!I115</f>
        <v>0</v>
      </c>
      <c r="I21" s="111">
        <f>'Facility Detail'!J115</f>
        <v>0</v>
      </c>
      <c r="J21" s="111">
        <f>'Facility Detail'!K115</f>
        <v>0</v>
      </c>
      <c r="K21" s="111">
        <f>'Facility Detail'!L115</f>
        <v>8592.2091216254576</v>
      </c>
      <c r="L21" s="111">
        <f>'Facility Detail'!M115</f>
        <v>1711.3916214541732</v>
      </c>
      <c r="M21" s="111">
        <f>'Facility Detail'!N115</f>
        <v>4627.4569281172562</v>
      </c>
      <c r="N21" s="111">
        <f>'Facility Detail'!O115</f>
        <v>0</v>
      </c>
    </row>
    <row r="22" spans="1:14" ht="14.5" outlineLevel="1">
      <c r="A22" s="110" t="str">
        <f>'Facility Detail'!B3</f>
        <v>Bear Creek Solar</v>
      </c>
      <c r="B22" s="110" t="str">
        <f xml:space="preserve"> IF( 'Facility Detail'!D3 = "", "", 'Facility Detail'!D3 )</f>
        <v>Solar</v>
      </c>
      <c r="C22" s="111">
        <f>'Facility Detail'!D164</f>
        <v>0</v>
      </c>
      <c r="D22" s="111">
        <f>'Facility Detail'!E164</f>
        <v>0</v>
      </c>
      <c r="E22" s="111">
        <f>'Facility Detail'!F164</f>
        <v>0</v>
      </c>
      <c r="F22" s="111">
        <f>'Facility Detail'!G164</f>
        <v>0</v>
      </c>
      <c r="G22" s="111">
        <f>'Facility Detail'!H164</f>
        <v>0</v>
      </c>
      <c r="H22" s="111">
        <f>'Facility Detail'!I164</f>
        <v>0</v>
      </c>
      <c r="I22" s="111">
        <f>'Facility Detail'!J164</f>
        <v>0</v>
      </c>
      <c r="J22" s="111">
        <f>'Facility Detail'!K164</f>
        <v>0</v>
      </c>
      <c r="K22" s="111">
        <f>'Facility Detail'!L164</f>
        <v>9233.3730515304796</v>
      </c>
      <c r="L22" s="111">
        <f>'Facility Detail'!M164</f>
        <v>1861.5510081531293</v>
      </c>
      <c r="M22" s="111">
        <f>'Facility Detail'!N164</f>
        <v>4806.2947646231869</v>
      </c>
      <c r="N22" s="111">
        <f>'Facility Detail'!O164</f>
        <v>0</v>
      </c>
    </row>
    <row r="23" spans="1:14" ht="14.5">
      <c r="A23" s="110" t="str">
        <f>'Facility Detail'!B4</f>
        <v>Bennett Creek Windfarm - REC Only</v>
      </c>
      <c r="B23" s="110" t="str">
        <f xml:space="preserve"> IF( 'Facility Detail'!D4 = "", "", 'Facility Detail'!D4 )</f>
        <v>Wind</v>
      </c>
      <c r="C23" s="111">
        <f>'Facility Detail'!D208</f>
        <v>0</v>
      </c>
      <c r="D23" s="111">
        <f>'Facility Detail'!E208</f>
        <v>12259</v>
      </c>
      <c r="E23" s="111">
        <f>'Facility Detail'!F208</f>
        <v>0</v>
      </c>
      <c r="F23" s="111">
        <f>'Facility Detail'!G208</f>
        <v>0</v>
      </c>
      <c r="G23" s="111">
        <f>'Facility Detail'!H208</f>
        <v>0</v>
      </c>
      <c r="H23" s="111">
        <f>'Facility Detail'!I208</f>
        <v>8656</v>
      </c>
      <c r="I23" s="111">
        <f>'Facility Detail'!J208</f>
        <v>11174</v>
      </c>
      <c r="J23" s="111">
        <f>'Facility Detail'!K208</f>
        <v>9667</v>
      </c>
      <c r="K23" s="111">
        <f>'Facility Detail'!L208</f>
        <v>3216</v>
      </c>
      <c r="L23" s="111">
        <f>'Facility Detail'!M208</f>
        <v>0</v>
      </c>
      <c r="M23" s="111">
        <f>'Facility Detail'!N208</f>
        <v>0</v>
      </c>
      <c r="N23" s="111">
        <f>'Facility Detail'!O208</f>
        <v>0</v>
      </c>
    </row>
    <row r="24" spans="1:14" ht="14.5" outlineLevel="1">
      <c r="A24" s="110" t="str">
        <f>'Facility Detail'!B5</f>
        <v>Bigfork</v>
      </c>
      <c r="B24" s="110" t="str">
        <f xml:space="preserve"> IF( 'Facility Detail'!D5 = "", "", 'Facility Detail'!D5 )</f>
        <v>Water (Incremental Hydro)</v>
      </c>
      <c r="C24" s="111">
        <f>'Facility Detail'!D257</f>
        <v>0</v>
      </c>
      <c r="D24" s="111">
        <f>'Facility Detail'!E257</f>
        <v>0</v>
      </c>
      <c r="E24" s="111">
        <f>'Facility Detail'!F257</f>
        <v>0</v>
      </c>
      <c r="F24" s="111">
        <f>'Facility Detail'!G257</f>
        <v>0</v>
      </c>
      <c r="G24" s="111">
        <f>'Facility Detail'!H257</f>
        <v>0</v>
      </c>
      <c r="H24" s="111">
        <f>'Facility Detail'!I257</f>
        <v>0</v>
      </c>
      <c r="I24" s="111">
        <f>'Facility Detail'!J257</f>
        <v>0</v>
      </c>
      <c r="J24" s="111">
        <f>'Facility Detail'!K257</f>
        <v>0</v>
      </c>
      <c r="K24" s="111">
        <f>'Facility Detail'!L257</f>
        <v>0</v>
      </c>
      <c r="L24" s="111">
        <f>'Facility Detail'!M257</f>
        <v>0</v>
      </c>
      <c r="M24" s="111">
        <f>'Facility Detail'!N257</f>
        <v>90.232317565272879</v>
      </c>
      <c r="N24" s="111">
        <f>'Facility Detail'!O257</f>
        <v>0</v>
      </c>
    </row>
    <row r="25" spans="1:14" ht="14.5" outlineLevel="1">
      <c r="A25" s="110" t="str">
        <f>'Facility Detail'!B6</f>
        <v>Blundell</v>
      </c>
      <c r="B25" s="110" t="str">
        <f xml:space="preserve"> IF( 'Facility Detail'!D6 = "", "", 'Facility Detail'!D6 )</f>
        <v>Geothermal</v>
      </c>
      <c r="C25" s="111">
        <f>'Facility Detail'!D306</f>
        <v>0</v>
      </c>
      <c r="D25" s="111">
        <f>'Facility Detail'!E306</f>
        <v>0</v>
      </c>
      <c r="E25" s="111">
        <f>'Facility Detail'!F306</f>
        <v>0</v>
      </c>
      <c r="F25" s="111">
        <f>'Facility Detail'!G306</f>
        <v>0</v>
      </c>
      <c r="G25" s="111">
        <f>'Facility Detail'!H306</f>
        <v>0</v>
      </c>
      <c r="H25" s="111">
        <f>'Facility Detail'!I306</f>
        <v>0</v>
      </c>
      <c r="I25" s="111">
        <f>'Facility Detail'!J306</f>
        <v>0</v>
      </c>
      <c r="J25" s="111">
        <f>'Facility Detail'!K306</f>
        <v>0</v>
      </c>
      <c r="K25" s="111">
        <f>'Facility Detail'!L306</f>
        <v>0</v>
      </c>
      <c r="L25" s="111">
        <f>'Facility Detail'!M306</f>
        <v>0</v>
      </c>
      <c r="M25" s="111">
        <f>'Facility Detail'!N306</f>
        <v>16104.327990311254</v>
      </c>
      <c r="N25" s="111">
        <f>'Facility Detail'!O306</f>
        <v>0</v>
      </c>
    </row>
    <row r="26" spans="1:14" ht="14.5" outlineLevel="1">
      <c r="A26" s="110" t="str">
        <f>'Facility Detail'!B7</f>
        <v>Blundell II</v>
      </c>
      <c r="B26" s="110" t="str">
        <f xml:space="preserve"> IF( 'Facility Detail'!D7 = "", "", 'Facility Detail'!D7 )</f>
        <v>Geothermal</v>
      </c>
      <c r="C26" s="111">
        <f>'Facility Detail'!D355</f>
        <v>0</v>
      </c>
      <c r="D26" s="111">
        <f>'Facility Detail'!E355</f>
        <v>0</v>
      </c>
      <c r="E26" s="111">
        <f>'Facility Detail'!F355</f>
        <v>0</v>
      </c>
      <c r="F26" s="111">
        <f>'Facility Detail'!G355</f>
        <v>0</v>
      </c>
      <c r="G26" s="111">
        <f>'Facility Detail'!H355</f>
        <v>0</v>
      </c>
      <c r="H26" s="111">
        <f>'Facility Detail'!I355</f>
        <v>0</v>
      </c>
      <c r="I26" s="111">
        <f>'Facility Detail'!J355</f>
        <v>0</v>
      </c>
      <c r="J26" s="111">
        <f>'Facility Detail'!K355</f>
        <v>0</v>
      </c>
      <c r="K26" s="111">
        <f>'Facility Detail'!L355</f>
        <v>0</v>
      </c>
      <c r="L26" s="111">
        <f>'Facility Detail'!M355</f>
        <v>0</v>
      </c>
      <c r="M26" s="111">
        <f>'Facility Detail'!N355</f>
        <v>7748.0237304884358</v>
      </c>
      <c r="N26" s="111">
        <f>'Facility Detail'!O355</f>
        <v>0</v>
      </c>
    </row>
    <row r="27" spans="1:14" ht="14.5" outlineLevel="1">
      <c r="A27" s="110" t="str">
        <f>'Facility Detail'!B8</f>
        <v>Bly Solar</v>
      </c>
      <c r="B27" s="110" t="str">
        <f xml:space="preserve"> IF( 'Facility Detail'!D8 = "", "", 'Facility Detail'!D8 )</f>
        <v>Solar</v>
      </c>
      <c r="C27" s="111">
        <f>'Facility Detail'!D404</f>
        <v>0</v>
      </c>
      <c r="D27" s="111">
        <f>'Facility Detail'!E404</f>
        <v>0</v>
      </c>
      <c r="E27" s="111">
        <f>'Facility Detail'!F404</f>
        <v>0</v>
      </c>
      <c r="F27" s="111">
        <f>'Facility Detail'!G404</f>
        <v>0</v>
      </c>
      <c r="G27" s="111">
        <f>'Facility Detail'!H404</f>
        <v>0</v>
      </c>
      <c r="H27" s="111">
        <f>'Facility Detail'!I404</f>
        <v>0</v>
      </c>
      <c r="I27" s="111">
        <f>'Facility Detail'!J404</f>
        <v>0</v>
      </c>
      <c r="J27" s="111">
        <f>'Facility Detail'!K404</f>
        <v>0</v>
      </c>
      <c r="K27" s="111">
        <f>'Facility Detail'!L404</f>
        <v>7063.7063072262026</v>
      </c>
      <c r="L27" s="111">
        <f>'Facility Detail'!M404</f>
        <v>1670.6933189007532</v>
      </c>
      <c r="M27" s="111">
        <f>'Facility Detail'!N404</f>
        <v>4555.1180279575537</v>
      </c>
      <c r="N27" s="111">
        <f>'Facility Detail'!O404</f>
        <v>0</v>
      </c>
    </row>
    <row r="28" spans="1:14" ht="14.5" outlineLevel="1">
      <c r="A28" s="110" t="str">
        <f>'Facility Detail'!B9</f>
        <v>Campbell Hill</v>
      </c>
      <c r="B28" s="110" t="str">
        <f xml:space="preserve"> IF( 'Facility Detail'!D9 = "", "", 'Facility Detail'!D9 )</f>
        <v>Wind</v>
      </c>
      <c r="C28" s="111">
        <f>'Facility Detail'!D453</f>
        <v>0</v>
      </c>
      <c r="D28" s="111">
        <f>'Facility Detail'!E453</f>
        <v>0</v>
      </c>
      <c r="E28" s="111">
        <f>'Facility Detail'!F453</f>
        <v>0</v>
      </c>
      <c r="F28" s="111">
        <f>'Facility Detail'!G453</f>
        <v>0</v>
      </c>
      <c r="G28" s="111">
        <f>'Facility Detail'!H453</f>
        <v>0</v>
      </c>
      <c r="H28" s="111">
        <f>'Facility Detail'!I453</f>
        <v>50956</v>
      </c>
      <c r="I28" s="111">
        <f>'Facility Detail'!J453</f>
        <v>0</v>
      </c>
      <c r="J28" s="111">
        <f>'Facility Detail'!K453</f>
        <v>49754</v>
      </c>
      <c r="K28" s="111">
        <f>'Facility Detail'!L453</f>
        <v>11268.704699476382</v>
      </c>
      <c r="L28" s="111">
        <f>'Facility Detail'!M453</f>
        <v>47865.574571658581</v>
      </c>
      <c r="M28" s="111">
        <f>'Facility Detail'!N453</f>
        <v>5199.6163513758947</v>
      </c>
      <c r="N28" s="111">
        <f>'Facility Detail'!O453</f>
        <v>0</v>
      </c>
    </row>
    <row r="29" spans="1:14" ht="14.5" outlineLevel="1">
      <c r="A29" s="110" t="str">
        <f>'Facility Detail'!B10</f>
        <v>Cedar Springs Wind I</v>
      </c>
      <c r="B29" s="110" t="str">
        <f xml:space="preserve"> IF( 'Facility Detail'!D10 = "", "", 'Facility Detail'!D10 )</f>
        <v>Wind</v>
      </c>
      <c r="C29" s="111">
        <f>'Facility Detail'!D502</f>
        <v>0</v>
      </c>
      <c r="D29" s="111">
        <f>'Facility Detail'!E502</f>
        <v>0</v>
      </c>
      <c r="E29" s="111">
        <f>'Facility Detail'!F502</f>
        <v>0</v>
      </c>
      <c r="F29" s="111">
        <f>'Facility Detail'!G502</f>
        <v>0</v>
      </c>
      <c r="G29" s="111">
        <f>'Facility Detail'!H502</f>
        <v>0</v>
      </c>
      <c r="H29" s="111">
        <f>'Facility Detail'!I502</f>
        <v>0</v>
      </c>
      <c r="I29" s="111">
        <f>'Facility Detail'!J502</f>
        <v>0</v>
      </c>
      <c r="J29" s="111">
        <f>'Facility Detail'!K502</f>
        <v>0</v>
      </c>
      <c r="K29" s="111">
        <f>'Facility Detail'!L502</f>
        <v>0</v>
      </c>
      <c r="L29" s="111">
        <f>'Facility Detail'!M502</f>
        <v>20000</v>
      </c>
      <c r="M29" s="111">
        <f>'Facility Detail'!N502</f>
        <v>40190.933606099527</v>
      </c>
      <c r="N29" s="111">
        <f>'Facility Detail'!O502</f>
        <v>0</v>
      </c>
    </row>
    <row r="30" spans="1:14" ht="14.5" outlineLevel="1">
      <c r="A30" s="110" t="str">
        <f>'Facility Detail'!B11</f>
        <v>Cedar Springs Wind II</v>
      </c>
      <c r="B30" s="110" t="str">
        <f xml:space="preserve"> IF( 'Facility Detail'!D11 = "", "", 'Facility Detail'!D11 )</f>
        <v>Wind</v>
      </c>
      <c r="C30" s="111">
        <f>'Facility Detail'!D550</f>
        <v>0</v>
      </c>
      <c r="D30" s="111">
        <f>'Facility Detail'!E550</f>
        <v>0</v>
      </c>
      <c r="E30" s="111">
        <f>'Facility Detail'!F550</f>
        <v>0</v>
      </c>
      <c r="F30" s="111">
        <f>'Facility Detail'!G550</f>
        <v>0</v>
      </c>
      <c r="G30" s="111">
        <f>'Facility Detail'!H550</f>
        <v>0</v>
      </c>
      <c r="H30" s="111">
        <f>'Facility Detail'!I550</f>
        <v>0</v>
      </c>
      <c r="I30" s="111">
        <f>'Facility Detail'!J550</f>
        <v>0</v>
      </c>
      <c r="J30" s="111">
        <f>'Facility Detail'!K550</f>
        <v>0</v>
      </c>
      <c r="K30" s="111">
        <f>'Facility Detail'!L550</f>
        <v>0</v>
      </c>
      <c r="L30" s="111">
        <f>'Facility Detail'!M550</f>
        <v>20000</v>
      </c>
      <c r="M30" s="111">
        <f>'Facility Detail'!N550</f>
        <v>39795.672433452368</v>
      </c>
      <c r="N30" s="111">
        <f>'Facility Detail'!O550</f>
        <v>0</v>
      </c>
    </row>
    <row r="31" spans="1:14" ht="14.5" outlineLevel="1">
      <c r="A31" s="110" t="str">
        <f>'Facility Detail'!B12</f>
        <v>Cedar Springs Wind III</v>
      </c>
      <c r="B31" s="110" t="str">
        <f xml:space="preserve"> IF( 'Facility Detail'!D12 = "", "", 'Facility Detail'!D12 )</f>
        <v>Wind</v>
      </c>
      <c r="C31" s="111">
        <f>'Facility Detail'!D598</f>
        <v>0</v>
      </c>
      <c r="D31" s="111">
        <f>'Facility Detail'!E598</f>
        <v>0</v>
      </c>
      <c r="E31" s="111">
        <f>'Facility Detail'!F598</f>
        <v>0</v>
      </c>
      <c r="F31" s="111">
        <f>'Facility Detail'!G598</f>
        <v>0</v>
      </c>
      <c r="G31" s="111">
        <f>'Facility Detail'!H598</f>
        <v>0</v>
      </c>
      <c r="H31" s="111">
        <f>'Facility Detail'!I598</f>
        <v>0</v>
      </c>
      <c r="I31" s="111">
        <f>'Facility Detail'!J598</f>
        <v>0</v>
      </c>
      <c r="J31" s="111">
        <f>'Facility Detail'!K598</f>
        <v>0</v>
      </c>
      <c r="K31" s="111">
        <f>'Facility Detail'!L598</f>
        <v>0</v>
      </c>
      <c r="L31" s="111">
        <f>'Facility Detail'!M598</f>
        <v>0</v>
      </c>
      <c r="M31" s="111">
        <f>'Facility Detail'!N598</f>
        <v>39946.743654655678</v>
      </c>
      <c r="N31" s="111">
        <f>'Facility Detail'!O598</f>
        <v>0</v>
      </c>
    </row>
    <row r="32" spans="1:14" ht="14.5" outlineLevel="1">
      <c r="A32" s="110" t="str">
        <f>'Facility Detail'!B13</f>
        <v>Condon Wind Power Project - Condon Wind Power Project - REC Only</v>
      </c>
      <c r="B32" s="110" t="str">
        <f xml:space="preserve"> IF( 'Facility Detail'!D13 = "", "", 'Facility Detail'!D13 )</f>
        <v>Wind</v>
      </c>
      <c r="C32" s="111">
        <f>'Facility Detail'!D639</f>
        <v>0</v>
      </c>
      <c r="D32" s="111">
        <f>'Facility Detail'!E639</f>
        <v>0</v>
      </c>
      <c r="E32" s="111">
        <f>'Facility Detail'!F639</f>
        <v>0</v>
      </c>
      <c r="F32" s="111">
        <f>'Facility Detail'!G639</f>
        <v>0</v>
      </c>
      <c r="G32" s="111">
        <f>'Facility Detail'!H639</f>
        <v>0</v>
      </c>
      <c r="H32" s="111">
        <f>'Facility Detail'!I639</f>
        <v>0</v>
      </c>
      <c r="I32" s="111">
        <f>'Facility Detail'!J639</f>
        <v>8286</v>
      </c>
      <c r="J32" s="111">
        <f>'Facility Detail'!K639</f>
        <v>0</v>
      </c>
      <c r="K32" s="111">
        <f>'Facility Detail'!L639</f>
        <v>0</v>
      </c>
      <c r="L32" s="111">
        <f>'Facility Detail'!M639</f>
        <v>0</v>
      </c>
      <c r="M32" s="111">
        <f>'Facility Detail'!N639</f>
        <v>0</v>
      </c>
      <c r="N32" s="111">
        <f>'Facility Detail'!O639</f>
        <v>0</v>
      </c>
    </row>
    <row r="33" spans="1:14" ht="14.5" outlineLevel="1">
      <c r="A33" s="110" t="str">
        <f>'Facility Detail'!B14</f>
        <v>Condon Wind Power Project - Condon Phase II - REC Only</v>
      </c>
      <c r="B33" s="110" t="str">
        <f xml:space="preserve"> IF( 'Facility Detail'!D14 = "", "", 'Facility Detail'!D14 )</f>
        <v>Wind</v>
      </c>
      <c r="C33" s="111">
        <f>'Facility Detail'!D681</f>
        <v>0</v>
      </c>
      <c r="D33" s="111">
        <f>'Facility Detail'!E681</f>
        <v>0</v>
      </c>
      <c r="E33" s="111">
        <f>'Facility Detail'!F681</f>
        <v>0</v>
      </c>
      <c r="F33" s="111">
        <f>'Facility Detail'!G681</f>
        <v>0</v>
      </c>
      <c r="G33" s="111">
        <f>'Facility Detail'!H681</f>
        <v>0</v>
      </c>
      <c r="H33" s="111">
        <f>'Facility Detail'!I681</f>
        <v>0</v>
      </c>
      <c r="I33" s="111">
        <f>'Facility Detail'!J681</f>
        <v>7725</v>
      </c>
      <c r="J33" s="111">
        <f>'Facility Detail'!K681</f>
        <v>0</v>
      </c>
      <c r="K33" s="111">
        <f>'Facility Detail'!L681</f>
        <v>0</v>
      </c>
      <c r="L33" s="111">
        <f>'Facility Detail'!M681</f>
        <v>0</v>
      </c>
      <c r="M33" s="111">
        <f>'Facility Detail'!N681</f>
        <v>0</v>
      </c>
      <c r="N33" s="111">
        <f>'Facility Detail'!O681</f>
        <v>0</v>
      </c>
    </row>
    <row r="34" spans="1:14" ht="14.5" outlineLevel="1">
      <c r="A34" s="110" t="str">
        <f>'Facility Detail'!B15</f>
        <v>Dunlap I</v>
      </c>
      <c r="B34" s="110" t="str">
        <f xml:space="preserve"> IF( 'Facility Detail'!D15 = "", "", 'Facility Detail'!D15 )</f>
        <v>Wind</v>
      </c>
      <c r="C34" s="111">
        <f>'Facility Detail'!D731</f>
        <v>0</v>
      </c>
      <c r="D34" s="111">
        <f>'Facility Detail'!E731</f>
        <v>0</v>
      </c>
      <c r="E34" s="111">
        <f>'Facility Detail'!F731</f>
        <v>0</v>
      </c>
      <c r="F34" s="111">
        <f>'Facility Detail'!G731</f>
        <v>0</v>
      </c>
      <c r="G34" s="111">
        <f>'Facility Detail'!H731</f>
        <v>0</v>
      </c>
      <c r="H34" s="111">
        <f>'Facility Detail'!I731</f>
        <v>59100</v>
      </c>
      <c r="I34" s="111">
        <f>'Facility Detail'!J731</f>
        <v>899</v>
      </c>
      <c r="J34" s="111">
        <f>'Facility Detail'!K731</f>
        <v>55648</v>
      </c>
      <c r="K34" s="111">
        <f>'Facility Detail'!L731</f>
        <v>13999.872527158042</v>
      </c>
      <c r="L34" s="111">
        <f>'Facility Detail'!M731</f>
        <v>33884.41580086165</v>
      </c>
      <c r="M34" s="111">
        <f>'Facility Detail'!N731</f>
        <v>37560.23214361642</v>
      </c>
      <c r="N34" s="111">
        <f>'Facility Detail'!O731</f>
        <v>0</v>
      </c>
    </row>
    <row r="35" spans="1:14" ht="14.5" outlineLevel="1">
      <c r="A35" s="110" t="str">
        <f>'Facility Detail'!B16</f>
        <v>Ekola Flats Wind</v>
      </c>
      <c r="B35" s="110" t="str">
        <f xml:space="preserve"> IF( 'Facility Detail'!D16 = "", "", 'Facility Detail'!D16 )</f>
        <v>Wind</v>
      </c>
      <c r="C35" s="111">
        <f>'Facility Detail'!D781</f>
        <v>0</v>
      </c>
      <c r="D35" s="111">
        <f>'Facility Detail'!E781</f>
        <v>0</v>
      </c>
      <c r="E35" s="111">
        <f>'Facility Detail'!F781</f>
        <v>0</v>
      </c>
      <c r="F35" s="111">
        <f>'Facility Detail'!G781</f>
        <v>0</v>
      </c>
      <c r="G35" s="111">
        <f>'Facility Detail'!H781</f>
        <v>0</v>
      </c>
      <c r="H35" s="111">
        <f>'Facility Detail'!I781</f>
        <v>0</v>
      </c>
      <c r="I35" s="111">
        <f>'Facility Detail'!J781</f>
        <v>0</v>
      </c>
      <c r="J35" s="111">
        <f>'Facility Detail'!K781</f>
        <v>0</v>
      </c>
      <c r="K35" s="111">
        <f>'Facility Detail'!L781</f>
        <v>0</v>
      </c>
      <c r="L35" s="111">
        <f>'Facility Detail'!M781</f>
        <v>0</v>
      </c>
      <c r="M35" s="111">
        <f>'Facility Detail'!N781</f>
        <v>60024.524855710573</v>
      </c>
      <c r="N35" s="111">
        <f>'Facility Detail'!O781</f>
        <v>0</v>
      </c>
    </row>
    <row r="36" spans="1:14" ht="14.5" outlineLevel="1">
      <c r="A36" s="110" t="str">
        <f>'Facility Detail'!B17</f>
        <v>Elbe Solar</v>
      </c>
      <c r="B36" s="110" t="str">
        <f xml:space="preserve"> IF( 'Facility Detail'!D17 = "", "", 'Facility Detail'!D17 )</f>
        <v>Solar</v>
      </c>
      <c r="C36" s="111">
        <f>'Facility Detail'!D830</f>
        <v>0</v>
      </c>
      <c r="D36" s="111">
        <f>'Facility Detail'!E830</f>
        <v>0</v>
      </c>
      <c r="E36" s="111">
        <f>'Facility Detail'!F830</f>
        <v>0</v>
      </c>
      <c r="F36" s="111">
        <f>'Facility Detail'!G830</f>
        <v>0</v>
      </c>
      <c r="G36" s="111">
        <f>'Facility Detail'!H830</f>
        <v>0</v>
      </c>
      <c r="H36" s="111">
        <f>'Facility Detail'!I830</f>
        <v>0</v>
      </c>
      <c r="I36" s="111">
        <f>'Facility Detail'!J830</f>
        <v>0</v>
      </c>
      <c r="J36" s="111">
        <f>'Facility Detail'!K830</f>
        <v>0</v>
      </c>
      <c r="K36" s="111">
        <f>'Facility Detail'!L830</f>
        <v>8625.2065323271891</v>
      </c>
      <c r="L36" s="111">
        <f>'Facility Detail'!M830</f>
        <v>1761.8840444896341</v>
      </c>
      <c r="M36" s="111">
        <f>'Facility Detail'!N830</f>
        <v>4725.2484042590759</v>
      </c>
      <c r="N36" s="111">
        <f>'Facility Detail'!O830</f>
        <v>0</v>
      </c>
    </row>
    <row r="37" spans="1:14" ht="14.5" outlineLevel="1">
      <c r="A37" s="110" t="str">
        <f>'Facility Detail'!B18</f>
        <v>Elkhorn Valley Wind - REC Only</v>
      </c>
      <c r="B37" s="110" t="str">
        <f xml:space="preserve"> IF( 'Facility Detail'!D18 = "", "", 'Facility Detail'!D18 )</f>
        <v>Wind</v>
      </c>
      <c r="C37" s="111">
        <f>'Facility Detail'!D871</f>
        <v>0</v>
      </c>
      <c r="D37" s="111">
        <f>'Facility Detail'!E871</f>
        <v>0</v>
      </c>
      <c r="E37" s="111">
        <f>'Facility Detail'!F871</f>
        <v>0</v>
      </c>
      <c r="F37" s="111">
        <f>'Facility Detail'!G871</f>
        <v>0</v>
      </c>
      <c r="G37" s="111">
        <f>'Facility Detail'!H871</f>
        <v>0</v>
      </c>
      <c r="H37" s="111">
        <f>'Facility Detail'!I871</f>
        <v>4468</v>
      </c>
      <c r="I37" s="111">
        <f>'Facility Detail'!J871</f>
        <v>0</v>
      </c>
      <c r="J37" s="111">
        <f>'Facility Detail'!K871</f>
        <v>0</v>
      </c>
      <c r="K37" s="111">
        <f>'Facility Detail'!L871</f>
        <v>0</v>
      </c>
      <c r="L37" s="111">
        <f>'Facility Detail'!M871</f>
        <v>0</v>
      </c>
      <c r="M37" s="111">
        <f>'Facility Detail'!N871</f>
        <v>0</v>
      </c>
      <c r="N37" s="111">
        <f>'Facility Detail'!O871</f>
        <v>0</v>
      </c>
    </row>
    <row r="38" spans="1:14" ht="14.5" outlineLevel="1">
      <c r="A38" s="110" t="str">
        <f>'Facility Detail'!B19</f>
        <v>Enterprise</v>
      </c>
      <c r="B38" s="110" t="str">
        <f xml:space="preserve"> IF( 'Facility Detail'!D19 = "", "", 'Facility Detail'!D19 )</f>
        <v>Solar</v>
      </c>
      <c r="C38" s="111">
        <f>'Facility Detail'!D920</f>
        <v>0</v>
      </c>
      <c r="D38" s="111">
        <f>'Facility Detail'!E920</f>
        <v>0</v>
      </c>
      <c r="E38" s="111">
        <f>'Facility Detail'!F920</f>
        <v>0</v>
      </c>
      <c r="F38" s="111">
        <f>'Facility Detail'!G920</f>
        <v>0</v>
      </c>
      <c r="G38" s="111">
        <f>'Facility Detail'!H920</f>
        <v>0</v>
      </c>
      <c r="H38" s="111">
        <f>'Facility Detail'!I920</f>
        <v>0</v>
      </c>
      <c r="I38" s="111">
        <f>'Facility Detail'!J920</f>
        <v>19234.406696699145</v>
      </c>
      <c r="J38" s="111">
        <f>'Facility Detail'!K920</f>
        <v>64705</v>
      </c>
      <c r="K38" s="111">
        <f>'Facility Detail'!L920</f>
        <v>117474.0989034832</v>
      </c>
      <c r="L38" s="111">
        <f>'Facility Detail'!M920</f>
        <v>19314.98666970912</v>
      </c>
      <c r="M38" s="111">
        <f>'Facility Detail'!N920</f>
        <v>48621.787976786611</v>
      </c>
      <c r="N38" s="111">
        <f>'Facility Detail'!O920</f>
        <v>0</v>
      </c>
    </row>
    <row r="39" spans="1:14" ht="14.5" outlineLevel="1">
      <c r="A39" s="366" t="str">
        <f>'Facility Detail'!B20</f>
        <v>Fighting Creek - REC Only</v>
      </c>
      <c r="B39" s="110" t="str">
        <f xml:space="preserve"> IF( 'Facility Detail'!D20 = "", "", 'Facility Detail'!D20 )</f>
        <v>Landfill Gas</v>
      </c>
      <c r="C39" s="111">
        <f>'Facility Detail'!D961</f>
        <v>0</v>
      </c>
      <c r="D39" s="111">
        <f>'Facility Detail'!E961</f>
        <v>0</v>
      </c>
      <c r="E39" s="111">
        <f>'Facility Detail'!F961</f>
        <v>0</v>
      </c>
      <c r="F39" s="111">
        <f>'Facility Detail'!G961</f>
        <v>0</v>
      </c>
      <c r="G39" s="111">
        <f>'Facility Detail'!H961</f>
        <v>0</v>
      </c>
      <c r="H39" s="111">
        <f>'Facility Detail'!I961</f>
        <v>730</v>
      </c>
      <c r="I39" s="111">
        <f>'Facility Detail'!J961</f>
        <v>0</v>
      </c>
      <c r="J39" s="111">
        <f>'Facility Detail'!K961</f>
        <v>0</v>
      </c>
      <c r="K39" s="111">
        <f>'Facility Detail'!L961</f>
        <v>0</v>
      </c>
      <c r="L39" s="111">
        <f>'Facility Detail'!M961</f>
        <v>0</v>
      </c>
      <c r="M39" s="111">
        <f>'Facility Detail'!N961</f>
        <v>0</v>
      </c>
      <c r="N39" s="111">
        <f>'Facility Detail'!O961</f>
        <v>0</v>
      </c>
    </row>
    <row r="40" spans="1:14" ht="14.5" outlineLevel="1">
      <c r="A40" s="110" t="str">
        <f>'Facility Detail'!B21</f>
        <v>Foote Creek I</v>
      </c>
      <c r="B40" s="110" t="str">
        <f xml:space="preserve"> IF( 'Facility Detail'!D21 = "", "", 'Facility Detail'!D21 )</f>
        <v>Wind</v>
      </c>
      <c r="C40" s="111">
        <f>'Facility Detail'!D1010</f>
        <v>0</v>
      </c>
      <c r="D40" s="111">
        <f>'Facility Detail'!E1010</f>
        <v>0</v>
      </c>
      <c r="E40" s="111">
        <f>'Facility Detail'!F1010</f>
        <v>0</v>
      </c>
      <c r="F40" s="111">
        <f>'Facility Detail'!G1010</f>
        <v>0</v>
      </c>
      <c r="G40" s="111">
        <f>'Facility Detail'!H1010</f>
        <v>0</v>
      </c>
      <c r="H40" s="111">
        <f>'Facility Detail'!I1010</f>
        <v>0</v>
      </c>
      <c r="I40" s="111">
        <f>'Facility Detail'!J1010</f>
        <v>0</v>
      </c>
      <c r="J40" s="111">
        <f>'Facility Detail'!K1010</f>
        <v>0</v>
      </c>
      <c r="K40" s="111">
        <f>'Facility Detail'!L1010</f>
        <v>0</v>
      </c>
      <c r="L40" s="111">
        <f>'Facility Detail'!M1010</f>
        <v>0</v>
      </c>
      <c r="M40" s="111">
        <f>'Facility Detail'!N1010</f>
        <v>8284.2476552854641</v>
      </c>
      <c r="N40" s="111">
        <f>'Facility Detail'!O1010</f>
        <v>0</v>
      </c>
    </row>
    <row r="41" spans="1:14" ht="14.5" outlineLevel="1">
      <c r="A41" s="110" t="str">
        <f>'Facility Detail'!B22</f>
        <v>Glenrock I</v>
      </c>
      <c r="B41" s="110" t="str">
        <f xml:space="preserve"> IF( 'Facility Detail'!D22 = "", "", 'Facility Detail'!D22 )</f>
        <v>Wind</v>
      </c>
      <c r="C41" s="111">
        <f>'Facility Detail'!D1059</f>
        <v>0</v>
      </c>
      <c r="D41" s="111">
        <f>'Facility Detail'!E1059</f>
        <v>0</v>
      </c>
      <c r="E41" s="111">
        <f>'Facility Detail'!F1059</f>
        <v>0</v>
      </c>
      <c r="F41" s="111">
        <f>'Facility Detail'!G1059</f>
        <v>0</v>
      </c>
      <c r="G41" s="111">
        <f>'Facility Detail'!H1059</f>
        <v>0</v>
      </c>
      <c r="H41" s="111">
        <f>'Facility Detail'!I1059</f>
        <v>34877</v>
      </c>
      <c r="I41" s="111">
        <f>'Facility Detail'!J1059</f>
        <v>35572</v>
      </c>
      <c r="J41" s="111">
        <f>'Facility Detail'!K1059</f>
        <v>24143</v>
      </c>
      <c r="K41" s="111">
        <f>'Facility Detail'!L1059</f>
        <v>11000.014929761486</v>
      </c>
      <c r="L41" s="111">
        <f>'Facility Detail'!M1059</f>
        <v>52732.188164890744</v>
      </c>
      <c r="M41" s="111">
        <f>'Facility Detail'!N1059</f>
        <v>9664.3792805009034</v>
      </c>
      <c r="N41" s="111">
        <f>'Facility Detail'!O1059</f>
        <v>0</v>
      </c>
    </row>
    <row r="42" spans="1:14" ht="14.5" outlineLevel="1">
      <c r="A42" s="110" t="str">
        <f>'Facility Detail'!B23</f>
        <v>Glenrock III</v>
      </c>
      <c r="B42" s="110" t="str">
        <f xml:space="preserve"> IF( 'Facility Detail'!D23 = "", "", 'Facility Detail'!D23 )</f>
        <v>Wind</v>
      </c>
      <c r="C42" s="111">
        <f>'Facility Detail'!D1108</f>
        <v>0</v>
      </c>
      <c r="D42" s="111">
        <f>'Facility Detail'!E1108</f>
        <v>0</v>
      </c>
      <c r="E42" s="111">
        <f>'Facility Detail'!F1108</f>
        <v>0</v>
      </c>
      <c r="F42" s="111">
        <f>'Facility Detail'!G1108</f>
        <v>0</v>
      </c>
      <c r="G42" s="111">
        <f>'Facility Detail'!H1108</f>
        <v>0</v>
      </c>
      <c r="H42" s="111">
        <f>'Facility Detail'!I1108</f>
        <v>0</v>
      </c>
      <c r="I42" s="111">
        <f>'Facility Detail'!J1108</f>
        <v>0</v>
      </c>
      <c r="J42" s="111">
        <f>'Facility Detail'!K1108</f>
        <v>0</v>
      </c>
      <c r="K42" s="111">
        <f>'Facility Detail'!L1108</f>
        <v>0</v>
      </c>
      <c r="L42" s="111">
        <f>'Facility Detail'!M1108</f>
        <v>0</v>
      </c>
      <c r="M42" s="111">
        <f>'Facility Detail'!N1108</f>
        <v>11265.064591864309</v>
      </c>
      <c r="N42" s="111">
        <f>'Facility Detail'!O1108</f>
        <v>0</v>
      </c>
    </row>
    <row r="43" spans="1:14" ht="14.5" outlineLevel="1">
      <c r="A43" s="110" t="str">
        <f>'Facility Detail'!B24</f>
        <v>Goodnoe Hills</v>
      </c>
      <c r="B43" s="110" t="str">
        <f xml:space="preserve"> IF( 'Facility Detail'!D24 = "", "", 'Facility Detail'!D24 )</f>
        <v>Wind</v>
      </c>
      <c r="C43" s="111">
        <f>'Facility Detail'!D1157</f>
        <v>0</v>
      </c>
      <c r="D43" s="111">
        <f>'Facility Detail'!E1157</f>
        <v>18896</v>
      </c>
      <c r="E43" s="111">
        <f>'Facility Detail'!F1157</f>
        <v>17608</v>
      </c>
      <c r="F43" s="111">
        <f>'Facility Detail'!G1157</f>
        <v>24054</v>
      </c>
      <c r="G43" s="111">
        <f>'Facility Detail'!H1157</f>
        <v>20890</v>
      </c>
      <c r="H43" s="111">
        <f>'Facility Detail'!I1157</f>
        <v>23675</v>
      </c>
      <c r="I43" s="111">
        <f>'Facility Detail'!J1157</f>
        <v>15514</v>
      </c>
      <c r="J43" s="111">
        <f>'Facility Detail'!K1157</f>
        <v>18315</v>
      </c>
      <c r="K43" s="111">
        <f>'Facility Detail'!L1157</f>
        <v>4420.5681815800917</v>
      </c>
      <c r="L43" s="111">
        <f>'Facility Detail'!M1157</f>
        <v>36561.537003116537</v>
      </c>
      <c r="M43" s="111">
        <f>'Facility Detail'!N1157</f>
        <v>10690.747025303135</v>
      </c>
      <c r="N43" s="111">
        <f>'Facility Detail'!O1157</f>
        <v>0</v>
      </c>
    </row>
    <row r="44" spans="1:14" ht="14.5" outlineLevel="1">
      <c r="A44" s="110" t="str">
        <f>'Facility Detail'!B25</f>
        <v>Granite Mountain East</v>
      </c>
      <c r="B44" s="110" t="str">
        <f xml:space="preserve"> IF( 'Facility Detail'!D25 = "", "", 'Facility Detail'!D25 )</f>
        <v>Solar</v>
      </c>
      <c r="C44" s="111">
        <f>'Facility Detail'!D1206</f>
        <v>0</v>
      </c>
      <c r="D44" s="111">
        <f>'Facility Detail'!E1206</f>
        <v>0</v>
      </c>
      <c r="E44" s="111">
        <f>'Facility Detail'!F1206</f>
        <v>0</v>
      </c>
      <c r="F44" s="111">
        <f>'Facility Detail'!G1206</f>
        <v>0</v>
      </c>
      <c r="G44" s="111">
        <f>'Facility Detail'!H1206</f>
        <v>0</v>
      </c>
      <c r="H44" s="111">
        <f>'Facility Detail'!I1206</f>
        <v>0</v>
      </c>
      <c r="I44" s="111">
        <f>'Facility Detail'!J1206</f>
        <v>0</v>
      </c>
      <c r="J44" s="111">
        <f>'Facility Detail'!K1206</f>
        <v>0</v>
      </c>
      <c r="K44" s="111">
        <f>'Facility Detail'!L1206</f>
        <v>0</v>
      </c>
      <c r="L44" s="111">
        <f>'Facility Detail'!M1206</f>
        <v>75000</v>
      </c>
      <c r="M44" s="111">
        <f>'Facility Detail'!N1206</f>
        <v>0</v>
      </c>
      <c r="N44" s="111">
        <f>'Facility Detail'!O1206</f>
        <v>0</v>
      </c>
    </row>
    <row r="45" spans="1:14" ht="14.5" outlineLevel="1">
      <c r="A45" s="110" t="str">
        <f>'Facility Detail'!B26</f>
        <v>Granite Mountain West</v>
      </c>
      <c r="B45" s="110" t="str">
        <f xml:space="preserve"> IF( 'Facility Detail'!D26 = "", "", 'Facility Detail'!D26 )</f>
        <v>Solar</v>
      </c>
      <c r="C45" s="111">
        <f>'Facility Detail'!D1254</f>
        <v>0</v>
      </c>
      <c r="D45" s="111">
        <f>'Facility Detail'!E1254</f>
        <v>0</v>
      </c>
      <c r="E45" s="111">
        <f>'Facility Detail'!F1254</f>
        <v>0</v>
      </c>
      <c r="F45" s="111">
        <f>'Facility Detail'!G1254</f>
        <v>0</v>
      </c>
      <c r="G45" s="111">
        <f>'Facility Detail'!H1254</f>
        <v>0</v>
      </c>
      <c r="H45" s="111">
        <f>'Facility Detail'!I1254</f>
        <v>0</v>
      </c>
      <c r="I45" s="111">
        <f>'Facility Detail'!J1254</f>
        <v>0</v>
      </c>
      <c r="J45" s="111">
        <f>'Facility Detail'!K1254</f>
        <v>0</v>
      </c>
      <c r="K45" s="111">
        <f>'Facility Detail'!L1254</f>
        <v>0</v>
      </c>
      <c r="L45" s="111">
        <f>'Facility Detail'!M1254</f>
        <v>75000</v>
      </c>
      <c r="M45" s="111">
        <f>'Facility Detail'!N1254</f>
        <v>0</v>
      </c>
      <c r="N45" s="111">
        <f>'Facility Detail'!O1254</f>
        <v>0</v>
      </c>
    </row>
    <row r="46" spans="1:14" ht="14.5" outlineLevel="1">
      <c r="A46" s="110" t="str">
        <f>'Facility Detail'!B27</f>
        <v>Hidden Hollow - REC Only</v>
      </c>
      <c r="B46" s="110" t="str">
        <f xml:space="preserve"> IF( 'Facility Detail'!D27 = "", "", 'Facility Detail'!D27 )</f>
        <v>Landfill Gas</v>
      </c>
      <c r="C46" s="111">
        <f>'Facility Detail'!D1295</f>
        <v>0</v>
      </c>
      <c r="D46" s="111">
        <f>'Facility Detail'!E1295</f>
        <v>0</v>
      </c>
      <c r="E46" s="111">
        <f>'Facility Detail'!F1295</f>
        <v>0</v>
      </c>
      <c r="F46" s="111">
        <f>'Facility Detail'!G1295</f>
        <v>0</v>
      </c>
      <c r="G46" s="111">
        <f>'Facility Detail'!H1295</f>
        <v>0</v>
      </c>
      <c r="H46" s="111">
        <f>'Facility Detail'!I1295</f>
        <v>12501</v>
      </c>
      <c r="I46" s="111">
        <f>'Facility Detail'!J1295</f>
        <v>3960</v>
      </c>
      <c r="J46" s="111">
        <f>'Facility Detail'!K1295</f>
        <v>0</v>
      </c>
      <c r="K46" s="111">
        <f>'Facility Detail'!L1295</f>
        <v>0</v>
      </c>
      <c r="L46" s="111">
        <f>'Facility Detail'!M1295</f>
        <v>0</v>
      </c>
      <c r="M46" s="111">
        <f>'Facility Detail'!N1295</f>
        <v>0</v>
      </c>
      <c r="N46" s="111">
        <f>'Facility Detail'!O1295</f>
        <v>0</v>
      </c>
    </row>
    <row r="47" spans="1:14" ht="14.5" outlineLevel="1">
      <c r="A47" s="110" t="str">
        <f>'Facility Detail'!B28</f>
        <v>High Plains</v>
      </c>
      <c r="B47" s="110" t="str">
        <f xml:space="preserve"> IF( 'Facility Detail'!D28 = "", "", 'Facility Detail'!D28 )</f>
        <v>Wind</v>
      </c>
      <c r="C47" s="111">
        <f>'Facility Detail'!D1344</f>
        <v>0</v>
      </c>
      <c r="D47" s="111">
        <f>'Facility Detail'!E1344</f>
        <v>0</v>
      </c>
      <c r="E47" s="111">
        <f>'Facility Detail'!F1344</f>
        <v>0</v>
      </c>
      <c r="F47" s="111">
        <f>'Facility Detail'!G1344</f>
        <v>0</v>
      </c>
      <c r="G47" s="111">
        <f>'Facility Detail'!H1344</f>
        <v>0</v>
      </c>
      <c r="H47" s="111">
        <f>'Facility Detail'!I1344</f>
        <v>0</v>
      </c>
      <c r="I47" s="111">
        <f>'Facility Detail'!J1344</f>
        <v>0</v>
      </c>
      <c r="J47" s="111">
        <f>'Facility Detail'!K1344</f>
        <v>0</v>
      </c>
      <c r="K47" s="111">
        <f>'Facility Detail'!L1344</f>
        <v>0</v>
      </c>
      <c r="L47" s="111">
        <f>'Facility Detail'!M1344</f>
        <v>10000</v>
      </c>
      <c r="M47" s="111">
        <f>'Facility Detail'!N1344</f>
        <v>17389.749380766832</v>
      </c>
      <c r="N47" s="111">
        <f>'Facility Detail'!O1344</f>
        <v>0</v>
      </c>
    </row>
    <row r="48" spans="1:14" ht="14.5">
      <c r="A48" s="110" t="str">
        <f>'Facility Detail'!B29</f>
        <v>Hot Springs Windfarm - REC Only</v>
      </c>
      <c r="B48" s="110" t="str">
        <f xml:space="preserve"> IF( 'Facility Detail'!D29 = "", "", 'Facility Detail'!D29 )</f>
        <v>Wind</v>
      </c>
      <c r="C48" s="111">
        <f>'Facility Detail'!D1387</f>
        <v>0</v>
      </c>
      <c r="D48" s="111">
        <f>'Facility Detail'!E1387</f>
        <v>7963</v>
      </c>
      <c r="E48" s="111">
        <f>'Facility Detail'!F1387</f>
        <v>0</v>
      </c>
      <c r="F48" s="111">
        <f>'Facility Detail'!G1387</f>
        <v>0</v>
      </c>
      <c r="G48" s="111">
        <f>'Facility Detail'!H1387</f>
        <v>0</v>
      </c>
      <c r="H48" s="111">
        <f>'Facility Detail'!I1387</f>
        <v>8028</v>
      </c>
      <c r="I48" s="111">
        <f>'Facility Detail'!J1387</f>
        <v>10218</v>
      </c>
      <c r="J48" s="111">
        <f>'Facility Detail'!K1387</f>
        <v>8846</v>
      </c>
      <c r="K48" s="111">
        <f>'Facility Detail'!L1387</f>
        <v>1923</v>
      </c>
      <c r="L48" s="111">
        <f>'Facility Detail'!M1387</f>
        <v>0</v>
      </c>
      <c r="M48" s="111">
        <f>'Facility Detail'!N1387</f>
        <v>0</v>
      </c>
      <c r="N48" s="111">
        <f>'Facility Detail'!O1387</f>
        <v>0</v>
      </c>
    </row>
    <row r="49" spans="1:14" ht="14.5" outlineLevel="1">
      <c r="A49" s="110" t="str">
        <f>'Facility Detail'!B30</f>
        <v xml:space="preserve">JC Boyle </v>
      </c>
      <c r="B49" s="110" t="str">
        <f xml:space="preserve"> IF( 'Facility Detail'!D30 = "", "", 'Facility Detail'!D30 )</f>
        <v>Water (Incremental Hydro)</v>
      </c>
      <c r="C49" s="111">
        <f>'Facility Detail'!D1438</f>
        <v>0</v>
      </c>
      <c r="D49" s="111">
        <f>'Facility Detail'!E1438</f>
        <v>276</v>
      </c>
      <c r="E49" s="111">
        <f>'Facility Detail'!F1438</f>
        <v>189</v>
      </c>
      <c r="F49" s="111">
        <f>'Facility Detail'!G1438</f>
        <v>184</v>
      </c>
      <c r="G49" s="111">
        <f>'Facility Detail'!H1438</f>
        <v>172</v>
      </c>
      <c r="H49" s="111">
        <f>'Facility Detail'!I1438</f>
        <v>235</v>
      </c>
      <c r="I49" s="111">
        <f>'Facility Detail'!J1438</f>
        <v>342</v>
      </c>
      <c r="J49" s="111">
        <f>'Facility Detail'!K1438</f>
        <v>205</v>
      </c>
      <c r="K49" s="111">
        <f>'Facility Detail'!L1438</f>
        <v>234</v>
      </c>
      <c r="L49" s="111">
        <f>'Facility Detail'!M1438</f>
        <v>192</v>
      </c>
      <c r="M49" s="111">
        <f>'Facility Detail'!N1438</f>
        <v>191</v>
      </c>
      <c r="N49" s="111">
        <f>'Facility Detail'!O1438</f>
        <v>0</v>
      </c>
    </row>
    <row r="50" spans="1:14" ht="14.5" outlineLevel="1">
      <c r="A50" s="110" t="str">
        <f>'Facility Detail'!B31</f>
        <v>Klondike I - Klondike Wind Power LLC - REC Only</v>
      </c>
      <c r="B50" s="110" t="str">
        <f xml:space="preserve"> IF( 'Facility Detail'!D31 = "", "", 'Facility Detail'!D31 )</f>
        <v>Wind</v>
      </c>
      <c r="C50" s="111">
        <f>'Facility Detail'!D1480</f>
        <v>0</v>
      </c>
      <c r="D50" s="111">
        <f>'Facility Detail'!E1480</f>
        <v>0</v>
      </c>
      <c r="E50" s="111">
        <f>'Facility Detail'!F1480</f>
        <v>0</v>
      </c>
      <c r="F50" s="111">
        <f>'Facility Detail'!G1480</f>
        <v>0</v>
      </c>
      <c r="G50" s="111">
        <f>'Facility Detail'!H1480</f>
        <v>0</v>
      </c>
      <c r="H50" s="111">
        <f>'Facility Detail'!I1480</f>
        <v>0</v>
      </c>
      <c r="I50" s="111">
        <f>'Facility Detail'!J1480</f>
        <v>8543</v>
      </c>
      <c r="J50" s="111">
        <f>'Facility Detail'!K1480</f>
        <v>0</v>
      </c>
      <c r="K50" s="111">
        <f>'Facility Detail'!L1480</f>
        <v>0</v>
      </c>
      <c r="L50" s="111">
        <f>'Facility Detail'!M1480</f>
        <v>0</v>
      </c>
      <c r="M50" s="111">
        <f>'Facility Detail'!N1480</f>
        <v>0</v>
      </c>
      <c r="N50" s="111">
        <f>'Facility Detail'!O1480</f>
        <v>0</v>
      </c>
    </row>
    <row r="51" spans="1:14" ht="14.5" outlineLevel="1">
      <c r="A51" s="110" t="str">
        <f>'Facility Detail'!B32</f>
        <v>Latigo Wind</v>
      </c>
      <c r="B51" s="110" t="str">
        <f xml:space="preserve"> IF( 'Facility Detail'!D32 = "", "", 'Facility Detail'!D32 )</f>
        <v>Wind</v>
      </c>
      <c r="C51" s="111">
        <f>'Facility Detail'!D1529</f>
        <v>0</v>
      </c>
      <c r="D51" s="111">
        <f>'Facility Detail'!E1529</f>
        <v>0</v>
      </c>
      <c r="E51" s="111">
        <f>'Facility Detail'!F1529</f>
        <v>0</v>
      </c>
      <c r="F51" s="111">
        <f>'Facility Detail'!G1529</f>
        <v>0</v>
      </c>
      <c r="G51" s="111">
        <f>'Facility Detail'!H1529</f>
        <v>0</v>
      </c>
      <c r="H51" s="111">
        <f>'Facility Detail'!I1529</f>
        <v>0</v>
      </c>
      <c r="I51" s="111">
        <f>'Facility Detail'!J1529</f>
        <v>0</v>
      </c>
      <c r="J51" s="111">
        <f>'Facility Detail'!K1529</f>
        <v>0</v>
      </c>
      <c r="K51" s="111">
        <f>'Facility Detail'!L1529</f>
        <v>0</v>
      </c>
      <c r="L51" s="111">
        <f>'Facility Detail'!M1529</f>
        <v>0</v>
      </c>
      <c r="M51" s="111">
        <f>'Facility Detail'!N1529</f>
        <v>11364.425156416937</v>
      </c>
      <c r="N51" s="111">
        <f>'Facility Detail'!O1529</f>
        <v>0</v>
      </c>
    </row>
    <row r="52" spans="1:14" ht="14.5" outlineLevel="1">
      <c r="A52" s="110" t="str">
        <f>'Facility Detail'!B33</f>
        <v>Leaning Juniper</v>
      </c>
      <c r="B52" s="110" t="str">
        <f xml:space="preserve"> IF( 'Facility Detail'!D33 = "", "", 'Facility Detail'!D33 )</f>
        <v>Wind</v>
      </c>
      <c r="C52" s="111">
        <f>'Facility Detail'!D1578</f>
        <v>0</v>
      </c>
      <c r="D52" s="111">
        <f>'Facility Detail'!E1578</f>
        <v>18530</v>
      </c>
      <c r="E52" s="111">
        <f>'Facility Detail'!F1578</f>
        <v>15200</v>
      </c>
      <c r="F52" s="111">
        <f>'Facility Detail'!G1578</f>
        <v>16235</v>
      </c>
      <c r="G52" s="111">
        <f>'Facility Detail'!H1578</f>
        <v>17270</v>
      </c>
      <c r="H52" s="111">
        <f>'Facility Detail'!I1578</f>
        <v>31739</v>
      </c>
      <c r="I52" s="111">
        <f>'Facility Detail'!J1578</f>
        <v>12585</v>
      </c>
      <c r="J52" s="111">
        <f>'Facility Detail'!K1578</f>
        <v>16022</v>
      </c>
      <c r="K52" s="111">
        <f>'Facility Detail'!L1578</f>
        <v>12827</v>
      </c>
      <c r="L52" s="111">
        <f>'Facility Detail'!M1578</f>
        <v>35709.434678165562</v>
      </c>
      <c r="M52" s="111">
        <f>'Facility Detail'!N1578</f>
        <v>13614.69417534129</v>
      </c>
      <c r="N52" s="111">
        <f>'Facility Detail'!O1578</f>
        <v>0</v>
      </c>
    </row>
    <row r="53" spans="1:14" ht="14.5" outlineLevel="1">
      <c r="A53" s="110" t="str">
        <f>'Facility Detail'!B34</f>
        <v xml:space="preserve">Lemolo 1 </v>
      </c>
      <c r="B53" s="110" t="str">
        <f xml:space="preserve"> IF( 'Facility Detail'!D34 = "", "", 'Facility Detail'!D34 )</f>
        <v>Water (Incremental Hydro)</v>
      </c>
      <c r="C53" s="111">
        <f>'Facility Detail'!D1628</f>
        <v>0</v>
      </c>
      <c r="D53" s="111">
        <f>'Facility Detail'!E1628</f>
        <v>1355</v>
      </c>
      <c r="E53" s="111">
        <f>'Facility Detail'!F1628</f>
        <v>997</v>
      </c>
      <c r="F53" s="111">
        <f>'Facility Detail'!G1628</f>
        <v>1148</v>
      </c>
      <c r="G53" s="111">
        <f>'Facility Detail'!H1628</f>
        <v>1011</v>
      </c>
      <c r="H53" s="111">
        <f>'Facility Detail'!I1628</f>
        <v>1113</v>
      </c>
      <c r="I53" s="111">
        <f>'Facility Detail'!J1628</f>
        <v>1438</v>
      </c>
      <c r="J53" s="111">
        <f>'Facility Detail'!K1628</f>
        <v>1007</v>
      </c>
      <c r="K53" s="111">
        <f>'Facility Detail'!L1628</f>
        <v>892.99835228774452</v>
      </c>
      <c r="L53" s="111">
        <f>'Facility Detail'!M1628</f>
        <v>684.52626447897603</v>
      </c>
      <c r="M53" s="111">
        <f>'Facility Detail'!N1628</f>
        <v>1175.2670665397216</v>
      </c>
      <c r="N53" s="111">
        <f>'Facility Detail'!O1628</f>
        <v>0</v>
      </c>
    </row>
    <row r="54" spans="1:14" ht="14.5" outlineLevel="1">
      <c r="A54" s="110" t="str">
        <f>'Facility Detail'!B35</f>
        <v xml:space="preserve">Lemolo 2 </v>
      </c>
      <c r="B54" s="110" t="str">
        <f xml:space="preserve"> IF( 'Facility Detail'!D35 = "", "", 'Facility Detail'!D35 )</f>
        <v>Water (Incremental Hydro)</v>
      </c>
      <c r="C54" s="111">
        <f>'Facility Detail'!D1678</f>
        <v>0</v>
      </c>
      <c r="D54" s="111">
        <f>'Facility Detail'!E1678</f>
        <v>142</v>
      </c>
      <c r="E54" s="111">
        <f>'Facility Detail'!F1678</f>
        <v>102</v>
      </c>
      <c r="F54" s="111">
        <f>'Facility Detail'!G1678</f>
        <v>109</v>
      </c>
      <c r="G54" s="111">
        <f>'Facility Detail'!H1678</f>
        <v>86</v>
      </c>
      <c r="H54" s="111">
        <f>'Facility Detail'!I1678</f>
        <v>95</v>
      </c>
      <c r="I54" s="111">
        <f>'Facility Detail'!J1678</f>
        <v>127</v>
      </c>
      <c r="J54" s="111">
        <f>'Facility Detail'!K1678</f>
        <v>84</v>
      </c>
      <c r="K54" s="111">
        <f>'Facility Detail'!L1678</f>
        <v>86.698869154149946</v>
      </c>
      <c r="L54" s="111">
        <f>'Facility Detail'!M1678</f>
        <v>60.707719288352735</v>
      </c>
      <c r="M54" s="111">
        <f>'Facility Detail'!N1678</f>
        <v>107.19631639133135</v>
      </c>
      <c r="N54" s="111">
        <f>'Facility Detail'!O1678</f>
        <v>0</v>
      </c>
    </row>
    <row r="55" spans="1:14" ht="14.5" outlineLevel="1">
      <c r="A55" s="110" t="str">
        <f>'Facility Detail'!B36</f>
        <v>Lower Snake – Phalen Gulch - REC Only</v>
      </c>
      <c r="B55" s="110" t="str">
        <f xml:space="preserve"> IF( 'Facility Detail'!D36 = "", "", 'Facility Detail'!D36 )</f>
        <v>Wind</v>
      </c>
      <c r="C55" s="111">
        <f>'Facility Detail'!D1720</f>
        <v>0</v>
      </c>
      <c r="D55" s="111">
        <f>'Facility Detail'!E1720</f>
        <v>0</v>
      </c>
      <c r="E55" s="111">
        <f>'Facility Detail'!F1720</f>
        <v>0</v>
      </c>
      <c r="F55" s="111">
        <f>'Facility Detail'!G1720</f>
        <v>0</v>
      </c>
      <c r="G55" s="111">
        <f>'Facility Detail'!H1720</f>
        <v>0</v>
      </c>
      <c r="H55" s="111">
        <f>'Facility Detail'!I1720</f>
        <v>1300</v>
      </c>
      <c r="I55" s="111">
        <f>'Facility Detail'!J1720</f>
        <v>0</v>
      </c>
      <c r="J55" s="111">
        <f>'Facility Detail'!K1720</f>
        <v>0</v>
      </c>
      <c r="K55" s="111">
        <f>'Facility Detail'!L1720</f>
        <v>0</v>
      </c>
      <c r="L55" s="111">
        <f>'Facility Detail'!M1720</f>
        <v>0</v>
      </c>
      <c r="M55" s="111">
        <f>'Facility Detail'!N1720</f>
        <v>0</v>
      </c>
      <c r="N55" s="111">
        <f>'Facility Detail'!O1720</f>
        <v>0</v>
      </c>
    </row>
    <row r="56" spans="1:14" ht="14.5" outlineLevel="1">
      <c r="A56" s="110" t="str">
        <f>'Facility Detail'!B37</f>
        <v>Marengo I</v>
      </c>
      <c r="B56" s="110" t="str">
        <f xml:space="preserve"> IF( 'Facility Detail'!D37 = "", "", 'Facility Detail'!D37 )</f>
        <v>Wind</v>
      </c>
      <c r="C56" s="111">
        <f>'Facility Detail'!D1770</f>
        <v>0</v>
      </c>
      <c r="D56" s="111">
        <f>'Facility Detail'!E1770</f>
        <v>31837</v>
      </c>
      <c r="E56" s="111">
        <f>'Facility Detail'!F1770</f>
        <v>28557</v>
      </c>
      <c r="F56" s="111">
        <f>'Facility Detail'!G1770</f>
        <v>26084</v>
      </c>
      <c r="G56" s="111">
        <f>'Facility Detail'!H1770</f>
        <v>29478</v>
      </c>
      <c r="H56" s="111">
        <f>'Facility Detail'!I1770</f>
        <v>53149</v>
      </c>
      <c r="I56" s="111">
        <f>'Facility Detail'!J1770</f>
        <v>25507</v>
      </c>
      <c r="J56" s="111">
        <f>'Facility Detail'!K1770</f>
        <v>26729</v>
      </c>
      <c r="K56" s="111">
        <f>'Facility Detail'!L1770</f>
        <v>47404.412668069781</v>
      </c>
      <c r="L56" s="111">
        <f>'Facility Detail'!M1770</f>
        <v>27956.279778484546</v>
      </c>
      <c r="M56" s="111">
        <f>'Facility Detail'!N1770</f>
        <v>12925.523585004208</v>
      </c>
      <c r="N56" s="111">
        <f>'Facility Detail'!O1770</f>
        <v>0</v>
      </c>
    </row>
    <row r="57" spans="1:14" ht="14.5" outlineLevel="1">
      <c r="A57" s="110" t="str">
        <f>'Facility Detail'!B38</f>
        <v>Marengo II</v>
      </c>
      <c r="B57" s="110" t="str">
        <f xml:space="preserve"> IF( 'Facility Detail'!D38 = "", "", 'Facility Detail'!D38 )</f>
        <v>Wind</v>
      </c>
      <c r="C57" s="111">
        <f>'Facility Detail'!D1820</f>
        <v>0</v>
      </c>
      <c r="D57" s="111">
        <f>'Facility Detail'!E1820</f>
        <v>15341</v>
      </c>
      <c r="E57" s="111">
        <f>'Facility Detail'!F1820</f>
        <v>14137</v>
      </c>
      <c r="F57" s="111">
        <f>'Facility Detail'!G1820</f>
        <v>12175</v>
      </c>
      <c r="G57" s="111">
        <f>'Facility Detail'!H1820</f>
        <v>14022</v>
      </c>
      <c r="H57" s="111">
        <f>'Facility Detail'!I1820</f>
        <v>25020</v>
      </c>
      <c r="I57" s="111">
        <f>'Facility Detail'!J1820</f>
        <v>12396</v>
      </c>
      <c r="J57" s="111">
        <f>'Facility Detail'!K1820</f>
        <v>13065</v>
      </c>
      <c r="K57" s="111">
        <f>'Facility Detail'!L1820</f>
        <v>7010.0255567593495</v>
      </c>
      <c r="L57" s="111">
        <f>'Facility Detail'!M1820</f>
        <v>28621</v>
      </c>
      <c r="M57" s="111">
        <f>'Facility Detail'!N1820</f>
        <v>28922.870298230046</v>
      </c>
      <c r="N57" s="111">
        <f>'Facility Detail'!O1820</f>
        <v>0</v>
      </c>
    </row>
    <row r="58" spans="1:14" ht="14.5" outlineLevel="1">
      <c r="A58" s="110" t="str">
        <f>'Facility Detail'!B39</f>
        <v>McFadden Ridge</v>
      </c>
      <c r="B58" s="110" t="str">
        <f xml:space="preserve"> IF( 'Facility Detail'!D39 = "", "", 'Facility Detail'!D39 )</f>
        <v>Wind</v>
      </c>
      <c r="C58" s="111">
        <f>'Facility Detail'!D1869</f>
        <v>0</v>
      </c>
      <c r="D58" s="111">
        <f>'Facility Detail'!E1869</f>
        <v>0</v>
      </c>
      <c r="E58" s="111">
        <f>'Facility Detail'!F1869</f>
        <v>0</v>
      </c>
      <c r="F58" s="111">
        <f>'Facility Detail'!G1869</f>
        <v>0</v>
      </c>
      <c r="G58" s="111">
        <f>'Facility Detail'!H1869</f>
        <v>0</v>
      </c>
      <c r="H58" s="111">
        <f>'Facility Detail'!I1869</f>
        <v>0</v>
      </c>
      <c r="I58" s="111">
        <f>'Facility Detail'!J1869</f>
        <v>0</v>
      </c>
      <c r="J58" s="111">
        <f>'Facility Detail'!K1869</f>
        <v>0</v>
      </c>
      <c r="K58" s="111">
        <f>'Facility Detail'!L1869</f>
        <v>0</v>
      </c>
      <c r="L58" s="111">
        <f>'Facility Detail'!M1869</f>
        <v>0</v>
      </c>
      <c r="M58" s="111">
        <f>'Facility Detail'!N1869</f>
        <v>9149.5731573080284</v>
      </c>
      <c r="N58" s="111">
        <f>'Facility Detail'!O1869</f>
        <v>0</v>
      </c>
    </row>
    <row r="59" spans="1:14" ht="14.5" outlineLevel="1">
      <c r="A59" s="110" t="str">
        <f>'Facility Detail'!B40</f>
        <v>Meadow Creek Wind Farm - Five Pine Project - REC Only</v>
      </c>
      <c r="B59" s="110" t="str">
        <f xml:space="preserve"> IF( 'Facility Detail'!D40 = "", "", 'Facility Detail'!D40 )</f>
        <v>Wind</v>
      </c>
      <c r="C59" s="111">
        <f>'Facility Detail'!D1910</f>
        <v>0</v>
      </c>
      <c r="D59" s="111">
        <f>'Facility Detail'!E1910</f>
        <v>0</v>
      </c>
      <c r="E59" s="111">
        <f>'Facility Detail'!F1910</f>
        <v>0</v>
      </c>
      <c r="F59" s="111">
        <f>'Facility Detail'!G1910</f>
        <v>0</v>
      </c>
      <c r="G59" s="111">
        <f>'Facility Detail'!H1910</f>
        <v>0</v>
      </c>
      <c r="H59" s="111">
        <f>'Facility Detail'!I1910</f>
        <v>0</v>
      </c>
      <c r="I59" s="111">
        <f>'Facility Detail'!J1910</f>
        <v>29719</v>
      </c>
      <c r="J59" s="111">
        <f>'Facility Detail'!K1910</f>
        <v>0</v>
      </c>
      <c r="K59" s="111">
        <f>'Facility Detail'!L1910</f>
        <v>0</v>
      </c>
      <c r="L59" s="111">
        <f>'Facility Detail'!M1910</f>
        <v>0</v>
      </c>
      <c r="M59" s="111">
        <f>'Facility Detail'!N1910</f>
        <v>0</v>
      </c>
      <c r="N59" s="111">
        <f>'Facility Detail'!O1910</f>
        <v>0</v>
      </c>
    </row>
    <row r="60" spans="1:14" ht="14.5" outlineLevel="1">
      <c r="A60" s="110" t="str">
        <f>'Facility Detail'!B41</f>
        <v>Meadow Creek Wind Farm - North Point Wind Farm - REC Only</v>
      </c>
      <c r="B60" s="110" t="str">
        <f xml:space="preserve"> IF( 'Facility Detail'!D41 = "", "", 'Facility Detail'!D41 )</f>
        <v>Wind</v>
      </c>
      <c r="C60" s="111">
        <f>'Facility Detail'!D1952</f>
        <v>0</v>
      </c>
      <c r="D60" s="111">
        <f>'Facility Detail'!E1952</f>
        <v>0</v>
      </c>
      <c r="E60" s="111">
        <f>'Facility Detail'!F1952</f>
        <v>0</v>
      </c>
      <c r="F60" s="111">
        <f>'Facility Detail'!G1952</f>
        <v>0</v>
      </c>
      <c r="G60" s="111">
        <f>'Facility Detail'!H1952</f>
        <v>0</v>
      </c>
      <c r="H60" s="111">
        <f>'Facility Detail'!I1952</f>
        <v>0</v>
      </c>
      <c r="I60" s="111">
        <f>'Facility Detail'!J1952</f>
        <v>2644</v>
      </c>
      <c r="J60" s="111">
        <f>'Facility Detail'!K1952</f>
        <v>0</v>
      </c>
      <c r="K60" s="111">
        <f>'Facility Detail'!L1952</f>
        <v>0</v>
      </c>
      <c r="L60" s="111">
        <f>'Facility Detail'!M1952</f>
        <v>0</v>
      </c>
      <c r="M60" s="111">
        <f>'Facility Detail'!N1952</f>
        <v>0</v>
      </c>
      <c r="N60" s="111">
        <f>'Facility Detail'!O1952</f>
        <v>0</v>
      </c>
    </row>
    <row r="61" spans="1:14" ht="14.5" outlineLevel="1">
      <c r="A61" s="110" t="str">
        <f>'Facility Detail'!B42</f>
        <v>Mountain Wind 1</v>
      </c>
      <c r="B61" s="110" t="str">
        <f xml:space="preserve"> IF( 'Facility Detail'!D42 = "", "", 'Facility Detail'!D42 )</f>
        <v>Wind</v>
      </c>
      <c r="C61" s="111">
        <f>'Facility Detail'!D2001</f>
        <v>0</v>
      </c>
      <c r="D61" s="111">
        <f>'Facility Detail'!E2001</f>
        <v>0</v>
      </c>
      <c r="E61" s="111">
        <f>'Facility Detail'!F2001</f>
        <v>0</v>
      </c>
      <c r="F61" s="111">
        <f>'Facility Detail'!G2001</f>
        <v>0</v>
      </c>
      <c r="G61" s="111">
        <f>'Facility Detail'!H2001</f>
        <v>0</v>
      </c>
      <c r="H61" s="111">
        <f>'Facility Detail'!I2001</f>
        <v>0</v>
      </c>
      <c r="I61" s="111">
        <f>'Facility Detail'!J2001</f>
        <v>0</v>
      </c>
      <c r="J61" s="111">
        <f>'Facility Detail'!K2001</f>
        <v>0</v>
      </c>
      <c r="K61" s="111">
        <f>'Facility Detail'!L2001</f>
        <v>0</v>
      </c>
      <c r="L61" s="111">
        <f>'Facility Detail'!M2001</f>
        <v>0</v>
      </c>
      <c r="M61" s="111">
        <f>'Facility Detail'!N2001</f>
        <v>0.33996751137601677</v>
      </c>
      <c r="N61" s="111">
        <f>'Facility Detail'!O2001</f>
        <v>0</v>
      </c>
    </row>
    <row r="62" spans="1:14" ht="14.5">
      <c r="A62" s="110" t="str">
        <f>'Facility Detail'!B43</f>
        <v>Mountain Wind 2</v>
      </c>
      <c r="B62" s="110" t="str">
        <f xml:space="preserve"> IF( 'Facility Detail'!D43 = "", "", 'Facility Detail'!D43 )</f>
        <v>Wind</v>
      </c>
      <c r="C62" s="111">
        <f>'Facility Detail'!D2049</f>
        <v>0</v>
      </c>
      <c r="D62" s="111">
        <f>'Facility Detail'!E2049</f>
        <v>0</v>
      </c>
      <c r="E62" s="111">
        <f>'Facility Detail'!F2049</f>
        <v>0</v>
      </c>
      <c r="F62" s="111">
        <f>'Facility Detail'!G2049</f>
        <v>0</v>
      </c>
      <c r="G62" s="111">
        <f>'Facility Detail'!H2049</f>
        <v>0</v>
      </c>
      <c r="H62" s="111">
        <f>'Facility Detail'!I2049</f>
        <v>0</v>
      </c>
      <c r="I62" s="111">
        <f>'Facility Detail'!J2049</f>
        <v>0</v>
      </c>
      <c r="J62" s="111">
        <f>'Facility Detail'!K2049</f>
        <v>0</v>
      </c>
      <c r="K62" s="111">
        <f>'Facility Detail'!L2049</f>
        <v>0</v>
      </c>
      <c r="L62" s="111">
        <f>'Facility Detail'!M2049</f>
        <v>0</v>
      </c>
      <c r="M62" s="111">
        <f>'Facility Detail'!N2049</f>
        <v>0.18869022072249209</v>
      </c>
      <c r="N62" s="111">
        <f>'Facility Detail'!O2049</f>
        <v>0</v>
      </c>
    </row>
    <row r="63" spans="1:14" ht="14.5">
      <c r="A63" s="110" t="str">
        <f>'Facility Detail'!B44</f>
        <v>Nine Canyon Wind Project - REC Only</v>
      </c>
      <c r="B63" s="110" t="str">
        <f xml:space="preserve"> IF( 'Facility Detail'!D44 = "", "", 'Facility Detail'!D44 )</f>
        <v>Wind</v>
      </c>
      <c r="C63" s="111">
        <f>'Facility Detail'!D2090</f>
        <v>0</v>
      </c>
      <c r="D63" s="111">
        <f>'Facility Detail'!E2090</f>
        <v>0</v>
      </c>
      <c r="E63" s="111">
        <f>'Facility Detail'!F2090</f>
        <v>0</v>
      </c>
      <c r="F63" s="111">
        <f>'Facility Detail'!G2090</f>
        <v>0</v>
      </c>
      <c r="G63" s="111">
        <f>'Facility Detail'!H2090</f>
        <v>0</v>
      </c>
      <c r="H63" s="111">
        <f>'Facility Detail'!I2090</f>
        <v>2500</v>
      </c>
      <c r="I63" s="111">
        <f>'Facility Detail'!J2090</f>
        <v>8225</v>
      </c>
      <c r="J63" s="111">
        <f>'Facility Detail'!K2090</f>
        <v>0</v>
      </c>
      <c r="K63" s="111">
        <f>'Facility Detail'!L2090</f>
        <v>0</v>
      </c>
      <c r="L63" s="111">
        <f>'Facility Detail'!M2090</f>
        <v>0</v>
      </c>
      <c r="M63" s="111">
        <f>'Facility Detail'!N2090</f>
        <v>0</v>
      </c>
      <c r="N63" s="111">
        <f>'Facility Detail'!O2090</f>
        <v>0</v>
      </c>
    </row>
    <row r="64" spans="1:14" ht="14.5">
      <c r="A64" s="110" t="str">
        <f>'Facility Detail'!B45</f>
        <v>Nine Canyon Wind Project - Nine Canyon Phase 3 - REC Only</v>
      </c>
      <c r="B64" s="110" t="str">
        <f xml:space="preserve"> IF( 'Facility Detail'!D45 = "", "", 'Facility Detail'!D45 )</f>
        <v>Wind</v>
      </c>
      <c r="C64" s="111">
        <f>'Facility Detail'!D2131</f>
        <v>0</v>
      </c>
      <c r="D64" s="111">
        <f>'Facility Detail'!E2131</f>
        <v>0</v>
      </c>
      <c r="E64" s="111">
        <f>'Facility Detail'!F2131</f>
        <v>0</v>
      </c>
      <c r="F64" s="111">
        <f>'Facility Detail'!G2131</f>
        <v>0</v>
      </c>
      <c r="G64" s="111">
        <f>'Facility Detail'!H2131</f>
        <v>0</v>
      </c>
      <c r="H64" s="111">
        <f>'Facility Detail'!I2131</f>
        <v>0</v>
      </c>
      <c r="I64" s="111">
        <f>'Facility Detail'!J2131</f>
        <v>4668</v>
      </c>
      <c r="J64" s="111">
        <f>'Facility Detail'!K2131</f>
        <v>0</v>
      </c>
      <c r="K64" s="111">
        <f>'Facility Detail'!L2131</f>
        <v>0</v>
      </c>
      <c r="L64" s="111">
        <f>'Facility Detail'!M2131</f>
        <v>0</v>
      </c>
      <c r="M64" s="111">
        <f>'Facility Detail'!N2131</f>
        <v>0</v>
      </c>
      <c r="N64" s="111">
        <f>'Facility Detail'!O2131</f>
        <v>0</v>
      </c>
    </row>
    <row r="65" spans="1:14" ht="14.5">
      <c r="A65" s="110" t="str">
        <f>'Facility Detail'!B46</f>
        <v>Pavant</v>
      </c>
      <c r="B65" s="110" t="str">
        <f xml:space="preserve"> IF( 'Facility Detail'!D46 = "", "", 'Facility Detail'!D46 )</f>
        <v>Solar</v>
      </c>
      <c r="C65" s="111">
        <f>'Facility Detail'!D2180</f>
        <v>0</v>
      </c>
      <c r="D65" s="111">
        <f>'Facility Detail'!E2180</f>
        <v>0</v>
      </c>
      <c r="E65" s="111">
        <f>'Facility Detail'!F2180</f>
        <v>0</v>
      </c>
      <c r="F65" s="111">
        <f>'Facility Detail'!G2180</f>
        <v>0</v>
      </c>
      <c r="G65" s="111">
        <f>'Facility Detail'!H2180</f>
        <v>0</v>
      </c>
      <c r="H65" s="111">
        <f>'Facility Detail'!I2180</f>
        <v>316</v>
      </c>
      <c r="I65" s="111">
        <f>'Facility Detail'!J2180</f>
        <v>25003</v>
      </c>
      <c r="J65" s="111">
        <f>'Facility Detail'!K2180</f>
        <v>26549</v>
      </c>
      <c r="K65" s="111">
        <f>'Facility Detail'!L2180</f>
        <v>68400.070970241824</v>
      </c>
      <c r="L65" s="111">
        <f>'Facility Detail'!M2180</f>
        <v>9713.8855007414277</v>
      </c>
      <c r="M65" s="111">
        <f>'Facility Detail'!N2180</f>
        <v>27090.918109808532</v>
      </c>
      <c r="N65" s="111">
        <f>'Facility Detail'!O2180</f>
        <v>0</v>
      </c>
    </row>
    <row r="66" spans="1:14" ht="14.5">
      <c r="A66" s="110" t="str">
        <f>'Facility Detail'!B47</f>
        <v>Pavant Solar II LLC</v>
      </c>
      <c r="B66" s="110" t="str">
        <f xml:space="preserve"> IF( 'Facility Detail'!D47 = "", "", 'Facility Detail'!D47 )</f>
        <v>Solar</v>
      </c>
      <c r="C66" s="111">
        <f>'Facility Detail'!D2228</f>
        <v>0</v>
      </c>
      <c r="D66" s="111">
        <f>'Facility Detail'!E2228</f>
        <v>0</v>
      </c>
      <c r="E66" s="111">
        <f>'Facility Detail'!F2228</f>
        <v>0</v>
      </c>
      <c r="F66" s="111">
        <f>'Facility Detail'!G2228</f>
        <v>0</v>
      </c>
      <c r="G66" s="111">
        <f>'Facility Detail'!H2228</f>
        <v>0</v>
      </c>
      <c r="H66" s="111">
        <f>'Facility Detail'!I2228</f>
        <v>0</v>
      </c>
      <c r="I66" s="111">
        <f>'Facility Detail'!J2228</f>
        <v>0</v>
      </c>
      <c r="J66" s="111">
        <f>'Facility Detail'!K2228</f>
        <v>0</v>
      </c>
      <c r="K66" s="111">
        <f>'Facility Detail'!L2228</f>
        <v>0</v>
      </c>
      <c r="L66" s="111">
        <f>'Facility Detail'!M2228</f>
        <v>0</v>
      </c>
      <c r="M66" s="111">
        <f>'Facility Detail'!N2228</f>
        <v>10314.757533817872</v>
      </c>
      <c r="N66" s="111">
        <f>'Facility Detail'!O2228</f>
        <v>0</v>
      </c>
    </row>
    <row r="67" spans="1:14" ht="14.5">
      <c r="A67" s="110" t="str">
        <f>'Facility Detail'!B48</f>
        <v>Pioneer Wind Park I LLC</v>
      </c>
      <c r="B67" s="110" t="str">
        <f xml:space="preserve"> IF( 'Facility Detail'!D48 = "", "", 'Facility Detail'!D48 )</f>
        <v>Wind</v>
      </c>
      <c r="C67" s="111">
        <f>'Facility Detail'!D2276</f>
        <v>0</v>
      </c>
      <c r="D67" s="111">
        <f>'Facility Detail'!E2276</f>
        <v>0</v>
      </c>
      <c r="E67" s="111">
        <f>'Facility Detail'!F2276</f>
        <v>0</v>
      </c>
      <c r="F67" s="111">
        <f>'Facility Detail'!G2276</f>
        <v>0</v>
      </c>
      <c r="G67" s="111">
        <f>'Facility Detail'!H2276</f>
        <v>0</v>
      </c>
      <c r="H67" s="111">
        <f>'Facility Detail'!I2276</f>
        <v>0</v>
      </c>
      <c r="I67" s="111">
        <f>'Facility Detail'!J2276</f>
        <v>0</v>
      </c>
      <c r="J67" s="111">
        <f>'Facility Detail'!K2276</f>
        <v>0</v>
      </c>
      <c r="K67" s="111">
        <f>'Facility Detail'!L2276</f>
        <v>0</v>
      </c>
      <c r="L67" s="111">
        <f>'Facility Detail'!M2276</f>
        <v>0</v>
      </c>
      <c r="M67" s="111">
        <f>'Facility Detail'!N2276</f>
        <v>21885.497228338398</v>
      </c>
      <c r="N67" s="111">
        <f>'Facility Detail'!O2276</f>
        <v>0</v>
      </c>
    </row>
    <row r="68" spans="1:14" ht="14.5">
      <c r="A68" s="110" t="str">
        <f>'Facility Detail'!B49</f>
        <v xml:space="preserve">Prospect 2 </v>
      </c>
      <c r="B68" s="110" t="str">
        <f xml:space="preserve"> IF( 'Facility Detail'!D49 = "", "", 'Facility Detail'!D49 )</f>
        <v>Water (Incremental Hydro)</v>
      </c>
      <c r="C68" s="111">
        <f>'Facility Detail'!D2325</f>
        <v>0</v>
      </c>
      <c r="D68" s="111">
        <f>'Facility Detail'!E2325</f>
        <v>328</v>
      </c>
      <c r="E68" s="111">
        <f>'Facility Detail'!F2325</f>
        <v>293</v>
      </c>
      <c r="F68" s="111">
        <f>'Facility Detail'!G2325</f>
        <v>278</v>
      </c>
      <c r="G68" s="111">
        <f>'Facility Detail'!H2325</f>
        <v>226</v>
      </c>
      <c r="H68" s="111">
        <f>'Facility Detail'!I2325</f>
        <v>329</v>
      </c>
      <c r="I68" s="111">
        <f>'Facility Detail'!J2325</f>
        <v>346</v>
      </c>
      <c r="J68" s="111">
        <f>'Facility Detail'!K2325</f>
        <v>266</v>
      </c>
      <c r="K68" s="111">
        <f>'Facility Detail'!L2325</f>
        <v>246.51634211706531</v>
      </c>
      <c r="L68" s="111">
        <f>'Facility Detail'!M2325</f>
        <v>239</v>
      </c>
      <c r="M68" s="111">
        <f>'Facility Detail'!N2325</f>
        <v>294</v>
      </c>
      <c r="N68" s="111">
        <f>'Facility Detail'!O2325</f>
        <v>0</v>
      </c>
    </row>
    <row r="69" spans="1:14" ht="14.5">
      <c r="A69" s="110" t="str">
        <f>'Facility Detail'!B50</f>
        <v xml:space="preserve">Rock River I </v>
      </c>
      <c r="B69" s="110" t="str">
        <f xml:space="preserve"> IF( 'Facility Detail'!D50 = "", "", 'Facility Detail'!D50 )</f>
        <v>Wind</v>
      </c>
      <c r="C69" s="111">
        <f>'Facility Detail'!D2374</f>
        <v>0</v>
      </c>
      <c r="D69" s="111">
        <f>'Facility Detail'!E2374</f>
        <v>0</v>
      </c>
      <c r="E69" s="111">
        <f>'Facility Detail'!F2374</f>
        <v>0</v>
      </c>
      <c r="F69" s="111">
        <f>'Facility Detail'!G2374</f>
        <v>0</v>
      </c>
      <c r="G69" s="111">
        <f>'Facility Detail'!H2374</f>
        <v>0</v>
      </c>
      <c r="H69" s="111">
        <f>'Facility Detail'!I2374</f>
        <v>0</v>
      </c>
      <c r="I69" s="111">
        <f>'Facility Detail'!J2374</f>
        <v>0</v>
      </c>
      <c r="J69" s="111">
        <f>'Facility Detail'!K2374</f>
        <v>0</v>
      </c>
      <c r="K69" s="111">
        <f>'Facility Detail'!L2374</f>
        <v>0</v>
      </c>
      <c r="L69" s="111">
        <f>'Facility Detail'!M2374</f>
        <v>0</v>
      </c>
      <c r="M69" s="111">
        <f>'Facility Detail'!N2374</f>
        <v>8564.1536359154288</v>
      </c>
      <c r="N69" s="111">
        <f>'Facility Detail'!O2374</f>
        <v>0</v>
      </c>
    </row>
    <row r="70" spans="1:14" ht="14.5">
      <c r="A70" s="110" t="str">
        <f>'Facility Detail'!B51</f>
        <v>Rolling Hills</v>
      </c>
      <c r="B70" s="110" t="str">
        <f xml:space="preserve"> IF( 'Facility Detail'!D51 = "", "", 'Facility Detail'!D51 )</f>
        <v>Wind</v>
      </c>
      <c r="C70" s="111">
        <f>'Facility Detail'!D2423</f>
        <v>0</v>
      </c>
      <c r="D70" s="111">
        <f>'Facility Detail'!E2423</f>
        <v>0</v>
      </c>
      <c r="E70" s="111">
        <f>'Facility Detail'!F2423</f>
        <v>0</v>
      </c>
      <c r="F70" s="111">
        <f>'Facility Detail'!G2423</f>
        <v>0</v>
      </c>
      <c r="G70" s="111">
        <f>'Facility Detail'!H2423</f>
        <v>0</v>
      </c>
      <c r="H70" s="111">
        <f>'Facility Detail'!I2423</f>
        <v>5468</v>
      </c>
      <c r="I70" s="111">
        <f>'Facility Detail'!J2423</f>
        <v>0</v>
      </c>
      <c r="J70" s="111">
        <f>'Facility Detail'!K2423</f>
        <v>0</v>
      </c>
      <c r="K70" s="111">
        <f>'Facility Detail'!L2423</f>
        <v>0</v>
      </c>
      <c r="L70" s="111">
        <f>'Facility Detail'!M2423</f>
        <v>29517</v>
      </c>
      <c r="M70" s="111">
        <f>'Facility Detail'!N2423</f>
        <v>29264</v>
      </c>
      <c r="N70" s="111">
        <f>'Facility Detail'!O2423</f>
        <v>0</v>
      </c>
    </row>
    <row r="71" spans="1:14" ht="14.5">
      <c r="A71" s="110" t="str">
        <f>'Facility Detail'!B52</f>
        <v>Sage Solar I, LLC</v>
      </c>
      <c r="B71" s="110" t="str">
        <f xml:space="preserve"> IF( 'Facility Detail'!D52 = "", "", 'Facility Detail'!D52 )</f>
        <v>Solar</v>
      </c>
      <c r="C71" s="111">
        <f>'Facility Detail'!D2472</f>
        <v>0</v>
      </c>
      <c r="D71" s="111">
        <f>'Facility Detail'!E2472</f>
        <v>0</v>
      </c>
      <c r="E71" s="111">
        <f>'Facility Detail'!F2472</f>
        <v>0</v>
      </c>
      <c r="F71" s="111">
        <f>'Facility Detail'!G2472</f>
        <v>0</v>
      </c>
      <c r="G71" s="111">
        <f>'Facility Detail'!H2472</f>
        <v>0</v>
      </c>
      <c r="H71" s="111">
        <f>'Facility Detail'!I2472</f>
        <v>0</v>
      </c>
      <c r="I71" s="111">
        <f>'Facility Detail'!J2472</f>
        <v>0</v>
      </c>
      <c r="J71" s="111">
        <f>'Facility Detail'!K2472</f>
        <v>0</v>
      </c>
      <c r="K71" s="111">
        <f>'Facility Detail'!L2472</f>
        <v>0</v>
      </c>
      <c r="L71" s="111">
        <f>'Facility Detail'!M2472</f>
        <v>0</v>
      </c>
      <c r="M71" s="111">
        <f>'Facility Detail'!N2472</f>
        <v>3927.2465091793251</v>
      </c>
      <c r="N71" s="111">
        <f>'Facility Detail'!O2472</f>
        <v>0</v>
      </c>
    </row>
    <row r="72" spans="1:14" ht="14.5">
      <c r="A72" s="110" t="str">
        <f>'Facility Detail'!B53</f>
        <v>Sage Solar II, LLC</v>
      </c>
      <c r="B72" s="110" t="str">
        <f xml:space="preserve"> IF( 'Facility Detail'!D53 = "", "", 'Facility Detail'!D53 )</f>
        <v>Solar</v>
      </c>
      <c r="C72" s="111">
        <f>'Facility Detail'!D2520</f>
        <v>0</v>
      </c>
      <c r="D72" s="111">
        <f>'Facility Detail'!E2520</f>
        <v>0</v>
      </c>
      <c r="E72" s="111">
        <f>'Facility Detail'!F2520</f>
        <v>0</v>
      </c>
      <c r="F72" s="111">
        <f>'Facility Detail'!G2520</f>
        <v>0</v>
      </c>
      <c r="G72" s="111">
        <f>'Facility Detail'!H2520</f>
        <v>0</v>
      </c>
      <c r="H72" s="111">
        <f>'Facility Detail'!I2520</f>
        <v>0</v>
      </c>
      <c r="I72" s="111">
        <f>'Facility Detail'!J2520</f>
        <v>0</v>
      </c>
      <c r="J72" s="111">
        <f>'Facility Detail'!K2520</f>
        <v>0</v>
      </c>
      <c r="K72" s="111">
        <f>'Facility Detail'!L2520</f>
        <v>0</v>
      </c>
      <c r="L72" s="111">
        <f>'Facility Detail'!M2520</f>
        <v>0</v>
      </c>
      <c r="M72" s="111">
        <f>'Facility Detail'!N2520</f>
        <v>3970.7066585527514</v>
      </c>
      <c r="N72" s="111">
        <f>'Facility Detail'!O2520</f>
        <v>0</v>
      </c>
    </row>
    <row r="73" spans="1:14" ht="14.5">
      <c r="A73" s="110" t="str">
        <f>'Facility Detail'!B54</f>
        <v>Sage Solar III, LLC</v>
      </c>
      <c r="B73" s="110" t="str">
        <f xml:space="preserve"> IF( 'Facility Detail'!D54 = "", "", 'Facility Detail'!D54 )</f>
        <v>Solar</v>
      </c>
      <c r="C73" s="111">
        <f>'Facility Detail'!D2568</f>
        <v>0</v>
      </c>
      <c r="D73" s="111">
        <f>'Facility Detail'!E2568</f>
        <v>0</v>
      </c>
      <c r="E73" s="111">
        <f>'Facility Detail'!F2568</f>
        <v>0</v>
      </c>
      <c r="F73" s="111">
        <f>'Facility Detail'!G2568</f>
        <v>0</v>
      </c>
      <c r="G73" s="111">
        <f>'Facility Detail'!H2568</f>
        <v>0</v>
      </c>
      <c r="H73" s="111">
        <f>'Facility Detail'!I2568</f>
        <v>0</v>
      </c>
      <c r="I73" s="111">
        <f>'Facility Detail'!J2568</f>
        <v>0</v>
      </c>
      <c r="J73" s="111">
        <f>'Facility Detail'!K2568</f>
        <v>0</v>
      </c>
      <c r="K73" s="111">
        <f>'Facility Detail'!L2568</f>
        <v>0</v>
      </c>
      <c r="L73" s="111">
        <f>'Facility Detail'!M2568</f>
        <v>0</v>
      </c>
      <c r="M73" s="111">
        <f>'Facility Detail'!N2568</f>
        <v>3291.338896042505</v>
      </c>
      <c r="N73" s="111">
        <f>'Facility Detail'!O2568</f>
        <v>0</v>
      </c>
    </row>
    <row r="74" spans="1:14" ht="14.5">
      <c r="A74" s="110" t="str">
        <f>'Facility Detail'!B55</f>
        <v>Seven Mile Hill I</v>
      </c>
      <c r="B74" s="110" t="str">
        <f xml:space="preserve"> IF( 'Facility Detail'!D55 = "", "", 'Facility Detail'!D55 )</f>
        <v>Wind</v>
      </c>
      <c r="C74" s="111">
        <f>'Facility Detail'!D2617</f>
        <v>0</v>
      </c>
      <c r="D74" s="111">
        <f>'Facility Detail'!E2617</f>
        <v>0</v>
      </c>
      <c r="E74" s="111">
        <f>'Facility Detail'!F2617</f>
        <v>0</v>
      </c>
      <c r="F74" s="111">
        <f>'Facility Detail'!G2617</f>
        <v>0</v>
      </c>
      <c r="G74" s="111">
        <f>'Facility Detail'!H2617</f>
        <v>0</v>
      </c>
      <c r="H74" s="111">
        <f>'Facility Detail'!I2617</f>
        <v>0</v>
      </c>
      <c r="I74" s="111">
        <f>'Facility Detail'!J2617</f>
        <v>4353</v>
      </c>
      <c r="J74" s="111">
        <f>'Facility Detail'!K2617</f>
        <v>11844</v>
      </c>
      <c r="K74" s="111">
        <f>'Facility Detail'!L2617</f>
        <v>13499.627724604894</v>
      </c>
      <c r="L74" s="111">
        <f>'Facility Detail'!M2617</f>
        <v>34771</v>
      </c>
      <c r="M74" s="111">
        <f>'Facility Detail'!N2617</f>
        <v>33184</v>
      </c>
      <c r="N74" s="111">
        <f>'Facility Detail'!O2617</f>
        <v>0</v>
      </c>
    </row>
    <row r="75" spans="1:14" ht="14.5">
      <c r="A75" s="110" t="str">
        <f>'Facility Detail'!B56</f>
        <v>Seven Mile Hill II</v>
      </c>
      <c r="B75" s="110" t="str">
        <f xml:space="preserve"> IF( 'Facility Detail'!D56 = "", "", 'Facility Detail'!D56 )</f>
        <v>Wind</v>
      </c>
      <c r="C75" s="111">
        <f>'Facility Detail'!D2667</f>
        <v>0</v>
      </c>
      <c r="D75" s="111">
        <f>'Facility Detail'!E2667</f>
        <v>0</v>
      </c>
      <c r="E75" s="111">
        <f>'Facility Detail'!F2667</f>
        <v>0</v>
      </c>
      <c r="F75" s="111">
        <f>'Facility Detail'!G2667</f>
        <v>0</v>
      </c>
      <c r="G75" s="111">
        <f>'Facility Detail'!H2667</f>
        <v>0</v>
      </c>
      <c r="H75" s="111">
        <f>'Facility Detail'!I2667</f>
        <v>0</v>
      </c>
      <c r="I75" s="111">
        <f>'Facility Detail'!J2667</f>
        <v>0</v>
      </c>
      <c r="J75" s="111">
        <f>'Facility Detail'!K2667</f>
        <v>0</v>
      </c>
      <c r="K75" s="111">
        <f>'Facility Detail'!L2667</f>
        <v>0</v>
      </c>
      <c r="L75" s="111">
        <f>'Facility Detail'!M2667</f>
        <v>0</v>
      </c>
      <c r="M75" s="111">
        <f>'Facility Detail'!N2667</f>
        <v>6954</v>
      </c>
      <c r="N75" s="111">
        <f>'Facility Detail'!O2667</f>
        <v>0</v>
      </c>
    </row>
    <row r="76" spans="1:14" ht="14.5">
      <c r="A76" s="110" t="str">
        <f>'Facility Detail'!B57</f>
        <v>SPI Aberdeen - REC Only</v>
      </c>
      <c r="B76" s="110" t="str">
        <f xml:space="preserve"> IF( 'Facility Detail'!D57 = "", "", 'Facility Detail'!D57 )</f>
        <v>Biomass</v>
      </c>
      <c r="C76" s="111">
        <f>'Facility Detail'!D2707</f>
        <v>0</v>
      </c>
      <c r="D76" s="111">
        <f>'Facility Detail'!E2707</f>
        <v>0</v>
      </c>
      <c r="E76" s="111">
        <f>'Facility Detail'!F2707</f>
        <v>0</v>
      </c>
      <c r="F76" s="111">
        <f>'Facility Detail'!G2707</f>
        <v>0</v>
      </c>
      <c r="G76" s="111">
        <f>'Facility Detail'!H2707</f>
        <v>40000</v>
      </c>
      <c r="H76" s="111">
        <f>'Facility Detail'!I2707</f>
        <v>0</v>
      </c>
      <c r="I76" s="111">
        <f>'Facility Detail'!J2707</f>
        <v>0</v>
      </c>
      <c r="J76" s="111">
        <f>'Facility Detail'!K2707</f>
        <v>0</v>
      </c>
      <c r="K76" s="111">
        <f>'Facility Detail'!L2707</f>
        <v>0</v>
      </c>
      <c r="L76" s="111">
        <f>'Facility Detail'!M2707</f>
        <v>0</v>
      </c>
      <c r="M76" s="111">
        <f>'Facility Detail'!N2707</f>
        <v>0</v>
      </c>
      <c r="N76" s="111">
        <f>'Facility Detail'!O2707</f>
        <v>0</v>
      </c>
    </row>
    <row r="77" spans="1:14" ht="14.5">
      <c r="A77" s="110" t="str">
        <f>'Facility Detail'!B58</f>
        <v>Stateline (WA) - FPL Energy Vansycle LLC - REC Only</v>
      </c>
      <c r="B77" s="110" t="str">
        <f xml:space="preserve"> IF( 'Facility Detail'!D58 = "", "", 'Facility Detail'!D58 )</f>
        <v>Wind</v>
      </c>
      <c r="C77" s="111">
        <f>'Facility Detail'!D2748</f>
        <v>0</v>
      </c>
      <c r="D77" s="111">
        <f>'Facility Detail'!E2748</f>
        <v>0</v>
      </c>
      <c r="E77" s="111">
        <f>'Facility Detail'!F2748</f>
        <v>0</v>
      </c>
      <c r="F77" s="111">
        <f>'Facility Detail'!G2748</f>
        <v>0</v>
      </c>
      <c r="G77" s="111">
        <f>'Facility Detail'!H2748</f>
        <v>0</v>
      </c>
      <c r="H77" s="111">
        <f>'Facility Detail'!I2748</f>
        <v>0</v>
      </c>
      <c r="I77" s="111">
        <f>'Facility Detail'!J2748</f>
        <v>12946</v>
      </c>
      <c r="J77" s="111">
        <f>'Facility Detail'!K2748</f>
        <v>0</v>
      </c>
      <c r="K77" s="111">
        <f>'Facility Detail'!L2748</f>
        <v>0</v>
      </c>
      <c r="L77" s="111">
        <f>'Facility Detail'!M2748</f>
        <v>0</v>
      </c>
      <c r="M77" s="111">
        <f>'Facility Detail'!N2748</f>
        <v>0</v>
      </c>
      <c r="N77" s="111">
        <f>'Facility Detail'!O2748</f>
        <v>0</v>
      </c>
    </row>
    <row r="78" spans="1:14" ht="14.5">
      <c r="A78" s="110" t="str">
        <f>'Facility Detail'!B59</f>
        <v>Sweetwater Solar, LLC</v>
      </c>
      <c r="B78" s="110" t="str">
        <f xml:space="preserve"> IF( 'Facility Detail'!D59 = "", "", 'Facility Detail'!D59 )</f>
        <v>Solar</v>
      </c>
      <c r="C78" s="111">
        <f>'Facility Detail'!D2797</f>
        <v>0</v>
      </c>
      <c r="D78" s="111">
        <f>'Facility Detail'!E2797</f>
        <v>0</v>
      </c>
      <c r="E78" s="111">
        <f>'Facility Detail'!F2797</f>
        <v>0</v>
      </c>
      <c r="F78" s="111">
        <f>'Facility Detail'!G2797</f>
        <v>0</v>
      </c>
      <c r="G78" s="111">
        <f>'Facility Detail'!H2797</f>
        <v>0</v>
      </c>
      <c r="H78" s="111">
        <f>'Facility Detail'!I2797</f>
        <v>0</v>
      </c>
      <c r="I78" s="111">
        <f>'Facility Detail'!J2797</f>
        <v>0</v>
      </c>
      <c r="J78" s="111">
        <f>'Facility Detail'!K2797</f>
        <v>0</v>
      </c>
      <c r="K78" s="111">
        <f>'Facility Detail'!L2797</f>
        <v>0</v>
      </c>
      <c r="L78" s="111">
        <f>'Facility Detail'!M2797</f>
        <v>0</v>
      </c>
      <c r="M78" s="111">
        <f>'Facility Detail'!N2797</f>
        <v>14764.333644946217</v>
      </c>
      <c r="N78" s="111">
        <f>'Facility Detail'!O2797</f>
        <v>0</v>
      </c>
    </row>
    <row r="79" spans="1:14" ht="14.5">
      <c r="A79" s="110" t="str">
        <f>'Facility Detail'!B60</f>
        <v>Top of the World</v>
      </c>
      <c r="B79" s="110" t="str">
        <f xml:space="preserve"> IF( 'Facility Detail'!D60 = "", "", 'Facility Detail'!D60 )</f>
        <v>Wind</v>
      </c>
      <c r="C79" s="111">
        <f>'Facility Detail'!D2846</f>
        <v>0</v>
      </c>
      <c r="D79" s="111">
        <f>'Facility Detail'!E2846</f>
        <v>0</v>
      </c>
      <c r="E79" s="111">
        <f>'Facility Detail'!F2846</f>
        <v>0</v>
      </c>
      <c r="F79" s="111">
        <f>'Facility Detail'!G2846</f>
        <v>0</v>
      </c>
      <c r="G79" s="111">
        <f>'Facility Detail'!H2846</f>
        <v>0</v>
      </c>
      <c r="H79" s="111">
        <f>'Facility Detail'!I2846</f>
        <v>45911</v>
      </c>
      <c r="I79" s="111">
        <f>'Facility Detail'!J2846</f>
        <v>102623</v>
      </c>
      <c r="J79" s="111">
        <f>'Facility Detail'!K2846</f>
        <v>42284</v>
      </c>
      <c r="K79" s="111">
        <f>'Facility Detail'!L2846</f>
        <v>20249.710123227731</v>
      </c>
      <c r="L79" s="111">
        <f>'Facility Detail'!M2846</f>
        <v>42198.447670147259</v>
      </c>
      <c r="M79" s="111">
        <f>'Facility Detail'!N2846</f>
        <v>-0.44333854829892516</v>
      </c>
      <c r="N79" s="111">
        <f>'Facility Detail'!O2846</f>
        <v>0</v>
      </c>
    </row>
    <row r="80" spans="1:14" ht="14.5">
      <c r="A80" s="110" t="str">
        <f>'Facility Detail'!B61</f>
        <v>TB Flats Wind I</v>
      </c>
      <c r="B80" s="110" t="str">
        <f xml:space="preserve"> IF( 'Facility Detail'!D61 = "", "", 'Facility Detail'!D61 )</f>
        <v>Wind</v>
      </c>
      <c r="C80" s="111">
        <f>'Facility Detail'!D2895</f>
        <v>0</v>
      </c>
      <c r="D80" s="111">
        <f>'Facility Detail'!E2895</f>
        <v>0</v>
      </c>
      <c r="E80" s="111">
        <f>'Facility Detail'!F2895</f>
        <v>0</v>
      </c>
      <c r="F80" s="111">
        <f>'Facility Detail'!G2895</f>
        <v>0</v>
      </c>
      <c r="G80" s="111">
        <f>'Facility Detail'!H2895</f>
        <v>0</v>
      </c>
      <c r="H80" s="111">
        <f>'Facility Detail'!I2895</f>
        <v>0</v>
      </c>
      <c r="I80" s="111">
        <f>'Facility Detail'!J2895</f>
        <v>0</v>
      </c>
      <c r="J80" s="111">
        <f>'Facility Detail'!K2895</f>
        <v>0</v>
      </c>
      <c r="K80" s="111">
        <f>'Facility Detail'!L2895</f>
        <v>0</v>
      </c>
      <c r="L80" s="111">
        <f>'Facility Detail'!M2895</f>
        <v>0</v>
      </c>
      <c r="M80" s="111">
        <f>'Facility Detail'!N2895</f>
        <v>-0.39702367757126922</v>
      </c>
      <c r="N80" s="111">
        <f>'Facility Detail'!O2895</f>
        <v>0</v>
      </c>
    </row>
    <row r="81" spans="1:14" ht="14.5">
      <c r="A81" s="110" t="str">
        <f>'Facility Detail'!B62</f>
        <v>TB Flats Wind II</v>
      </c>
      <c r="B81" s="110" t="str">
        <f xml:space="preserve"> IF( 'Facility Detail'!D62 = "", "", 'Facility Detail'!D62 )</f>
        <v>Wind</v>
      </c>
      <c r="C81" s="111">
        <f>'Facility Detail'!D2943</f>
        <v>0</v>
      </c>
      <c r="D81" s="111">
        <f>'Facility Detail'!E2943</f>
        <v>0</v>
      </c>
      <c r="E81" s="111">
        <f>'Facility Detail'!F2943</f>
        <v>0</v>
      </c>
      <c r="F81" s="111">
        <f>'Facility Detail'!G2943</f>
        <v>0</v>
      </c>
      <c r="G81" s="111">
        <f>'Facility Detail'!H2943</f>
        <v>0</v>
      </c>
      <c r="H81" s="111">
        <f>'Facility Detail'!I2943</f>
        <v>0</v>
      </c>
      <c r="I81" s="111">
        <f>'Facility Detail'!J2943</f>
        <v>0</v>
      </c>
      <c r="J81" s="111">
        <f>'Facility Detail'!K2943</f>
        <v>0</v>
      </c>
      <c r="K81" s="111">
        <f>'Facility Detail'!L2943</f>
        <v>0</v>
      </c>
      <c r="L81" s="111">
        <f>'Facility Detail'!M2943</f>
        <v>0</v>
      </c>
      <c r="M81" s="111">
        <f>'Facility Detail'!N2943</f>
        <v>3485.6440211303998</v>
      </c>
      <c r="N81" s="111">
        <f>'Facility Detail'!O2943</f>
        <v>0</v>
      </c>
    </row>
    <row r="82" spans="1:14" ht="14.5">
      <c r="A82" s="110" t="str">
        <f>'Facility Detail'!B63</f>
        <v>*Tuana Springs - REC Only</v>
      </c>
      <c r="B82" s="110" t="str">
        <f xml:space="preserve"> IF( 'Facility Detail'!D63 = "", "", 'Facility Detail'!D63 )</f>
        <v>Wind</v>
      </c>
      <c r="C82" s="111">
        <f>'Facility Detail'!D2980</f>
        <v>0</v>
      </c>
      <c r="D82" s="111">
        <f>'Facility Detail'!E2980</f>
        <v>12253</v>
      </c>
      <c r="E82" s="111">
        <f>'Facility Detail'!F2980</f>
        <v>43002</v>
      </c>
      <c r="F82" s="111">
        <f>'Facility Detail'!G2980</f>
        <v>41752</v>
      </c>
      <c r="G82" s="111">
        <f>'Facility Detail'!H2980</f>
        <v>0</v>
      </c>
      <c r="H82" s="111">
        <f>'Facility Detail'!I2980</f>
        <v>0</v>
      </c>
      <c r="I82" s="111">
        <f>'Facility Detail'!J2980</f>
        <v>0</v>
      </c>
      <c r="J82" s="111">
        <f>'Facility Detail'!K2980</f>
        <v>0</v>
      </c>
      <c r="K82" s="111">
        <f>'Facility Detail'!L2980</f>
        <v>0</v>
      </c>
      <c r="L82" s="111">
        <f>'Facility Detail'!M2980</f>
        <v>0</v>
      </c>
      <c r="M82" s="111">
        <f>'Facility Detail'!N2980</f>
        <v>0</v>
      </c>
      <c r="N82" s="111">
        <f>'Facility Detail'!O2980</f>
        <v>0</v>
      </c>
    </row>
    <row r="83" spans="1:14" ht="14.5">
      <c r="A83" s="110" t="str">
        <f>'Facility Detail'!B64</f>
        <v>Wanapum (Upgrade)</v>
      </c>
      <c r="B83" s="110" t="str">
        <f xml:space="preserve"> IF( 'Facility Detail'!D64 = "", "", 'Facility Detail'!D64 )</f>
        <v>Water (Incremental Hydro)</v>
      </c>
      <c r="C83" s="111">
        <f>'Facility Detail'!D3018</f>
        <v>0</v>
      </c>
      <c r="D83" s="111">
        <f>'Facility Detail'!E3018</f>
        <v>678</v>
      </c>
      <c r="E83" s="111">
        <f>'Facility Detail'!F3018</f>
        <v>631</v>
      </c>
      <c r="F83" s="111">
        <f>'Facility Detail'!G3018</f>
        <v>0</v>
      </c>
      <c r="G83" s="111">
        <f>'Facility Detail'!H3018</f>
        <v>0</v>
      </c>
      <c r="H83" s="111">
        <f>'Facility Detail'!I3018</f>
        <v>0</v>
      </c>
      <c r="I83" s="111">
        <f>'Facility Detail'!J3018</f>
        <v>0</v>
      </c>
      <c r="J83" s="111">
        <f>'Facility Detail'!K3018</f>
        <v>0</v>
      </c>
      <c r="K83" s="111">
        <f>'Facility Detail'!L3018</f>
        <v>0</v>
      </c>
      <c r="L83" s="111">
        <f>'Facility Detail'!M3018</f>
        <v>0</v>
      </c>
      <c r="M83" s="111">
        <f>'Facility Detail'!N3018</f>
        <v>0</v>
      </c>
      <c r="N83" s="111">
        <f>'Facility Detail'!O3018</f>
        <v>0</v>
      </c>
    </row>
    <row r="84" spans="1:14" ht="14.5">
      <c r="A84" s="110" t="str">
        <f>'Facility Detail'!B65</f>
        <v xml:space="preserve">Wolverine Creek </v>
      </c>
      <c r="B84" s="110" t="str">
        <f xml:space="preserve"> IF( 'Facility Detail'!D65 = "", "", 'Facility Detail'!D65 )</f>
        <v>Wind</v>
      </c>
      <c r="C84" s="111">
        <f>'Facility Detail'!D3067</f>
        <v>0</v>
      </c>
      <c r="D84" s="111">
        <f>'Facility Detail'!E3067</f>
        <v>0</v>
      </c>
      <c r="E84" s="111">
        <f>'Facility Detail'!F3067</f>
        <v>0</v>
      </c>
      <c r="F84" s="111">
        <f>'Facility Detail'!G3067</f>
        <v>0</v>
      </c>
      <c r="G84" s="111">
        <f>'Facility Detail'!H3067</f>
        <v>0</v>
      </c>
      <c r="H84" s="111">
        <f>'Facility Detail'!I3067</f>
        <v>0</v>
      </c>
      <c r="I84" s="111">
        <f>'Facility Detail'!J3067</f>
        <v>0</v>
      </c>
      <c r="J84" s="111">
        <f>'Facility Detail'!K3067</f>
        <v>0</v>
      </c>
      <c r="K84" s="111">
        <f>'Facility Detail'!L3067</f>
        <v>0</v>
      </c>
      <c r="L84" s="111">
        <f>'Facility Detail'!M3067</f>
        <v>0</v>
      </c>
      <c r="M84" s="111">
        <f>'Facility Detail'!N3067</f>
        <v>-0.4557464783465548</v>
      </c>
      <c r="N84" s="111">
        <f>'Facility Detail'!O3067</f>
        <v>0</v>
      </c>
    </row>
    <row r="85" spans="1:14" ht="14.5">
      <c r="A85" s="110"/>
      <c r="B85" s="110" t="str">
        <f xml:space="preserve"> IF( 'Facility Detail'!D66 = "", "", 'Facility Detail'!D66 )</f>
        <v/>
      </c>
      <c r="C85" s="111"/>
      <c r="D85" s="111"/>
      <c r="E85" s="111"/>
      <c r="F85" s="111"/>
      <c r="G85" s="111"/>
      <c r="H85" s="111"/>
      <c r="I85" s="111"/>
      <c r="J85" s="111"/>
      <c r="K85" s="111"/>
      <c r="L85" s="111"/>
      <c r="M85" s="111"/>
      <c r="N85" s="111"/>
    </row>
  </sheetData>
  <printOptions horizontalCentered="1"/>
  <pageMargins left="0.7" right="0.7" top="0.75" bottom="0.75" header="0.3" footer="0.3"/>
  <pageSetup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4BE6280F165D346A1F19A5CE5EEBB48" ma:contentTypeVersion="44" ma:contentTypeDescription="" ma:contentTypeScope="" ma:versionID="9c9dffe5db09323e8b71eb6e5fca082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2021-05-17T07:00:00+00:00</OpenedDate>
    <SignificantOrder xmlns="dc463f71-b30c-4ab2-9473-d307f9d35888">false</SignificantOrder>
    <Date1 xmlns="dc463f71-b30c-4ab2-9473-d307f9d35888">2021-06-01T07:00:00+00:00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210345</DocketNumber>
    <DelegatedOrder xmlns="dc463f71-b30c-4ab2-9473-d307f9d35888">false</DelegatedOrder>
  </documentManagement>
</p:properties>
</file>

<file path=customXml/itemProps1.xml><?xml version="1.0" encoding="utf-8"?>
<ds:datastoreItem xmlns:ds="http://schemas.openxmlformats.org/officeDocument/2006/customXml" ds:itemID="{21A6D062-43DC-4625-BC0B-DF9B3FF36A74}"/>
</file>

<file path=customXml/itemProps2.xml><?xml version="1.0" encoding="utf-8"?>
<ds:datastoreItem xmlns:ds="http://schemas.openxmlformats.org/officeDocument/2006/customXml" ds:itemID="{EE2EE1B0-9E2B-440F-A9C4-F3692024967A}"/>
</file>

<file path=customXml/itemProps3.xml><?xml version="1.0" encoding="utf-8"?>
<ds:datastoreItem xmlns:ds="http://schemas.openxmlformats.org/officeDocument/2006/customXml" ds:itemID="{82D18377-953D-422F-9B57-7219B0810968}"/>
</file>

<file path=customXml/itemProps4.xml><?xml version="1.0" encoding="utf-8"?>
<ds:datastoreItem xmlns:ds="http://schemas.openxmlformats.org/officeDocument/2006/customXml" ds:itemID="{0AED9EDB-33C6-4348-A37E-F9D557BFDB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Savarin, Kathryn</cp:lastModifiedBy>
  <cp:lastPrinted>2021-05-29T00:06:16Z</cp:lastPrinted>
  <dcterms:created xsi:type="dcterms:W3CDTF">2011-06-02T16:07:19Z</dcterms:created>
  <dcterms:modified xsi:type="dcterms:W3CDTF">2021-05-29T00:09:18Z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0x0101006E56B4D1795A2E4DB2F0B01679ED314A0094BE6280F165D346A1F19A5CE5EEBB48</vt:lpwstr>
  </property>
  <property fmtid="{D5CDD505-2E9C-101B-9397-08002B2CF9AE}" pid="3" name="_docset_NoMedatataSyncRequired">
    <vt:lpwstr>False</vt:lpwstr>
  </property>
  <property fmtid="{D5CDD505-2E9C-101B-9397-08002B2CF9AE}" pid="4" name="IsEFSEC">
    <vt:bool>false</vt:bool>
  </property>
</Properties>
</file>