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2" yWindow="-12" windowWidth="14520" windowHeight="12816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20" sheetId="11" r:id="rId6"/>
    <sheet name="2020 AllocFactrs" sheetId="15" r:id="rId7"/>
    <sheet name="2019 Allocation Factors" sheetId="14" r:id="rId8"/>
  </sheets>
  <externalReferences>
    <externalReference r:id="rId9"/>
    <externalReference r:id="rId10"/>
    <externalReference r:id="rId11"/>
  </externalReferences>
  <definedNames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6" hidden="1">#REF!</definedName>
    <definedName name="_Fill" hidden="1">#REF!</definedName>
    <definedName name="_Key1" localSheetId="7" hidden="1">#REF!</definedName>
    <definedName name="_Key1" localSheetId="6" hidden="1">#REF!</definedName>
    <definedName name="_Key1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hidden="1">#REF!</definedName>
    <definedName name="_www1" localSheetId="7" hidden="1">{#N/A,#N/A,FALSE,"schA"}</definedName>
    <definedName name="_www1" localSheetId="6" hidden="1">{#N/A,#N/A,FALSE,"schA"}</definedName>
    <definedName name="_www1" hidden="1">{#N/A,#N/A,FALSE,"schA"}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7" hidden="1">{#N/A,#N/A,FALSE,"schA"}</definedName>
    <definedName name="qqq" localSheetId="6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7" hidden="1">#REF!</definedName>
    <definedName name="Transfer" localSheetId="6" hidden="1">#REF!</definedName>
    <definedName name="Transfer" hidden="1">#REF!</definedName>
    <definedName name="Transfers" localSheetId="7" hidden="1">#REF!</definedName>
    <definedName name="Transfers" hidden="1">#REF!</definedName>
    <definedName name="u" localSheetId="7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7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7" hidden="1">{#N/A,#N/A,FALSE,"schA"}</definedName>
    <definedName name="www" localSheetId="6" hidden="1">{#N/A,#N/A,FALSE,"schA"}</definedName>
    <definedName name="www" hidden="1">{#N/A,#N/A,FALSE,"schA"}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F44" i="15" l="1"/>
  <c r="F45" i="15"/>
  <c r="F43" i="15"/>
  <c r="F38" i="15"/>
  <c r="E38" i="15"/>
  <c r="F31" i="15"/>
  <c r="E31" i="15"/>
  <c r="F28" i="15"/>
  <c r="E28" i="15"/>
  <c r="F25" i="15"/>
  <c r="E25" i="15"/>
  <c r="F22" i="15"/>
  <c r="E22" i="15"/>
  <c r="F17" i="15"/>
  <c r="E17" i="15"/>
  <c r="F16" i="15"/>
  <c r="E16" i="15"/>
  <c r="F15" i="15"/>
  <c r="E15" i="15"/>
  <c r="F11" i="15"/>
  <c r="E11" i="15"/>
  <c r="F8" i="15"/>
  <c r="E8" i="15"/>
  <c r="D20" i="1" l="1"/>
  <c r="E20" i="1"/>
  <c r="A4" i="2" l="1"/>
  <c r="D27" i="2"/>
  <c r="B27" i="11" l="1"/>
  <c r="B19" i="11"/>
  <c r="B13" i="11"/>
  <c r="B21" i="11" s="1"/>
  <c r="B29" i="11" s="1"/>
  <c r="B33" i="11" s="1"/>
  <c r="C27" i="2" s="1"/>
  <c r="E27" i="2" s="1"/>
  <c r="B19" i="3"/>
  <c r="E10" i="4"/>
  <c r="D22" i="4"/>
  <c r="D21" i="4"/>
  <c r="D20" i="4"/>
  <c r="D19" i="4"/>
  <c r="D18" i="4"/>
  <c r="D17" i="4"/>
  <c r="D16" i="4"/>
  <c r="D15" i="4"/>
  <c r="D14" i="4"/>
  <c r="D13" i="4"/>
  <c r="D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D11" i="4"/>
  <c r="B12" i="3"/>
  <c r="B10" i="3"/>
  <c r="B14" i="3" s="1"/>
  <c r="B8" i="3"/>
  <c r="F46" i="15"/>
  <c r="G45" i="15"/>
  <c r="G44" i="15"/>
  <c r="G43" i="15"/>
  <c r="F39" i="15"/>
  <c r="E39" i="15"/>
  <c r="G16" i="15"/>
  <c r="G17" i="15" l="1"/>
  <c r="G22" i="15"/>
  <c r="F23" i="15" s="1"/>
  <c r="B15" i="3" s="1"/>
  <c r="B16" i="3" s="1"/>
  <c r="G8" i="15"/>
  <c r="F9" i="15" s="1"/>
  <c r="F18" i="15"/>
  <c r="G15" i="15"/>
  <c r="G18" i="15" s="1"/>
  <c r="E18" i="15"/>
  <c r="G46" i="15"/>
  <c r="E11" i="4"/>
  <c r="D24" i="4"/>
  <c r="E12" i="4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B13" i="3"/>
  <c r="G25" i="15"/>
  <c r="E26" i="15" s="1"/>
  <c r="G31" i="15"/>
  <c r="E32" i="15" s="1"/>
  <c r="G38" i="15"/>
  <c r="G39" i="15" s="1"/>
  <c r="E40" i="15" s="1"/>
  <c r="G11" i="15"/>
  <c r="F12" i="15" s="1"/>
  <c r="B41" i="3"/>
  <c r="E31" i="4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5" i="4" s="1"/>
  <c r="E30" i="4"/>
  <c r="D31" i="4"/>
  <c r="D32" i="4"/>
  <c r="D33" i="4"/>
  <c r="D34" i="4"/>
  <c r="D43" i="4" s="1"/>
  <c r="D35" i="4"/>
  <c r="D36" i="4"/>
  <c r="D37" i="4"/>
  <c r="D38" i="4"/>
  <c r="D39" i="4"/>
  <c r="D40" i="4"/>
  <c r="D41" i="4"/>
  <c r="D30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E29" i="4"/>
  <c r="E9" i="15" l="1"/>
  <c r="G9" i="15" s="1"/>
  <c r="E23" i="15"/>
  <c r="G23" i="15" s="1"/>
  <c r="F19" i="15"/>
  <c r="B18" i="3"/>
  <c r="B20" i="3" s="1"/>
  <c r="B27" i="2" s="1"/>
  <c r="F27" i="2" s="1"/>
  <c r="F27" i="1"/>
  <c r="E19" i="15"/>
  <c r="F32" i="15"/>
  <c r="G32" i="15" s="1"/>
  <c r="F26" i="15"/>
  <c r="G26" i="15" s="1"/>
  <c r="F40" i="15"/>
  <c r="G40" i="15" s="1"/>
  <c r="E12" i="15"/>
  <c r="G12" i="15" s="1"/>
  <c r="B36" i="3"/>
  <c r="B35" i="3"/>
  <c r="G19" i="15" l="1"/>
  <c r="F39" i="14"/>
  <c r="G25" i="14"/>
  <c r="F26" i="14" s="1"/>
  <c r="G17" i="14"/>
  <c r="E22" i="14"/>
  <c r="G38" i="14" l="1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4" i="12"/>
  <c r="B23" i="12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6" i="2"/>
  <c r="E34" i="14" l="1"/>
  <c r="E35" i="14" s="1"/>
  <c r="B37" i="3" s="1"/>
  <c r="B38" i="3" s="1"/>
  <c r="B40" i="3" s="1"/>
  <c r="B42" i="3" s="1"/>
  <c r="B26" i="2" s="1"/>
  <c r="E19" i="14"/>
  <c r="G19" i="14" s="1"/>
  <c r="C13" i="11"/>
  <c r="G23" i="14"/>
  <c r="G34" i="14" s="1"/>
  <c r="G35" i="14" s="1"/>
  <c r="C27" i="11"/>
  <c r="C19" i="11"/>
  <c r="C21" i="11"/>
  <c r="C29" i="11" l="1"/>
  <c r="C33" i="11" s="1"/>
  <c r="C26" i="2" s="1"/>
  <c r="D25" i="2"/>
  <c r="D24" i="2"/>
  <c r="D23" i="2"/>
  <c r="E27" i="11" l="1"/>
  <c r="F27" i="11"/>
  <c r="G27" i="11"/>
  <c r="E19" i="11"/>
  <c r="E21" i="11" s="1"/>
  <c r="F19" i="11"/>
  <c r="G19" i="11"/>
  <c r="E13" i="11"/>
  <c r="F13" i="11"/>
  <c r="G13" i="11"/>
  <c r="G21" i="11" s="1"/>
  <c r="B54" i="3"/>
  <c r="B49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B50" i="3" l="1"/>
  <c r="B53" i="3"/>
  <c r="E29" i="11"/>
  <c r="E33" i="11" s="1"/>
  <c r="C24" i="2" s="1"/>
  <c r="B55" i="3"/>
  <c r="G24" i="12"/>
  <c r="K24" i="12"/>
  <c r="G29" i="11"/>
  <c r="G33" i="11" s="1"/>
  <c r="F21" i="11"/>
  <c r="F29" i="11" s="1"/>
  <c r="F33" i="11" s="1"/>
  <c r="C23" i="2" s="1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F20" i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109" i="3"/>
  <c r="B113" i="3" s="1"/>
  <c r="B107" i="3"/>
  <c r="B96" i="3"/>
  <c r="B100" i="3" s="1"/>
  <c r="B94" i="3"/>
  <c r="B83" i="3"/>
  <c r="B87" i="3" s="1"/>
  <c r="B81" i="3"/>
  <c r="B70" i="3"/>
  <c r="B74" i="3" s="1"/>
  <c r="B67" i="3"/>
  <c r="B59" i="3"/>
  <c r="G41" i="12" l="1"/>
  <c r="I41" i="12"/>
  <c r="I25" i="12"/>
  <c r="I45" i="12" s="1"/>
  <c r="G45" i="12"/>
  <c r="B56" i="3"/>
  <c r="B110" i="3"/>
  <c r="B111" i="3" s="1"/>
  <c r="B97" i="3"/>
  <c r="B98" i="3" s="1"/>
  <c r="B71" i="3"/>
  <c r="B72" i="3" s="1"/>
  <c r="B84" i="3"/>
  <c r="B85" i="3" s="1"/>
  <c r="A125" i="4" l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07" i="4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89" i="4"/>
  <c r="A90" i="4" s="1"/>
  <c r="A91" i="4" s="1"/>
  <c r="A92" i="4" s="1"/>
  <c r="A88" i="4"/>
  <c r="A68" i="4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49" i="4"/>
  <c r="A50" i="4" s="1"/>
  <c r="A51" i="4" s="1"/>
  <c r="A52" i="4" s="1"/>
  <c r="A53" i="4" s="1"/>
  <c r="A54" i="4" s="1"/>
  <c r="A55" i="4" s="1"/>
  <c r="A56" i="4" s="1"/>
  <c r="D27" i="11"/>
  <c r="D19" i="11"/>
  <c r="D13" i="11"/>
  <c r="A57" i="4" l="1"/>
  <c r="A58" i="4" s="1"/>
  <c r="A59" i="4" s="1"/>
  <c r="A93" i="4"/>
  <c r="A94" i="4" s="1"/>
  <c r="D21" i="11"/>
  <c r="A95" i="4" l="1"/>
  <c r="A96" i="4" s="1"/>
  <c r="D29" i="11"/>
  <c r="E139" i="4"/>
  <c r="E121" i="4"/>
  <c r="E102" i="4"/>
  <c r="E82" i="4"/>
  <c r="E63" i="4"/>
  <c r="A97" i="4" l="1"/>
  <c r="A98" i="4" s="1"/>
  <c r="D33" i="11"/>
  <c r="C25" i="2" l="1"/>
  <c r="B57" i="3"/>
  <c r="A13" i="2" l="1"/>
  <c r="A14" i="2"/>
  <c r="A15" i="2"/>
  <c r="A16" i="2"/>
  <c r="F22" i="1" l="1"/>
  <c r="E26" i="2" l="1"/>
  <c r="E25" i="2"/>
  <c r="E24" i="2"/>
  <c r="E23" i="2"/>
  <c r="D61" i="4"/>
  <c r="B60" i="3" s="1"/>
  <c r="B61" i="3" s="1"/>
  <c r="D80" i="4"/>
  <c r="B75" i="3" s="1"/>
  <c r="B76" i="3" s="1"/>
  <c r="B24" i="2" s="1"/>
  <c r="B25" i="2" l="1"/>
  <c r="F25" i="2" s="1"/>
  <c r="D100" i="4"/>
  <c r="B88" i="3" s="1"/>
  <c r="B89" i="3" s="1"/>
  <c r="B23" i="2" s="1"/>
  <c r="D119" i="4"/>
  <c r="D137" i="4"/>
  <c r="B114" i="3" s="1"/>
  <c r="B115" i="3" s="1"/>
  <c r="B101" i="3" l="1"/>
  <c r="B102" i="3" s="1"/>
  <c r="F24" i="2"/>
  <c r="F26" i="2"/>
  <c r="F23" i="2" l="1"/>
  <c r="H23" i="2" l="1"/>
  <c r="B13" i="2" s="1"/>
  <c r="H27" i="2"/>
  <c r="H25" i="2"/>
  <c r="E15" i="2" s="1"/>
  <c r="H24" i="2"/>
  <c r="B14" i="2" s="1"/>
  <c r="C15" i="1" s="1"/>
  <c r="H26" i="2"/>
  <c r="B16" i="2" s="1"/>
  <c r="C16" i="1" s="1"/>
  <c r="C14" i="1" l="1"/>
  <c r="F17" i="2"/>
  <c r="B17" i="2"/>
  <c r="E17" i="2"/>
  <c r="C17" i="2"/>
  <c r="D17" i="2"/>
  <c r="E14" i="2"/>
  <c r="F15" i="1" s="1"/>
  <c r="D14" i="2"/>
  <c r="E15" i="1" s="1"/>
  <c r="F14" i="2"/>
  <c r="C14" i="2"/>
  <c r="D15" i="1" s="1"/>
  <c r="F16" i="2"/>
  <c r="C16" i="2"/>
  <c r="D16" i="1" s="1"/>
  <c r="D16" i="2"/>
  <c r="E16" i="1" s="1"/>
  <c r="E16" i="2"/>
  <c r="E13" i="2"/>
  <c r="F15" i="2"/>
  <c r="F13" i="2"/>
  <c r="C13" i="2"/>
  <c r="D13" i="2"/>
  <c r="D15" i="2"/>
  <c r="B15" i="2"/>
  <c r="C15" i="2"/>
  <c r="B19" i="2" l="1"/>
  <c r="D14" i="1"/>
  <c r="C19" i="2"/>
  <c r="F16" i="1"/>
  <c r="G16" i="1" s="1"/>
  <c r="F19" i="2"/>
  <c r="E14" i="1"/>
  <c r="D19" i="2"/>
  <c r="E19" i="2"/>
  <c r="F14" i="1"/>
  <c r="G14" i="1"/>
  <c r="G15" i="1"/>
  <c r="G18" i="1" l="1"/>
  <c r="F24" i="1" s="1"/>
  <c r="F25" i="1" s="1"/>
  <c r="G28" i="1" s="1"/>
  <c r="G31" i="1" s="1"/>
  <c r="G30" i="1" l="1"/>
  <c r="G32" i="1" s="1"/>
  <c r="G28" i="15" l="1"/>
  <c r="F29" i="15" s="1"/>
  <c r="F34" i="15" s="1"/>
  <c r="F35" i="15" s="1"/>
  <c r="E29" i="15" l="1"/>
  <c r="G29" i="15"/>
  <c r="G34" i="15" s="1"/>
  <c r="G35" i="15" s="1"/>
  <c r="E34" i="15"/>
  <c r="E35" i="15" s="1"/>
</calcChain>
</file>

<file path=xl/sharedStrings.xml><?xml version="1.0" encoding="utf-8"?>
<sst xmlns="http://schemas.openxmlformats.org/spreadsheetml/2006/main" count="438" uniqueCount="232">
  <si>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</si>
  <si>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</si>
  <si>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</si>
  <si>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</si>
  <si>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</si>
  <si>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</si>
  <si>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</si>
  <si>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</si>
  <si>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</si>
  <si>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</si>
  <si>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</si>
  <si>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</si>
  <si>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</si>
  <si>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</si>
  <si>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</si>
  <si>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</si>
  <si>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</si>
  <si>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</si>
  <si>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</si>
  <si>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</si>
  <si>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</si>
  <si>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</si>
  <si>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</si>
  <si>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</si>
  <si>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</si>
  <si>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</si>
  <si>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</si>
  <si>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</si>
  <si>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</si>
  <si>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</si>
  <si>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</si>
  <si>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</si>
  <si>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</si>
  <si>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</si>
  <si>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</si>
  <si>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</si>
  <si>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</si>
  <si>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</si>
  <si>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</si>
  <si>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</si>
  <si>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</si>
  <si>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</si>
  <si>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</si>
  <si>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</si>
  <si>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</si>
  <si>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</si>
  <si>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</si>
  <si>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</si>
  <si>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</si>
  <si>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</si>
  <si>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</si>
  <si>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</si>
  <si>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</si>
  <si>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</si>
  <si>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</si>
  <si>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</si>
  <si>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</si>
  <si>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</si>
  <si>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</si>
  <si>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</si>
  <si>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</si>
  <si>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</si>
  <si>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</si>
  <si>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</si>
  <si>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</si>
  <si>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</si>
  <si>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</si>
  <si>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</si>
  <si>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</si>
  <si>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</si>
  <si>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</si>
  <si>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</si>
  <si>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</si>
  <si>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</si>
  <si>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</si>
  <si>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</si>
  <si>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</si>
  <si>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</si>
  <si>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</si>
  <si>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</si>
  <si>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</si>
  <si>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</si>
  <si>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</si>
  <si>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</si>
  <si>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</si>
  <si>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</si>
  <si>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</si>
  <si>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</si>
  <si>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</si>
  <si>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</si>
  <si>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</si>
  <si>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</si>
  <si>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</si>
  <si>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</si>
  <si>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</si>
  <si>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</si>
  <si>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</si>
  <si>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</si>
  <si>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</si>
  <si>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</si>
  <si>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</si>
  <si>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</si>
  <si>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</si>
  <si>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</si>
  <si>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</si>
  <si>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</si>
  <si>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</si>
  <si>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</si>
  <si>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</si>
  <si>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</si>
  <si>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</si>
  <si>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</si>
  <si>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</si>
  <si>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</si>
  <si>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</si>
  <si>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</si>
  <si>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</si>
  <si>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</si>
  <si>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</si>
  <si>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</si>
  <si>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</si>
  <si>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</si>
  <si>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</si>
  <si>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</si>
  <si>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</si>
  <si>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</si>
  <si>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</si>
  <si>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</si>
  <si>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</si>
  <si>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</si>
  <si>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</si>
  <si>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</si>
  <si>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</si>
  <si>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</si>
  <si>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</si>
  <si>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</si>
  <si>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</si>
  <si>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</si>
  <si>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</si>
  <si>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</si>
  <si>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</si>
  <si>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</si>
  <si>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</si>
  <si>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</si>
  <si>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</si>
  <si>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</si>
  <si>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</si>
  <si>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</si>
  <si>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</si>
  <si>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</si>
  <si>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</si>
  <si>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</si>
  <si>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</si>
  <si>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</si>
  <si>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</si>
  <si>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</si>
  <si>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</si>
  <si>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</si>
  <si>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</si>
  <si>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</si>
  <si>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</si>
  <si>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</si>
  <si>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</si>
  <si>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</si>
  <si>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</si>
  <si>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</si>
  <si>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</si>
  <si>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</si>
  <si>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</si>
  <si>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</si>
  <si>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</si>
  <si>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</si>
  <si>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</si>
  <si>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</si>
  <si>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</si>
  <si>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</si>
  <si>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</si>
  <si>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</si>
  <si>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</si>
  <si>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</si>
  <si>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</si>
  <si>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</si>
  <si>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</si>
  <si>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</si>
  <si>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</si>
  <si>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</si>
  <si>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</si>
  <si>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</si>
  <si>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</si>
  <si>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</si>
  <si>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</si>
  <si>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</si>
  <si>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</si>
  <si>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</si>
  <si>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</si>
  <si>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</si>
  <si>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</si>
  <si>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</si>
  <si>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</si>
  <si>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</si>
  <si>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</si>
  <si>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</si>
  <si>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</si>
  <si>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</si>
  <si>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</si>
  <si>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</si>
  <si>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</si>
  <si>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</si>
  <si>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</si>
  <si>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</si>
  <si>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</si>
  <si>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</si>
  <si>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</si>
  <si>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</si>
  <si>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</si>
  <si>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</si>
  <si>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</si>
  <si>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</si>
  <si>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</si>
  <si>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</si>
  <si>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</si>
  <si>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</si>
  <si>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</si>
  <si>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</si>
  <si>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</si>
  <si>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</si>
  <si>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</si>
  <si>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</si>
  <si>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TWELVE MONTHS ENDED AUGUST 31,  2020, 2019, 2018, 2017, 2016, 2015</t>
  </si>
  <si>
    <t>12 ME 12/01/2020 AND 8/31/2020</t>
  </si>
  <si>
    <t>Net write-off for 12ME December 200</t>
  </si>
  <si>
    <t>Net write-off for 12ME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</si>
</sst>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</fonts>
  <fills count="1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037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3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3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4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0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40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40" fillId="5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3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40" fillId="4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4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0" fillId="45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4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14" borderId="0" applyNumberFormat="0" applyBorder="0" applyAlignment="0" applyProtection="0"/>
    <xf numFmtId="0" fontId="42" fillId="5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1" fillId="40" borderId="0" applyNumberFormat="0" applyBorder="0" applyAlignment="0" applyProtection="0"/>
    <xf numFmtId="0" fontId="42" fillId="54" borderId="0" applyNumberFormat="0" applyBorder="0" applyAlignment="0" applyProtection="0"/>
    <xf numFmtId="0" fontId="30" fillId="18" borderId="0" applyNumberFormat="0" applyBorder="0" applyAlignment="0" applyProtection="0"/>
    <xf numFmtId="0" fontId="42" fillId="4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1" fillId="49" borderId="0" applyNumberFormat="0" applyBorder="0" applyAlignment="0" applyProtection="0"/>
    <xf numFmtId="0" fontId="42" fillId="52" borderId="0" applyNumberFormat="0" applyBorder="0" applyAlignment="0" applyProtection="0"/>
    <xf numFmtId="0" fontId="30" fillId="22" borderId="0" applyNumberFormat="0" applyBorder="0" applyAlignment="0" applyProtection="0"/>
    <xf numFmtId="0" fontId="42" fillId="4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30" fillId="26" borderId="0" applyNumberFormat="0" applyBorder="0" applyAlignment="0" applyProtection="0"/>
    <xf numFmtId="0" fontId="42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30" borderId="0" applyNumberFormat="0" applyBorder="0" applyAlignment="0" applyProtection="0"/>
    <xf numFmtId="0" fontId="42" fillId="5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1" fillId="45" borderId="0" applyNumberFormat="0" applyBorder="0" applyAlignment="0" applyProtection="0"/>
    <xf numFmtId="0" fontId="42" fillId="40" borderId="0" applyNumberFormat="0" applyBorder="0" applyAlignment="0" applyProtection="0"/>
    <xf numFmtId="0" fontId="30" fillId="34" borderId="0" applyNumberFormat="0" applyBorder="0" applyAlignment="0" applyProtection="0"/>
    <xf numFmtId="0" fontId="42" fillId="5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6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2" fillId="66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2" fillId="71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4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42" fillId="7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5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7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5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73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9" fillId="74" borderId="0" applyNumberFormat="0" applyBorder="0" applyAlignment="0" applyProtection="0"/>
    <xf numFmtId="0" fontId="39" fillId="65" borderId="0" applyNumberFormat="0" applyBorder="0" applyAlignment="0" applyProtection="0"/>
    <xf numFmtId="0" fontId="42" fillId="7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54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7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3" fillId="65" borderId="0" applyNumberFormat="0" applyBorder="0" applyAlignment="0" applyProtection="0"/>
    <xf numFmtId="0" fontId="44" fillId="43" borderId="0" applyNumberFormat="0" applyBorder="0" applyAlignment="0" applyProtection="0"/>
    <xf numFmtId="0" fontId="22" fillId="5" borderId="0" applyNumberFormat="0" applyBorder="0" applyAlignment="0" applyProtection="0"/>
    <xf numFmtId="0" fontId="44" fillId="39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7" borderId="27" applyNumberFormat="0" applyAlignment="0" applyProtection="0"/>
    <xf numFmtId="0" fontId="47" fillId="44" borderId="27" applyNumberFormat="0" applyAlignment="0" applyProtection="0"/>
    <xf numFmtId="0" fontId="26" fillId="8" borderId="21" applyNumberFormat="0" applyAlignment="0" applyProtection="0"/>
    <xf numFmtId="0" fontId="48" fillId="51" borderId="27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49" fillId="66" borderId="28" applyNumberFormat="0" applyAlignment="0" applyProtection="0"/>
    <xf numFmtId="0" fontId="28" fillId="9" borderId="24" applyNumberFormat="0" applyAlignment="0" applyProtection="0"/>
    <xf numFmtId="0" fontId="49" fillId="78" borderId="28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41" fontId="3" fillId="79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3" borderId="0" applyNumberFormat="0" applyBorder="0" applyAlignment="0" applyProtection="0"/>
    <xf numFmtId="0" fontId="61" fillId="46" borderId="0" applyNumberFormat="0" applyBorder="0" applyAlignment="0" applyProtection="0"/>
    <xf numFmtId="0" fontId="21" fillId="4" borderId="0" applyNumberFormat="0" applyBorder="0" applyAlignment="0" applyProtection="0"/>
    <xf numFmtId="0" fontId="61" fillId="41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4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4" borderId="30">
      <alignment horizontal="center" vertical="center" wrapText="1"/>
    </xf>
    <xf numFmtId="38" fontId="70" fillId="0" borderId="0"/>
    <xf numFmtId="40" fontId="70" fillId="0" borderId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2" fillId="75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41" fontId="73" fillId="86" borderId="39">
      <alignment horizontal="left"/>
      <protection locked="0"/>
    </xf>
    <xf numFmtId="10" fontId="73" fillId="86" borderId="39">
      <alignment horizontal="right"/>
      <protection locked="0"/>
    </xf>
    <xf numFmtId="41" fontId="73" fillId="86" borderId="39">
      <alignment horizontal="left"/>
      <protection locked="0"/>
    </xf>
    <xf numFmtId="0" fontId="62" fillId="79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5" borderId="0" applyNumberFormat="0" applyBorder="0" applyAlignment="0" applyProtection="0"/>
    <xf numFmtId="0" fontId="79" fillId="50" borderId="0" applyNumberFormat="0" applyBorder="0" applyAlignment="0" applyProtection="0"/>
    <xf numFmtId="0" fontId="23" fillId="6" borderId="0" applyNumberFormat="0" applyBorder="0" applyAlignment="0" applyProtection="0"/>
    <xf numFmtId="0" fontId="78" fillId="5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" fillId="42" borderId="4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" fillId="74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83" fillId="77" borderId="46" applyNumberFormat="0" applyAlignment="0" applyProtection="0"/>
    <xf numFmtId="0" fontId="83" fillId="44" borderId="46" applyNumberFormat="0" applyAlignment="0" applyProtection="0"/>
    <xf numFmtId="0" fontId="25" fillId="8" borderId="22" applyNumberFormat="0" applyAlignment="0" applyProtection="0"/>
    <xf numFmtId="0" fontId="83" fillId="51" borderId="46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7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8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5" borderId="0"/>
    <xf numFmtId="42" fontId="3" fillId="85" borderId="3">
      <alignment vertical="center"/>
    </xf>
    <xf numFmtId="0" fontId="4" fillId="85" borderId="4" applyNumberFormat="0">
      <alignment horizontal="center" vertical="center" wrapText="1"/>
    </xf>
    <xf numFmtId="10" fontId="3" fillId="85" borderId="0"/>
    <xf numFmtId="188" fontId="3" fillId="85" borderId="0"/>
    <xf numFmtId="165" fontId="70" fillId="0" borderId="0" applyBorder="0" applyAlignment="0"/>
    <xf numFmtId="42" fontId="3" fillId="85" borderId="47">
      <alignment horizontal="left"/>
    </xf>
    <xf numFmtId="188" fontId="87" fillId="85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50" borderId="48" applyNumberFormat="0" applyProtection="0">
      <alignment vertical="center"/>
    </xf>
    <xf numFmtId="4" fontId="88" fillId="50" borderId="48" applyNumberFormat="0" applyProtection="0">
      <alignment vertical="center"/>
    </xf>
    <xf numFmtId="4" fontId="40" fillId="86" borderId="46" applyNumberFormat="0" applyProtection="0">
      <alignment vertical="center"/>
    </xf>
    <xf numFmtId="4" fontId="62" fillId="50" borderId="49" applyNumberFormat="0" applyProtection="0">
      <alignment vertical="center"/>
    </xf>
    <xf numFmtId="4" fontId="89" fillId="86" borderId="48" applyNumberFormat="0" applyProtection="0">
      <alignment vertical="center"/>
    </xf>
    <xf numFmtId="4" fontId="89" fillId="86" borderId="48" applyNumberFormat="0" applyProtection="0">
      <alignment vertical="center"/>
    </xf>
    <xf numFmtId="4" fontId="90" fillId="86" borderId="46" applyNumberFormat="0" applyProtection="0">
      <alignment vertical="center"/>
    </xf>
    <xf numFmtId="4" fontId="88" fillId="86" borderId="48" applyNumberFormat="0" applyProtection="0">
      <alignment horizontal="left" vertical="center" indent="1"/>
    </xf>
    <xf numFmtId="4" fontId="88" fillId="86" borderId="48" applyNumberFormat="0" applyProtection="0">
      <alignment horizontal="left" vertical="center" indent="1"/>
    </xf>
    <xf numFmtId="4" fontId="40" fillId="86" borderId="46" applyNumberFormat="0" applyProtection="0">
      <alignment horizontal="left" vertical="center" indent="1"/>
    </xf>
    <xf numFmtId="4" fontId="62" fillId="86" borderId="49" applyNumberFormat="0" applyProtection="0">
      <alignment horizontal="left" vertical="center" indent="1"/>
    </xf>
    <xf numFmtId="0" fontId="88" fillId="86" borderId="48" applyNumberFormat="0" applyProtection="0">
      <alignment horizontal="left" vertical="top" indent="1"/>
    </xf>
    <xf numFmtId="0" fontId="88" fillId="86" borderId="48" applyNumberFormat="0" applyProtection="0">
      <alignment horizontal="left" vertical="top" indent="1"/>
    </xf>
    <xf numFmtId="4" fontId="40" fillId="86" borderId="46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0" borderId="0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4" fontId="40" fillId="39" borderId="48" applyNumberFormat="0" applyProtection="0">
      <alignment horizontal="right" vertical="center"/>
    </xf>
    <xf numFmtId="4" fontId="40" fillId="39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97" borderId="46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100" borderId="46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101" borderId="46" applyNumberFormat="0" applyProtection="0">
      <alignment horizontal="right" vertical="center"/>
    </xf>
    <xf numFmtId="4" fontId="88" fillId="102" borderId="50" applyNumberFormat="0" applyProtection="0">
      <alignment horizontal="left" vertical="center" indent="1"/>
    </xf>
    <xf numFmtId="4" fontId="88" fillId="102" borderId="50" applyNumberFormat="0" applyProtection="0">
      <alignment horizontal="left" vertical="center" indent="1"/>
    </xf>
    <xf numFmtId="4" fontId="88" fillId="103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51" applyNumberFormat="0" applyProtection="0">
      <alignment horizontal="left" vertical="center" indent="1"/>
    </xf>
    <xf numFmtId="4" fontId="91" fillId="106" borderId="0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0" fontId="3" fillId="91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107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62" fillId="51" borderId="49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107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108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top" indent="1"/>
    </xf>
    <xf numFmtId="0" fontId="3" fillId="89" borderId="48" applyNumberFormat="0" applyProtection="0">
      <alignment horizontal="left" vertical="top" indent="1"/>
    </xf>
    <xf numFmtId="0" fontId="3" fillId="108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79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top" indent="1"/>
    </xf>
    <xf numFmtId="0" fontId="3" fillId="109" borderId="48" applyNumberFormat="0" applyProtection="0">
      <alignment horizontal="left" vertical="top" indent="1"/>
    </xf>
    <xf numFmtId="0" fontId="3" fillId="79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0" fontId="62" fillId="104" borderId="49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0" fontId="3" fillId="44" borderId="2" applyNumberFormat="0">
      <protection locked="0"/>
    </xf>
    <xf numFmtId="0" fontId="70" fillId="47" borderId="52" applyBorder="0"/>
    <xf numFmtId="4" fontId="40" fillId="110" borderId="48" applyNumberFormat="0" applyProtection="0">
      <alignment vertical="center"/>
    </xf>
    <xf numFmtId="4" fontId="40" fillId="110" borderId="48" applyNumberFormat="0" applyProtection="0">
      <alignment vertical="center"/>
    </xf>
    <xf numFmtId="4" fontId="40" fillId="110" borderId="46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6" applyNumberFormat="0" applyProtection="0">
      <alignment vertical="center"/>
    </xf>
    <xf numFmtId="4" fontId="40" fillId="110" borderId="48" applyNumberFormat="0" applyProtection="0">
      <alignment horizontal="left" vertical="center" indent="1"/>
    </xf>
    <xf numFmtId="4" fontId="40" fillId="110" borderId="48" applyNumberFormat="0" applyProtection="0">
      <alignment horizontal="left" vertical="center" indent="1"/>
    </xf>
    <xf numFmtId="4" fontId="40" fillId="110" borderId="46" applyNumberFormat="0" applyProtection="0">
      <alignment horizontal="left" vertical="center" indent="1"/>
    </xf>
    <xf numFmtId="0" fontId="40" fillId="110" borderId="48" applyNumberFormat="0" applyProtection="0">
      <alignment horizontal="left" vertical="top" indent="1"/>
    </xf>
    <xf numFmtId="0" fontId="40" fillId="110" borderId="48" applyNumberFormat="0" applyProtection="0">
      <alignment horizontal="left" vertical="top" indent="1"/>
    </xf>
    <xf numFmtId="4" fontId="40" fillId="110" borderId="46" applyNumberFormat="0" applyProtection="0">
      <alignment horizontal="left" vertical="center" indent="1"/>
    </xf>
    <xf numFmtId="4" fontId="40" fillId="104" borderId="48" applyNumberFormat="0" applyProtection="0">
      <alignment horizontal="right" vertical="center"/>
    </xf>
    <xf numFmtId="4" fontId="40" fillId="104" borderId="48" applyNumberFormat="0" applyProtection="0">
      <alignment horizontal="right" vertical="center"/>
    </xf>
    <xf numFmtId="4" fontId="40" fillId="105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5" borderId="46" applyNumberFormat="0" applyProtection="0">
      <alignment horizontal="right" vertical="center"/>
    </xf>
    <xf numFmtId="4" fontId="40" fillId="37" borderId="48" applyNumberFormat="0" applyProtection="0">
      <alignment horizontal="left" vertical="center" indent="1"/>
    </xf>
    <xf numFmtId="4" fontId="40" fillId="3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0" fontId="40" fillId="89" borderId="48" applyNumberFormat="0" applyProtection="0">
      <alignment horizontal="left" vertical="top" indent="1"/>
    </xf>
    <xf numFmtId="0" fontId="40" fillId="89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0" fontId="93" fillId="0" borderId="0"/>
    <xf numFmtId="0" fontId="62" fillId="112" borderId="2"/>
    <xf numFmtId="4" fontId="94" fillId="104" borderId="48" applyNumberFormat="0" applyProtection="0">
      <alignment horizontal="right" vertical="center"/>
    </xf>
    <xf numFmtId="4" fontId="94" fillId="104" borderId="48" applyNumberFormat="0" applyProtection="0">
      <alignment horizontal="right" vertical="center"/>
    </xf>
    <xf numFmtId="4" fontId="94" fillId="105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4" borderId="55" applyNumberFormat="0" applyAlignment="0" applyProtection="0">
      <alignment horizontal="left" vertical="center" indent="1"/>
    </xf>
    <xf numFmtId="0" fontId="99" fillId="114" borderId="55" applyNumberFormat="0" applyAlignment="0" applyProtection="0">
      <alignment horizontal="left" vertical="center" indent="1"/>
    </xf>
    <xf numFmtId="190" fontId="100" fillId="115" borderId="54" applyNumberFormat="0" applyBorder="0" applyProtection="0">
      <alignment horizontal="right" vertical="center"/>
    </xf>
    <xf numFmtId="190" fontId="101" fillId="115" borderId="55" applyNumberFormat="0" applyBorder="0" applyProtection="0">
      <alignment horizontal="right" vertical="center"/>
    </xf>
    <xf numFmtId="0" fontId="99" fillId="116" borderId="55" applyNumberFormat="0" applyAlignment="0" applyProtection="0">
      <alignment horizontal="left" vertical="center" indent="1"/>
    </xf>
    <xf numFmtId="190" fontId="101" fillId="116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7" borderId="57" applyNumberFormat="0" applyBorder="0" applyAlignment="0" applyProtection="0">
      <alignment horizontal="right" vertical="center" indent="1"/>
    </xf>
    <xf numFmtId="190" fontId="104" fillId="118" borderId="57" applyNumberFormat="0" applyBorder="0" applyAlignment="0" applyProtection="0">
      <alignment horizontal="right" vertical="center" indent="1"/>
    </xf>
    <xf numFmtId="190" fontId="104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5" fillId="121" borderId="57" applyNumberFormat="0" applyBorder="0" applyAlignment="0" applyProtection="0">
      <alignment horizontal="right" vertical="center" indent="1"/>
    </xf>
    <xf numFmtId="190" fontId="105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190" fontId="106" fillId="124" borderId="57" applyNumberFormat="0" applyBorder="0" applyAlignment="0" applyProtection="0">
      <alignment horizontal="right" vertical="center" indent="1"/>
    </xf>
    <xf numFmtId="190" fontId="106" fillId="125" borderId="57" applyNumberFormat="0" applyBorder="0" applyAlignment="0" applyProtection="0">
      <alignment horizontal="righ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27" borderId="53" applyNumberFormat="0" applyAlignment="0" applyProtection="0">
      <alignment horizontal="left" vertical="center" indent="1"/>
    </xf>
    <xf numFmtId="0" fontId="98" fillId="128" borderId="53" applyNumberFormat="0" applyAlignment="0" applyProtection="0">
      <alignment horizontal="left" vertical="center" indent="1"/>
    </xf>
    <xf numFmtId="0" fontId="98" fillId="115" borderId="53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6" fillId="115" borderId="54" applyNumberFormat="0" applyBorder="0" applyProtection="0">
      <alignment horizontal="right" vertical="center"/>
    </xf>
    <xf numFmtId="190" fontId="97" fillId="115" borderId="55" applyNumberFormat="0" applyBorder="0" applyProtection="0">
      <alignment horizontal="right" vertical="center"/>
    </xf>
    <xf numFmtId="190" fontId="96" fillId="129" borderId="53" applyNumberFormat="0" applyAlignment="0" applyProtection="0">
      <alignment horizontal="left" vertical="center" indent="1"/>
    </xf>
    <xf numFmtId="0" fontId="97" fillId="113" borderId="55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7" fillId="116" borderId="55" applyNumberFormat="0" applyProtection="0">
      <alignment horizontal="right" vertical="center"/>
    </xf>
    <xf numFmtId="39" fontId="3" fillId="130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31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5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5" borderId="0">
      <alignment horizontal="left" vertical="center"/>
    </xf>
    <xf numFmtId="0" fontId="4" fillId="85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</cellStyleXfs>
  <cellXfs count="291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/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169" fontId="7" fillId="0" borderId="0" xfId="0" applyNumberFormat="1" applyFont="1" applyFill="1" applyAlignment="1" applyProtection="1"/>
    <xf numFmtId="166" fontId="11" fillId="0" borderId="0" xfId="0" quotePrefix="1" applyNumberFormat="1" applyFont="1" applyFill="1" applyBorder="1" applyAlignment="1">
      <alignment horizontal="left"/>
    </xf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7" fillId="0" borderId="0" xfId="0" applyNumberFormat="1" applyFont="1" applyFill="1" applyBorder="1" applyAlignment="1" applyProtection="1"/>
    <xf numFmtId="169" fontId="7" fillId="0" borderId="4" xfId="0" applyNumberFormat="1" applyFont="1" applyFill="1" applyBorder="1" applyAlignment="1" applyProtection="1"/>
    <xf numFmtId="44" fontId="7" fillId="0" borderId="0" xfId="0" applyNumberFormat="1" applyFont="1" applyFill="1" applyAlignment="1" applyProtection="1"/>
    <xf numFmtId="0" fontId="8" fillId="0" borderId="0" xfId="0" applyFont="1" applyFill="1" applyProtection="1"/>
    <xf numFmtId="44" fontId="7" fillId="0" borderId="14" xfId="0" applyNumberFormat="1" applyFont="1" applyFill="1" applyBorder="1" applyAlignment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3" fillId="0" borderId="4" xfId="0" applyFont="1" applyBorder="1" applyAlignment="1" applyProtection="1">
      <alignment horizontal="center"/>
    </xf>
    <xf numFmtId="41" fontId="8" fillId="0" borderId="9" xfId="0" applyNumberFormat="1" applyFont="1" applyFill="1" applyBorder="1"/>
    <xf numFmtId="0" fontId="15" fillId="3" borderId="0" xfId="0" applyFont="1" applyFill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15" fillId="3" borderId="8" xfId="0" applyNumberFormat="1" applyFont="1" applyFill="1" applyBorder="1" applyAlignment="1">
      <alignment horizontal="left" indent="1"/>
    </xf>
    <xf numFmtId="174" fontId="15" fillId="3" borderId="8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15" fillId="3" borderId="8" xfId="0" applyNumberFormat="1" applyFont="1" applyFill="1" applyBorder="1" applyAlignment="1">
      <alignment horizontal="left"/>
    </xf>
    <xf numFmtId="43" fontId="15" fillId="3" borderId="0" xfId="2" applyFont="1" applyFill="1"/>
    <xf numFmtId="43" fontId="0" fillId="0" borderId="0" xfId="2" applyFont="1"/>
    <xf numFmtId="49" fontId="15" fillId="3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3" applyNumberFormat="1" applyFont="1"/>
    <xf numFmtId="43" fontId="0" fillId="0" borderId="0" xfId="0" applyNumberFormat="1"/>
    <xf numFmtId="44" fontId="0" fillId="0" borderId="3" xfId="0" applyNumberFormat="1" applyBorder="1"/>
    <xf numFmtId="165" fontId="8" fillId="0" borderId="4" xfId="0" applyNumberFormat="1" applyFont="1" applyFill="1" applyBorder="1" applyAlignment="1">
      <alignment horizontal="center"/>
    </xf>
    <xf numFmtId="39" fontId="31" fillId="0" borderId="0" xfId="0" applyNumberFormat="1" applyFont="1"/>
    <xf numFmtId="39" fontId="31" fillId="35" borderId="0" xfId="0" applyNumberFormat="1" applyFont="1" applyFill="1"/>
    <xf numFmtId="4" fontId="0" fillId="0" borderId="0" xfId="0" applyNumberFormat="1"/>
    <xf numFmtId="44" fontId="7" fillId="0" borderId="17" xfId="0" applyNumberFormat="1" applyFont="1" applyFill="1" applyBorder="1" applyAlignment="1" applyProtection="1"/>
    <xf numFmtId="173" fontId="7" fillId="0" borderId="17" xfId="0" applyNumberFormat="1" applyFont="1" applyFill="1" applyBorder="1" applyAlignment="1" applyProtection="1"/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37" fontId="7" fillId="0" borderId="6" xfId="0" applyNumberFormat="1" applyFont="1" applyFill="1" applyBorder="1"/>
    <xf numFmtId="41" fontId="7" fillId="0" borderId="7" xfId="1" applyNumberFormat="1" applyFont="1" applyFill="1" applyBorder="1"/>
    <xf numFmtId="41" fontId="6" fillId="0" borderId="2" xfId="1" applyNumberFormat="1" applyFont="1" applyFill="1" applyBorder="1" applyAlignment="1">
      <alignment horizontal="center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2" borderId="2" xfId="0" applyNumberFormat="1" applyFont="1" applyFill="1" applyBorder="1" applyAlignment="1">
      <alignment horizontal="left"/>
    </xf>
    <xf numFmtId="41" fontId="7" fillId="132" borderId="2" xfId="1" applyNumberFormat="1" applyFont="1" applyFill="1" applyBorder="1"/>
    <xf numFmtId="37" fontId="7" fillId="132" borderId="0" xfId="0" applyNumberFormat="1" applyFont="1" applyFill="1" applyBorder="1" applyAlignment="1">
      <alignment horizontal="left"/>
    </xf>
    <xf numFmtId="41" fontId="7" fillId="132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44" fontId="7" fillId="0" borderId="0" xfId="0" applyNumberFormat="1" applyFont="1" applyFill="1" applyAlignment="1" applyProtection="1">
      <alignment horizontal="right"/>
    </xf>
    <xf numFmtId="43" fontId="7" fillId="0" borderId="4" xfId="0" applyNumberFormat="1" applyFont="1" applyFill="1" applyBorder="1" applyAlignment="1" applyProtection="1">
      <alignment horizontal="right"/>
    </xf>
    <xf numFmtId="0" fontId="3" fillId="0" borderId="0" xfId="9384" applyNumberFormat="1" applyFont="1" applyFill="1" applyAlignment="1"/>
    <xf numFmtId="0" fontId="3" fillId="0" borderId="0" xfId="9384" applyNumberFormat="1" applyFont="1" applyFill="1" applyAlignment="1">
      <alignment horizontal="center"/>
    </xf>
    <xf numFmtId="0" fontId="4" fillId="0" borderId="0" xfId="9384" applyNumberFormat="1" applyFont="1" applyFill="1" applyBorder="1" applyAlignment="1">
      <alignment horizontal="centerContinuous"/>
    </xf>
    <xf numFmtId="0" fontId="4" fillId="0" borderId="0" xfId="9384" applyNumberFormat="1" applyFont="1" applyFill="1" applyAlignment="1">
      <alignment horizontal="centerContinuous" vertical="center"/>
    </xf>
    <xf numFmtId="0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center"/>
    </xf>
    <xf numFmtId="0" fontId="8" fillId="0" borderId="4" xfId="9384" applyNumberFormat="1" applyFont="1" applyFill="1" applyBorder="1" applyAlignment="1">
      <alignment horizontal="center"/>
    </xf>
    <xf numFmtId="0" fontId="33" fillId="0" borderId="0" xfId="9384" applyNumberFormat="1" applyFont="1" applyFill="1" applyAlignment="1">
      <alignment horizontal="center"/>
    </xf>
    <xf numFmtId="0" fontId="8" fillId="0" borderId="0" xfId="9384" applyNumberFormat="1" applyFont="1" applyFill="1" applyAlignment="1">
      <alignment horizontal="center"/>
    </xf>
    <xf numFmtId="0" fontId="9" fillId="0" borderId="0" xfId="9384" applyNumberFormat="1" applyFont="1" applyFill="1" applyAlignment="1"/>
    <xf numFmtId="165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/>
    </xf>
    <xf numFmtId="10" fontId="7" fillId="0" borderId="0" xfId="9384" applyNumberFormat="1" applyFont="1" applyFill="1" applyAlignment="1"/>
    <xf numFmtId="14" fontId="7" fillId="0" borderId="0" xfId="9384" applyNumberFormat="1" applyFont="1" applyFill="1" applyAlignment="1">
      <alignment horizontal="center"/>
    </xf>
    <xf numFmtId="3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 wrapText="1"/>
    </xf>
    <xf numFmtId="41" fontId="7" fillId="0" borderId="0" xfId="9384" applyNumberFormat="1" applyFont="1" applyFill="1" applyAlignment="1"/>
    <xf numFmtId="0" fontId="33" fillId="0" borderId="0" xfId="9384" applyNumberFormat="1" applyFont="1" applyFill="1" applyBorder="1" applyAlignment="1">
      <alignment horizontal="center"/>
    </xf>
    <xf numFmtId="42" fontId="7" fillId="0" borderId="0" xfId="9384" applyNumberFormat="1" applyFont="1" applyFill="1" applyAlignment="1"/>
    <xf numFmtId="171" fontId="7" fillId="0" borderId="0" xfId="9384" applyNumberFormat="1" applyFont="1" applyFill="1" applyAlignment="1"/>
    <xf numFmtId="10" fontId="7" fillId="0" borderId="63" xfId="9384" applyNumberFormat="1" applyFont="1" applyFill="1" applyBorder="1" applyAlignment="1"/>
    <xf numFmtId="0" fontId="35" fillId="0" borderId="0" xfId="9384" applyNumberFormat="1" applyFont="1" applyFill="1" applyAlignment="1">
      <alignment horizontal="center"/>
    </xf>
    <xf numFmtId="14" fontId="33" fillId="0" borderId="0" xfId="9384" applyNumberFormat="1" applyFont="1" applyFill="1" applyAlignment="1">
      <alignment horizontal="center"/>
    </xf>
    <xf numFmtId="0" fontId="7" fillId="0" borderId="0" xfId="9384" applyNumberFormat="1" applyFont="1" applyFill="1" applyBorder="1" applyAlignment="1"/>
    <xf numFmtId="10" fontId="7" fillId="0" borderId="3" xfId="9384" applyNumberFormat="1" applyFont="1" applyFill="1" applyBorder="1" applyAlignment="1"/>
    <xf numFmtId="42" fontId="7" fillId="0" borderId="3" xfId="9384" applyNumberFormat="1" applyFont="1" applyFill="1" applyBorder="1" applyAlignment="1"/>
    <xf numFmtId="43" fontId="7" fillId="0" borderId="0" xfId="0" applyNumberFormat="1" applyFont="1" applyFill="1" applyBorder="1" applyAlignment="1" applyProtection="1">
      <alignment horizontal="right"/>
    </xf>
    <xf numFmtId="37" fontId="9" fillId="0" borderId="6" xfId="0" applyNumberFormat="1" applyFont="1" applyFill="1" applyBorder="1"/>
    <xf numFmtId="37" fontId="7" fillId="0" borderId="64" xfId="0" applyNumberFormat="1" applyFont="1" applyFill="1" applyBorder="1" applyAlignment="1">
      <alignment horizontal="left"/>
    </xf>
    <xf numFmtId="37" fontId="7" fillId="0" borderId="65" xfId="0" applyNumberFormat="1" applyFont="1" applyFill="1" applyBorder="1"/>
    <xf numFmtId="41" fontId="8" fillId="0" borderId="2" xfId="0" applyNumberFormat="1" applyFont="1" applyFill="1" applyBorder="1"/>
    <xf numFmtId="0" fontId="32" fillId="0" borderId="0" xfId="9384" applyNumberFormat="1" applyFill="1" applyAlignment="1"/>
    <xf numFmtId="165" fontId="32" fillId="0" borderId="0" xfId="9384" applyNumberFormat="1" applyFill="1" applyAlignment="1"/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</cellXfs>
  <cellStyles count="12037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62</xdr:row>
      <xdr:rowOff>0</xdr:rowOff>
    </xdr:from>
    <xdr:to>
      <xdr:col>8</xdr:col>
      <xdr:colOff>320353</xdr:colOff>
      <xdr:row>77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8</xdr:col>
      <xdr:colOff>335595</xdr:colOff>
      <xdr:row>91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8</xdr:col>
      <xdr:colOff>312733</xdr:colOff>
      <xdr:row>106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8</xdr:col>
      <xdr:colOff>343215</xdr:colOff>
      <xdr:row>121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44</xdr:row>
      <xdr:rowOff>1</xdr:rowOff>
    </xdr:from>
    <xdr:to>
      <xdr:col>9</xdr:col>
      <xdr:colOff>152401</xdr:colOff>
      <xdr:row>59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44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  <xdr:twoCellAnchor editAs="oneCell">
    <xdr:from>
      <xdr:col>2</xdr:col>
      <xdr:colOff>493090</xdr:colOff>
      <xdr:row>0</xdr:row>
      <xdr:rowOff>160020</xdr:rowOff>
    </xdr:from>
    <xdr:to>
      <xdr:col>9</xdr:col>
      <xdr:colOff>482872</xdr:colOff>
      <xdr:row>12</xdr:row>
      <xdr:rowOff>113824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07990" y="160020"/>
          <a:ext cx="4500822" cy="2148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1035223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9">
          <cell r="B9">
            <v>2108413255.02</v>
          </cell>
        </row>
        <row r="12">
          <cell r="C12">
            <v>26264386.190000001</v>
          </cell>
        </row>
        <row r="13">
          <cell r="C13">
            <v>980913341.17999995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  <sheetName val="Variances"/>
    </sheetNames>
    <sheetDataSet>
      <sheetData sheetId="0">
        <row r="8">
          <cell r="E8">
            <v>1181577</v>
          </cell>
          <cell r="F8">
            <v>850720</v>
          </cell>
        </row>
        <row r="11">
          <cell r="E11">
            <v>813535</v>
          </cell>
          <cell r="F11">
            <v>486000</v>
          </cell>
        </row>
        <row r="15">
          <cell r="E15">
            <v>4405569600</v>
          </cell>
          <cell r="F15">
            <v>4221953175</v>
          </cell>
        </row>
        <row r="16">
          <cell r="E16">
            <v>1641489956</v>
          </cell>
          <cell r="F16">
            <v>0</v>
          </cell>
        </row>
        <row r="17">
          <cell r="E17">
            <v>238218585</v>
          </cell>
          <cell r="F17">
            <v>42710271</v>
          </cell>
        </row>
        <row r="22">
          <cell r="E22">
            <v>1181577</v>
          </cell>
          <cell r="F22">
            <v>850720</v>
          </cell>
        </row>
        <row r="25">
          <cell r="E25">
            <v>59768671.730000004</v>
          </cell>
          <cell r="F25">
            <v>26253908.610000003</v>
          </cell>
        </row>
        <row r="28">
          <cell r="E28">
            <v>75670569.030000031</v>
          </cell>
          <cell r="F28">
            <v>34119707.200000003</v>
          </cell>
        </row>
        <row r="31">
          <cell r="E31">
            <v>5608994657.9250002</v>
          </cell>
          <cell r="F31">
            <v>2583606244.715416</v>
          </cell>
        </row>
        <row r="38">
          <cell r="E38">
            <v>67067413.680000007</v>
          </cell>
          <cell r="F38">
            <v>27486340.700000003</v>
          </cell>
        </row>
        <row r="43">
          <cell r="F43">
            <v>148057613.35000002</v>
          </cell>
        </row>
        <row r="44">
          <cell r="F44">
            <v>4371320.9000000004</v>
          </cell>
        </row>
        <row r="45">
          <cell r="F45">
            <v>149218175.81999999</v>
          </cell>
        </row>
      </sheetData>
      <sheetData sheetId="1"/>
      <sheetData sheetId="2"/>
      <sheetData sheetId="3"/>
      <sheetData sheetId="4"/>
      <sheetData sheetId="5">
        <row r="15">
          <cell r="H15">
            <v>0.49083053809347571</v>
          </cell>
        </row>
        <row r="16">
          <cell r="H16">
            <v>1.4491505981892531E-2</v>
          </cell>
        </row>
        <row r="17">
          <cell r="H17">
            <v>0.49467795592463165</v>
          </cell>
        </row>
        <row r="18">
          <cell r="G18">
            <v>301647110.07000005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F26" sqref="F26"/>
    </sheetView>
  </sheetViews>
  <sheetFormatPr defaultRowHeight="14.4"/>
  <cols>
    <col min="2" max="2" width="36.33203125" customWidth="1"/>
    <col min="3" max="3" width="14.6640625" bestFit="1" customWidth="1"/>
    <col min="4" max="4" width="15.109375" bestFit="1" customWidth="1"/>
    <col min="5" max="5" width="14.6640625" bestFit="1" customWidth="1"/>
    <col min="6" max="6" width="15.10937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5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227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6" t="s">
        <v>99</v>
      </c>
      <c r="D13" s="136" t="s">
        <v>100</v>
      </c>
      <c r="E13" s="136" t="s">
        <v>100</v>
      </c>
      <c r="F13" s="136" t="s">
        <v>100</v>
      </c>
      <c r="G13" s="29"/>
      <c r="H13" s="16"/>
      <c r="I13" s="16"/>
    </row>
    <row r="14" spans="1:9">
      <c r="A14" s="30">
        <v>1</v>
      </c>
      <c r="B14" s="127" t="s">
        <v>104</v>
      </c>
      <c r="C14" s="32">
        <f>'3-YR AVERAGE-GAS'!B13</f>
        <v>4457528.6000000006</v>
      </c>
      <c r="D14" s="108">
        <f>'3-YR AVERAGE-GAS'!C13</f>
        <v>896161552.14999998</v>
      </c>
      <c r="E14" s="108">
        <f>'3-YR AVERAGE-GAS'!D13</f>
        <v>14277246.51</v>
      </c>
      <c r="F14" s="108">
        <f>'3-YR AVERAGE-GAS'!E13</f>
        <v>881884305.63999999</v>
      </c>
      <c r="G14" s="34">
        <f>ROUND(C14/F14,6)</f>
        <v>5.0549999999999996E-3</v>
      </c>
      <c r="H14" s="16"/>
      <c r="I14" s="16"/>
    </row>
    <row r="15" spans="1:9">
      <c r="A15" s="30">
        <v>2</v>
      </c>
      <c r="B15" s="127" t="s">
        <v>105</v>
      </c>
      <c r="C15" s="108">
        <f>'3-YR AVERAGE-GAS'!B14</f>
        <v>4875798.22</v>
      </c>
      <c r="D15" s="108">
        <f>'3-YR AVERAGE-GAS'!C14</f>
        <v>985378965.08999991</v>
      </c>
      <c r="E15" s="108">
        <f>'3-YR AVERAGE-GAS'!D14</f>
        <v>12751981.48</v>
      </c>
      <c r="F15" s="108">
        <f>'3-YR AVERAGE-GAS'!E14</f>
        <v>972626983.6099999</v>
      </c>
      <c r="G15" s="109">
        <f t="shared" ref="G15:G16" si="0">ROUND(C15/F15,6)</f>
        <v>5.0130000000000001E-3</v>
      </c>
      <c r="H15" s="16"/>
      <c r="I15" s="16"/>
    </row>
    <row r="16" spans="1:9">
      <c r="A16" s="30">
        <v>3</v>
      </c>
      <c r="B16" s="127" t="s">
        <v>209</v>
      </c>
      <c r="C16" s="108">
        <f>'3-YR AVERAGE-GAS'!B16</f>
        <v>2799841.3412500005</v>
      </c>
      <c r="D16" s="108">
        <f>'3-YR AVERAGE-GAS'!C16</f>
        <v>818021856.11000013</v>
      </c>
      <c r="E16" s="108">
        <f>'3-YR AVERAGE-GAS'!D16</f>
        <v>16532125.48</v>
      </c>
      <c r="F16" s="108">
        <f>'3-YR AVERAGE-GAS'!E16</f>
        <v>801489730.63000011</v>
      </c>
      <c r="G16" s="109">
        <f t="shared" si="0"/>
        <v>3.493E-3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22">
        <f>ROUND(SUM(G14:G16)/3,6)</f>
        <v>4.5199999999999997E-3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33">
        <f>'[2]Allocated (CBR)'!$C$13</f>
        <v>980913341.17999995</v>
      </c>
      <c r="E20" s="33">
        <f>'[2]Allocated (CBR)'!$C$12</f>
        <v>26264386.190000001</v>
      </c>
      <c r="F20" s="33">
        <f>D20-E20</f>
        <v>954648954.98999989</v>
      </c>
      <c r="G20" s="38"/>
      <c r="H20" s="19"/>
      <c r="I20" s="19"/>
    </row>
    <row r="21" spans="1:9">
      <c r="A21" s="30">
        <v>8</v>
      </c>
      <c r="B21" s="119"/>
      <c r="C21" s="37"/>
      <c r="D21" s="33"/>
      <c r="E21" s="60"/>
      <c r="F21" s="123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954648954.98999989</v>
      </c>
      <c r="G22" s="41"/>
      <c r="H22" s="19"/>
      <c r="I22" s="19"/>
    </row>
    <row r="23" spans="1:9" s="117" customFormat="1">
      <c r="A23" s="118"/>
      <c r="B23" s="61"/>
      <c r="C23" s="120"/>
      <c r="D23" s="121"/>
      <c r="E23" s="120"/>
      <c r="F23" s="120"/>
      <c r="G23" s="121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4.5199999999999997E-3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4315013.2765547996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'NetWriteoffs-Gas'!B16</f>
        <v>4245353.5383418314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69660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-69660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-14629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-55031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0"/>
  <sheetViews>
    <sheetView zoomScaleNormal="100" workbookViewId="0">
      <selection activeCell="F19" sqref="F19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2.6640625" customWidth="1"/>
    <col min="5" max="5" width="14.6640625" bestFit="1" customWidth="1"/>
    <col min="6" max="8" width="12.6640625" customWidth="1"/>
  </cols>
  <sheetData>
    <row r="1" spans="1:6">
      <c r="A1" s="65" t="s">
        <v>0</v>
      </c>
      <c r="B1" s="65"/>
      <c r="C1" s="65"/>
      <c r="D1" s="65"/>
      <c r="E1" s="65"/>
      <c r="F1" s="65"/>
    </row>
    <row r="2" spans="1:6">
      <c r="A2" s="65" t="s">
        <v>1</v>
      </c>
      <c r="B2" s="65"/>
      <c r="C2" s="65"/>
      <c r="D2" s="65"/>
      <c r="E2" s="65"/>
      <c r="F2" s="65"/>
    </row>
    <row r="3" spans="1:6">
      <c r="A3" s="65" t="s">
        <v>2</v>
      </c>
      <c r="B3" s="65"/>
      <c r="C3" s="65"/>
      <c r="D3" s="65"/>
      <c r="E3" s="65"/>
      <c r="F3" s="65"/>
    </row>
    <row r="4" spans="1:6">
      <c r="A4" s="66" t="str">
        <f>'Lead Sheet'!A7</f>
        <v>FOR THE TWELVE MONTHS ENDED DECEMBER 31, 2020</v>
      </c>
      <c r="B4" s="65"/>
      <c r="C4" s="65"/>
      <c r="D4" s="65"/>
      <c r="E4" s="65"/>
      <c r="F4" s="65"/>
    </row>
    <row r="5" spans="1:6">
      <c r="A5" s="289"/>
      <c r="B5" s="289"/>
      <c r="C5" s="289"/>
      <c r="D5" s="289"/>
      <c r="E5" s="289"/>
      <c r="F5" s="289"/>
    </row>
    <row r="6" spans="1:6">
      <c r="A6" s="66"/>
      <c r="B6" s="67"/>
      <c r="C6" s="67"/>
      <c r="D6" s="67"/>
      <c r="E6" s="67"/>
      <c r="F6" s="67"/>
    </row>
    <row r="7" spans="1:6">
      <c r="A7" s="66"/>
      <c r="B7" s="67"/>
      <c r="C7" s="67"/>
      <c r="D7" s="67" t="s">
        <v>3</v>
      </c>
      <c r="E7" s="67"/>
      <c r="F7" s="67" t="s">
        <v>4</v>
      </c>
    </row>
    <row r="8" spans="1:6">
      <c r="A8" s="68"/>
      <c r="B8" s="67" t="s">
        <v>5</v>
      </c>
      <c r="C8" s="67" t="s">
        <v>6</v>
      </c>
      <c r="D8" s="67" t="s">
        <v>7</v>
      </c>
      <c r="E8" s="67" t="s">
        <v>5</v>
      </c>
      <c r="F8" s="67" t="s">
        <v>8</v>
      </c>
    </row>
    <row r="9" spans="1:6">
      <c r="A9" s="69" t="s">
        <v>9</v>
      </c>
      <c r="B9" s="69" t="s">
        <v>8</v>
      </c>
      <c r="C9" s="69" t="s">
        <v>10</v>
      </c>
      <c r="D9" s="67" t="s">
        <v>11</v>
      </c>
      <c r="E9" s="69" t="s">
        <v>10</v>
      </c>
      <c r="F9" s="69" t="s">
        <v>12</v>
      </c>
    </row>
    <row r="10" spans="1:6">
      <c r="A10" s="70"/>
      <c r="B10" s="70" t="s">
        <v>13</v>
      </c>
      <c r="C10" s="70" t="s">
        <v>14</v>
      </c>
      <c r="D10" s="70" t="s">
        <v>15</v>
      </c>
      <c r="E10" s="70" t="s">
        <v>16</v>
      </c>
      <c r="F10" s="70" t="s">
        <v>17</v>
      </c>
    </row>
    <row r="11" spans="1:6">
      <c r="A11" s="62"/>
      <c r="B11" s="134" t="s">
        <v>99</v>
      </c>
      <c r="C11" s="134" t="s">
        <v>100</v>
      </c>
      <c r="D11" s="134" t="s">
        <v>100</v>
      </c>
      <c r="E11" s="134" t="s">
        <v>100</v>
      </c>
      <c r="F11" s="62"/>
    </row>
    <row r="12" spans="1:6">
      <c r="A12" s="110"/>
      <c r="B12" s="73"/>
      <c r="C12" s="106"/>
      <c r="D12" s="106"/>
      <c r="E12" s="106"/>
      <c r="F12" s="18"/>
    </row>
    <row r="13" spans="1:6">
      <c r="A13" s="110" t="str">
        <f t="shared" ref="A13:A16" si="0">A23</f>
        <v>12 ME 12/01/2016 AND 8/31/2016</v>
      </c>
      <c r="B13" s="106">
        <f t="shared" ref="B13:B17" si="1">IF(OR($H23="min",$H23="max"),$H23,B23)</f>
        <v>4457528.6000000006</v>
      </c>
      <c r="C13" s="106">
        <f t="shared" ref="C13:F17" si="2">IF(OR($H23="min",$H23="max"),$H23,C23)</f>
        <v>896161552.14999998</v>
      </c>
      <c r="D13" s="106">
        <f t="shared" si="2"/>
        <v>14277246.51</v>
      </c>
      <c r="E13" s="106">
        <f t="shared" si="2"/>
        <v>881884305.63999999</v>
      </c>
      <c r="F13" s="18">
        <f t="shared" si="2"/>
        <v>5.0545499999999997E-3</v>
      </c>
    </row>
    <row r="14" spans="1:6">
      <c r="A14" s="110" t="str">
        <f t="shared" si="0"/>
        <v>12 ME 12/01/2017 AND 8/31/2017</v>
      </c>
      <c r="B14" s="106">
        <f t="shared" si="1"/>
        <v>4875798.22</v>
      </c>
      <c r="C14" s="106">
        <f t="shared" si="2"/>
        <v>985378965.08999991</v>
      </c>
      <c r="D14" s="106">
        <f t="shared" si="2"/>
        <v>12751981.48</v>
      </c>
      <c r="E14" s="106">
        <f t="shared" si="2"/>
        <v>972626983.6099999</v>
      </c>
      <c r="F14" s="18">
        <f t="shared" si="2"/>
        <v>5.01302E-3</v>
      </c>
    </row>
    <row r="15" spans="1:6">
      <c r="A15" s="110" t="str">
        <f t="shared" si="0"/>
        <v>12 ME 12/01/2018 AND 8/31/2018</v>
      </c>
      <c r="B15" s="106" t="str">
        <f t="shared" si="1"/>
        <v>max</v>
      </c>
      <c r="C15" s="106" t="str">
        <f t="shared" si="2"/>
        <v>max</v>
      </c>
      <c r="D15" s="106" t="str">
        <f t="shared" si="2"/>
        <v>max</v>
      </c>
      <c r="E15" s="106" t="str">
        <f t="shared" si="2"/>
        <v>max</v>
      </c>
      <c r="F15" s="18" t="str">
        <f t="shared" si="2"/>
        <v>max</v>
      </c>
    </row>
    <row r="16" spans="1:6">
      <c r="A16" s="110" t="str">
        <f t="shared" si="0"/>
        <v>12 ME 12/01/2019 AND 8/31/2019</v>
      </c>
      <c r="B16" s="106">
        <f t="shared" si="1"/>
        <v>2799841.3412500005</v>
      </c>
      <c r="C16" s="106">
        <f t="shared" si="2"/>
        <v>818021856.11000013</v>
      </c>
      <c r="D16" s="106">
        <f t="shared" si="2"/>
        <v>16532125.48</v>
      </c>
      <c r="E16" s="106">
        <f t="shared" si="2"/>
        <v>801489730.63000011</v>
      </c>
      <c r="F16" s="18">
        <f t="shared" si="2"/>
        <v>3.4932969999999998E-3</v>
      </c>
    </row>
    <row r="17" spans="1:8" s="135" customFormat="1">
      <c r="A17" s="204" t="s">
        <v>229</v>
      </c>
      <c r="B17" s="106" t="str">
        <f t="shared" si="1"/>
        <v>min</v>
      </c>
      <c r="C17" s="106" t="str">
        <f t="shared" si="2"/>
        <v>min</v>
      </c>
      <c r="D17" s="106" t="str">
        <f t="shared" si="2"/>
        <v>min</v>
      </c>
      <c r="E17" s="106" t="str">
        <f t="shared" si="2"/>
        <v>min</v>
      </c>
      <c r="F17" s="18" t="str">
        <f t="shared" si="2"/>
        <v>min</v>
      </c>
    </row>
    <row r="19" spans="1:8" ht="15" thickBot="1">
      <c r="A19" s="64" t="s">
        <v>18</v>
      </c>
      <c r="B19" s="74">
        <f>SUM(B12:B17)/3</f>
        <v>4044389.3870833335</v>
      </c>
      <c r="C19" s="107">
        <f t="shared" ref="C19:E19" si="3">SUM(C12:C16)/3</f>
        <v>899854124.44999993</v>
      </c>
      <c r="D19" s="107">
        <f t="shared" si="3"/>
        <v>14520451.156666666</v>
      </c>
      <c r="E19" s="107">
        <f t="shared" si="3"/>
        <v>885333673.29333341</v>
      </c>
      <c r="F19" s="17">
        <f>SUM(F13:F17)/3</f>
        <v>4.5202889999999994E-3</v>
      </c>
      <c r="G19" s="62"/>
      <c r="H19" s="62"/>
    </row>
    <row r="20" spans="1:8" ht="15" thickTop="1">
      <c r="A20" s="62"/>
      <c r="B20" s="62"/>
      <c r="C20" s="62"/>
      <c r="D20" s="62"/>
      <c r="E20" s="62"/>
      <c r="F20" s="62"/>
      <c r="G20" s="62"/>
      <c r="H20" s="62"/>
    </row>
    <row r="22" spans="1:8">
      <c r="A22" s="133"/>
      <c r="B22" s="75"/>
      <c r="C22" s="71"/>
      <c r="D22" s="71"/>
      <c r="E22" s="71"/>
      <c r="F22" s="72"/>
      <c r="G22" s="62"/>
      <c r="H22" s="63"/>
    </row>
    <row r="23" spans="1:8">
      <c r="A23" s="133" t="s">
        <v>104</v>
      </c>
      <c r="B23" s="75">
        <f>'NetWriteoffs-Gas'!B89</f>
        <v>4457528.6000000006</v>
      </c>
      <c r="C23" s="71">
        <f>'SOG 12ME 8-2020'!F33</f>
        <v>896161552.14999998</v>
      </c>
      <c r="D23" s="137">
        <f>'SOG 12ME 8-2020'!F32</f>
        <v>14277246.51</v>
      </c>
      <c r="E23" s="104">
        <f t="shared" ref="E23:E27" si="4">C23-D23</f>
        <v>881884305.63999999</v>
      </c>
      <c r="F23" s="105">
        <f t="shared" ref="F23:F27" si="5">ROUND(B23/E23,9)</f>
        <v>5.0545499999999997E-3</v>
      </c>
      <c r="G23" s="62"/>
      <c r="H23" s="103" t="str">
        <f>IF(F23=MIN($F$23:$F$27),"min",IF(F23=MAX($F$23:$F$27),"max","include"))</f>
        <v>include</v>
      </c>
    </row>
    <row r="24" spans="1:8">
      <c r="A24" s="133" t="s">
        <v>105</v>
      </c>
      <c r="B24" s="75">
        <f>'NetWriteoffs-Gas'!B76</f>
        <v>4875798.22</v>
      </c>
      <c r="C24" s="137">
        <f>'SOG 12ME 8-2020'!E33</f>
        <v>985378965.08999991</v>
      </c>
      <c r="D24" s="137">
        <f>'SOG 12ME 8-2020'!E32</f>
        <v>12751981.48</v>
      </c>
      <c r="E24" s="137">
        <f t="shared" si="4"/>
        <v>972626983.6099999</v>
      </c>
      <c r="F24" s="105">
        <f t="shared" si="5"/>
        <v>5.01302E-3</v>
      </c>
      <c r="G24" s="62"/>
      <c r="H24" s="103" t="str">
        <f t="shared" ref="H24:H26" si="6">IF(F24=MIN($F$23:$F$27),"min",IF(F24=MAX($F$23:$F$27),"max","include"))</f>
        <v>include</v>
      </c>
    </row>
    <row r="25" spans="1:8">
      <c r="A25" s="133" t="s">
        <v>131</v>
      </c>
      <c r="B25" s="75">
        <f>'NetWriteoffs-Gas'!B61</f>
        <v>4774240.4503520001</v>
      </c>
      <c r="C25" s="137">
        <f>'SOG 12ME 8-2020'!D33</f>
        <v>901985804.01999986</v>
      </c>
      <c r="D25" s="137">
        <f>'SOG 12ME 8-2020'!D32</f>
        <v>1903626.66</v>
      </c>
      <c r="E25" s="137">
        <f t="shared" si="4"/>
        <v>900082177.3599999</v>
      </c>
      <c r="F25" s="105">
        <f t="shared" si="5"/>
        <v>5.3042269999999999E-3</v>
      </c>
      <c r="G25" s="62"/>
      <c r="H25" s="103" t="str">
        <f t="shared" si="6"/>
        <v>max</v>
      </c>
    </row>
    <row r="26" spans="1:8">
      <c r="A26" s="204" t="s">
        <v>209</v>
      </c>
      <c r="B26" s="75">
        <f>'NetWriteoffs-Gas'!B42</f>
        <v>2799841.3412500005</v>
      </c>
      <c r="C26" s="137">
        <f>'SOG 12ME 8-2020'!C33</f>
        <v>818021856.11000013</v>
      </c>
      <c r="D26" s="137">
        <f>'SOG 12ME 8-2020'!C32</f>
        <v>16532125.48</v>
      </c>
      <c r="E26" s="137">
        <f t="shared" si="4"/>
        <v>801489730.63000011</v>
      </c>
      <c r="F26" s="105">
        <f t="shared" si="5"/>
        <v>3.4932969999999998E-3</v>
      </c>
      <c r="G26" s="62"/>
      <c r="H26" s="103" t="str">
        <f t="shared" si="6"/>
        <v>include</v>
      </c>
    </row>
    <row r="27" spans="1:8" s="135" customFormat="1">
      <c r="A27" s="204" t="s">
        <v>229</v>
      </c>
      <c r="B27" s="75">
        <f>'NetWriteoffs-Gas'!B20</f>
        <v>2284939.7383418316</v>
      </c>
      <c r="C27" s="137">
        <f>'SOG 12ME 8-2020'!B33</f>
        <v>969590918.08999991</v>
      </c>
      <c r="D27" s="137">
        <f>'SOG 12ME 8-2020'!B32</f>
        <v>17618700.510000002</v>
      </c>
      <c r="E27" s="137">
        <f t="shared" si="4"/>
        <v>951972217.57999992</v>
      </c>
      <c r="F27" s="105">
        <f t="shared" si="5"/>
        <v>2.4002170000000001E-3</v>
      </c>
      <c r="H27" s="103" t="str">
        <f>IF(F27=MIN($F$23:$F$27),"min",IF(F27=MAX($F$23:$F$27),"max","include"))</f>
        <v>min</v>
      </c>
    </row>
    <row r="29" spans="1:8">
      <c r="A29" s="64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5"/>
      <c r="H30" s="85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66"/>
  <sheetViews>
    <sheetView workbookViewId="0">
      <selection activeCell="A40" sqref="A40"/>
    </sheetView>
  </sheetViews>
  <sheetFormatPr defaultRowHeight="14.4"/>
  <cols>
    <col min="1" max="1" width="59.33203125" bestFit="1" customWidth="1"/>
    <col min="2" max="2" width="12.33203125" bestFit="1" customWidth="1"/>
    <col min="4" max="4" width="12.44140625" bestFit="1" customWidth="1"/>
  </cols>
  <sheetData>
    <row r="1" spans="1:4">
      <c r="A1" s="77" t="s">
        <v>34</v>
      </c>
      <c r="B1" s="76"/>
    </row>
    <row r="2" spans="1:4">
      <c r="A2" s="116" t="s">
        <v>35</v>
      </c>
      <c r="B2" s="76"/>
    </row>
    <row r="3" spans="1:4" s="85" customFormat="1">
      <c r="A3" s="80" t="s">
        <v>211</v>
      </c>
      <c r="B3" s="207" t="s">
        <v>37</v>
      </c>
    </row>
    <row r="4" spans="1:4" s="85" customFormat="1">
      <c r="A4" s="208" t="s">
        <v>212</v>
      </c>
      <c r="B4" s="162">
        <v>17782265.43</v>
      </c>
      <c r="D4" s="162"/>
    </row>
    <row r="5" spans="1:4" s="85" customFormat="1">
      <c r="A5" s="208" t="s">
        <v>214</v>
      </c>
      <c r="B5" s="162">
        <v>111140.94</v>
      </c>
      <c r="D5" s="162"/>
    </row>
    <row r="6" spans="1:4" s="85" customFormat="1">
      <c r="A6" s="208" t="s">
        <v>215</v>
      </c>
      <c r="B6" s="162">
        <v>-99758.22</v>
      </c>
      <c r="D6" s="162"/>
    </row>
    <row r="7" spans="1:4" s="85" customFormat="1">
      <c r="A7" s="208" t="s">
        <v>216</v>
      </c>
      <c r="B7" s="162">
        <v>-218730.57</v>
      </c>
      <c r="D7" s="162"/>
    </row>
    <row r="8" spans="1:4" s="85" customFormat="1">
      <c r="A8" s="208" t="s">
        <v>217</v>
      </c>
      <c r="B8" s="209">
        <f>SUM(B4:B7)</f>
        <v>17574917.580000002</v>
      </c>
    </row>
    <row r="9" spans="1:4" s="85" customFormat="1">
      <c r="A9" s="208" t="s">
        <v>218</v>
      </c>
      <c r="B9" s="209">
        <v>4275853.17</v>
      </c>
    </row>
    <row r="10" spans="1:4" s="85" customFormat="1">
      <c r="A10" s="208" t="s">
        <v>219</v>
      </c>
      <c r="B10" s="209">
        <f>SUM(B9)</f>
        <v>4275853.17</v>
      </c>
    </row>
    <row r="11" spans="1:4" s="85" customFormat="1">
      <c r="A11" s="208" t="s">
        <v>220</v>
      </c>
      <c r="B11" s="209">
        <v>-72861</v>
      </c>
    </row>
    <row r="12" spans="1:4" s="85" customFormat="1">
      <c r="A12" s="208" t="s">
        <v>221</v>
      </c>
      <c r="B12" s="209">
        <f>SUM(B11)</f>
        <v>-72861</v>
      </c>
    </row>
    <row r="13" spans="1:4" s="85" customFormat="1">
      <c r="A13" s="141" t="s">
        <v>222</v>
      </c>
      <c r="B13" s="4">
        <f>+B8+B10+B12</f>
        <v>21777909.75</v>
      </c>
    </row>
    <row r="14" spans="1:4" s="85" customFormat="1">
      <c r="A14" s="246" t="s">
        <v>224</v>
      </c>
      <c r="B14" s="247">
        <f>+B10</f>
        <v>4275853.17</v>
      </c>
    </row>
    <row r="15" spans="1:4" s="85" customFormat="1">
      <c r="A15" s="248" t="s">
        <v>225</v>
      </c>
      <c r="B15" s="249">
        <f>+B12*'2020 AllocFactrs'!F23</f>
        <v>-30499.631658168073</v>
      </c>
    </row>
    <row r="16" spans="1:4" s="85" customFormat="1">
      <c r="A16" s="135" t="s">
        <v>226</v>
      </c>
      <c r="B16" s="250">
        <f>+B15+B14</f>
        <v>4245353.5383418314</v>
      </c>
    </row>
    <row r="17" spans="1:2" s="85" customFormat="1">
      <c r="A17" s="283" t="s">
        <v>230</v>
      </c>
      <c r="B17" s="8"/>
    </row>
    <row r="18" spans="1:2" s="85" customFormat="1">
      <c r="A18" s="284" t="s">
        <v>45</v>
      </c>
      <c r="B18" s="8">
        <f>B16</f>
        <v>4245353.5383418314</v>
      </c>
    </row>
    <row r="19" spans="1:2" s="85" customFormat="1">
      <c r="A19" s="285" t="s">
        <v>102</v>
      </c>
      <c r="B19" s="8">
        <f>'BS Acct-Gas'!D24</f>
        <v>-1960413.7999999998</v>
      </c>
    </row>
    <row r="20" spans="1:2" s="85" customFormat="1">
      <c r="A20" s="13" t="s">
        <v>226</v>
      </c>
      <c r="B20" s="286">
        <f>SUM(B18:B19)</f>
        <v>2284939.7383418316</v>
      </c>
    </row>
    <row r="21" spans="1:2" s="85" customFormat="1"/>
    <row r="22" spans="1:2" s="85" customFormat="1"/>
    <row r="23" spans="1:2" s="85" customFormat="1">
      <c r="A23" s="205" t="s">
        <v>210</v>
      </c>
      <c r="B23" s="206"/>
    </row>
    <row r="24" spans="1:2" s="85" customFormat="1">
      <c r="A24" s="80" t="s">
        <v>211</v>
      </c>
      <c r="B24" s="207" t="s">
        <v>37</v>
      </c>
    </row>
    <row r="25" spans="1:2" s="85" customFormat="1">
      <c r="A25" s="208" t="s">
        <v>212</v>
      </c>
      <c r="B25" s="209">
        <v>14126110.67</v>
      </c>
    </row>
    <row r="26" spans="1:2" s="85" customFormat="1">
      <c r="A26" s="208" t="s">
        <v>213</v>
      </c>
      <c r="B26" s="210">
        <v>858.58</v>
      </c>
    </row>
    <row r="27" spans="1:2" s="85" customFormat="1">
      <c r="A27" s="208" t="s">
        <v>214</v>
      </c>
      <c r="B27" s="209">
        <v>37586</v>
      </c>
    </row>
    <row r="28" spans="1:2" s="85" customFormat="1">
      <c r="A28" s="208" t="s">
        <v>215</v>
      </c>
      <c r="B28" s="209">
        <v>167433.93</v>
      </c>
    </row>
    <row r="29" spans="1:2" s="135" customFormat="1">
      <c r="A29" s="208" t="s">
        <v>216</v>
      </c>
      <c r="B29" s="209">
        <v>173111.28</v>
      </c>
    </row>
    <row r="30" spans="1:2" s="135" customFormat="1">
      <c r="A30" s="208" t="s">
        <v>217</v>
      </c>
      <c r="B30" s="209">
        <v>14505100.460000001</v>
      </c>
    </row>
    <row r="31" spans="1:2" s="135" customFormat="1">
      <c r="A31" s="208" t="s">
        <v>218</v>
      </c>
      <c r="B31" s="209">
        <v>3241254.56</v>
      </c>
    </row>
    <row r="32" spans="1:2" s="135" customFormat="1">
      <c r="A32" s="208" t="s">
        <v>219</v>
      </c>
      <c r="B32" s="209">
        <v>3241254.56</v>
      </c>
    </row>
    <row r="33" spans="1:14" s="135" customFormat="1">
      <c r="A33" s="208" t="s">
        <v>220</v>
      </c>
      <c r="B33" s="209">
        <v>84917.5</v>
      </c>
    </row>
    <row r="34" spans="1:14" s="135" customFormat="1">
      <c r="A34" s="208" t="s">
        <v>221</v>
      </c>
      <c r="B34" s="209">
        <v>84917.5</v>
      </c>
    </row>
    <row r="35" spans="1:14" s="135" customFormat="1">
      <c r="A35" s="141" t="s">
        <v>222</v>
      </c>
      <c r="B35" s="4">
        <f>+B32</f>
        <v>3241254.56</v>
      </c>
    </row>
    <row r="36" spans="1:14" s="135" customFormat="1">
      <c r="A36" s="246" t="s">
        <v>224</v>
      </c>
      <c r="B36" s="247">
        <f>+B31</f>
        <v>3241254.56</v>
      </c>
    </row>
    <row r="37" spans="1:14" s="135" customFormat="1">
      <c r="A37" s="248" t="s">
        <v>225</v>
      </c>
      <c r="B37" s="249">
        <f>'2019 Allocation Factors'!E35*'NetWriteoffs-Gas'!B34</f>
        <v>56342.761249999996</v>
      </c>
    </row>
    <row r="38" spans="1:14" s="135" customFormat="1">
      <c r="A38" s="135" t="s">
        <v>226</v>
      </c>
      <c r="B38" s="250">
        <f>+B37+B36</f>
        <v>3297597.32125</v>
      </c>
    </row>
    <row r="39" spans="1:14" s="135" customFormat="1">
      <c r="A39" s="140" t="s">
        <v>231</v>
      </c>
      <c r="B39" s="138"/>
    </row>
    <row r="40" spans="1:14" s="135" customFormat="1">
      <c r="A40" s="139" t="s">
        <v>45</v>
      </c>
      <c r="B40" s="138">
        <f>B38</f>
        <v>3297597.32125</v>
      </c>
    </row>
    <row r="41" spans="1:14" s="135" customFormat="1">
      <c r="A41" s="14" t="s">
        <v>102</v>
      </c>
      <c r="B41" s="9">
        <f>'BS Acct-Gas'!D43</f>
        <v>-497755.97999999975</v>
      </c>
    </row>
    <row r="42" spans="1:14" s="135" customFormat="1">
      <c r="A42" s="13"/>
      <c r="B42" s="12">
        <f>SUM(B40:B41)</f>
        <v>2799841.3412500005</v>
      </c>
    </row>
    <row r="43" spans="1:14" s="135" customFormat="1">
      <c r="A43" s="128" t="s">
        <v>120</v>
      </c>
      <c r="B43" s="79"/>
    </row>
    <row r="44" spans="1:14">
      <c r="A44" s="80" t="s">
        <v>36</v>
      </c>
      <c r="B44" s="81" t="s">
        <v>37</v>
      </c>
    </row>
    <row r="45" spans="1:14">
      <c r="A45" s="124" t="s">
        <v>93</v>
      </c>
      <c r="B45" s="145">
        <v>17972410.350000001</v>
      </c>
      <c r="E45" s="85"/>
      <c r="F45" s="85"/>
    </row>
    <row r="46" spans="1:14">
      <c r="A46" s="124" t="s">
        <v>123</v>
      </c>
      <c r="B46" s="145">
        <v>415484.87</v>
      </c>
    </row>
    <row r="47" spans="1:14" s="117" customFormat="1">
      <c r="A47" s="124" t="s">
        <v>124</v>
      </c>
      <c r="B47" s="142">
        <v>138055.31</v>
      </c>
    </row>
    <row r="48" spans="1:14">
      <c r="A48" s="124" t="s">
        <v>125</v>
      </c>
      <c r="B48" s="145">
        <v>118854.72</v>
      </c>
      <c r="K48" s="290"/>
      <c r="L48" s="290"/>
      <c r="M48" s="290"/>
      <c r="N48" s="290"/>
    </row>
    <row r="49" spans="1:17">
      <c r="A49" s="124" t="s">
        <v>133</v>
      </c>
      <c r="B49" s="145">
        <f>'ZO12'!B8</f>
        <v>93557.45</v>
      </c>
      <c r="K49" s="158"/>
    </row>
    <row r="50" spans="1:17" s="117" customFormat="1">
      <c r="A50" s="139" t="s">
        <v>39</v>
      </c>
      <c r="B50" s="11">
        <f>SUM(B45:B49)+(B54*'ZO12'!B20)</f>
        <v>18742217.649648</v>
      </c>
    </row>
    <row r="51" spans="1:17">
      <c r="A51" s="124" t="s">
        <v>94</v>
      </c>
      <c r="B51" s="142">
        <v>4330979.28</v>
      </c>
    </row>
    <row r="52" spans="1:17">
      <c r="A52" s="124" t="s">
        <v>126</v>
      </c>
      <c r="B52" s="142">
        <v>0</v>
      </c>
    </row>
    <row r="53" spans="1:17">
      <c r="A53" s="124" t="s">
        <v>41</v>
      </c>
      <c r="B53" s="144">
        <f>SUM(B51:B52)+(B54*'ZO12'!B21)</f>
        <v>4333761.6403520005</v>
      </c>
    </row>
    <row r="54" spans="1:17" s="135" customFormat="1">
      <c r="A54" s="124" t="s">
        <v>180</v>
      </c>
      <c r="B54" s="138">
        <f>'ZO12'!B13</f>
        <v>6637.31</v>
      </c>
    </row>
    <row r="55" spans="1:17" s="135" customFormat="1">
      <c r="A55" s="139" t="s">
        <v>157</v>
      </c>
      <c r="B55" s="166">
        <f>SUM(B54)</f>
        <v>6637.31</v>
      </c>
    </row>
    <row r="56" spans="1:17">
      <c r="A56" s="139" t="s">
        <v>42</v>
      </c>
      <c r="B56" s="10">
        <f>B50+B53</f>
        <v>23075979.289999999</v>
      </c>
    </row>
    <row r="57" spans="1:17">
      <c r="A57" s="141" t="s">
        <v>43</v>
      </c>
      <c r="B57" s="8">
        <f>B56</f>
        <v>23075979.289999999</v>
      </c>
    </row>
    <row r="58" spans="1:17">
      <c r="A58" s="140" t="s">
        <v>121</v>
      </c>
      <c r="B58" s="138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>
      <c r="A59" s="139" t="s">
        <v>45</v>
      </c>
      <c r="B59" s="138">
        <f>B53</f>
        <v>4333761.6403520005</v>
      </c>
      <c r="C59" t="s">
        <v>101</v>
      </c>
    </row>
    <row r="60" spans="1:17">
      <c r="A60" s="14" t="s">
        <v>102</v>
      </c>
      <c r="B60" s="9">
        <f>'BS Acct-Gas'!D61</f>
        <v>440478.81000000006</v>
      </c>
    </row>
    <row r="61" spans="1:17">
      <c r="A61" s="13"/>
      <c r="B61" s="12">
        <f>SUM(B59:B60)</f>
        <v>4774240.4503520001</v>
      </c>
    </row>
    <row r="62" spans="1:17">
      <c r="A62" s="82"/>
      <c r="B62" s="83"/>
    </row>
    <row r="63" spans="1:17">
      <c r="A63" s="129" t="s">
        <v>95</v>
      </c>
      <c r="B63" s="79"/>
    </row>
    <row r="64" spans="1:17">
      <c r="A64" s="80" t="s">
        <v>36</v>
      </c>
      <c r="B64" s="81" t="s">
        <v>37</v>
      </c>
    </row>
    <row r="65" spans="1:2">
      <c r="A65" s="139" t="s">
        <v>127</v>
      </c>
      <c r="B65" s="7">
        <v>0</v>
      </c>
    </row>
    <row r="66" spans="1:2">
      <c r="A66" s="139" t="s">
        <v>128</v>
      </c>
      <c r="B66" s="7">
        <v>16024853.77</v>
      </c>
    </row>
    <row r="67" spans="1:2">
      <c r="A67" s="139" t="s">
        <v>39</v>
      </c>
      <c r="B67" s="6">
        <f>SUM(B65:B66)</f>
        <v>16024853.77</v>
      </c>
    </row>
    <row r="68" spans="1:2">
      <c r="A68" s="139" t="s">
        <v>129</v>
      </c>
      <c r="B68" s="5">
        <v>0</v>
      </c>
    </row>
    <row r="69" spans="1:2">
      <c r="A69" s="139" t="s">
        <v>130</v>
      </c>
      <c r="B69" s="7">
        <v>4285876.5599999996</v>
      </c>
    </row>
    <row r="70" spans="1:2">
      <c r="A70" s="139" t="s">
        <v>41</v>
      </c>
      <c r="B70" s="143">
        <f>SUM(B68:B69)</f>
        <v>4285876.5599999996</v>
      </c>
    </row>
    <row r="71" spans="1:2">
      <c r="A71" s="139" t="s">
        <v>42</v>
      </c>
      <c r="B71" s="5">
        <f>B67+B70</f>
        <v>20310730.329999998</v>
      </c>
    </row>
    <row r="72" spans="1:2">
      <c r="A72" s="141" t="s">
        <v>43</v>
      </c>
      <c r="B72" s="4">
        <f>B71</f>
        <v>20310730.329999998</v>
      </c>
    </row>
    <row r="73" spans="1:2">
      <c r="A73" s="140" t="s">
        <v>122</v>
      </c>
      <c r="B73" s="3"/>
    </row>
    <row r="74" spans="1:2">
      <c r="A74" s="139" t="s">
        <v>45</v>
      </c>
      <c r="B74" s="3">
        <f>B70</f>
        <v>4285876.5599999996</v>
      </c>
    </row>
    <row r="75" spans="1:2">
      <c r="A75" s="14" t="s">
        <v>102</v>
      </c>
      <c r="B75" s="2">
        <f>'BS Acct-Gas'!D80</f>
        <v>589921.65999999992</v>
      </c>
    </row>
    <row r="76" spans="1:2">
      <c r="A76" s="14"/>
      <c r="B76" s="1">
        <f>SUM(B74:B75)</f>
        <v>4875798.22</v>
      </c>
    </row>
    <row r="77" spans="1:2">
      <c r="A77" s="82"/>
      <c r="B77" s="83"/>
    </row>
    <row r="78" spans="1:2">
      <c r="A78" s="130" t="s">
        <v>96</v>
      </c>
      <c r="B78" s="79"/>
    </row>
    <row r="79" spans="1:2">
      <c r="A79" s="80" t="s">
        <v>36</v>
      </c>
      <c r="B79" s="81" t="s">
        <v>37</v>
      </c>
    </row>
    <row r="80" spans="1:2">
      <c r="A80" s="139" t="s">
        <v>38</v>
      </c>
      <c r="B80" s="7">
        <v>17480805.469999999</v>
      </c>
    </row>
    <row r="81" spans="1:2">
      <c r="A81" s="139" t="s">
        <v>39</v>
      </c>
      <c r="B81" s="6">
        <f>SUM(B80:B80)</f>
        <v>17480805.469999999</v>
      </c>
    </row>
    <row r="82" spans="1:2">
      <c r="A82" s="139" t="s">
        <v>40</v>
      </c>
      <c r="B82" s="7">
        <v>4478843.62</v>
      </c>
    </row>
    <row r="83" spans="1:2">
      <c r="A83" s="139" t="s">
        <v>41</v>
      </c>
      <c r="B83" s="143">
        <f>SUM(B82:B82)</f>
        <v>4478843.62</v>
      </c>
    </row>
    <row r="84" spans="1:2">
      <c r="A84" s="139" t="s">
        <v>42</v>
      </c>
      <c r="B84" s="5">
        <f>B81+B83</f>
        <v>21959649.09</v>
      </c>
    </row>
    <row r="85" spans="1:2">
      <c r="A85" s="141" t="s">
        <v>43</v>
      </c>
      <c r="B85" s="4">
        <f>B84</f>
        <v>21959649.09</v>
      </c>
    </row>
    <row r="86" spans="1:2">
      <c r="A86" s="140" t="s">
        <v>44</v>
      </c>
      <c r="B86" s="3"/>
    </row>
    <row r="87" spans="1:2">
      <c r="A87" s="139" t="s">
        <v>45</v>
      </c>
      <c r="B87" s="3">
        <f>B83</f>
        <v>4478843.62</v>
      </c>
    </row>
    <row r="88" spans="1:2">
      <c r="A88" s="14" t="s">
        <v>102</v>
      </c>
      <c r="B88" s="2">
        <f>'BS Acct-Gas'!D100</f>
        <v>-21315.01999999999</v>
      </c>
    </row>
    <row r="89" spans="1:2">
      <c r="A89" s="14"/>
      <c r="B89" s="1">
        <f>SUM(B87:B88)</f>
        <v>4457528.6000000006</v>
      </c>
    </row>
    <row r="90" spans="1:2">
      <c r="A90" s="82"/>
      <c r="B90" s="83"/>
    </row>
    <row r="91" spans="1:2">
      <c r="A91" s="131" t="s">
        <v>97</v>
      </c>
      <c r="B91" s="79"/>
    </row>
    <row r="92" spans="1:2">
      <c r="A92" s="80" t="s">
        <v>36</v>
      </c>
      <c r="B92" s="81" t="s">
        <v>37</v>
      </c>
    </row>
    <row r="93" spans="1:2">
      <c r="A93" s="139" t="s">
        <v>91</v>
      </c>
      <c r="B93" s="7">
        <v>14034500.779999999</v>
      </c>
    </row>
    <row r="94" spans="1:2">
      <c r="A94" s="139" t="s">
        <v>39</v>
      </c>
      <c r="B94" s="6">
        <f>SUM(B93:B93)</f>
        <v>14034500.779999999</v>
      </c>
    </row>
    <row r="95" spans="1:2">
      <c r="A95" s="139" t="s">
        <v>92</v>
      </c>
      <c r="B95" s="7">
        <v>4367438.3899999997</v>
      </c>
    </row>
    <row r="96" spans="1:2">
      <c r="A96" s="139" t="s">
        <v>41</v>
      </c>
      <c r="B96" s="143">
        <f>SUM(B95:B95)</f>
        <v>4367438.3899999997</v>
      </c>
    </row>
    <row r="97" spans="1:5">
      <c r="A97" s="139" t="s">
        <v>42</v>
      </c>
      <c r="B97" s="5">
        <f>B94+B96</f>
        <v>18401939.169999998</v>
      </c>
    </row>
    <row r="98" spans="1:5">
      <c r="A98" s="141" t="s">
        <v>43</v>
      </c>
      <c r="B98" s="4">
        <f>B97</f>
        <v>18401939.169999998</v>
      </c>
    </row>
    <row r="99" spans="1:5">
      <c r="A99" s="140" t="s">
        <v>46</v>
      </c>
      <c r="B99" s="3"/>
    </row>
    <row r="100" spans="1:5">
      <c r="A100" s="139" t="s">
        <v>45</v>
      </c>
      <c r="B100" s="3">
        <f>B96</f>
        <v>4367438.3899999997</v>
      </c>
    </row>
    <row r="101" spans="1:5">
      <c r="A101" s="14" t="s">
        <v>102</v>
      </c>
      <c r="B101" s="2">
        <f>'BS Acct-Gas'!D119</f>
        <v>-301417.74000000011</v>
      </c>
    </row>
    <row r="102" spans="1:5">
      <c r="A102" s="14"/>
      <c r="B102" s="1">
        <f>SUM(B100:B101)</f>
        <v>4066020.6499999994</v>
      </c>
    </row>
    <row r="103" spans="1:5">
      <c r="A103" s="82"/>
      <c r="B103" s="83"/>
    </row>
    <row r="104" spans="1:5">
      <c r="A104" s="132" t="s">
        <v>98</v>
      </c>
      <c r="B104" s="79"/>
    </row>
    <row r="105" spans="1:5">
      <c r="A105" s="80" t="s">
        <v>36</v>
      </c>
      <c r="B105" s="81" t="s">
        <v>37</v>
      </c>
    </row>
    <row r="106" spans="1:5">
      <c r="A106" s="139" t="s">
        <v>91</v>
      </c>
      <c r="B106" s="7">
        <v>20289820.600000001</v>
      </c>
    </row>
    <row r="107" spans="1:5">
      <c r="A107" s="139" t="s">
        <v>39</v>
      </c>
      <c r="B107" s="6">
        <f>SUM(B106:B106)</f>
        <v>20289820.600000001</v>
      </c>
    </row>
    <row r="108" spans="1:5">
      <c r="A108" s="139" t="s">
        <v>92</v>
      </c>
      <c r="B108" s="7">
        <v>6426737.5099999998</v>
      </c>
      <c r="C108" s="76"/>
      <c r="D108" s="76"/>
      <c r="E108" s="76"/>
    </row>
    <row r="109" spans="1:5">
      <c r="A109" s="139" t="s">
        <v>41</v>
      </c>
      <c r="B109" s="143">
        <f>SUM(B108:B108)</f>
        <v>6426737.5099999998</v>
      </c>
      <c r="C109" s="76"/>
      <c r="D109" s="76"/>
      <c r="E109" s="76"/>
    </row>
    <row r="110" spans="1:5">
      <c r="A110" s="139" t="s">
        <v>42</v>
      </c>
      <c r="B110" s="5">
        <f>B107+B109</f>
        <v>26716558.109999999</v>
      </c>
      <c r="C110" s="76"/>
      <c r="D110" s="76"/>
      <c r="E110" s="76"/>
    </row>
    <row r="111" spans="1:5">
      <c r="A111" s="141" t="s">
        <v>43</v>
      </c>
      <c r="B111" s="4">
        <f>B110</f>
        <v>26716558.109999999</v>
      </c>
      <c r="C111" s="76"/>
      <c r="D111" s="76"/>
      <c r="E111" s="76"/>
    </row>
    <row r="112" spans="1:5">
      <c r="A112" s="140" t="s">
        <v>47</v>
      </c>
      <c r="B112" s="3"/>
      <c r="C112" s="76"/>
      <c r="D112" s="76"/>
      <c r="E112" s="76"/>
    </row>
    <row r="113" spans="1:5">
      <c r="A113" s="139" t="s">
        <v>45</v>
      </c>
      <c r="B113" s="3">
        <f>B109</f>
        <v>6426737.5099999998</v>
      </c>
      <c r="C113" s="76"/>
      <c r="D113" s="76"/>
      <c r="E113" s="76"/>
    </row>
    <row r="114" spans="1:5">
      <c r="A114" s="14" t="s">
        <v>102</v>
      </c>
      <c r="B114" s="2">
        <f>'BS Acct-Gas'!D137</f>
        <v>300211.78000000014</v>
      </c>
      <c r="C114" s="76"/>
      <c r="D114" s="76"/>
      <c r="E114" s="76"/>
    </row>
    <row r="115" spans="1:5">
      <c r="A115" s="14"/>
      <c r="B115" s="1">
        <f>SUM(B113:B114)</f>
        <v>6726949.29</v>
      </c>
      <c r="C115" s="76"/>
      <c r="D115" s="76"/>
      <c r="E115" s="76"/>
    </row>
    <row r="116" spans="1:5">
      <c r="A116" s="82"/>
      <c r="B116" s="83"/>
      <c r="C116" s="76"/>
      <c r="D116" s="76"/>
      <c r="E116" s="84"/>
    </row>
    <row r="117" spans="1:5">
      <c r="A117" s="76" t="s">
        <v>48</v>
      </c>
      <c r="B117" s="78"/>
      <c r="C117" s="76"/>
      <c r="D117" s="76"/>
      <c r="E117" s="76"/>
    </row>
    <row r="118" spans="1:5">
      <c r="A118" s="76"/>
      <c r="B118" s="78"/>
      <c r="C118" s="76"/>
      <c r="D118" s="76"/>
      <c r="E118" s="76"/>
    </row>
    <row r="119" spans="1:5">
      <c r="A119" s="135" t="s">
        <v>106</v>
      </c>
      <c r="B119" s="84"/>
      <c r="C119" s="76"/>
      <c r="D119" s="76"/>
      <c r="E119" s="76"/>
    </row>
    <row r="120" spans="1:5">
      <c r="A120" s="135" t="s">
        <v>107</v>
      </c>
      <c r="B120" s="78"/>
      <c r="C120" s="76"/>
      <c r="D120" s="76"/>
      <c r="E120" s="76"/>
    </row>
    <row r="121" spans="1:5">
      <c r="A121" s="135" t="s">
        <v>108</v>
      </c>
      <c r="B121" s="78"/>
      <c r="C121" s="76"/>
      <c r="D121" s="76"/>
      <c r="E121" s="76"/>
    </row>
    <row r="122" spans="1:5">
      <c r="A122" s="135" t="s">
        <v>109</v>
      </c>
      <c r="B122" s="78"/>
      <c r="C122" s="76"/>
      <c r="D122" s="76"/>
      <c r="E122" s="76"/>
    </row>
    <row r="123" spans="1:5">
      <c r="A123" s="135" t="s">
        <v>110</v>
      </c>
      <c r="B123" s="78"/>
    </row>
    <row r="124" spans="1:5">
      <c r="A124" s="135" t="s">
        <v>111</v>
      </c>
      <c r="B124" s="78"/>
    </row>
    <row r="125" spans="1:5">
      <c r="A125" s="135" t="s">
        <v>112</v>
      </c>
      <c r="B125" s="78"/>
    </row>
    <row r="126" spans="1:5">
      <c r="A126" s="135" t="s">
        <v>113</v>
      </c>
      <c r="B126" s="78"/>
    </row>
    <row r="127" spans="1:5">
      <c r="A127" s="135" t="s">
        <v>114</v>
      </c>
      <c r="B127" s="78"/>
    </row>
    <row r="128" spans="1:5">
      <c r="A128" s="135" t="s">
        <v>115</v>
      </c>
      <c r="B128" s="78"/>
    </row>
    <row r="129" spans="1:2">
      <c r="A129" s="135" t="s">
        <v>116</v>
      </c>
      <c r="B129" s="78"/>
    </row>
    <row r="130" spans="1:2">
      <c r="A130" s="135" t="s">
        <v>117</v>
      </c>
      <c r="B130" s="78"/>
    </row>
    <row r="131" spans="1:2">
      <c r="A131" s="135" t="s">
        <v>118</v>
      </c>
      <c r="B131" s="78"/>
    </row>
    <row r="132" spans="1:2">
      <c r="A132" s="135" t="s">
        <v>119</v>
      </c>
      <c r="B132" s="78"/>
    </row>
    <row r="133" spans="1:2">
      <c r="B133" s="78"/>
    </row>
    <row r="134" spans="1:2">
      <c r="B134" s="78"/>
    </row>
    <row r="135" spans="1:2">
      <c r="B135" s="78"/>
    </row>
    <row r="136" spans="1:2">
      <c r="B136" s="78"/>
    </row>
    <row r="137" spans="1:2">
      <c r="B137" s="78"/>
    </row>
    <row r="138" spans="1:2">
      <c r="B138" s="78"/>
    </row>
    <row r="139" spans="1:2">
      <c r="B139" s="78"/>
    </row>
    <row r="140" spans="1:2">
      <c r="B140" s="78"/>
    </row>
    <row r="141" spans="1:2">
      <c r="B141" s="78"/>
    </row>
    <row r="142" spans="1:2">
      <c r="B142" s="78"/>
    </row>
    <row r="143" spans="1:2">
      <c r="B143" s="78"/>
    </row>
    <row r="144" spans="1:2">
      <c r="B144" s="78"/>
    </row>
    <row r="145" spans="2:2">
      <c r="B145" s="78"/>
    </row>
    <row r="146" spans="2:2">
      <c r="B146" s="78"/>
    </row>
    <row r="147" spans="2:2">
      <c r="B147" s="78"/>
    </row>
    <row r="148" spans="2:2">
      <c r="B148" s="78"/>
    </row>
    <row r="149" spans="2:2">
      <c r="B149" s="78"/>
    </row>
    <row r="150" spans="2:2">
      <c r="B150" s="78"/>
    </row>
    <row r="151" spans="2:2">
      <c r="B151" s="78"/>
    </row>
    <row r="152" spans="2:2">
      <c r="B152" s="78"/>
    </row>
    <row r="153" spans="2:2">
      <c r="B153" s="78"/>
    </row>
    <row r="154" spans="2:2">
      <c r="B154" s="78"/>
    </row>
    <row r="155" spans="2:2">
      <c r="B155" s="78"/>
    </row>
    <row r="156" spans="2:2">
      <c r="B156" s="78"/>
    </row>
    <row r="157" spans="2:2">
      <c r="B157" s="78"/>
    </row>
    <row r="158" spans="2:2">
      <c r="B158" s="78"/>
    </row>
    <row r="159" spans="2:2">
      <c r="B159" s="78"/>
    </row>
    <row r="160" spans="2:2">
      <c r="B160" s="78"/>
    </row>
    <row r="161" spans="2:2">
      <c r="B161" s="78"/>
    </row>
    <row r="162" spans="2:2">
      <c r="B162" s="78"/>
    </row>
    <row r="163" spans="2:2">
      <c r="B163" s="78"/>
    </row>
    <row r="164" spans="2:2">
      <c r="B164" s="78"/>
    </row>
    <row r="165" spans="2:2">
      <c r="B165" s="78"/>
    </row>
    <row r="166" spans="2:2">
      <c r="B166" s="78"/>
    </row>
  </sheetData>
  <mergeCells count="1">
    <mergeCell ref="K48:N48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5"/>
  <sheetViews>
    <sheetView topLeftCell="A27" workbookViewId="0">
      <selection activeCell="D43" sqref="D43"/>
    </sheetView>
  </sheetViews>
  <sheetFormatPr defaultColWidth="8.88671875" defaultRowHeight="14.4" outlineLevelRow="1"/>
  <cols>
    <col min="1" max="1" width="14" style="85" customWidth="1"/>
    <col min="2" max="5" width="14.88671875" style="85" customWidth="1"/>
    <col min="6" max="6" width="8.88671875" style="85"/>
    <col min="7" max="9" width="13.6640625" style="85" bestFit="1" customWidth="1"/>
    <col min="10" max="10" width="10.109375" style="85" bestFit="1" customWidth="1"/>
    <col min="11" max="12" width="13.6640625" style="85" bestFit="1" customWidth="1"/>
    <col min="13" max="16384" width="8.88671875" style="85"/>
  </cols>
  <sheetData>
    <row r="1" spans="1:5">
      <c r="A1" s="85" t="s">
        <v>49</v>
      </c>
    </row>
    <row r="2" spans="1:5">
      <c r="A2" s="85" t="s">
        <v>50</v>
      </c>
    </row>
    <row r="4" spans="1:5">
      <c r="A4" s="159" t="s">
        <v>51</v>
      </c>
    </row>
    <row r="5" spans="1:5">
      <c r="A5" s="159" t="s">
        <v>52</v>
      </c>
    </row>
    <row r="6" spans="1:5">
      <c r="A6" s="159" t="s">
        <v>53</v>
      </c>
    </row>
    <row r="7" spans="1:5">
      <c r="A7" s="86"/>
      <c r="B7" s="87"/>
      <c r="C7" s="87"/>
      <c r="D7" s="87"/>
      <c r="E7" s="88" t="s">
        <v>54</v>
      </c>
    </row>
    <row r="8" spans="1:5">
      <c r="A8" s="88" t="s">
        <v>55</v>
      </c>
      <c r="B8" s="88" t="s">
        <v>56</v>
      </c>
      <c r="C8" s="88" t="s">
        <v>57</v>
      </c>
      <c r="D8" s="88" t="s">
        <v>58</v>
      </c>
      <c r="E8" s="88" t="s">
        <v>59</v>
      </c>
    </row>
    <row r="9" spans="1:5">
      <c r="A9" s="89" t="s">
        <v>60</v>
      </c>
      <c r="B9" s="90" t="s">
        <v>61</v>
      </c>
      <c r="C9" s="90" t="s">
        <v>62</v>
      </c>
      <c r="D9" s="90" t="s">
        <v>63</v>
      </c>
      <c r="E9" s="90" t="s">
        <v>64</v>
      </c>
    </row>
    <row r="10" spans="1:5">
      <c r="A10" s="93" t="s">
        <v>65</v>
      </c>
      <c r="B10" s="102"/>
      <c r="C10" s="102"/>
      <c r="D10" s="102"/>
      <c r="E10" s="147">
        <f>E41</f>
        <v>-1097007.4499999997</v>
      </c>
    </row>
    <row r="11" spans="1:5">
      <c r="A11" s="161">
        <v>43861</v>
      </c>
      <c r="B11" s="253">
        <v>1006426.59</v>
      </c>
      <c r="C11" s="253">
        <v>1145843.69</v>
      </c>
      <c r="D11" s="253">
        <f>+B11-C11</f>
        <v>-139417.09999999998</v>
      </c>
      <c r="E11" s="253">
        <f>+E10+D11</f>
        <v>-1236424.5499999998</v>
      </c>
    </row>
    <row r="12" spans="1:5">
      <c r="A12" s="161">
        <f>A11+28</f>
        <v>43889</v>
      </c>
      <c r="B12" s="253">
        <v>756461.26</v>
      </c>
      <c r="C12" s="253">
        <v>760161.01</v>
      </c>
      <c r="D12" s="253">
        <f t="shared" ref="D12:D22" si="0">+B12-C12</f>
        <v>-3699.75</v>
      </c>
      <c r="E12" s="253">
        <f t="shared" ref="E12:E22" si="1">+E11+D12</f>
        <v>-1240124.2999999998</v>
      </c>
    </row>
    <row r="13" spans="1:5">
      <c r="A13" s="161">
        <f>A12+31</f>
        <v>43920</v>
      </c>
      <c r="B13" s="253">
        <v>807133.15</v>
      </c>
      <c r="C13" s="253">
        <v>969355.91</v>
      </c>
      <c r="D13" s="253">
        <f t="shared" si="0"/>
        <v>-162222.76</v>
      </c>
      <c r="E13" s="253">
        <f t="shared" si="1"/>
        <v>-1402347.0599999998</v>
      </c>
    </row>
    <row r="14" spans="1:5">
      <c r="A14" s="161">
        <f>A13+30</f>
        <v>43950</v>
      </c>
      <c r="B14" s="253">
        <v>934206.8</v>
      </c>
      <c r="C14" s="253">
        <v>1037026.53</v>
      </c>
      <c r="D14" s="253">
        <f t="shared" si="0"/>
        <v>-102819.72999999998</v>
      </c>
      <c r="E14" s="253">
        <f t="shared" si="1"/>
        <v>-1505166.7899999998</v>
      </c>
    </row>
    <row r="15" spans="1:5">
      <c r="A15" s="161">
        <f t="shared" ref="A15" si="2">A14+31</f>
        <v>43981</v>
      </c>
      <c r="B15" s="253">
        <v>863726.37</v>
      </c>
      <c r="C15" s="253">
        <v>1069585.3999999999</v>
      </c>
      <c r="D15" s="253">
        <f t="shared" si="0"/>
        <v>-205859.02999999991</v>
      </c>
      <c r="E15" s="253">
        <f t="shared" si="1"/>
        <v>-1711025.8199999998</v>
      </c>
    </row>
    <row r="16" spans="1:5">
      <c r="A16" s="161">
        <f>A15+30</f>
        <v>44011</v>
      </c>
      <c r="B16" s="253">
        <v>852904.13</v>
      </c>
      <c r="C16" s="253">
        <v>837200.66</v>
      </c>
      <c r="D16" s="253">
        <f t="shared" si="0"/>
        <v>15703.469999999972</v>
      </c>
      <c r="E16" s="253">
        <f t="shared" si="1"/>
        <v>-1695322.3499999999</v>
      </c>
    </row>
    <row r="17" spans="1:5">
      <c r="A17" s="161">
        <f>A16+31</f>
        <v>44042</v>
      </c>
      <c r="B17" s="253">
        <v>812422.83</v>
      </c>
      <c r="C17" s="253">
        <v>827452.68</v>
      </c>
      <c r="D17" s="253">
        <f t="shared" si="0"/>
        <v>-15029.850000000093</v>
      </c>
      <c r="E17" s="253">
        <f t="shared" si="1"/>
        <v>-1710352.2</v>
      </c>
    </row>
    <row r="18" spans="1:5">
      <c r="A18" s="161">
        <f>A17+31</f>
        <v>44073</v>
      </c>
      <c r="B18" s="253">
        <v>763286.81</v>
      </c>
      <c r="C18" s="253">
        <v>822229.16</v>
      </c>
      <c r="D18" s="253">
        <f t="shared" si="0"/>
        <v>-58942.349999999977</v>
      </c>
      <c r="E18" s="253">
        <f t="shared" si="1"/>
        <v>-1769294.5499999998</v>
      </c>
    </row>
    <row r="19" spans="1:5">
      <c r="A19" s="161">
        <f t="shared" ref="A19:A21" si="3">A18+30</f>
        <v>44103</v>
      </c>
      <c r="B19" s="253">
        <v>712235.96</v>
      </c>
      <c r="C19" s="253">
        <v>748474.15</v>
      </c>
      <c r="D19" s="253">
        <f t="shared" si="0"/>
        <v>-36238.190000000061</v>
      </c>
      <c r="E19" s="253">
        <f t="shared" si="1"/>
        <v>-1805532.7399999998</v>
      </c>
    </row>
    <row r="20" spans="1:5">
      <c r="A20" s="161">
        <f>A19+31</f>
        <v>44134</v>
      </c>
      <c r="B20" s="253">
        <v>522130.53</v>
      </c>
      <c r="C20" s="253">
        <v>661993.07999999996</v>
      </c>
      <c r="D20" s="253">
        <f t="shared" si="0"/>
        <v>-139862.54999999993</v>
      </c>
      <c r="E20" s="253">
        <f t="shared" si="1"/>
        <v>-1945395.2899999996</v>
      </c>
    </row>
    <row r="21" spans="1:5">
      <c r="A21" s="161">
        <f t="shared" si="3"/>
        <v>44164</v>
      </c>
      <c r="B21" s="253">
        <v>143443.20000000001</v>
      </c>
      <c r="C21" s="253">
        <v>658475.81999999995</v>
      </c>
      <c r="D21" s="253">
        <f t="shared" si="0"/>
        <v>-515032.61999999994</v>
      </c>
      <c r="E21" s="253">
        <f t="shared" si="1"/>
        <v>-2460427.9099999997</v>
      </c>
    </row>
    <row r="22" spans="1:5">
      <c r="A22" s="161">
        <f>A21+31</f>
        <v>44195</v>
      </c>
      <c r="B22" s="253">
        <v>183147.99</v>
      </c>
      <c r="C22" s="253">
        <v>780141.33</v>
      </c>
      <c r="D22" s="253">
        <f t="shared" si="0"/>
        <v>-596993.34</v>
      </c>
      <c r="E22" s="253">
        <f t="shared" si="1"/>
        <v>-3057421.2499999995</v>
      </c>
    </row>
    <row r="23" spans="1:5">
      <c r="A23" s="161"/>
      <c r="B23" s="102"/>
      <c r="C23" s="102"/>
      <c r="D23" s="102"/>
      <c r="E23" s="102"/>
    </row>
    <row r="24" spans="1:5">
      <c r="A24" s="161"/>
      <c r="B24" s="94"/>
      <c r="C24" s="95" t="s">
        <v>66</v>
      </c>
      <c r="D24" s="96">
        <f>SUM(D11:D23)</f>
        <v>-1960413.7999999998</v>
      </c>
      <c r="E24" s="102"/>
    </row>
    <row r="25" spans="1:5">
      <c r="A25" s="161"/>
      <c r="B25" s="102"/>
      <c r="C25" s="102"/>
      <c r="D25" s="102"/>
      <c r="E25" s="102"/>
    </row>
    <row r="26" spans="1:5">
      <c r="A26" s="101"/>
      <c r="B26" s="97" t="s">
        <v>67</v>
      </c>
      <c r="C26" s="98"/>
      <c r="D26" s="99"/>
      <c r="E26" s="96">
        <f>E22-E10</f>
        <v>-1960413.7999999998</v>
      </c>
    </row>
    <row r="27" spans="1:5">
      <c r="A27" s="101"/>
      <c r="B27" s="102"/>
      <c r="C27" s="102"/>
      <c r="D27" s="102"/>
      <c r="E27" s="102"/>
    </row>
    <row r="28" spans="1:5">
      <c r="A28" s="101"/>
      <c r="B28" s="102"/>
      <c r="C28" s="102"/>
      <c r="D28" s="102"/>
      <c r="E28" s="102"/>
    </row>
    <row r="29" spans="1:5">
      <c r="A29" s="93" t="s">
        <v>65</v>
      </c>
      <c r="B29" s="102"/>
      <c r="C29" s="102"/>
      <c r="D29" s="102"/>
      <c r="E29" s="147">
        <f>E59</f>
        <v>-599251.47</v>
      </c>
    </row>
    <row r="30" spans="1:5">
      <c r="A30" s="161">
        <v>43496</v>
      </c>
      <c r="B30" s="253">
        <v>304256.55</v>
      </c>
      <c r="C30" s="253">
        <v>199553.15</v>
      </c>
      <c r="D30" s="253">
        <f>+B30-C30</f>
        <v>104703.4</v>
      </c>
      <c r="E30" s="253">
        <f>+E29+D30</f>
        <v>-494548.06999999995</v>
      </c>
    </row>
    <row r="31" spans="1:5">
      <c r="A31" s="161">
        <f>A30+28</f>
        <v>43524</v>
      </c>
      <c r="B31" s="253">
        <v>227824.02</v>
      </c>
      <c r="C31" s="253">
        <v>868206.05</v>
      </c>
      <c r="D31" s="253">
        <f t="shared" ref="D31:D41" si="4">+B31-C31</f>
        <v>-640382.03</v>
      </c>
      <c r="E31" s="253">
        <f t="shared" ref="E31:E41" si="5">+E30+D31</f>
        <v>-1134930.1000000001</v>
      </c>
    </row>
    <row r="32" spans="1:5">
      <c r="A32" s="161">
        <f>A31+31</f>
        <v>43555</v>
      </c>
      <c r="B32" s="253">
        <v>226753.28</v>
      </c>
      <c r="C32" s="253">
        <v>265693.96999999997</v>
      </c>
      <c r="D32" s="253">
        <f t="shared" si="4"/>
        <v>-38940.689999999973</v>
      </c>
      <c r="E32" s="253">
        <f t="shared" si="5"/>
        <v>-1173870.79</v>
      </c>
    </row>
    <row r="33" spans="1:5">
      <c r="A33" s="161">
        <f>A32+30</f>
        <v>43585</v>
      </c>
      <c r="B33" s="253">
        <v>663927.48</v>
      </c>
      <c r="C33" s="253">
        <v>684710.13</v>
      </c>
      <c r="D33" s="253">
        <f t="shared" si="4"/>
        <v>-20782.650000000023</v>
      </c>
      <c r="E33" s="253">
        <f t="shared" si="5"/>
        <v>-1194653.44</v>
      </c>
    </row>
    <row r="34" spans="1:5">
      <c r="A34" s="161">
        <f t="shared" ref="A34" si="6">A33+31</f>
        <v>43616</v>
      </c>
      <c r="B34" s="253">
        <v>953391.34</v>
      </c>
      <c r="C34" s="253">
        <v>1239288.68</v>
      </c>
      <c r="D34" s="253">
        <f t="shared" si="4"/>
        <v>-285897.33999999997</v>
      </c>
      <c r="E34" s="253">
        <f t="shared" si="5"/>
        <v>-1480550.7799999998</v>
      </c>
    </row>
    <row r="35" spans="1:5">
      <c r="A35" s="161">
        <f>A34+30</f>
        <v>43646</v>
      </c>
      <c r="B35" s="253">
        <v>1047487.28</v>
      </c>
      <c r="C35" s="253">
        <v>1046367.46</v>
      </c>
      <c r="D35" s="253">
        <f t="shared" si="4"/>
        <v>1119.8200000000652</v>
      </c>
      <c r="E35" s="253">
        <f t="shared" si="5"/>
        <v>-1479430.9599999997</v>
      </c>
    </row>
    <row r="36" spans="1:5">
      <c r="A36" s="161">
        <f>A35+31</f>
        <v>43677</v>
      </c>
      <c r="B36" s="253">
        <v>1068042.6100000001</v>
      </c>
      <c r="C36" s="253">
        <v>686593.35</v>
      </c>
      <c r="D36" s="253">
        <f t="shared" si="4"/>
        <v>381449.26000000013</v>
      </c>
      <c r="E36" s="253">
        <f t="shared" si="5"/>
        <v>-1097981.6999999997</v>
      </c>
    </row>
    <row r="37" spans="1:5">
      <c r="A37" s="161">
        <f>A36+31</f>
        <v>43708</v>
      </c>
      <c r="B37" s="253">
        <v>1002783.96</v>
      </c>
      <c r="C37" s="253">
        <v>819047.39</v>
      </c>
      <c r="D37" s="253">
        <f t="shared" si="4"/>
        <v>183736.56999999995</v>
      </c>
      <c r="E37" s="253">
        <f t="shared" si="5"/>
        <v>-914245.12999999977</v>
      </c>
    </row>
    <row r="38" spans="1:5">
      <c r="A38" s="161">
        <f t="shared" ref="A38:A40" si="7">A37+30</f>
        <v>43738</v>
      </c>
      <c r="B38" s="253">
        <v>948585.39</v>
      </c>
      <c r="C38" s="253">
        <v>921177.27</v>
      </c>
      <c r="D38" s="253">
        <f t="shared" si="4"/>
        <v>27408.119999999995</v>
      </c>
      <c r="E38" s="253">
        <f t="shared" si="5"/>
        <v>-886837.00999999978</v>
      </c>
    </row>
    <row r="39" spans="1:5">
      <c r="A39" s="161">
        <f>A38+31</f>
        <v>43769</v>
      </c>
      <c r="B39" s="253">
        <v>934922.79</v>
      </c>
      <c r="C39" s="253">
        <v>993855.33</v>
      </c>
      <c r="D39" s="253">
        <f t="shared" si="4"/>
        <v>-58932.539999999921</v>
      </c>
      <c r="E39" s="253">
        <f t="shared" si="5"/>
        <v>-945769.5499999997</v>
      </c>
    </row>
    <row r="40" spans="1:5">
      <c r="A40" s="161">
        <f t="shared" si="7"/>
        <v>43799</v>
      </c>
      <c r="B40" s="253">
        <v>792423.33</v>
      </c>
      <c r="C40" s="253">
        <v>938965.54</v>
      </c>
      <c r="D40" s="253">
        <f t="shared" si="4"/>
        <v>-146542.21000000008</v>
      </c>
      <c r="E40" s="253">
        <f t="shared" si="5"/>
        <v>-1092311.7599999998</v>
      </c>
    </row>
    <row r="41" spans="1:5">
      <c r="A41" s="161">
        <f>A40+31</f>
        <v>43830</v>
      </c>
      <c r="B41" s="253">
        <v>883861.26</v>
      </c>
      <c r="C41" s="253">
        <v>888556.95</v>
      </c>
      <c r="D41" s="253">
        <f t="shared" si="4"/>
        <v>-4695.6899999999441</v>
      </c>
      <c r="E41" s="253">
        <f t="shared" si="5"/>
        <v>-1097007.4499999997</v>
      </c>
    </row>
    <row r="42" spans="1:5">
      <c r="A42" s="161"/>
      <c r="B42" s="102"/>
      <c r="C42" s="102"/>
      <c r="D42" s="102"/>
      <c r="E42" s="102"/>
    </row>
    <row r="43" spans="1:5">
      <c r="A43" s="161"/>
      <c r="B43" s="94"/>
      <c r="C43" s="95" t="s">
        <v>66</v>
      </c>
      <c r="D43" s="96">
        <f>SUM(D30:D42)</f>
        <v>-497755.97999999975</v>
      </c>
      <c r="E43" s="102"/>
    </row>
    <row r="44" spans="1:5">
      <c r="A44" s="161"/>
      <c r="B44" s="102"/>
      <c r="C44" s="102"/>
      <c r="D44" s="102"/>
      <c r="E44" s="102"/>
    </row>
    <row r="45" spans="1:5">
      <c r="A45" s="101"/>
      <c r="B45" s="97" t="s">
        <v>67</v>
      </c>
      <c r="C45" s="98"/>
      <c r="D45" s="99"/>
      <c r="E45" s="96">
        <f>E41-E29</f>
        <v>-497755.97999999975</v>
      </c>
    </row>
    <row r="46" spans="1:5">
      <c r="A46" s="101"/>
      <c r="B46" s="91"/>
      <c r="C46" s="91"/>
      <c r="D46" s="251"/>
      <c r="E46" s="252"/>
    </row>
    <row r="47" spans="1:5">
      <c r="A47" s="93" t="s">
        <v>65</v>
      </c>
      <c r="B47" s="160"/>
      <c r="C47" s="160"/>
      <c r="D47" s="160"/>
      <c r="E47" s="160">
        <v>-1039730.28</v>
      </c>
    </row>
    <row r="48" spans="1:5">
      <c r="A48" s="161">
        <v>43131</v>
      </c>
      <c r="B48" s="160">
        <v>1137197.29</v>
      </c>
      <c r="C48" s="160">
        <v>1243110.99</v>
      </c>
      <c r="D48" s="160">
        <v>-105913.7</v>
      </c>
      <c r="E48" s="160">
        <v>-1145643.98</v>
      </c>
    </row>
    <row r="49" spans="1:7">
      <c r="A49" s="161">
        <f>A48+28</f>
        <v>43159</v>
      </c>
      <c r="B49" s="160">
        <v>716073.58</v>
      </c>
      <c r="C49" s="160">
        <v>751877.51</v>
      </c>
      <c r="D49" s="160">
        <v>-35803.93</v>
      </c>
      <c r="E49" s="160">
        <v>-1181447.9099999999</v>
      </c>
    </row>
    <row r="50" spans="1:7">
      <c r="A50" s="161">
        <f>A49+31</f>
        <v>43190</v>
      </c>
      <c r="B50" s="160">
        <v>410711.22</v>
      </c>
      <c r="C50" s="160">
        <v>462480.4</v>
      </c>
      <c r="D50" s="160">
        <v>-51769.18</v>
      </c>
      <c r="E50" s="160">
        <v>-1233217.0900000001</v>
      </c>
    </row>
    <row r="51" spans="1:7">
      <c r="A51" s="161">
        <f>A50+30</f>
        <v>43220</v>
      </c>
      <c r="B51" s="160">
        <v>379937.64</v>
      </c>
      <c r="C51" s="160">
        <v>411557.66</v>
      </c>
      <c r="D51" s="160">
        <v>-31620.02</v>
      </c>
      <c r="E51" s="160">
        <v>-1264837.1100000001</v>
      </c>
    </row>
    <row r="52" spans="1:7">
      <c r="A52" s="161">
        <f t="shared" ref="A52" si="8">A51+31</f>
        <v>43251</v>
      </c>
      <c r="B52" s="160">
        <v>380090.57</v>
      </c>
      <c r="C52" s="160">
        <v>345638.05</v>
      </c>
      <c r="D52" s="160">
        <v>34452.519999999997</v>
      </c>
      <c r="E52" s="160">
        <v>-1230384.5900000001</v>
      </c>
    </row>
    <row r="53" spans="1:7">
      <c r="A53" s="161">
        <f>A52+30</f>
        <v>43281</v>
      </c>
      <c r="B53" s="160">
        <v>432055.63</v>
      </c>
      <c r="C53" s="160">
        <v>394024.44</v>
      </c>
      <c r="D53" s="160">
        <v>38031.19</v>
      </c>
      <c r="E53" s="160">
        <v>-1192353.3999999999</v>
      </c>
    </row>
    <row r="54" spans="1:7">
      <c r="A54" s="161">
        <f>A53+31</f>
        <v>43312</v>
      </c>
      <c r="B54" s="160">
        <v>587762.09</v>
      </c>
      <c r="C54" s="160">
        <v>405426.33</v>
      </c>
      <c r="D54" s="160">
        <v>182335.76</v>
      </c>
      <c r="E54" s="160">
        <v>-1010017.64</v>
      </c>
    </row>
    <row r="55" spans="1:7">
      <c r="A55" s="161">
        <f>A54+31</f>
        <v>43343</v>
      </c>
      <c r="B55" s="160">
        <v>594955.23</v>
      </c>
      <c r="C55" s="160">
        <v>455068.58</v>
      </c>
      <c r="D55" s="160">
        <v>139886.65</v>
      </c>
      <c r="E55" s="160">
        <v>-870130.99</v>
      </c>
    </row>
    <row r="56" spans="1:7">
      <c r="A56" s="161">
        <f t="shared" ref="A56:A58" si="9">A55+30</f>
        <v>43373</v>
      </c>
      <c r="B56" s="160">
        <v>1240486.3500000001</v>
      </c>
      <c r="C56" s="160">
        <v>869573.32</v>
      </c>
      <c r="D56" s="160">
        <v>370913.03</v>
      </c>
      <c r="E56" s="160">
        <v>-499217.96</v>
      </c>
    </row>
    <row r="57" spans="1:7">
      <c r="A57" s="161">
        <f>A56+31</f>
        <v>43404</v>
      </c>
      <c r="B57" s="160">
        <v>295535.78999999998</v>
      </c>
      <c r="C57" s="160">
        <v>404625.08</v>
      </c>
      <c r="D57" s="160">
        <v>-109089.29</v>
      </c>
      <c r="E57" s="160">
        <v>-608307.25</v>
      </c>
      <c r="G57" s="162"/>
    </row>
    <row r="58" spans="1:7">
      <c r="A58" s="161">
        <f t="shared" si="9"/>
        <v>43434</v>
      </c>
      <c r="B58" s="160">
        <v>388810.69</v>
      </c>
      <c r="C58" s="160">
        <v>375640.63</v>
      </c>
      <c r="D58" s="160">
        <v>13170.06</v>
      </c>
      <c r="E58" s="160">
        <v>-595137.18999999994</v>
      </c>
    </row>
    <row r="59" spans="1:7">
      <c r="A59" s="161">
        <f>A58+31</f>
        <v>43465</v>
      </c>
      <c r="B59" s="160">
        <v>264359.45</v>
      </c>
      <c r="C59" s="160">
        <v>268473.73</v>
      </c>
      <c r="D59" s="160">
        <v>-4114.28</v>
      </c>
      <c r="E59" s="160">
        <v>-599251.47</v>
      </c>
    </row>
    <row r="60" spans="1:7">
      <c r="A60" s="101"/>
      <c r="B60" s="102"/>
      <c r="C60" s="102"/>
      <c r="D60" s="102"/>
      <c r="E60" s="102"/>
    </row>
    <row r="61" spans="1:7">
      <c r="A61" s="101"/>
      <c r="B61" s="94"/>
      <c r="C61" s="95" t="s">
        <v>66</v>
      </c>
      <c r="D61" s="96">
        <f>SUM(D48:D60)</f>
        <v>440478.81000000006</v>
      </c>
      <c r="E61" s="102"/>
    </row>
    <row r="62" spans="1:7">
      <c r="A62" s="101"/>
      <c r="B62" s="102"/>
      <c r="C62" s="102"/>
      <c r="D62" s="102"/>
      <c r="E62" s="102"/>
    </row>
    <row r="63" spans="1:7">
      <c r="A63" s="101"/>
      <c r="B63" s="97" t="s">
        <v>67</v>
      </c>
      <c r="C63" s="98"/>
      <c r="D63" s="99"/>
      <c r="E63" s="96">
        <f>E59-E47</f>
        <v>440478.81000000006</v>
      </c>
    </row>
    <row r="64" spans="1:7">
      <c r="A64" s="101"/>
      <c r="B64" s="102"/>
      <c r="C64" s="102"/>
      <c r="D64" s="102"/>
      <c r="E64" s="147"/>
    </row>
    <row r="65" spans="1:5">
      <c r="A65" s="101"/>
      <c r="B65" s="102"/>
      <c r="C65" s="102"/>
      <c r="D65" s="102"/>
      <c r="E65" s="102"/>
    </row>
    <row r="66" spans="1:5">
      <c r="A66" s="93" t="s">
        <v>65</v>
      </c>
      <c r="B66" s="160"/>
      <c r="C66" s="160"/>
      <c r="D66" s="160"/>
      <c r="E66" s="160">
        <v>-1629651.94</v>
      </c>
    </row>
    <row r="67" spans="1:5">
      <c r="A67" s="161">
        <v>42766</v>
      </c>
      <c r="B67" s="160">
        <v>730006.85</v>
      </c>
      <c r="C67" s="160">
        <v>790058.41</v>
      </c>
      <c r="D67" s="160">
        <v>-60051.56</v>
      </c>
      <c r="E67" s="160">
        <v>-1689703.5</v>
      </c>
    </row>
    <row r="68" spans="1:5">
      <c r="A68" s="161">
        <f>A67+28</f>
        <v>42794</v>
      </c>
      <c r="B68" s="160">
        <v>608686.03</v>
      </c>
      <c r="C68" s="160">
        <v>1129301.5900000001</v>
      </c>
      <c r="D68" s="160">
        <v>-520615.56</v>
      </c>
      <c r="E68" s="160">
        <v>-2210319.06</v>
      </c>
    </row>
    <row r="69" spans="1:5">
      <c r="A69" s="161">
        <f>A68+31</f>
        <v>42825</v>
      </c>
      <c r="B69" s="160">
        <v>740269.19</v>
      </c>
      <c r="C69" s="160">
        <v>907912.68</v>
      </c>
      <c r="D69" s="160">
        <v>-167643.49</v>
      </c>
      <c r="E69" s="160">
        <v>-2377962.5499999998</v>
      </c>
    </row>
    <row r="70" spans="1:5">
      <c r="A70" s="161">
        <f>A69+30</f>
        <v>42855</v>
      </c>
      <c r="B70" s="160">
        <v>559630.43000000005</v>
      </c>
      <c r="C70" s="160">
        <v>533073.31000000006</v>
      </c>
      <c r="D70" s="160">
        <v>26557.119999999999</v>
      </c>
      <c r="E70" s="160">
        <v>-2351405.4300000002</v>
      </c>
    </row>
    <row r="71" spans="1:5">
      <c r="A71" s="161">
        <f t="shared" ref="A71" si="10">A70+31</f>
        <v>42886</v>
      </c>
      <c r="B71" s="160">
        <v>498443.68</v>
      </c>
      <c r="C71" s="160">
        <v>526195.55000000005</v>
      </c>
      <c r="D71" s="160">
        <v>-27751.87</v>
      </c>
      <c r="E71" s="160">
        <v>-2379157.2999999998</v>
      </c>
    </row>
    <row r="72" spans="1:5">
      <c r="A72" s="161">
        <f>A71+30</f>
        <v>42916</v>
      </c>
      <c r="B72" s="160">
        <v>640017.76</v>
      </c>
      <c r="C72" s="160">
        <v>364503.5</v>
      </c>
      <c r="D72" s="160">
        <v>275514.26</v>
      </c>
      <c r="E72" s="160">
        <v>-2103643.04</v>
      </c>
    </row>
    <row r="73" spans="1:5">
      <c r="A73" s="161">
        <f>A72+31</f>
        <v>42947</v>
      </c>
      <c r="B73" s="160">
        <v>880985.69</v>
      </c>
      <c r="C73" s="160">
        <v>136966.17000000001</v>
      </c>
      <c r="D73" s="160">
        <v>744019.52</v>
      </c>
      <c r="E73" s="160">
        <v>-1359623.52</v>
      </c>
    </row>
    <row r="74" spans="1:5">
      <c r="A74" s="161">
        <f>A73+31</f>
        <v>42978</v>
      </c>
      <c r="B74" s="160">
        <v>818630.79</v>
      </c>
      <c r="C74" s="160">
        <v>541070.43999999994</v>
      </c>
      <c r="D74" s="160">
        <v>277560.34999999998</v>
      </c>
      <c r="E74" s="160">
        <v>-1082063.17</v>
      </c>
    </row>
    <row r="75" spans="1:5">
      <c r="A75" s="161">
        <f t="shared" ref="A75:A77" si="11">A74+30</f>
        <v>43008</v>
      </c>
      <c r="B75" s="160">
        <v>670658.93999999994</v>
      </c>
      <c r="C75" s="160">
        <v>434309.08</v>
      </c>
      <c r="D75" s="160">
        <v>236349.86</v>
      </c>
      <c r="E75" s="160">
        <v>-845713.31</v>
      </c>
    </row>
    <row r="76" spans="1:5">
      <c r="A76" s="161">
        <f>A75+31</f>
        <v>43039</v>
      </c>
      <c r="B76" s="160">
        <v>620162.51</v>
      </c>
      <c r="C76" s="160">
        <v>418299.33</v>
      </c>
      <c r="D76" s="160">
        <v>201863.18</v>
      </c>
      <c r="E76" s="160">
        <v>-643850.13</v>
      </c>
    </row>
    <row r="77" spans="1:5">
      <c r="A77" s="161">
        <f t="shared" si="11"/>
        <v>43069</v>
      </c>
      <c r="B77" s="160">
        <v>563065.34</v>
      </c>
      <c r="C77" s="160">
        <v>498869.2</v>
      </c>
      <c r="D77" s="160">
        <v>64196.14</v>
      </c>
      <c r="E77" s="160">
        <v>-579653.99</v>
      </c>
    </row>
    <row r="78" spans="1:5">
      <c r="A78" s="161">
        <f>A77+31</f>
        <v>43100</v>
      </c>
      <c r="B78" s="160">
        <v>526604.43999999994</v>
      </c>
      <c r="C78" s="160">
        <v>986680.73</v>
      </c>
      <c r="D78" s="160">
        <v>-460076.29</v>
      </c>
      <c r="E78" s="160">
        <v>-1039730.28</v>
      </c>
    </row>
    <row r="79" spans="1:5">
      <c r="A79" s="101"/>
      <c r="B79" s="102"/>
      <c r="C79" s="102"/>
      <c r="D79" s="102"/>
      <c r="E79" s="102"/>
    </row>
    <row r="80" spans="1:5">
      <c r="A80" s="101"/>
      <c r="B80" s="94"/>
      <c r="C80" s="95" t="s">
        <v>66</v>
      </c>
      <c r="D80" s="96">
        <f>SUM(D67:D79)</f>
        <v>589921.65999999992</v>
      </c>
      <c r="E80" s="102"/>
    </row>
    <row r="81" spans="1:5">
      <c r="A81" s="101"/>
      <c r="B81" s="102"/>
      <c r="C81" s="102"/>
      <c r="D81" s="102"/>
      <c r="E81" s="102"/>
    </row>
    <row r="82" spans="1:5">
      <c r="A82" s="101"/>
      <c r="B82" s="97" t="s">
        <v>67</v>
      </c>
      <c r="C82" s="98"/>
      <c r="D82" s="99"/>
      <c r="E82" s="96">
        <f>E78-E66</f>
        <v>589921.65999999992</v>
      </c>
    </row>
    <row r="83" spans="1:5">
      <c r="A83" s="88"/>
      <c r="B83" s="88"/>
      <c r="C83" s="88"/>
      <c r="D83" s="88"/>
      <c r="E83" s="88"/>
    </row>
    <row r="84" spans="1:5">
      <c r="A84" s="88"/>
      <c r="B84" s="88"/>
      <c r="C84" s="88"/>
      <c r="D84" s="88"/>
      <c r="E84" s="88"/>
    </row>
    <row r="85" spans="1:5">
      <c r="A85" s="89" t="s">
        <v>60</v>
      </c>
      <c r="B85" s="90" t="s">
        <v>61</v>
      </c>
      <c r="C85" s="90" t="s">
        <v>62</v>
      </c>
      <c r="D85" s="90" t="s">
        <v>63</v>
      </c>
      <c r="E85" s="90" t="s">
        <v>64</v>
      </c>
    </row>
    <row r="86" spans="1:5">
      <c r="A86" s="93" t="s">
        <v>65</v>
      </c>
      <c r="B86" s="160"/>
      <c r="C86" s="160"/>
      <c r="D86" s="160"/>
      <c r="E86" s="160">
        <v>-1608336.92</v>
      </c>
    </row>
    <row r="87" spans="1:5">
      <c r="A87" s="161">
        <v>42400</v>
      </c>
      <c r="B87" s="160">
        <v>787325.6</v>
      </c>
      <c r="C87" s="160">
        <v>1003174.92</v>
      </c>
      <c r="D87" s="160">
        <v>-215849.32</v>
      </c>
      <c r="E87" s="160">
        <v>-1824186.24</v>
      </c>
    </row>
    <row r="88" spans="1:5">
      <c r="A88" s="161">
        <f>A87+29</f>
        <v>42429</v>
      </c>
      <c r="B88" s="160">
        <v>882901.6</v>
      </c>
      <c r="C88" s="160">
        <v>662282.9</v>
      </c>
      <c r="D88" s="160">
        <v>220618.7</v>
      </c>
      <c r="E88" s="160">
        <v>-1603567.54</v>
      </c>
    </row>
    <row r="89" spans="1:5">
      <c r="A89" s="161">
        <f>A88+31</f>
        <v>42460</v>
      </c>
      <c r="B89" s="160">
        <v>738583.35</v>
      </c>
      <c r="C89" s="160">
        <v>385052.97</v>
      </c>
      <c r="D89" s="160">
        <v>353530.38</v>
      </c>
      <c r="E89" s="160">
        <v>-1250037.1599999999</v>
      </c>
    </row>
    <row r="90" spans="1:5">
      <c r="A90" s="161">
        <f>A89+30</f>
        <v>42490</v>
      </c>
      <c r="B90" s="160">
        <v>315339.48</v>
      </c>
      <c r="C90" s="160">
        <v>444178.1</v>
      </c>
      <c r="D90" s="160">
        <v>-128838.62</v>
      </c>
      <c r="E90" s="160">
        <v>-1378875.78</v>
      </c>
    </row>
    <row r="91" spans="1:5">
      <c r="A91" s="161">
        <f t="shared" ref="A91:A98" si="12">A90+31</f>
        <v>42521</v>
      </c>
      <c r="B91" s="160">
        <v>285826.65000000002</v>
      </c>
      <c r="C91" s="160">
        <v>491621.95</v>
      </c>
      <c r="D91" s="160">
        <v>-205795.3</v>
      </c>
      <c r="E91" s="160">
        <v>-1584671.08</v>
      </c>
    </row>
    <row r="92" spans="1:5">
      <c r="A92" s="161">
        <f>A91+30</f>
        <v>42551</v>
      </c>
      <c r="B92" s="160">
        <v>659568.13</v>
      </c>
      <c r="C92" s="160">
        <v>581226.93999999994</v>
      </c>
      <c r="D92" s="160">
        <v>78341.19</v>
      </c>
      <c r="E92" s="160">
        <v>-1506329.89</v>
      </c>
    </row>
    <row r="93" spans="1:5">
      <c r="A93" s="161">
        <f t="shared" si="12"/>
        <v>42582</v>
      </c>
      <c r="B93" s="160">
        <v>585666.36</v>
      </c>
      <c r="C93" s="160">
        <v>480162.61</v>
      </c>
      <c r="D93" s="160">
        <v>105503.75</v>
      </c>
      <c r="E93" s="160">
        <v>-1400826.14</v>
      </c>
    </row>
    <row r="94" spans="1:5">
      <c r="A94" s="161">
        <f t="shared" si="12"/>
        <v>42613</v>
      </c>
      <c r="B94" s="160">
        <v>443614.79</v>
      </c>
      <c r="C94" s="160">
        <v>635794.48</v>
      </c>
      <c r="D94" s="160">
        <v>-192179.69</v>
      </c>
      <c r="E94" s="160">
        <v>-1593005.83</v>
      </c>
    </row>
    <row r="95" spans="1:5">
      <c r="A95" s="161">
        <f>A94+30</f>
        <v>42643</v>
      </c>
      <c r="B95" s="160">
        <v>678320.72</v>
      </c>
      <c r="C95" s="160">
        <v>625683.75</v>
      </c>
      <c r="D95" s="160">
        <v>52636.97</v>
      </c>
      <c r="E95" s="160">
        <v>-1540368.86</v>
      </c>
    </row>
    <row r="96" spans="1:5">
      <c r="A96" s="161">
        <f t="shared" si="12"/>
        <v>42674</v>
      </c>
      <c r="B96" s="160">
        <v>410153.5</v>
      </c>
      <c r="C96" s="160">
        <v>290894.55</v>
      </c>
      <c r="D96" s="160">
        <v>119258.95</v>
      </c>
      <c r="E96" s="160">
        <v>-1421109.91</v>
      </c>
    </row>
    <row r="97" spans="1:8">
      <c r="A97" s="161">
        <f>A96+30</f>
        <v>42704</v>
      </c>
      <c r="B97" s="160">
        <v>494260.95</v>
      </c>
      <c r="C97" s="160">
        <v>427286.36</v>
      </c>
      <c r="D97" s="160">
        <v>66974.59</v>
      </c>
      <c r="E97" s="160">
        <v>-1354135.32</v>
      </c>
    </row>
    <row r="98" spans="1:8">
      <c r="A98" s="161">
        <f t="shared" si="12"/>
        <v>42735</v>
      </c>
      <c r="B98" s="160">
        <v>543080.81999999995</v>
      </c>
      <c r="C98" s="160">
        <v>818597.44</v>
      </c>
      <c r="D98" s="160">
        <v>-275516.62</v>
      </c>
      <c r="E98" s="160">
        <v>-1629651.94</v>
      </c>
    </row>
    <row r="99" spans="1:8">
      <c r="A99" s="101"/>
      <c r="B99" s="102"/>
      <c r="C99" s="102"/>
      <c r="D99" s="102"/>
      <c r="E99" s="102"/>
    </row>
    <row r="100" spans="1:8">
      <c r="A100" s="101"/>
      <c r="B100" s="94"/>
      <c r="C100" s="95" t="s">
        <v>66</v>
      </c>
      <c r="D100" s="96">
        <f>SUM(D87:D99)</f>
        <v>-21315.01999999999</v>
      </c>
      <c r="E100" s="102"/>
    </row>
    <row r="101" spans="1:8">
      <c r="A101" s="101"/>
      <c r="B101" s="102"/>
      <c r="C101" s="102"/>
      <c r="D101" s="102"/>
      <c r="E101" s="102"/>
    </row>
    <row r="102" spans="1:8">
      <c r="A102" s="101"/>
      <c r="B102" s="97" t="s">
        <v>67</v>
      </c>
      <c r="C102" s="98"/>
      <c r="D102" s="99"/>
      <c r="E102" s="96">
        <f>E98-E86</f>
        <v>-21315.020000000019</v>
      </c>
    </row>
    <row r="103" spans="1:8">
      <c r="A103" s="101"/>
      <c r="B103" s="102"/>
      <c r="C103" s="102"/>
      <c r="D103" s="102"/>
      <c r="E103" s="102"/>
    </row>
    <row r="104" spans="1:8">
      <c r="A104" s="91"/>
      <c r="B104" s="92"/>
      <c r="C104" s="92"/>
      <c r="D104" s="92"/>
      <c r="E104" s="92"/>
    </row>
    <row r="105" spans="1:8">
      <c r="A105" s="93" t="s">
        <v>65</v>
      </c>
      <c r="B105" s="160"/>
      <c r="C105" s="160"/>
      <c r="D105" s="160"/>
      <c r="E105" s="160">
        <v>-1306919.18</v>
      </c>
    </row>
    <row r="106" spans="1:8">
      <c r="A106" s="161">
        <v>42035</v>
      </c>
      <c r="B106" s="160">
        <v>508806.85</v>
      </c>
      <c r="C106" s="160">
        <v>511200.79</v>
      </c>
      <c r="D106" s="160">
        <v>-2393.94</v>
      </c>
      <c r="E106" s="160">
        <v>-1309313.1200000001</v>
      </c>
    </row>
    <row r="107" spans="1:8">
      <c r="A107" s="161">
        <f>A106+28</f>
        <v>42063</v>
      </c>
      <c r="B107" s="160">
        <v>466862.49</v>
      </c>
      <c r="C107" s="160">
        <v>525093.24</v>
      </c>
      <c r="D107" s="160">
        <v>-58230.75</v>
      </c>
      <c r="E107" s="160">
        <v>-1367543.87</v>
      </c>
      <c r="H107" s="100"/>
    </row>
    <row r="108" spans="1:8">
      <c r="A108" s="161">
        <f>A107+31</f>
        <v>42094</v>
      </c>
      <c r="B108" s="160">
        <v>506647.66</v>
      </c>
      <c r="C108" s="160">
        <v>716502.61</v>
      </c>
      <c r="D108" s="160">
        <v>-209854.95</v>
      </c>
      <c r="E108" s="160">
        <v>-1577398.82</v>
      </c>
    </row>
    <row r="109" spans="1:8">
      <c r="A109" s="161">
        <f>A108+30</f>
        <v>42124</v>
      </c>
      <c r="B109" s="160">
        <v>384777.15</v>
      </c>
      <c r="C109" s="160">
        <v>668338.66</v>
      </c>
      <c r="D109" s="160">
        <v>-283561.51</v>
      </c>
      <c r="E109" s="160">
        <v>-1860960.33</v>
      </c>
    </row>
    <row r="110" spans="1:8">
      <c r="A110" s="161">
        <f t="shared" ref="A110:A117" si="13">A109+31</f>
        <v>42155</v>
      </c>
      <c r="B110" s="160">
        <v>435786.96</v>
      </c>
      <c r="C110" s="160">
        <v>530847.14</v>
      </c>
      <c r="D110" s="160">
        <v>-95060.18</v>
      </c>
      <c r="E110" s="160">
        <v>-1956020.51</v>
      </c>
    </row>
    <row r="111" spans="1:8">
      <c r="A111" s="161">
        <f>A110+30</f>
        <v>42185</v>
      </c>
      <c r="B111" s="160">
        <v>682632.01</v>
      </c>
      <c r="C111" s="160">
        <v>593987.31000000006</v>
      </c>
      <c r="D111" s="160">
        <v>88644.7</v>
      </c>
      <c r="E111" s="160">
        <v>-1867375.81</v>
      </c>
    </row>
    <row r="112" spans="1:8">
      <c r="A112" s="161">
        <f t="shared" si="13"/>
        <v>42216</v>
      </c>
      <c r="B112" s="160">
        <v>601156.36</v>
      </c>
      <c r="C112" s="160">
        <v>476045.48</v>
      </c>
      <c r="D112" s="160">
        <v>125110.88</v>
      </c>
      <c r="E112" s="160">
        <v>-1742264.93</v>
      </c>
    </row>
    <row r="113" spans="1:7">
      <c r="A113" s="161">
        <f t="shared" si="13"/>
        <v>42247</v>
      </c>
      <c r="B113" s="160">
        <v>216438.58</v>
      </c>
      <c r="C113" s="160">
        <v>300450.15000000002</v>
      </c>
      <c r="D113" s="160">
        <v>-84011.57</v>
      </c>
      <c r="E113" s="160">
        <v>-1826276.5</v>
      </c>
    </row>
    <row r="114" spans="1:7">
      <c r="A114" s="161">
        <f>A113+30</f>
        <v>42277</v>
      </c>
      <c r="B114" s="160">
        <v>141361.28</v>
      </c>
      <c r="C114" s="160">
        <v>501199.75</v>
      </c>
      <c r="D114" s="160">
        <v>-359838.47</v>
      </c>
      <c r="E114" s="160">
        <v>-2186114.9700000002</v>
      </c>
    </row>
    <row r="115" spans="1:7">
      <c r="A115" s="161">
        <f t="shared" si="13"/>
        <v>42308</v>
      </c>
      <c r="B115" s="160">
        <v>773851.44</v>
      </c>
      <c r="C115" s="160">
        <v>462884.78</v>
      </c>
      <c r="D115" s="160">
        <v>310966.65999999997</v>
      </c>
      <c r="E115" s="160">
        <v>-1875148.31</v>
      </c>
    </row>
    <row r="116" spans="1:7">
      <c r="A116" s="161">
        <f>A115+30</f>
        <v>42338</v>
      </c>
      <c r="B116" s="160">
        <v>202827.54</v>
      </c>
      <c r="C116" s="160">
        <v>262241.28999999998</v>
      </c>
      <c r="D116" s="160">
        <v>-59413.75</v>
      </c>
      <c r="E116" s="160">
        <v>-1934562.06</v>
      </c>
    </row>
    <row r="117" spans="1:7">
      <c r="A117" s="161">
        <f t="shared" si="13"/>
        <v>42369</v>
      </c>
      <c r="B117" s="160">
        <v>786631.25</v>
      </c>
      <c r="C117" s="160">
        <v>460406.11</v>
      </c>
      <c r="D117" s="160">
        <v>326225.14</v>
      </c>
      <c r="E117" s="160">
        <v>-1608336.92</v>
      </c>
    </row>
    <row r="118" spans="1:7">
      <c r="B118" s="146"/>
      <c r="C118" s="146"/>
      <c r="D118" s="146"/>
      <c r="E118" s="146"/>
    </row>
    <row r="119" spans="1:7">
      <c r="B119" s="94"/>
      <c r="C119" s="95" t="s">
        <v>66</v>
      </c>
      <c r="D119" s="96">
        <f>SUM(D105:D118)</f>
        <v>-301417.74000000011</v>
      </c>
    </row>
    <row r="121" spans="1:7">
      <c r="B121" s="97" t="s">
        <v>67</v>
      </c>
      <c r="C121" s="98"/>
      <c r="D121" s="99"/>
      <c r="E121" s="96">
        <f>E117-E105</f>
        <v>-301417.74</v>
      </c>
    </row>
    <row r="123" spans="1:7">
      <c r="A123" s="93" t="s">
        <v>65</v>
      </c>
      <c r="B123" s="146"/>
      <c r="C123" s="146"/>
      <c r="D123" s="146"/>
      <c r="E123" s="160">
        <v>-1607130.96</v>
      </c>
      <c r="G123" s="163"/>
    </row>
    <row r="124" spans="1:7">
      <c r="A124" s="161">
        <v>41670</v>
      </c>
      <c r="B124" s="160">
        <v>604159.06000000006</v>
      </c>
      <c r="C124" s="160">
        <v>859023.16</v>
      </c>
      <c r="D124" s="160">
        <v>-254864.1</v>
      </c>
      <c r="E124" s="160">
        <v>-1861995.06</v>
      </c>
    </row>
    <row r="125" spans="1:7">
      <c r="A125" s="161">
        <f>A124+28</f>
        <v>41698</v>
      </c>
      <c r="B125" s="160">
        <v>610753.27</v>
      </c>
      <c r="C125" s="160">
        <v>582433.81999999995</v>
      </c>
      <c r="D125" s="160">
        <v>28319.45</v>
      </c>
      <c r="E125" s="160">
        <v>-1833675.61</v>
      </c>
    </row>
    <row r="126" spans="1:7">
      <c r="A126" s="161">
        <f>A125+31</f>
        <v>41729</v>
      </c>
      <c r="B126" s="160">
        <v>648449.48</v>
      </c>
      <c r="C126" s="160">
        <v>608211.38</v>
      </c>
      <c r="D126" s="160">
        <v>40238.1</v>
      </c>
      <c r="E126" s="160">
        <v>-1793437.51</v>
      </c>
    </row>
    <row r="127" spans="1:7">
      <c r="A127" s="161">
        <f>A126+30</f>
        <v>41759</v>
      </c>
      <c r="B127" s="160">
        <v>381098.35</v>
      </c>
      <c r="C127" s="160">
        <v>656592.65</v>
      </c>
      <c r="D127" s="160">
        <v>-275494.3</v>
      </c>
      <c r="E127" s="160">
        <v>-2068931.81</v>
      </c>
    </row>
    <row r="128" spans="1:7">
      <c r="A128" s="161">
        <f t="shared" ref="A128:A135" si="14">A127+31</f>
        <v>41790</v>
      </c>
      <c r="B128" s="160">
        <v>518685.16</v>
      </c>
      <c r="C128" s="160">
        <v>606542.29</v>
      </c>
      <c r="D128" s="160">
        <v>-87857.13</v>
      </c>
      <c r="E128" s="160">
        <v>-2156788.94</v>
      </c>
    </row>
    <row r="129" spans="1:12">
      <c r="A129" s="161">
        <f>A128+30</f>
        <v>41820</v>
      </c>
      <c r="B129" s="160">
        <v>823996.31</v>
      </c>
      <c r="C129" s="160">
        <v>904536.24</v>
      </c>
      <c r="D129" s="160">
        <v>-80539.929999999993</v>
      </c>
      <c r="E129" s="160">
        <v>-2237328.87</v>
      </c>
    </row>
    <row r="130" spans="1:12">
      <c r="A130" s="161">
        <f t="shared" si="14"/>
        <v>41851</v>
      </c>
      <c r="B130" s="160">
        <v>884134.32</v>
      </c>
      <c r="C130" s="160">
        <v>810019</v>
      </c>
      <c r="D130" s="160">
        <v>74115.320000000007</v>
      </c>
      <c r="E130" s="160">
        <v>-2163213.5499999998</v>
      </c>
    </row>
    <row r="131" spans="1:12">
      <c r="A131" s="161">
        <f t="shared" si="14"/>
        <v>41882</v>
      </c>
      <c r="B131" s="160">
        <v>865154.84</v>
      </c>
      <c r="C131" s="160">
        <v>660608.98</v>
      </c>
      <c r="D131" s="160">
        <v>204545.86</v>
      </c>
      <c r="E131" s="160">
        <v>-1958667.69</v>
      </c>
    </row>
    <row r="132" spans="1:12">
      <c r="A132" s="161">
        <f>A131+30</f>
        <v>41912</v>
      </c>
      <c r="B132" s="160">
        <v>802408.73</v>
      </c>
      <c r="C132" s="160">
        <v>632000.85</v>
      </c>
      <c r="D132" s="160">
        <v>170407.88</v>
      </c>
      <c r="E132" s="160">
        <v>-1788259.81</v>
      </c>
      <c r="G132" s="146"/>
      <c r="H132" s="146"/>
      <c r="I132" s="164"/>
      <c r="J132" s="146"/>
      <c r="K132" s="164"/>
      <c r="L132" s="164"/>
    </row>
    <row r="133" spans="1:12">
      <c r="A133" s="161">
        <f t="shared" si="14"/>
        <v>41943</v>
      </c>
      <c r="B133" s="160">
        <v>868764.58</v>
      </c>
      <c r="C133" s="160">
        <v>603444.38</v>
      </c>
      <c r="D133" s="160">
        <v>265320.2</v>
      </c>
      <c r="E133" s="160">
        <v>-1522939.61</v>
      </c>
      <c r="G133" s="146"/>
    </row>
    <row r="134" spans="1:12">
      <c r="A134" s="161">
        <f>A133+30</f>
        <v>41973</v>
      </c>
      <c r="B134" s="160">
        <v>649912.31999999995</v>
      </c>
      <c r="C134" s="160">
        <v>609563.06000000006</v>
      </c>
      <c r="D134" s="160">
        <v>40349.26</v>
      </c>
      <c r="E134" s="160">
        <v>-1482590.35</v>
      </c>
      <c r="G134" s="164"/>
      <c r="I134" s="164"/>
    </row>
    <row r="135" spans="1:12">
      <c r="A135" s="161">
        <f t="shared" si="14"/>
        <v>42004</v>
      </c>
      <c r="B135" s="160">
        <v>775400.82</v>
      </c>
      <c r="C135" s="160">
        <v>599729.65</v>
      </c>
      <c r="D135" s="160">
        <v>175671.17</v>
      </c>
      <c r="E135" s="160">
        <v>-1306919.18</v>
      </c>
    </row>
    <row r="136" spans="1:12">
      <c r="B136" s="146"/>
      <c r="C136" s="146"/>
      <c r="D136" s="146"/>
      <c r="E136" s="146"/>
      <c r="H136" s="164"/>
    </row>
    <row r="137" spans="1:12">
      <c r="B137" s="94"/>
      <c r="C137" s="95" t="s">
        <v>66</v>
      </c>
      <c r="D137" s="96">
        <f>SUM(D123:D136)</f>
        <v>300211.78000000014</v>
      </c>
    </row>
    <row r="139" spans="1:12">
      <c r="B139" s="97" t="s">
        <v>67</v>
      </c>
      <c r="C139" s="98"/>
      <c r="D139" s="99"/>
      <c r="E139" s="96">
        <f>E135-E123</f>
        <v>300211.78000000003</v>
      </c>
    </row>
    <row r="141" spans="1:12" hidden="1" outlineLevel="1">
      <c r="A141" s="93" t="s">
        <v>65</v>
      </c>
      <c r="B141" s="163">
        <v>0</v>
      </c>
      <c r="C141" s="163">
        <v>0</v>
      </c>
      <c r="D141" s="163">
        <v>0</v>
      </c>
      <c r="E141" s="163">
        <v>-2479144.15</v>
      </c>
    </row>
    <row r="142" spans="1:12" hidden="1" outlineLevel="1">
      <c r="A142" s="100">
        <v>40574</v>
      </c>
      <c r="B142" s="163">
        <v>13490431.609999999</v>
      </c>
      <c r="C142" s="163">
        <v>13617945.76</v>
      </c>
      <c r="D142" s="163">
        <v>-127514.15</v>
      </c>
      <c r="E142" s="163">
        <v>-2606658.2999999998</v>
      </c>
    </row>
    <row r="143" spans="1:12" hidden="1" outlineLevel="1">
      <c r="A143" s="100">
        <v>40602</v>
      </c>
      <c r="B143" s="163">
        <v>13702936.84</v>
      </c>
      <c r="C143" s="163">
        <v>13757812.380000001</v>
      </c>
      <c r="D143" s="163">
        <v>-54875.54</v>
      </c>
      <c r="E143" s="163">
        <v>-2661533.84</v>
      </c>
    </row>
    <row r="144" spans="1:12" hidden="1" outlineLevel="1">
      <c r="A144" s="100">
        <v>40633</v>
      </c>
      <c r="B144" s="163">
        <v>13892569.189999999</v>
      </c>
      <c r="C144" s="163">
        <v>13724799.58</v>
      </c>
      <c r="D144" s="163">
        <v>167769.60999999999</v>
      </c>
      <c r="E144" s="163">
        <v>-2493764.23</v>
      </c>
    </row>
    <row r="145" spans="1:5" hidden="1" outlineLevel="1">
      <c r="A145" s="100">
        <v>40663</v>
      </c>
      <c r="B145" s="163">
        <v>13881203.630000001</v>
      </c>
      <c r="C145" s="163">
        <v>13740520.77</v>
      </c>
      <c r="D145" s="163">
        <v>140682.85999999999</v>
      </c>
      <c r="E145" s="163">
        <v>-2353081.37</v>
      </c>
    </row>
    <row r="146" spans="1:5" hidden="1" outlineLevel="1">
      <c r="A146" s="100">
        <v>40694</v>
      </c>
      <c r="B146" s="163">
        <v>14053527.93</v>
      </c>
      <c r="C146" s="163">
        <v>13767250.630000001</v>
      </c>
      <c r="D146" s="163">
        <v>286277.3</v>
      </c>
      <c r="E146" s="163">
        <v>-2066804.07</v>
      </c>
    </row>
    <row r="147" spans="1:5" hidden="1" outlineLevel="1">
      <c r="A147" s="100">
        <v>40724</v>
      </c>
      <c r="B147" s="163">
        <v>14234900.619999999</v>
      </c>
      <c r="C147" s="163">
        <v>13982085.07</v>
      </c>
      <c r="D147" s="163">
        <v>252815.55</v>
      </c>
      <c r="E147" s="163">
        <v>-1813988.52</v>
      </c>
    </row>
    <row r="148" spans="1:5" hidden="1" outlineLevel="1">
      <c r="A148" s="100">
        <v>40755</v>
      </c>
      <c r="B148" s="163">
        <v>14411851.91</v>
      </c>
      <c r="C148" s="163">
        <v>14285374.85</v>
      </c>
      <c r="D148" s="163">
        <v>126477.06</v>
      </c>
      <c r="E148" s="163">
        <v>-1687511.46</v>
      </c>
    </row>
    <row r="149" spans="1:5" hidden="1" outlineLevel="1">
      <c r="A149" s="100">
        <v>40786</v>
      </c>
      <c r="B149" s="163">
        <v>14791413.380000001</v>
      </c>
      <c r="C149" s="163">
        <v>14783490.9</v>
      </c>
      <c r="D149" s="163">
        <v>7922.48</v>
      </c>
      <c r="E149" s="163">
        <v>-1679588.98</v>
      </c>
    </row>
    <row r="150" spans="1:5" hidden="1" outlineLevel="1">
      <c r="A150" s="100">
        <v>40816</v>
      </c>
      <c r="B150" s="163">
        <v>15546853.210000001</v>
      </c>
      <c r="C150" s="163">
        <v>15515881.220000001</v>
      </c>
      <c r="D150" s="163">
        <v>30971.99</v>
      </c>
      <c r="E150" s="163">
        <v>-1648616.99</v>
      </c>
    </row>
    <row r="151" spans="1:5" hidden="1" outlineLevel="1">
      <c r="A151" s="100">
        <v>40847</v>
      </c>
      <c r="B151" s="163">
        <v>16104517.029999999</v>
      </c>
      <c r="C151" s="163">
        <v>16289400.949999999</v>
      </c>
      <c r="D151" s="163">
        <v>-184883.92</v>
      </c>
      <c r="E151" s="163">
        <v>-1833500.91</v>
      </c>
    </row>
    <row r="152" spans="1:5" hidden="1" outlineLevel="1">
      <c r="A152" s="100">
        <v>40877</v>
      </c>
      <c r="B152" s="163">
        <v>16643636.369999999</v>
      </c>
      <c r="C152" s="163">
        <v>16812041.739999998</v>
      </c>
      <c r="D152" s="163">
        <v>-168405.37</v>
      </c>
      <c r="E152" s="163">
        <v>-2001906.28</v>
      </c>
    </row>
    <row r="153" spans="1:5" hidden="1" outlineLevel="1">
      <c r="A153" s="100">
        <v>40908</v>
      </c>
      <c r="B153" s="163">
        <v>17360222.850000001</v>
      </c>
      <c r="C153" s="163">
        <v>17496068.02</v>
      </c>
      <c r="D153" s="163">
        <v>-135845.17000000001</v>
      </c>
      <c r="E153" s="163">
        <v>-2137751.4500000002</v>
      </c>
    </row>
    <row r="154" spans="1:5" hidden="1" outlineLevel="1">
      <c r="B154" s="146"/>
      <c r="C154" s="146"/>
      <c r="D154" s="146"/>
      <c r="E154" s="146"/>
    </row>
    <row r="155" spans="1:5" hidden="1" outlineLevel="1">
      <c r="B155" s="94"/>
      <c r="C155" s="95" t="s">
        <v>66</v>
      </c>
      <c r="D155" s="96">
        <v>341392.69999999984</v>
      </c>
    </row>
    <row r="156" spans="1:5" hidden="1" outlineLevel="1"/>
    <row r="157" spans="1:5" hidden="1" outlineLevel="1">
      <c r="B157" s="97" t="s">
        <v>67</v>
      </c>
      <c r="C157" s="98"/>
      <c r="D157" s="99"/>
      <c r="E157" s="96">
        <v>341392.69999999972</v>
      </c>
    </row>
    <row r="158" spans="1:5" hidden="1" outlineLevel="1"/>
    <row r="159" spans="1:5" hidden="1" outlineLevel="1">
      <c r="A159" s="93" t="s">
        <v>65</v>
      </c>
      <c r="B159" s="146">
        <v>0</v>
      </c>
      <c r="C159" s="146">
        <v>0</v>
      </c>
      <c r="D159" s="146">
        <v>0</v>
      </c>
      <c r="E159" s="146">
        <v>-2197858.0499999998</v>
      </c>
    </row>
    <row r="160" spans="1:5" hidden="1" outlineLevel="1">
      <c r="A160" s="100">
        <v>40209</v>
      </c>
      <c r="B160" s="146">
        <v>7866501.6500000004</v>
      </c>
      <c r="C160" s="146">
        <v>7795548.1600000001</v>
      </c>
      <c r="D160" s="146">
        <v>70953.490000000005</v>
      </c>
      <c r="E160" s="146">
        <v>-2126904.56</v>
      </c>
    </row>
    <row r="161" spans="1:5" hidden="1" outlineLevel="1">
      <c r="A161" s="100">
        <v>40237</v>
      </c>
      <c r="B161" s="146">
        <v>8140658.5</v>
      </c>
      <c r="C161" s="146">
        <v>8044960.0199999996</v>
      </c>
      <c r="D161" s="146">
        <v>95698.48</v>
      </c>
      <c r="E161" s="146">
        <v>-2031206.08</v>
      </c>
    </row>
    <row r="162" spans="1:5" hidden="1" outlineLevel="1">
      <c r="A162" s="100">
        <v>40268</v>
      </c>
      <c r="B162" s="146">
        <v>8463937.9199999999</v>
      </c>
      <c r="C162" s="146">
        <v>8418834.1300000008</v>
      </c>
      <c r="D162" s="146">
        <v>45103.79</v>
      </c>
      <c r="E162" s="146">
        <v>-1986102.29</v>
      </c>
    </row>
    <row r="163" spans="1:5" hidden="1" outlineLevel="1">
      <c r="A163" s="100">
        <v>40298</v>
      </c>
      <c r="B163" s="146">
        <v>8924828.4600000009</v>
      </c>
      <c r="C163" s="146">
        <v>8810000.6500000004</v>
      </c>
      <c r="D163" s="146">
        <v>114827.81</v>
      </c>
      <c r="E163" s="146">
        <v>-1871274.48</v>
      </c>
    </row>
    <row r="164" spans="1:5" hidden="1" outlineLevel="1">
      <c r="A164" s="100">
        <v>40329</v>
      </c>
      <c r="B164" s="146">
        <v>9346478.4700000007</v>
      </c>
      <c r="C164" s="146">
        <v>9282922.6199999992</v>
      </c>
      <c r="D164" s="146">
        <v>63555.85</v>
      </c>
      <c r="E164" s="146">
        <v>-1807718.63</v>
      </c>
    </row>
    <row r="165" spans="1:5" hidden="1" outlineLevel="1">
      <c r="A165" s="100">
        <v>40359</v>
      </c>
      <c r="B165" s="146">
        <v>19610758.800000001</v>
      </c>
      <c r="C165" s="146">
        <v>19520283.960000001</v>
      </c>
      <c r="D165" s="146">
        <v>90474.84</v>
      </c>
      <c r="E165" s="146">
        <v>-1717243.79</v>
      </c>
    </row>
    <row r="166" spans="1:5" hidden="1" outlineLevel="1">
      <c r="A166" s="100">
        <v>40390</v>
      </c>
      <c r="B166" s="146">
        <v>10248909.199999999</v>
      </c>
      <c r="C166" s="146">
        <v>10151130.199999999</v>
      </c>
      <c r="D166" s="146">
        <v>97779</v>
      </c>
      <c r="E166" s="146">
        <v>-1619464.79</v>
      </c>
    </row>
    <row r="167" spans="1:5" hidden="1" outlineLevel="1">
      <c r="A167" s="100">
        <v>40421</v>
      </c>
      <c r="B167" s="146">
        <v>10652049.15</v>
      </c>
      <c r="C167" s="146">
        <v>10626637.369999999</v>
      </c>
      <c r="D167" s="146">
        <v>25411.78</v>
      </c>
      <c r="E167" s="146">
        <v>-1594053.01</v>
      </c>
    </row>
    <row r="168" spans="1:5" hidden="1" outlineLevel="1">
      <c r="A168" s="100">
        <v>40451</v>
      </c>
      <c r="B168" s="146">
        <v>11217627.75</v>
      </c>
      <c r="C168" s="146">
        <v>11237851.140000001</v>
      </c>
      <c r="D168" s="146">
        <v>-20223.39</v>
      </c>
      <c r="E168" s="146">
        <v>-1614276.4</v>
      </c>
    </row>
    <row r="169" spans="1:5" hidden="1" outlineLevel="1">
      <c r="A169" s="100">
        <v>40482</v>
      </c>
      <c r="B169" s="146">
        <v>11796714.73</v>
      </c>
      <c r="C169" s="146">
        <v>11970434.539999999</v>
      </c>
      <c r="D169" s="146">
        <v>-173719.81</v>
      </c>
      <c r="E169" s="146">
        <v>-1787996.21</v>
      </c>
    </row>
    <row r="170" spans="1:5" hidden="1" outlineLevel="1">
      <c r="A170" s="100">
        <v>40512</v>
      </c>
      <c r="B170" s="146">
        <v>12282313.300000001</v>
      </c>
      <c r="C170" s="146">
        <v>12729803.49</v>
      </c>
      <c r="D170" s="146">
        <v>-447490.19</v>
      </c>
      <c r="E170" s="146">
        <v>-2235486.4</v>
      </c>
    </row>
    <row r="171" spans="1:5" hidden="1" outlineLevel="1">
      <c r="A171" s="100">
        <v>40543</v>
      </c>
      <c r="B171" s="146">
        <v>13047028.880000001</v>
      </c>
      <c r="C171" s="146">
        <v>13290686.630000001</v>
      </c>
      <c r="D171" s="146">
        <v>-243657.75</v>
      </c>
      <c r="E171" s="146">
        <v>-2479144.15</v>
      </c>
    </row>
    <row r="172" spans="1:5" hidden="1" outlineLevel="1">
      <c r="B172" s="146"/>
      <c r="C172" s="146"/>
      <c r="D172" s="146"/>
      <c r="E172" s="146"/>
    </row>
    <row r="173" spans="1:5" hidden="1" outlineLevel="1">
      <c r="B173" s="94"/>
      <c r="C173" s="95" t="s">
        <v>66</v>
      </c>
      <c r="D173" s="96">
        <v>-281286.09999999998</v>
      </c>
    </row>
    <row r="174" spans="1:5" hidden="1" outlineLevel="1"/>
    <row r="175" spans="1:5" hidden="1" outlineLevel="1">
      <c r="B175" s="97" t="s">
        <v>67</v>
      </c>
      <c r="C175" s="98"/>
      <c r="D175" s="99"/>
      <c r="E175" s="96">
        <v>-281286.10000000009</v>
      </c>
    </row>
    <row r="176" spans="1:5" hidden="1" outlineLevel="1"/>
    <row r="177" spans="1:5" hidden="1" outlineLevel="1">
      <c r="A177" s="93" t="s">
        <v>65</v>
      </c>
      <c r="B177" s="146">
        <v>0</v>
      </c>
      <c r="C177" s="146">
        <v>0</v>
      </c>
      <c r="D177" s="146">
        <v>0</v>
      </c>
      <c r="E177" s="146">
        <v>-1719418.91</v>
      </c>
    </row>
    <row r="178" spans="1:5" hidden="1" outlineLevel="1">
      <c r="A178" s="100">
        <v>39844</v>
      </c>
      <c r="B178" s="146">
        <v>2477023.31</v>
      </c>
      <c r="C178" s="146">
        <v>2581548.86</v>
      </c>
      <c r="D178" s="146">
        <v>-104525.55</v>
      </c>
      <c r="E178" s="146">
        <v>-1823944.46</v>
      </c>
    </row>
    <row r="179" spans="1:5" hidden="1" outlineLevel="1">
      <c r="A179" s="100">
        <v>39872</v>
      </c>
      <c r="B179" s="146">
        <v>1846886.53</v>
      </c>
      <c r="C179" s="146">
        <v>1838052.5</v>
      </c>
      <c r="D179" s="146">
        <v>8834.0300000000007</v>
      </c>
      <c r="E179" s="146">
        <v>-1815110.43</v>
      </c>
    </row>
    <row r="180" spans="1:5" hidden="1" outlineLevel="1">
      <c r="A180" s="100">
        <v>39903</v>
      </c>
      <c r="B180" s="146">
        <v>2054898.62</v>
      </c>
      <c r="C180" s="146">
        <v>2061287.52</v>
      </c>
      <c r="D180" s="146">
        <v>-6388.9</v>
      </c>
      <c r="E180" s="146">
        <v>-1821499.33</v>
      </c>
    </row>
    <row r="181" spans="1:5" hidden="1" outlineLevel="1">
      <c r="A181" s="100">
        <v>39933</v>
      </c>
      <c r="B181" s="146">
        <v>2385910.56</v>
      </c>
      <c r="C181" s="146">
        <v>2261142</v>
      </c>
      <c r="D181" s="146">
        <v>124768.56</v>
      </c>
      <c r="E181" s="146">
        <v>-1696730.77</v>
      </c>
    </row>
    <row r="182" spans="1:5" hidden="1" outlineLevel="1">
      <c r="A182" s="100">
        <v>39964</v>
      </c>
      <c r="B182" s="146">
        <v>2612422.2599999998</v>
      </c>
      <c r="C182" s="146">
        <v>2542962.38</v>
      </c>
      <c r="D182" s="146">
        <v>69459.88</v>
      </c>
      <c r="E182" s="146">
        <v>-1627270.89</v>
      </c>
    </row>
    <row r="183" spans="1:5" hidden="1" outlineLevel="1">
      <c r="A183" s="100">
        <v>39994</v>
      </c>
      <c r="B183" s="146">
        <v>3044490.01</v>
      </c>
      <c r="C183" s="146">
        <v>2929737.72</v>
      </c>
      <c r="D183" s="146">
        <v>114752.29</v>
      </c>
      <c r="E183" s="146">
        <v>-1512518.6</v>
      </c>
    </row>
    <row r="184" spans="1:5" hidden="1" outlineLevel="1">
      <c r="A184" s="100">
        <v>40025</v>
      </c>
      <c r="B184" s="146">
        <v>3566969.87</v>
      </c>
      <c r="C184" s="146">
        <v>3517580.73</v>
      </c>
      <c r="D184" s="146">
        <v>49389.14</v>
      </c>
      <c r="E184" s="146">
        <v>-1463129.46</v>
      </c>
    </row>
    <row r="185" spans="1:5" hidden="1" outlineLevel="1">
      <c r="A185" s="100">
        <v>40056</v>
      </c>
      <c r="B185" s="146">
        <v>4084032.35</v>
      </c>
      <c r="C185" s="146">
        <v>4089895.97</v>
      </c>
      <c r="D185" s="146">
        <v>-5863.62</v>
      </c>
      <c r="E185" s="146">
        <v>-1468993.08</v>
      </c>
    </row>
    <row r="186" spans="1:5" hidden="1" outlineLevel="1">
      <c r="A186" s="100">
        <v>40086</v>
      </c>
      <c r="B186" s="146">
        <v>4892496.59</v>
      </c>
      <c r="C186" s="146">
        <v>4880642.6500000004</v>
      </c>
      <c r="D186" s="146">
        <v>11853.94</v>
      </c>
      <c r="E186" s="146">
        <v>-1457139.14</v>
      </c>
    </row>
    <row r="187" spans="1:5" hidden="1" outlineLevel="1">
      <c r="A187" s="100">
        <v>40117</v>
      </c>
      <c r="B187" s="146">
        <v>5557986.8300000001</v>
      </c>
      <c r="C187" s="146">
        <v>5657550.54</v>
      </c>
      <c r="D187" s="146">
        <v>-99563.71</v>
      </c>
      <c r="E187" s="146">
        <v>-1556702.85</v>
      </c>
    </row>
    <row r="188" spans="1:5" hidden="1" outlineLevel="1">
      <c r="A188" s="100">
        <v>40147</v>
      </c>
      <c r="B188" s="146">
        <v>6251094.0599999996</v>
      </c>
      <c r="C188" s="146">
        <v>6414807.2999999998</v>
      </c>
      <c r="D188" s="146">
        <v>-163713.24</v>
      </c>
      <c r="E188" s="146">
        <v>-1720416.09</v>
      </c>
    </row>
    <row r="189" spans="1:5" hidden="1" outlineLevel="1">
      <c r="A189" s="100">
        <v>40178</v>
      </c>
      <c r="B189" s="146">
        <v>6939858.1600000001</v>
      </c>
      <c r="C189" s="146">
        <v>7417300.1200000001</v>
      </c>
      <c r="D189" s="146">
        <v>-477441.96</v>
      </c>
      <c r="E189" s="146">
        <v>-2197858.0499999998</v>
      </c>
    </row>
    <row r="190" spans="1:5" hidden="1" outlineLevel="1">
      <c r="B190" s="146"/>
      <c r="C190" s="146"/>
      <c r="D190" s="146"/>
      <c r="E190" s="146"/>
    </row>
    <row r="191" spans="1:5" hidden="1" outlineLevel="1">
      <c r="B191" s="94"/>
      <c r="C191" s="95" t="s">
        <v>66</v>
      </c>
      <c r="D191" s="96">
        <v>-478439.14</v>
      </c>
    </row>
    <row r="192" spans="1:5" hidden="1" outlineLevel="1"/>
    <row r="193" spans="2:5" hidden="1" outlineLevel="1">
      <c r="B193" s="97" t="s">
        <v>67</v>
      </c>
      <c r="C193" s="98"/>
      <c r="D193" s="99"/>
      <c r="E193" s="96">
        <v>-478439.1399999999</v>
      </c>
    </row>
    <row r="194" spans="2:5" hidden="1" outlineLevel="1"/>
    <row r="195" spans="2:5" collapsed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4.4"/>
  <cols>
    <col min="1" max="1" width="56.33203125" style="135" customWidth="1"/>
    <col min="2" max="14" width="18.88671875" style="135" customWidth="1"/>
    <col min="15" max="16384" width="8.88671875" style="135"/>
  </cols>
  <sheetData>
    <row r="1" spans="1:14">
      <c r="A1" s="167" t="s">
        <v>134</v>
      </c>
    </row>
    <row r="3" spans="1:14">
      <c r="A3" s="80" t="s">
        <v>135</v>
      </c>
      <c r="B3" s="168" t="s">
        <v>136</v>
      </c>
      <c r="C3" s="168" t="s">
        <v>137</v>
      </c>
      <c r="D3" s="168" t="s">
        <v>138</v>
      </c>
      <c r="E3" s="168" t="s">
        <v>139</v>
      </c>
      <c r="F3" s="168" t="s">
        <v>140</v>
      </c>
      <c r="G3" s="168" t="s">
        <v>141</v>
      </c>
      <c r="H3" s="168" t="s">
        <v>142</v>
      </c>
      <c r="I3" s="168" t="s">
        <v>143</v>
      </c>
      <c r="J3" s="168" t="s">
        <v>144</v>
      </c>
      <c r="K3" s="168" t="s">
        <v>145</v>
      </c>
      <c r="L3" s="168" t="s">
        <v>146</v>
      </c>
      <c r="M3" s="168" t="s">
        <v>147</v>
      </c>
      <c r="N3" s="168" t="s">
        <v>148</v>
      </c>
    </row>
    <row r="4" spans="1:14">
      <c r="A4" s="169" t="s">
        <v>149</v>
      </c>
      <c r="B4" s="170">
        <v>17972410.350000001</v>
      </c>
      <c r="C4" s="170">
        <v>1131075.73</v>
      </c>
      <c r="D4" s="170">
        <v>1322580.8999999999</v>
      </c>
      <c r="E4" s="170">
        <v>970299.98</v>
      </c>
      <c r="F4" s="170">
        <v>2492117</v>
      </c>
      <c r="G4" s="170">
        <v>1432790.93</v>
      </c>
      <c r="H4" s="170">
        <v>1326648.81</v>
      </c>
      <c r="I4" s="170">
        <v>1545742.83</v>
      </c>
      <c r="J4" s="170">
        <v>1661071.31</v>
      </c>
      <c r="K4" s="170">
        <v>1397378.28</v>
      </c>
      <c r="L4" s="170">
        <v>1596741.61</v>
      </c>
      <c r="M4" s="170">
        <v>1396812.44</v>
      </c>
      <c r="N4" s="170">
        <v>1699150.53</v>
      </c>
    </row>
    <row r="5" spans="1:14">
      <c r="A5" s="169" t="s">
        <v>150</v>
      </c>
      <c r="B5" s="171">
        <v>415484.87</v>
      </c>
      <c r="C5" s="171">
        <v>415482.49</v>
      </c>
      <c r="D5" s="171">
        <v>0.83</v>
      </c>
      <c r="E5" s="171">
        <v>-324698.45</v>
      </c>
      <c r="F5" s="171">
        <v>324700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</row>
    <row r="6" spans="1:14">
      <c r="A6" s="169" t="s">
        <v>151</v>
      </c>
      <c r="B6" s="171">
        <v>138055.31</v>
      </c>
      <c r="C6" s="171">
        <v>138055.31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</row>
    <row r="7" spans="1:14">
      <c r="A7" s="169" t="s">
        <v>152</v>
      </c>
      <c r="B7" s="171">
        <v>118854.72</v>
      </c>
      <c r="C7" s="171">
        <v>118854.72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</row>
    <row r="8" spans="1:14">
      <c r="A8" s="172" t="s">
        <v>133</v>
      </c>
      <c r="B8" s="173">
        <v>93557.45</v>
      </c>
      <c r="C8" s="173">
        <v>93557.45</v>
      </c>
      <c r="D8" s="173"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</row>
    <row r="9" spans="1:14">
      <c r="A9" s="174" t="s">
        <v>153</v>
      </c>
      <c r="B9" s="175">
        <f>SUM(B4:B8)</f>
        <v>18738362.699999999</v>
      </c>
      <c r="C9" s="175">
        <f t="shared" ref="C9:N9" si="0">SUM(C4:C8)</f>
        <v>1897025.7</v>
      </c>
      <c r="D9" s="175">
        <f t="shared" si="0"/>
        <v>1322581.73</v>
      </c>
      <c r="E9" s="175">
        <f t="shared" si="0"/>
        <v>645601.53</v>
      </c>
      <c r="F9" s="175">
        <f t="shared" si="0"/>
        <v>2816817</v>
      </c>
      <c r="G9" s="175">
        <f t="shared" si="0"/>
        <v>1432790.93</v>
      </c>
      <c r="H9" s="175">
        <f t="shared" si="0"/>
        <v>1326648.81</v>
      </c>
      <c r="I9" s="175">
        <f t="shared" si="0"/>
        <v>1545742.83</v>
      </c>
      <c r="J9" s="175">
        <f t="shared" si="0"/>
        <v>1661071.31</v>
      </c>
      <c r="K9" s="175">
        <f t="shared" si="0"/>
        <v>1397378.28</v>
      </c>
      <c r="L9" s="175">
        <f t="shared" si="0"/>
        <v>1596741.61</v>
      </c>
      <c r="M9" s="175">
        <f t="shared" si="0"/>
        <v>1396812.44</v>
      </c>
      <c r="N9" s="175">
        <f t="shared" si="0"/>
        <v>1699150.53</v>
      </c>
    </row>
    <row r="10" spans="1:14">
      <c r="A10" s="169" t="s">
        <v>154</v>
      </c>
      <c r="B10" s="171">
        <v>4330979.28</v>
      </c>
      <c r="C10" s="171">
        <v>238387.28</v>
      </c>
      <c r="D10" s="171">
        <v>369349.17</v>
      </c>
      <c r="E10" s="171">
        <v>267112.78999999998</v>
      </c>
      <c r="F10" s="171">
        <v>788329.15</v>
      </c>
      <c r="G10" s="171">
        <v>361005.39</v>
      </c>
      <c r="H10" s="171">
        <v>295681.52</v>
      </c>
      <c r="I10" s="171">
        <v>354261.68</v>
      </c>
      <c r="J10" s="171">
        <v>311003.87</v>
      </c>
      <c r="K10" s="171">
        <v>313030.38</v>
      </c>
      <c r="L10" s="171">
        <v>329167.71000000002</v>
      </c>
      <c r="M10" s="171">
        <v>321039.19</v>
      </c>
      <c r="N10" s="171">
        <v>382611.15</v>
      </c>
    </row>
    <row r="11" spans="1:14">
      <c r="A11" s="169" t="s">
        <v>155</v>
      </c>
      <c r="B11" s="171">
        <v>0</v>
      </c>
      <c r="C11" s="171">
        <v>0</v>
      </c>
      <c r="D11" s="171">
        <v>0</v>
      </c>
      <c r="E11" s="171">
        <v>-205490</v>
      </c>
      <c r="F11" s="171">
        <v>205490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1:14">
      <c r="A12" s="174" t="s">
        <v>41</v>
      </c>
      <c r="B12" s="175">
        <f>SUM(B10:B11)</f>
        <v>4330979.28</v>
      </c>
      <c r="C12" s="175">
        <f t="shared" ref="C12:N12" si="1">SUM(C10:C11)</f>
        <v>238387.28</v>
      </c>
      <c r="D12" s="175">
        <f t="shared" si="1"/>
        <v>369349.17</v>
      </c>
      <c r="E12" s="175">
        <f t="shared" si="1"/>
        <v>61622.789999999979</v>
      </c>
      <c r="F12" s="175">
        <f t="shared" si="1"/>
        <v>993819.15</v>
      </c>
      <c r="G12" s="175">
        <f t="shared" si="1"/>
        <v>361005.39</v>
      </c>
      <c r="H12" s="175">
        <f t="shared" si="1"/>
        <v>295681.52</v>
      </c>
      <c r="I12" s="175">
        <f t="shared" si="1"/>
        <v>354261.68</v>
      </c>
      <c r="J12" s="175">
        <f t="shared" si="1"/>
        <v>311003.87</v>
      </c>
      <c r="K12" s="175">
        <f t="shared" si="1"/>
        <v>313030.38</v>
      </c>
      <c r="L12" s="175">
        <f t="shared" si="1"/>
        <v>329167.71000000002</v>
      </c>
      <c r="M12" s="175">
        <f t="shared" si="1"/>
        <v>321039.19</v>
      </c>
      <c r="N12" s="175">
        <f t="shared" si="1"/>
        <v>382611.15</v>
      </c>
    </row>
    <row r="13" spans="1:14">
      <c r="A13" s="169" t="s">
        <v>156</v>
      </c>
      <c r="B13" s="171">
        <v>6637.31</v>
      </c>
      <c r="C13" s="171">
        <v>0</v>
      </c>
      <c r="D13" s="171">
        <v>0</v>
      </c>
      <c r="E13" s="171">
        <v>6637.31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1:14">
      <c r="A14" s="174" t="s">
        <v>157</v>
      </c>
      <c r="B14" s="175">
        <f>SUM(B13)</f>
        <v>6637.31</v>
      </c>
      <c r="C14" s="175">
        <f t="shared" ref="C14:N14" si="2">SUM(C13)</f>
        <v>0</v>
      </c>
      <c r="D14" s="175">
        <f t="shared" si="2"/>
        <v>0</v>
      </c>
      <c r="E14" s="175">
        <f t="shared" si="2"/>
        <v>6637.31</v>
      </c>
      <c r="F14" s="175">
        <f t="shared" si="2"/>
        <v>0</v>
      </c>
      <c r="G14" s="175">
        <f t="shared" si="2"/>
        <v>0</v>
      </c>
      <c r="H14" s="175">
        <f t="shared" si="2"/>
        <v>0</v>
      </c>
      <c r="I14" s="175">
        <f t="shared" si="2"/>
        <v>0</v>
      </c>
      <c r="J14" s="175">
        <f t="shared" si="2"/>
        <v>0</v>
      </c>
      <c r="K14" s="175">
        <f t="shared" si="2"/>
        <v>0</v>
      </c>
      <c r="L14" s="175">
        <f t="shared" si="2"/>
        <v>0</v>
      </c>
      <c r="M14" s="175">
        <f t="shared" si="2"/>
        <v>0</v>
      </c>
      <c r="N14" s="175">
        <f t="shared" si="2"/>
        <v>0</v>
      </c>
    </row>
    <row r="15" spans="1:14">
      <c r="A15" s="176" t="s">
        <v>42</v>
      </c>
      <c r="B15" s="177">
        <f>B9+B12+B14</f>
        <v>23075979.289999999</v>
      </c>
      <c r="C15" s="177">
        <f t="shared" ref="C15:N15" si="3">C9+C12+C14</f>
        <v>2135412.98</v>
      </c>
      <c r="D15" s="177">
        <f t="shared" si="3"/>
        <v>1691930.9</v>
      </c>
      <c r="E15" s="177">
        <f t="shared" si="3"/>
        <v>713861.63000000012</v>
      </c>
      <c r="F15" s="177">
        <f t="shared" si="3"/>
        <v>3810636.15</v>
      </c>
      <c r="G15" s="177">
        <f t="shared" si="3"/>
        <v>1793796.3199999998</v>
      </c>
      <c r="H15" s="177">
        <f t="shared" si="3"/>
        <v>1622330.33</v>
      </c>
      <c r="I15" s="177">
        <f t="shared" si="3"/>
        <v>1900004.51</v>
      </c>
      <c r="J15" s="177">
        <f t="shared" si="3"/>
        <v>1972075.1800000002</v>
      </c>
      <c r="K15" s="177">
        <f t="shared" si="3"/>
        <v>1710408.6600000001</v>
      </c>
      <c r="L15" s="177">
        <f t="shared" si="3"/>
        <v>1925909.32</v>
      </c>
      <c r="M15" s="177">
        <f t="shared" si="3"/>
        <v>1717851.63</v>
      </c>
      <c r="N15" s="177">
        <f t="shared" si="3"/>
        <v>2081761.6800000002</v>
      </c>
    </row>
    <row r="16" spans="1:14">
      <c r="A16" s="178" t="s">
        <v>158</v>
      </c>
      <c r="B16" s="179">
        <v>22982421.84</v>
      </c>
      <c r="C16" s="179">
        <v>2041855.53</v>
      </c>
      <c r="D16" s="179">
        <v>1691930.9</v>
      </c>
      <c r="E16" s="179">
        <v>713861.63</v>
      </c>
      <c r="F16" s="179">
        <v>3810636.15</v>
      </c>
      <c r="G16" s="179">
        <v>1793796.32</v>
      </c>
      <c r="H16" s="179">
        <v>1622330.33</v>
      </c>
      <c r="I16" s="179">
        <v>1900004.51</v>
      </c>
      <c r="J16" s="179">
        <v>1972075.18</v>
      </c>
      <c r="K16" s="179">
        <v>1710408.66</v>
      </c>
      <c r="L16" s="179">
        <v>1925909.32</v>
      </c>
      <c r="M16" s="179">
        <v>1717851.63</v>
      </c>
      <c r="N16" s="179">
        <v>2081761.68</v>
      </c>
    </row>
    <row r="17" spans="1:14">
      <c r="A17" s="180" t="s">
        <v>159</v>
      </c>
      <c r="B17" s="181">
        <f>B15-B16</f>
        <v>93557.449999999255</v>
      </c>
      <c r="C17" s="181">
        <f t="shared" ref="C17:N17" si="4">C15-C16</f>
        <v>93557.449999999953</v>
      </c>
      <c r="D17" s="182">
        <f t="shared" si="4"/>
        <v>0</v>
      </c>
      <c r="E17" s="182">
        <f t="shared" si="4"/>
        <v>0</v>
      </c>
      <c r="F17" s="182">
        <f t="shared" si="4"/>
        <v>0</v>
      </c>
      <c r="G17" s="182">
        <f t="shared" si="4"/>
        <v>0</v>
      </c>
      <c r="H17" s="182">
        <f t="shared" si="4"/>
        <v>0</v>
      </c>
      <c r="I17" s="182">
        <f t="shared" si="4"/>
        <v>0</v>
      </c>
      <c r="J17" s="182">
        <f t="shared" si="4"/>
        <v>0</v>
      </c>
      <c r="K17" s="182">
        <f t="shared" si="4"/>
        <v>0</v>
      </c>
      <c r="L17" s="182">
        <f t="shared" si="4"/>
        <v>0</v>
      </c>
      <c r="M17" s="182">
        <f t="shared" si="4"/>
        <v>0</v>
      </c>
      <c r="N17" s="182">
        <f t="shared" si="4"/>
        <v>0</v>
      </c>
    </row>
    <row r="18" spans="1:14">
      <c r="A18" s="183" t="s">
        <v>160</v>
      </c>
      <c r="B18" s="18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</row>
    <row r="20" spans="1:14">
      <c r="A20" s="184" t="s">
        <v>161</v>
      </c>
      <c r="B20" s="185">
        <v>0.58079999999999998</v>
      </c>
    </row>
    <row r="21" spans="1:14">
      <c r="A21" s="184" t="s">
        <v>162</v>
      </c>
      <c r="B21" s="185">
        <v>0.41920000000000002</v>
      </c>
    </row>
    <row r="22" spans="1:14">
      <c r="A22" s="184"/>
      <c r="B22" s="185"/>
    </row>
    <row r="23" spans="1:14">
      <c r="A23" s="135" t="s">
        <v>163</v>
      </c>
      <c r="B23" s="148">
        <f>B27+(B$29*$B$20)</f>
        <v>18742217.649648</v>
      </c>
      <c r="C23" s="148">
        <f t="shared" ref="C23:N23" si="5">C27+(C$29*$B$20)</f>
        <v>1897025.7</v>
      </c>
      <c r="D23" s="148">
        <f t="shared" si="5"/>
        <v>1322581.73</v>
      </c>
      <c r="E23" s="148">
        <f t="shared" si="5"/>
        <v>649456.47964799998</v>
      </c>
      <c r="F23" s="148">
        <f t="shared" si="5"/>
        <v>2816817</v>
      </c>
      <c r="G23" s="148">
        <f t="shared" si="5"/>
        <v>1432790.93</v>
      </c>
      <c r="H23" s="148">
        <f t="shared" si="5"/>
        <v>1326648.81</v>
      </c>
      <c r="I23" s="148">
        <f t="shared" si="5"/>
        <v>1545742.83</v>
      </c>
      <c r="J23" s="148">
        <f t="shared" si="5"/>
        <v>1661071.31</v>
      </c>
      <c r="K23" s="148">
        <f t="shared" si="5"/>
        <v>1397378.28</v>
      </c>
      <c r="L23" s="148">
        <f t="shared" si="5"/>
        <v>1596741.61</v>
      </c>
      <c r="M23" s="148">
        <f t="shared" si="5"/>
        <v>1396812.44</v>
      </c>
      <c r="N23" s="148">
        <f t="shared" si="5"/>
        <v>1699150.53</v>
      </c>
    </row>
    <row r="24" spans="1:14">
      <c r="A24" s="135" t="s">
        <v>164</v>
      </c>
      <c r="B24" s="186">
        <f>B28+(B$29*$B$21)</f>
        <v>4333761.6403520005</v>
      </c>
      <c r="C24" s="186">
        <f t="shared" ref="C24:N24" si="6">C28+(C$29*$B$21)</f>
        <v>238387.28</v>
      </c>
      <c r="D24" s="186">
        <f t="shared" si="6"/>
        <v>369349.17</v>
      </c>
      <c r="E24" s="186">
        <f t="shared" si="6"/>
        <v>64405.150351999982</v>
      </c>
      <c r="F24" s="186">
        <f t="shared" si="6"/>
        <v>993819.15</v>
      </c>
      <c r="G24" s="186">
        <f t="shared" si="6"/>
        <v>361005.39</v>
      </c>
      <c r="H24" s="186">
        <f t="shared" si="6"/>
        <v>295681.52</v>
      </c>
      <c r="I24" s="186">
        <f t="shared" si="6"/>
        <v>354261.68</v>
      </c>
      <c r="J24" s="186">
        <f t="shared" si="6"/>
        <v>311003.87</v>
      </c>
      <c r="K24" s="186">
        <f t="shared" si="6"/>
        <v>313030.38</v>
      </c>
      <c r="L24" s="186">
        <f t="shared" si="6"/>
        <v>329167.71000000002</v>
      </c>
      <c r="M24" s="186">
        <f t="shared" si="6"/>
        <v>321039.19</v>
      </c>
      <c r="N24" s="186">
        <f t="shared" si="6"/>
        <v>382611.15</v>
      </c>
    </row>
    <row r="25" spans="1:14" ht="15" thickBot="1">
      <c r="B25" s="187">
        <f>SUM(B23:B24)</f>
        <v>23075979.289999999</v>
      </c>
      <c r="C25" s="187">
        <f t="shared" ref="C25:N25" si="7">SUM(C23:C24)</f>
        <v>2135412.98</v>
      </c>
      <c r="D25" s="187">
        <f t="shared" si="7"/>
        <v>1691930.9</v>
      </c>
      <c r="E25" s="187">
        <f t="shared" si="7"/>
        <v>713861.63</v>
      </c>
      <c r="F25" s="187">
        <f t="shared" si="7"/>
        <v>3810636.15</v>
      </c>
      <c r="G25" s="187">
        <f t="shared" si="7"/>
        <v>1793796.3199999998</v>
      </c>
      <c r="H25" s="187">
        <f t="shared" si="7"/>
        <v>1622330.33</v>
      </c>
      <c r="I25" s="187">
        <f t="shared" si="7"/>
        <v>1900004.51</v>
      </c>
      <c r="J25" s="187">
        <f t="shared" si="7"/>
        <v>1972075.1800000002</v>
      </c>
      <c r="K25" s="187">
        <f t="shared" si="7"/>
        <v>1710408.6600000001</v>
      </c>
      <c r="L25" s="187">
        <f t="shared" si="7"/>
        <v>1925909.32</v>
      </c>
      <c r="M25" s="187">
        <f t="shared" si="7"/>
        <v>1717851.63</v>
      </c>
      <c r="N25" s="187">
        <f t="shared" si="7"/>
        <v>2081761.6800000002</v>
      </c>
    </row>
    <row r="26" spans="1:14" ht="15" thickTop="1"/>
    <row r="27" spans="1:14">
      <c r="A27" s="135" t="s">
        <v>163</v>
      </c>
      <c r="B27" s="148">
        <f>B9</f>
        <v>18738362.699999999</v>
      </c>
      <c r="C27" s="148">
        <f t="shared" ref="C27:N27" si="8">C9</f>
        <v>1897025.7</v>
      </c>
      <c r="D27" s="148">
        <f t="shared" si="8"/>
        <v>1322581.73</v>
      </c>
      <c r="E27" s="148">
        <f t="shared" si="8"/>
        <v>645601.53</v>
      </c>
      <c r="F27" s="148">
        <f t="shared" si="8"/>
        <v>2816817</v>
      </c>
      <c r="G27" s="148">
        <f t="shared" si="8"/>
        <v>1432790.93</v>
      </c>
      <c r="H27" s="148">
        <f t="shared" si="8"/>
        <v>1326648.81</v>
      </c>
      <c r="I27" s="148">
        <f t="shared" si="8"/>
        <v>1545742.83</v>
      </c>
      <c r="J27" s="148">
        <f t="shared" si="8"/>
        <v>1661071.31</v>
      </c>
      <c r="K27" s="148">
        <f t="shared" si="8"/>
        <v>1397378.28</v>
      </c>
      <c r="L27" s="148">
        <f t="shared" si="8"/>
        <v>1596741.61</v>
      </c>
      <c r="M27" s="148">
        <f t="shared" si="8"/>
        <v>1396812.44</v>
      </c>
      <c r="N27" s="148">
        <f t="shared" si="8"/>
        <v>1699150.53</v>
      </c>
    </row>
    <row r="28" spans="1:14">
      <c r="A28" s="135" t="s">
        <v>164</v>
      </c>
      <c r="B28" s="186">
        <f>B12</f>
        <v>4330979.28</v>
      </c>
      <c r="C28" s="186">
        <f t="shared" ref="C28:N28" si="9">C12</f>
        <v>238387.28</v>
      </c>
      <c r="D28" s="186">
        <f t="shared" si="9"/>
        <v>369349.17</v>
      </c>
      <c r="E28" s="186">
        <f t="shared" si="9"/>
        <v>61622.789999999979</v>
      </c>
      <c r="F28" s="186">
        <f t="shared" si="9"/>
        <v>993819.15</v>
      </c>
      <c r="G28" s="186">
        <f t="shared" si="9"/>
        <v>361005.39</v>
      </c>
      <c r="H28" s="186">
        <f t="shared" si="9"/>
        <v>295681.52</v>
      </c>
      <c r="I28" s="186">
        <f t="shared" si="9"/>
        <v>354261.68</v>
      </c>
      <c r="J28" s="186">
        <f t="shared" si="9"/>
        <v>311003.87</v>
      </c>
      <c r="K28" s="186">
        <f t="shared" si="9"/>
        <v>313030.38</v>
      </c>
      <c r="L28" s="186">
        <f t="shared" si="9"/>
        <v>329167.71000000002</v>
      </c>
      <c r="M28" s="186">
        <f t="shared" si="9"/>
        <v>321039.19</v>
      </c>
      <c r="N28" s="186">
        <f t="shared" si="9"/>
        <v>382611.15</v>
      </c>
    </row>
    <row r="29" spans="1:14">
      <c r="A29" s="135" t="s">
        <v>165</v>
      </c>
      <c r="B29" s="186">
        <f>B14</f>
        <v>6637.31</v>
      </c>
      <c r="C29" s="186">
        <f t="shared" ref="C29:N29" si="10">C14</f>
        <v>0</v>
      </c>
      <c r="D29" s="186">
        <f t="shared" si="10"/>
        <v>0</v>
      </c>
      <c r="E29" s="186">
        <f t="shared" si="10"/>
        <v>6637.31</v>
      </c>
      <c r="F29" s="186">
        <f t="shared" si="10"/>
        <v>0</v>
      </c>
      <c r="G29" s="186">
        <f t="shared" si="10"/>
        <v>0</v>
      </c>
      <c r="H29" s="186">
        <f t="shared" si="10"/>
        <v>0</v>
      </c>
      <c r="I29" s="186">
        <f t="shared" si="10"/>
        <v>0</v>
      </c>
      <c r="J29" s="186">
        <f t="shared" si="10"/>
        <v>0</v>
      </c>
      <c r="K29" s="186">
        <f t="shared" si="10"/>
        <v>0</v>
      </c>
      <c r="L29" s="186">
        <f t="shared" si="10"/>
        <v>0</v>
      </c>
      <c r="M29" s="186">
        <f t="shared" si="10"/>
        <v>0</v>
      </c>
      <c r="N29" s="186">
        <f t="shared" si="10"/>
        <v>0</v>
      </c>
    </row>
    <row r="30" spans="1:14" ht="15" thickBot="1">
      <c r="B30" s="187">
        <f>SUM(B27:B29)</f>
        <v>23075979.289999999</v>
      </c>
      <c r="C30" s="187">
        <f t="shared" ref="C30:N30" si="11">SUM(C27:C29)</f>
        <v>2135412.98</v>
      </c>
      <c r="D30" s="187">
        <f t="shared" si="11"/>
        <v>1691930.9</v>
      </c>
      <c r="E30" s="187">
        <f t="shared" si="11"/>
        <v>713861.63000000012</v>
      </c>
      <c r="F30" s="187">
        <f t="shared" si="11"/>
        <v>3810636.15</v>
      </c>
      <c r="G30" s="187">
        <f t="shared" si="11"/>
        <v>1793796.3199999998</v>
      </c>
      <c r="H30" s="187">
        <f t="shared" si="11"/>
        <v>1622330.33</v>
      </c>
      <c r="I30" s="187">
        <f t="shared" si="11"/>
        <v>1900004.51</v>
      </c>
      <c r="J30" s="187">
        <f t="shared" si="11"/>
        <v>1972075.1800000002</v>
      </c>
      <c r="K30" s="187">
        <f t="shared" si="11"/>
        <v>1710408.6600000001</v>
      </c>
      <c r="L30" s="187">
        <f t="shared" si="11"/>
        <v>1925909.32</v>
      </c>
      <c r="M30" s="187">
        <f t="shared" si="11"/>
        <v>1717851.63</v>
      </c>
      <c r="N30" s="187">
        <f t="shared" si="11"/>
        <v>2081761.6800000002</v>
      </c>
    </row>
    <row r="31" spans="1:14" ht="15" thickTop="1"/>
    <row r="34" spans="1:10">
      <c r="A34" s="188" t="s">
        <v>166</v>
      </c>
      <c r="B34" s="188" t="s">
        <v>163</v>
      </c>
      <c r="C34" s="188" t="s">
        <v>167</v>
      </c>
      <c r="D34" s="188" t="s">
        <v>165</v>
      </c>
      <c r="E34" s="188" t="s">
        <v>168</v>
      </c>
      <c r="F34" s="188" t="s">
        <v>169</v>
      </c>
      <c r="G34" s="188" t="s">
        <v>170</v>
      </c>
      <c r="H34" s="188" t="s">
        <v>171</v>
      </c>
      <c r="I34" s="188" t="s">
        <v>172</v>
      </c>
    </row>
    <row r="35" spans="1:10">
      <c r="A35" s="135" t="s">
        <v>173</v>
      </c>
      <c r="B35" s="148">
        <v>18738362.699999999</v>
      </c>
      <c r="C35" s="148">
        <v>4330979.2799999993</v>
      </c>
      <c r="D35" s="148">
        <v>6637.31</v>
      </c>
      <c r="E35" s="148">
        <v>4393.24</v>
      </c>
      <c r="F35" s="148">
        <v>2244.0700000000002</v>
      </c>
      <c r="G35" s="148">
        <v>18742755.939999998</v>
      </c>
      <c r="H35" s="148">
        <v>4333223.3499999996</v>
      </c>
      <c r="I35" s="148">
        <v>23075979.289999999</v>
      </c>
    </row>
    <row r="36" spans="1:10">
      <c r="B36" s="189">
        <f>B27-B35</f>
        <v>0</v>
      </c>
      <c r="C36" s="189">
        <f>B28-C35</f>
        <v>0</v>
      </c>
      <c r="D36" s="189">
        <f>B29-D35</f>
        <v>0</v>
      </c>
      <c r="E36" s="189">
        <f>B29*B20-E35</f>
        <v>-538.29035199999953</v>
      </c>
      <c r="F36" s="189">
        <f>B29*B21-F35</f>
        <v>538.29035199999998</v>
      </c>
      <c r="G36" s="189">
        <f>B23-G35</f>
        <v>-538.29035199806094</v>
      </c>
      <c r="H36" s="189">
        <f>B24-H35</f>
        <v>538.29035200085491</v>
      </c>
      <c r="I36" s="189">
        <f>B25-I35</f>
        <v>0</v>
      </c>
      <c r="J36" s="84"/>
    </row>
    <row r="37" spans="1:10">
      <c r="B37" s="189">
        <f>B40+B44-B35</f>
        <v>0</v>
      </c>
      <c r="C37" s="189">
        <f t="shared" ref="C37:I37" si="12">C40+C44-C35</f>
        <v>0</v>
      </c>
      <c r="D37" s="189">
        <f t="shared" si="12"/>
        <v>0</v>
      </c>
      <c r="E37" s="189">
        <f t="shared" si="12"/>
        <v>-39.829999999999927</v>
      </c>
      <c r="F37" s="189">
        <f t="shared" si="12"/>
        <v>39.829999999999927</v>
      </c>
      <c r="G37" s="189">
        <f t="shared" si="12"/>
        <v>-39.829999998211861</v>
      </c>
      <c r="H37" s="189">
        <f t="shared" si="12"/>
        <v>39.830000000074506</v>
      </c>
      <c r="I37" s="189">
        <f t="shared" si="12"/>
        <v>0</v>
      </c>
    </row>
    <row r="38" spans="1:10">
      <c r="B38" s="148"/>
      <c r="C38" s="148"/>
      <c r="D38" s="148"/>
      <c r="E38" s="148"/>
      <c r="F38" s="148"/>
      <c r="G38" s="148"/>
      <c r="H38" s="148"/>
      <c r="I38" s="148"/>
    </row>
    <row r="39" spans="1:10">
      <c r="A39" s="188" t="s">
        <v>174</v>
      </c>
      <c r="B39" s="188" t="s">
        <v>163</v>
      </c>
      <c r="C39" s="188" t="s">
        <v>167</v>
      </c>
      <c r="D39" s="188" t="s">
        <v>165</v>
      </c>
      <c r="E39" s="188" t="s">
        <v>168</v>
      </c>
      <c r="F39" s="188" t="s">
        <v>169</v>
      </c>
      <c r="G39" s="188" t="s">
        <v>170</v>
      </c>
      <c r="H39" s="188" t="s">
        <v>171</v>
      </c>
      <c r="I39" s="188" t="s">
        <v>172</v>
      </c>
    </row>
    <row r="40" spans="1:10">
      <c r="A40" s="135" t="s">
        <v>173</v>
      </c>
      <c r="B40" s="148">
        <v>9441465.6999999993</v>
      </c>
      <c r="C40" s="148">
        <v>2319865.2999999998</v>
      </c>
      <c r="D40" s="148">
        <v>6637.31</v>
      </c>
      <c r="E40" s="148">
        <v>4353.41</v>
      </c>
      <c r="F40" s="148">
        <v>2283.9</v>
      </c>
      <c r="G40" s="148">
        <v>9445819.1099999994</v>
      </c>
      <c r="H40" s="148">
        <v>2322149.1999999997</v>
      </c>
      <c r="I40" s="148">
        <v>11767968.309999999</v>
      </c>
    </row>
    <row r="41" spans="1:10">
      <c r="B41" s="189">
        <f>SUM(C27:H27)-B40</f>
        <v>0</v>
      </c>
      <c r="C41" s="189">
        <f>SUM(C28:H28)-C40</f>
        <v>0</v>
      </c>
      <c r="D41" s="189">
        <f>SUM(C29:H29)-D40</f>
        <v>0</v>
      </c>
      <c r="E41" s="190">
        <f>SUM(C29:H29)*B20-E40</f>
        <v>-498.4603519999996</v>
      </c>
      <c r="F41" s="190">
        <f>SUM(C29:H29)*B21-F40</f>
        <v>498.46035200000006</v>
      </c>
      <c r="G41" s="189">
        <f>SUM(C23:H23)-G40</f>
        <v>-498.46035199984908</v>
      </c>
      <c r="H41" s="189">
        <f>SUM(C24:H24)-H40</f>
        <v>498.46035200031474</v>
      </c>
      <c r="I41" s="189">
        <f>SUM(C25:H25)-I40</f>
        <v>0</v>
      </c>
    </row>
    <row r="43" spans="1:10">
      <c r="A43" s="188" t="s">
        <v>175</v>
      </c>
      <c r="B43" s="188" t="s">
        <v>163</v>
      </c>
      <c r="C43" s="188" t="s">
        <v>167</v>
      </c>
      <c r="D43" s="188" t="s">
        <v>165</v>
      </c>
      <c r="E43" s="188" t="s">
        <v>168</v>
      </c>
      <c r="F43" s="188" t="s">
        <v>169</v>
      </c>
      <c r="G43" s="188" t="s">
        <v>170</v>
      </c>
      <c r="H43" s="188" t="s">
        <v>171</v>
      </c>
      <c r="I43" s="188" t="s">
        <v>172</v>
      </c>
    </row>
    <row r="44" spans="1:10">
      <c r="A44" s="135" t="s">
        <v>173</v>
      </c>
      <c r="B44" s="148">
        <v>9296897</v>
      </c>
      <c r="C44" s="148">
        <v>2011113.98</v>
      </c>
      <c r="D44" s="148">
        <v>0</v>
      </c>
      <c r="E44" s="148">
        <v>0</v>
      </c>
      <c r="F44" s="148">
        <v>0</v>
      </c>
      <c r="G44" s="148">
        <v>9296897</v>
      </c>
      <c r="H44" s="148">
        <v>2011113.98</v>
      </c>
      <c r="I44" s="148">
        <v>11308010.98</v>
      </c>
    </row>
    <row r="45" spans="1:10">
      <c r="B45" s="189">
        <f>SUM(I27:N27)-B44</f>
        <v>0</v>
      </c>
      <c r="C45" s="189">
        <f>SUM(I28:N28)-C44</f>
        <v>0</v>
      </c>
      <c r="D45" s="189">
        <f>SUM(I29:N29)-D44</f>
        <v>0</v>
      </c>
      <c r="E45" s="189">
        <f>SUM(I29:N29)*B20-E44</f>
        <v>0</v>
      </c>
      <c r="F45" s="189">
        <f>SUM(I29:N29)*B21-F44</f>
        <v>0</v>
      </c>
      <c r="G45" s="189">
        <f>SUM(I23:N23)-G44</f>
        <v>0</v>
      </c>
      <c r="H45" s="189">
        <f>SUM(I24:N24)-H44</f>
        <v>0</v>
      </c>
      <c r="I45" s="189">
        <f>SUM(I25:N25)-I44</f>
        <v>0</v>
      </c>
    </row>
    <row r="47" spans="1:10">
      <c r="E47" s="167" t="s">
        <v>176</v>
      </c>
      <c r="F47" s="167"/>
      <c r="G47" s="167"/>
      <c r="H47" s="167"/>
      <c r="I47" s="167"/>
    </row>
    <row r="48" spans="1:10">
      <c r="E48" s="167" t="s">
        <v>177</v>
      </c>
      <c r="F48" s="167"/>
      <c r="G48" s="167"/>
      <c r="H48" s="167"/>
      <c r="I48" s="167"/>
    </row>
    <row r="49" spans="2:12">
      <c r="E49" s="167" t="s">
        <v>178</v>
      </c>
      <c r="F49" s="167"/>
      <c r="G49" s="167"/>
      <c r="H49" s="167"/>
      <c r="I49" s="167"/>
    </row>
    <row r="52" spans="2:12">
      <c r="B52" s="167" t="s">
        <v>179</v>
      </c>
      <c r="C52" s="167"/>
      <c r="D52" s="167"/>
      <c r="E52" s="167"/>
      <c r="F52" s="167"/>
      <c r="G52" s="167"/>
      <c r="H52" s="167"/>
      <c r="I52" s="167"/>
      <c r="L52" s="191"/>
    </row>
    <row r="53" spans="2:12">
      <c r="L53" s="191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zoomScale="80" zoomScaleNormal="80" workbookViewId="0">
      <selection activeCell="B9" sqref="B9"/>
    </sheetView>
  </sheetViews>
  <sheetFormatPr defaultColWidth="8.88671875" defaultRowHeight="14.4"/>
  <cols>
    <col min="1" max="1" width="32.33203125" style="85" customWidth="1"/>
    <col min="2" max="2" width="24.21875" style="85" customWidth="1"/>
    <col min="3" max="3" width="25.33203125" style="85" customWidth="1"/>
    <col min="4" max="4" width="15.33203125" style="85" bestFit="1" customWidth="1"/>
    <col min="5" max="5" width="15.109375" style="85" bestFit="1" customWidth="1"/>
    <col min="6" max="7" width="15.6640625" style="85" bestFit="1" customWidth="1"/>
    <col min="8" max="16384" width="8.88671875" style="85"/>
  </cols>
  <sheetData>
    <row r="1" spans="1:7">
      <c r="A1" s="197" t="s">
        <v>20</v>
      </c>
      <c r="B1" s="197"/>
      <c r="C1" s="197"/>
      <c r="D1" s="197"/>
      <c r="E1" s="195"/>
      <c r="F1" s="196"/>
      <c r="G1" s="196"/>
    </row>
    <row r="2" spans="1:7">
      <c r="A2" s="197" t="s">
        <v>68</v>
      </c>
      <c r="B2" s="197"/>
      <c r="C2" s="197"/>
      <c r="D2" s="197"/>
      <c r="E2" s="195"/>
      <c r="F2" s="196"/>
      <c r="G2" s="196"/>
    </row>
    <row r="3" spans="1:7">
      <c r="A3" s="197" t="s">
        <v>228</v>
      </c>
      <c r="B3" s="197"/>
      <c r="C3" s="197"/>
      <c r="D3" s="197"/>
      <c r="E3" s="195"/>
      <c r="F3" s="196"/>
      <c r="G3" s="196"/>
    </row>
    <row r="4" spans="1:7">
      <c r="A4" s="198" t="s">
        <v>69</v>
      </c>
      <c r="B4" s="198"/>
      <c r="C4" s="198"/>
      <c r="D4" s="198"/>
      <c r="E4" s="195"/>
      <c r="F4" s="196"/>
      <c r="G4" s="196"/>
    </row>
    <row r="5" spans="1:7">
      <c r="A5" s="111"/>
      <c r="B5" s="111"/>
      <c r="C5" s="111"/>
      <c r="D5" s="111"/>
      <c r="E5" s="125"/>
    </row>
    <row r="6" spans="1:7">
      <c r="A6" s="113"/>
      <c r="B6" s="113"/>
      <c r="C6" s="113"/>
      <c r="D6" s="113"/>
      <c r="E6" s="125"/>
    </row>
    <row r="7" spans="1:7">
      <c r="A7" s="113" t="s">
        <v>70</v>
      </c>
      <c r="B7" s="114" t="s">
        <v>71</v>
      </c>
      <c r="C7" s="114" t="s">
        <v>71</v>
      </c>
      <c r="D7" s="114" t="s">
        <v>71</v>
      </c>
      <c r="E7" s="115" t="s">
        <v>71</v>
      </c>
      <c r="F7" s="115" t="s">
        <v>71</v>
      </c>
      <c r="G7" s="115" t="s">
        <v>71</v>
      </c>
    </row>
    <row r="8" spans="1:7">
      <c r="A8" s="151" t="s">
        <v>72</v>
      </c>
      <c r="B8" s="149">
        <v>2020</v>
      </c>
      <c r="C8" s="149">
        <v>2019</v>
      </c>
      <c r="D8" s="149">
        <v>2018</v>
      </c>
      <c r="E8" s="165">
        <v>2017</v>
      </c>
      <c r="F8" s="165">
        <v>2016</v>
      </c>
      <c r="G8" s="165">
        <v>2015</v>
      </c>
    </row>
    <row r="9" spans="1:7">
      <c r="A9" s="111" t="s">
        <v>73</v>
      </c>
      <c r="B9" s="254">
        <v>659472093.04999995</v>
      </c>
      <c r="C9" s="254">
        <v>582902683.94000006</v>
      </c>
      <c r="D9" s="254">
        <v>635679851.5</v>
      </c>
      <c r="E9" s="126">
        <v>671163222.50999999</v>
      </c>
      <c r="F9" s="254">
        <v>578629171.12</v>
      </c>
      <c r="G9" s="254">
        <v>597893801.55999994</v>
      </c>
    </row>
    <row r="10" spans="1:7">
      <c r="A10" s="111" t="s">
        <v>74</v>
      </c>
      <c r="B10" s="157">
        <v>233616391.25999999</v>
      </c>
      <c r="C10" s="157">
        <v>203685941.84999999</v>
      </c>
      <c r="D10" s="157">
        <v>234180837.47999999</v>
      </c>
      <c r="E10" s="126">
        <v>245116377.53</v>
      </c>
      <c r="F10" s="157">
        <v>220538491.97</v>
      </c>
      <c r="G10" s="157">
        <v>241026138.03</v>
      </c>
    </row>
    <row r="11" spans="1:7">
      <c r="A11" s="111" t="s">
        <v>75</v>
      </c>
      <c r="B11" s="255">
        <v>18053622.82</v>
      </c>
      <c r="C11" s="255">
        <v>15152440.48</v>
      </c>
      <c r="D11" s="255">
        <v>18061853.899999999</v>
      </c>
      <c r="E11" s="153">
        <v>19683871.68</v>
      </c>
      <c r="F11" s="255">
        <v>18815938.100000001</v>
      </c>
      <c r="G11" s="255">
        <v>22224059.449999999</v>
      </c>
    </row>
    <row r="12" spans="1:7">
      <c r="A12" s="111"/>
      <c r="B12" s="111"/>
      <c r="D12" s="126"/>
      <c r="E12" s="125"/>
    </row>
    <row r="13" spans="1:7">
      <c r="A13" s="111" t="s">
        <v>76</v>
      </c>
      <c r="B13" s="192">
        <f>SUM(B9:B11)</f>
        <v>911142107.13</v>
      </c>
      <c r="C13" s="192">
        <f>SUM(C9:C11)</f>
        <v>801741066.2700001</v>
      </c>
      <c r="D13" s="192">
        <f>SUM(D9:D11)</f>
        <v>887922542.88</v>
      </c>
      <c r="E13" s="192">
        <f t="shared" ref="E13:G13" si="0">SUM(E9:E11)</f>
        <v>935963471.71999991</v>
      </c>
      <c r="F13" s="192">
        <f t="shared" si="0"/>
        <v>817983601.19000006</v>
      </c>
      <c r="G13" s="192">
        <f t="shared" si="0"/>
        <v>861143999.03999996</v>
      </c>
    </row>
    <row r="14" spans="1:7">
      <c r="A14" s="111"/>
      <c r="B14" s="111"/>
      <c r="D14" s="126"/>
      <c r="E14" s="125"/>
    </row>
    <row r="15" spans="1:7">
      <c r="A15" s="155" t="s">
        <v>77</v>
      </c>
      <c r="B15" s="155"/>
      <c r="D15" s="126"/>
      <c r="E15" s="150"/>
    </row>
    <row r="16" spans="1:7">
      <c r="A16" s="111" t="s">
        <v>78</v>
      </c>
      <c r="B16" s="157">
        <v>21854904.300000001</v>
      </c>
      <c r="C16" s="157">
        <v>17029988.359999999</v>
      </c>
      <c r="D16" s="126">
        <v>21774042.120000001</v>
      </c>
      <c r="E16" s="126">
        <v>23419384.539999999</v>
      </c>
      <c r="F16" s="157">
        <v>23382339.960000001</v>
      </c>
      <c r="G16" s="157">
        <v>29515733.550000001</v>
      </c>
    </row>
    <row r="17" spans="1:7">
      <c r="A17" s="111" t="s">
        <v>79</v>
      </c>
      <c r="B17" s="255">
        <v>833505.59</v>
      </c>
      <c r="C17" s="255">
        <v>682332.22</v>
      </c>
      <c r="D17" s="153">
        <v>999894.31</v>
      </c>
      <c r="E17" s="153">
        <v>1305436.5</v>
      </c>
      <c r="F17" s="255">
        <v>1552332.44</v>
      </c>
      <c r="G17" s="255">
        <v>1217535.6100000001</v>
      </c>
    </row>
    <row r="18" spans="1:7">
      <c r="A18" s="111"/>
      <c r="B18" s="111"/>
      <c r="D18" s="126"/>
      <c r="E18" s="125"/>
    </row>
    <row r="19" spans="1:7">
      <c r="A19" s="111" t="s">
        <v>80</v>
      </c>
      <c r="B19" s="193">
        <f>SUM(B16:B18)</f>
        <v>22688409.890000001</v>
      </c>
      <c r="C19" s="193">
        <f>SUM(C16:C18)</f>
        <v>17712320.579999998</v>
      </c>
      <c r="D19" s="193">
        <f>SUM(D16:D18)</f>
        <v>22773936.43</v>
      </c>
      <c r="E19" s="193">
        <f t="shared" ref="E19:G19" si="1">SUM(E16:E18)</f>
        <v>24724821.039999999</v>
      </c>
      <c r="F19" s="193">
        <f t="shared" si="1"/>
        <v>24934672.400000002</v>
      </c>
      <c r="G19" s="193">
        <f t="shared" si="1"/>
        <v>30733269.16</v>
      </c>
    </row>
    <row r="20" spans="1:7">
      <c r="A20" s="111"/>
      <c r="B20" s="111"/>
      <c r="D20" s="126"/>
      <c r="E20" s="125"/>
    </row>
    <row r="21" spans="1:7">
      <c r="A21" s="111" t="s">
        <v>81</v>
      </c>
      <c r="B21" s="154">
        <f>B19+B13</f>
        <v>933830517.01999998</v>
      </c>
      <c r="C21" s="154">
        <f>C19+C13</f>
        <v>819453386.85000014</v>
      </c>
      <c r="D21" s="154">
        <f>D19+D13</f>
        <v>910696479.30999994</v>
      </c>
      <c r="E21" s="154">
        <f t="shared" ref="E21:G21" si="2">E19+E13</f>
        <v>960688292.75999987</v>
      </c>
      <c r="F21" s="154">
        <f t="shared" si="2"/>
        <v>842918273.59000003</v>
      </c>
      <c r="G21" s="154">
        <f t="shared" si="2"/>
        <v>891877268.19999993</v>
      </c>
    </row>
    <row r="22" spans="1:7">
      <c r="A22" s="111"/>
      <c r="B22" s="111"/>
      <c r="D22" s="126"/>
      <c r="E22" s="125"/>
    </row>
    <row r="23" spans="1:7">
      <c r="A23" s="155" t="s">
        <v>82</v>
      </c>
      <c r="B23" s="155"/>
      <c r="D23" s="126"/>
      <c r="E23" s="150"/>
    </row>
    <row r="24" spans="1:7">
      <c r="A24" s="111" t="s">
        <v>83</v>
      </c>
      <c r="B24" s="282">
        <v>7077461.0300000003</v>
      </c>
      <c r="C24" s="157">
        <v>7066139.7300000004</v>
      </c>
      <c r="D24" s="126">
        <v>7203476.4199999999</v>
      </c>
      <c r="E24" s="126">
        <v>7052877.2400000002</v>
      </c>
      <c r="F24" s="157">
        <v>6381674.9299999997</v>
      </c>
      <c r="G24" s="157">
        <v>5814876.8499999996</v>
      </c>
    </row>
    <row r="25" spans="1:7">
      <c r="A25" s="111" t="s">
        <v>84</v>
      </c>
      <c r="B25" s="255">
        <v>12459225.6</v>
      </c>
      <c r="C25" s="255">
        <v>12701897.369999999</v>
      </c>
      <c r="D25" s="153">
        <v>13540197</v>
      </c>
      <c r="E25" s="153">
        <v>14394215.75</v>
      </c>
      <c r="F25" s="255">
        <v>13418185.720000001</v>
      </c>
      <c r="G25" s="255">
        <v>12255464</v>
      </c>
    </row>
    <row r="26" spans="1:7">
      <c r="A26" s="111"/>
      <c r="B26" s="111"/>
      <c r="D26" s="126"/>
      <c r="E26" s="125"/>
    </row>
    <row r="27" spans="1:7">
      <c r="A27" s="111" t="s">
        <v>85</v>
      </c>
      <c r="B27" s="153">
        <f>SUM(B24:B26)</f>
        <v>19536686.629999999</v>
      </c>
      <c r="C27" s="153">
        <f>SUM(C24:C26)</f>
        <v>19768037.100000001</v>
      </c>
      <c r="D27" s="153">
        <f>SUM(D24:D26)</f>
        <v>20743673.420000002</v>
      </c>
      <c r="E27" s="153">
        <f t="shared" ref="E27:G27" si="3">SUM(E24:E26)</f>
        <v>21447092.990000002</v>
      </c>
      <c r="F27" s="153">
        <f t="shared" si="3"/>
        <v>19799860.649999999</v>
      </c>
      <c r="G27" s="153">
        <f t="shared" si="3"/>
        <v>18070340.850000001</v>
      </c>
    </row>
    <row r="28" spans="1:7">
      <c r="A28" s="111"/>
      <c r="B28" s="111"/>
      <c r="D28" s="126"/>
      <c r="E28" s="125"/>
    </row>
    <row r="29" spans="1:7" ht="15" thickBot="1">
      <c r="A29" s="111" t="s">
        <v>86</v>
      </c>
      <c r="B29" s="156">
        <f>B27+B21</f>
        <v>953367203.64999998</v>
      </c>
      <c r="C29" s="156">
        <f>C27+C21</f>
        <v>839221423.95000017</v>
      </c>
      <c r="D29" s="156">
        <f>D27+D21</f>
        <v>931440152.7299999</v>
      </c>
      <c r="E29" s="156">
        <f t="shared" ref="E29:G29" si="4">E27+E21</f>
        <v>982135385.74999988</v>
      </c>
      <c r="F29" s="156">
        <f t="shared" si="4"/>
        <v>862718134.24000001</v>
      </c>
      <c r="G29" s="156">
        <f t="shared" si="4"/>
        <v>909947609.04999995</v>
      </c>
    </row>
    <row r="30" spans="1:7" ht="15" thickTop="1">
      <c r="A30" s="111"/>
      <c r="B30" s="111"/>
      <c r="D30" s="152"/>
      <c r="E30" s="125"/>
    </row>
    <row r="31" spans="1:7">
      <c r="A31" s="111" t="s">
        <v>87</v>
      </c>
      <c r="B31" s="282">
        <v>-1394986.07</v>
      </c>
      <c r="C31" s="157">
        <v>-37731693.32</v>
      </c>
      <c r="D31" s="126">
        <v>-31357975.370000001</v>
      </c>
      <c r="E31" s="126">
        <v>-9508402.1400000006</v>
      </c>
      <c r="F31" s="157">
        <v>19166171.399999999</v>
      </c>
      <c r="G31" s="157">
        <v>52277413.579999998</v>
      </c>
    </row>
    <row r="32" spans="1:7">
      <c r="A32" s="111" t="s">
        <v>88</v>
      </c>
      <c r="B32" s="255">
        <v>17618700.510000002</v>
      </c>
      <c r="C32" s="255">
        <v>16532125.48</v>
      </c>
      <c r="D32" s="153">
        <v>1903626.66</v>
      </c>
      <c r="E32" s="153">
        <v>12751981.48</v>
      </c>
      <c r="F32" s="255">
        <v>14277246.51</v>
      </c>
      <c r="G32" s="255">
        <v>13046355.58</v>
      </c>
    </row>
    <row r="33" spans="1:7">
      <c r="A33" s="111" t="s">
        <v>89</v>
      </c>
      <c r="B33" s="154">
        <f>SUM(B29:B32)</f>
        <v>969590918.08999991</v>
      </c>
      <c r="C33" s="154">
        <f>SUM(C29:C32)</f>
        <v>818021856.11000013</v>
      </c>
      <c r="D33" s="154">
        <f>SUM(D29:D32)</f>
        <v>901985804.01999986</v>
      </c>
      <c r="E33" s="154">
        <f t="shared" ref="E33:G33" si="5">SUM(E29:E32)</f>
        <v>985378965.08999991</v>
      </c>
      <c r="F33" s="154">
        <f t="shared" si="5"/>
        <v>896161552.14999998</v>
      </c>
      <c r="G33" s="154">
        <f t="shared" si="5"/>
        <v>975271378.21000004</v>
      </c>
    </row>
    <row r="34" spans="1:7">
      <c r="A34" s="111" t="s">
        <v>90</v>
      </c>
      <c r="B34" s="111"/>
      <c r="C34" s="111"/>
      <c r="D34" s="150"/>
      <c r="E34" s="125"/>
      <c r="F34" s="194"/>
      <c r="G34" s="194"/>
    </row>
    <row r="35" spans="1:7">
      <c r="A35" s="157"/>
      <c r="B35" s="157"/>
      <c r="C35" s="157"/>
      <c r="D35" s="112"/>
      <c r="E35" s="150"/>
    </row>
    <row r="36" spans="1:7">
      <c r="A36" s="157"/>
      <c r="B36" s="157"/>
      <c r="C36" s="157"/>
      <c r="D36" s="112"/>
      <c r="E36" s="125"/>
    </row>
    <row r="37" spans="1:7">
      <c r="A37" s="157"/>
      <c r="B37" s="157"/>
      <c r="C37" s="157"/>
      <c r="D37" s="112"/>
      <c r="E37" s="150"/>
    </row>
    <row r="38" spans="1:7">
      <c r="A38" s="157"/>
      <c r="B38" s="157"/>
      <c r="C38" s="157"/>
      <c r="D38" s="112"/>
      <c r="E38" s="125"/>
    </row>
    <row r="39" spans="1:7">
      <c r="A39" s="157"/>
      <c r="B39" s="157"/>
      <c r="C39" s="157"/>
      <c r="D39" s="112"/>
      <c r="E39" s="150"/>
    </row>
    <row r="40" spans="1:7">
      <c r="A40" s="157"/>
      <c r="B40" s="157"/>
      <c r="C40" s="157"/>
      <c r="D40" s="112"/>
      <c r="E40" s="125"/>
    </row>
    <row r="41" spans="1:7">
      <c r="A41" s="157"/>
      <c r="B41" s="157"/>
      <c r="C41" s="157"/>
      <c r="D41" s="112"/>
      <c r="E41" s="150"/>
    </row>
    <row r="42" spans="1:7">
      <c r="A42" s="157"/>
      <c r="B42" s="157"/>
      <c r="C42" s="157"/>
      <c r="D42" s="112"/>
      <c r="E42" s="125"/>
    </row>
    <row r="43" spans="1:7">
      <c r="A43" s="157"/>
      <c r="B43" s="157"/>
      <c r="C43" s="157"/>
      <c r="D43" s="112"/>
      <c r="E43" s="150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zoomScaleNormal="100" workbookViewId="0">
      <pane xSplit="4" ySplit="6" topLeftCell="E25" activePane="bottomRight" state="frozen"/>
      <selection pane="topRight" activeCell="E1" sqref="E1"/>
      <selection pane="bottomLeft" activeCell="A7" sqref="A7"/>
      <selection pane="bottomRight" activeCell="H37" sqref="H37"/>
    </sheetView>
  </sheetViews>
  <sheetFormatPr defaultColWidth="7.21875" defaultRowHeight="15" customHeight="1"/>
  <cols>
    <col min="1" max="1" width="6.5546875" style="256" customWidth="1"/>
    <col min="2" max="2" width="1.5546875" style="256" customWidth="1"/>
    <col min="3" max="3" width="45" style="256" bestFit="1" customWidth="1"/>
    <col min="4" max="4" width="9.88671875" style="257" bestFit="1" customWidth="1"/>
    <col min="5" max="5" width="14.6640625" style="256" bestFit="1" customWidth="1"/>
    <col min="6" max="6" width="14.5546875" style="256" bestFit="1" customWidth="1"/>
    <col min="7" max="7" width="14.21875" style="256" bestFit="1" customWidth="1"/>
    <col min="8" max="8" width="9.44140625" style="256" customWidth="1"/>
    <col min="9" max="9" width="7.21875" style="256"/>
    <col min="10" max="10" width="13.109375" style="256" bestFit="1" customWidth="1"/>
    <col min="11" max="11" width="11.6640625" style="256" customWidth="1"/>
    <col min="12" max="16384" width="7.21875" style="256"/>
  </cols>
  <sheetData>
    <row r="1" spans="1:11" ht="15" customHeight="1">
      <c r="G1" s="258"/>
    </row>
    <row r="2" spans="1:11" ht="14.25" customHeight="1">
      <c r="A2" s="259" t="s">
        <v>181</v>
      </c>
      <c r="B2" s="259"/>
      <c r="C2" s="259"/>
      <c r="D2" s="259"/>
      <c r="E2" s="259"/>
      <c r="F2" s="259"/>
      <c r="G2" s="259"/>
    </row>
    <row r="3" spans="1:11" ht="15" customHeight="1">
      <c r="A3" s="259" t="s">
        <v>227</v>
      </c>
      <c r="B3" s="259"/>
      <c r="C3" s="259"/>
      <c r="D3" s="259"/>
      <c r="E3" s="259"/>
      <c r="F3" s="259"/>
      <c r="G3" s="259"/>
    </row>
    <row r="4" spans="1:11" ht="15" customHeight="1">
      <c r="A4" s="259" t="s">
        <v>182</v>
      </c>
      <c r="B4" s="259"/>
      <c r="C4" s="259"/>
      <c r="D4" s="259"/>
      <c r="E4" s="259"/>
      <c r="F4" s="259"/>
      <c r="G4" s="259"/>
      <c r="J4" s="287"/>
    </row>
    <row r="5" spans="1:11" s="260" customFormat="1" ht="15" customHeight="1">
      <c r="C5" s="261"/>
      <c r="D5" s="261"/>
    </row>
    <row r="6" spans="1:11" s="260" customFormat="1" ht="15" customHeight="1">
      <c r="A6" s="262" t="s">
        <v>183</v>
      </c>
      <c r="B6" s="262"/>
      <c r="C6" s="262" t="s">
        <v>184</v>
      </c>
      <c r="D6" s="262"/>
      <c r="E6" s="262" t="s">
        <v>163</v>
      </c>
      <c r="F6" s="262" t="s">
        <v>164</v>
      </c>
      <c r="G6" s="262" t="s">
        <v>172</v>
      </c>
      <c r="J6" s="287"/>
      <c r="K6" s="287"/>
    </row>
    <row r="7" spans="1:11" s="260" customFormat="1" ht="29.25" customHeight="1">
      <c r="D7" s="263"/>
      <c r="J7" s="287"/>
      <c r="K7" s="287"/>
    </row>
    <row r="8" spans="1:11" s="260" customFormat="1" ht="15" customHeight="1">
      <c r="A8" s="264">
        <v>1</v>
      </c>
      <c r="B8" s="264" t="s">
        <v>185</v>
      </c>
      <c r="C8" s="265" t="s">
        <v>186</v>
      </c>
      <c r="D8" s="269">
        <v>44196</v>
      </c>
      <c r="E8" s="199">
        <f>[3]Lead!E8</f>
        <v>1181577</v>
      </c>
      <c r="F8" s="199">
        <f>[3]Lead!F8</f>
        <v>850720</v>
      </c>
      <c r="G8" s="199">
        <f>SUM(E8:F8)</f>
        <v>2032297</v>
      </c>
      <c r="H8" s="266"/>
      <c r="J8" s="287"/>
      <c r="K8" s="287"/>
    </row>
    <row r="9" spans="1:11" s="260" customFormat="1" ht="18.899999999999999" customHeight="1" thickBot="1">
      <c r="B9" s="261"/>
      <c r="C9" s="267" t="s">
        <v>187</v>
      </c>
      <c r="D9" s="261"/>
      <c r="E9" s="224">
        <f>ROUND(+E8/G8,4)</f>
        <v>0.58140000000000003</v>
      </c>
      <c r="F9" s="224">
        <f>ROUND(+F8/G8,4)</f>
        <v>0.41860000000000003</v>
      </c>
      <c r="G9" s="225">
        <f>SUM(E9:F9)</f>
        <v>1</v>
      </c>
      <c r="H9" s="268"/>
      <c r="J9" s="287"/>
      <c r="K9" s="287"/>
    </row>
    <row r="10" spans="1:11" s="260" customFormat="1" ht="15" customHeight="1" thickTop="1">
      <c r="A10" s="261"/>
      <c r="B10" s="261"/>
      <c r="D10" s="269"/>
      <c r="J10" s="287"/>
      <c r="K10" s="287"/>
    </row>
    <row r="11" spans="1:11" s="260" customFormat="1" ht="15" customHeight="1">
      <c r="A11" s="264">
        <v>2</v>
      </c>
      <c r="B11" s="264" t="s">
        <v>185</v>
      </c>
      <c r="C11" s="265" t="s">
        <v>188</v>
      </c>
      <c r="D11" s="269">
        <v>44196</v>
      </c>
      <c r="E11" s="199">
        <f>[3]Lead!E11</f>
        <v>813535</v>
      </c>
      <c r="F11" s="199">
        <f>[3]Lead!F11</f>
        <v>486000</v>
      </c>
      <c r="G11" s="200">
        <f>SUM(E11:F11)</f>
        <v>1299535</v>
      </c>
      <c r="H11" s="270"/>
      <c r="J11" s="287"/>
      <c r="K11" s="287"/>
    </row>
    <row r="12" spans="1:11" s="260" customFormat="1" ht="18.899999999999999" customHeight="1" thickBot="1">
      <c r="B12" s="261"/>
      <c r="C12" s="267" t="s">
        <v>187</v>
      </c>
      <c r="D12" s="263"/>
      <c r="E12" s="224">
        <f>ROUND(+E11/G11,4)</f>
        <v>0.626</v>
      </c>
      <c r="F12" s="224">
        <f>ROUND(+F11/G11,4)</f>
        <v>0.374</v>
      </c>
      <c r="G12" s="225">
        <f>SUM(E12:F12)</f>
        <v>1</v>
      </c>
      <c r="H12" s="268"/>
      <c r="J12" s="287"/>
      <c r="K12" s="287"/>
    </row>
    <row r="13" spans="1:11" s="260" customFormat="1" ht="15" customHeight="1" thickTop="1">
      <c r="A13" s="261"/>
      <c r="B13" s="261"/>
      <c r="D13" s="263"/>
      <c r="J13" s="287"/>
      <c r="K13" s="287"/>
    </row>
    <row r="14" spans="1:11" s="260" customFormat="1" ht="15" customHeight="1">
      <c r="A14" s="264">
        <v>3</v>
      </c>
      <c r="B14" s="264" t="s">
        <v>185</v>
      </c>
      <c r="C14" s="265" t="s">
        <v>189</v>
      </c>
      <c r="D14" s="263"/>
      <c r="J14" s="287"/>
      <c r="K14" s="287"/>
    </row>
    <row r="15" spans="1:11" s="260" customFormat="1" ht="15" customHeight="1">
      <c r="A15" s="261"/>
      <c r="B15" s="261"/>
      <c r="C15" s="271" t="s">
        <v>190</v>
      </c>
      <c r="D15" s="269">
        <v>44196</v>
      </c>
      <c r="E15" s="199">
        <f>[3]Lead!E15</f>
        <v>4405569600</v>
      </c>
      <c r="F15" s="199">
        <f>[3]Lead!F15</f>
        <v>4221953175</v>
      </c>
      <c r="G15" s="202">
        <f>SUM(E15:F15)</f>
        <v>8627522775</v>
      </c>
      <c r="H15" s="272"/>
      <c r="J15" s="287"/>
      <c r="K15" s="287"/>
    </row>
    <row r="16" spans="1:11" s="260" customFormat="1" ht="15" customHeight="1">
      <c r="A16" s="261"/>
      <c r="B16" s="261"/>
      <c r="C16" s="271" t="s">
        <v>191</v>
      </c>
      <c r="D16" s="269">
        <v>44196</v>
      </c>
      <c r="E16" s="199">
        <f>[3]Lead!E16</f>
        <v>1641489956</v>
      </c>
      <c r="F16" s="199">
        <f>[3]Lead!F16</f>
        <v>0</v>
      </c>
      <c r="G16" s="201">
        <f>SUM(E16:F16)</f>
        <v>1641489956</v>
      </c>
      <c r="H16" s="272"/>
      <c r="J16" s="287"/>
      <c r="K16" s="287"/>
    </row>
    <row r="17" spans="1:11" s="260" customFormat="1" ht="15" customHeight="1">
      <c r="A17" s="261"/>
      <c r="B17" s="261"/>
      <c r="C17" s="271" t="s">
        <v>192</v>
      </c>
      <c r="D17" s="269">
        <v>44196</v>
      </c>
      <c r="E17" s="199">
        <f>[3]Lead!E17</f>
        <v>238218585</v>
      </c>
      <c r="F17" s="199">
        <f>[3]Lead!F17</f>
        <v>42710271</v>
      </c>
      <c r="G17" s="201">
        <f>SUM(E17:F17)</f>
        <v>280928856</v>
      </c>
      <c r="H17" s="272"/>
      <c r="J17" s="287"/>
      <c r="K17" s="287"/>
    </row>
    <row r="18" spans="1:11" s="260" customFormat="1" ht="15" customHeight="1">
      <c r="A18" s="261"/>
      <c r="B18" s="261"/>
      <c r="C18" s="271" t="s">
        <v>172</v>
      </c>
      <c r="D18" s="273"/>
      <c r="E18" s="233">
        <f>SUM(E15:E17)</f>
        <v>6285278141</v>
      </c>
      <c r="F18" s="233">
        <f>SUM(F15:F17)</f>
        <v>4264663446</v>
      </c>
      <c r="G18" s="233">
        <f>SUM(G15:G17)</f>
        <v>10549941587</v>
      </c>
      <c r="H18" s="274"/>
      <c r="J18" s="287"/>
      <c r="K18" s="287"/>
    </row>
    <row r="19" spans="1:11" s="260" customFormat="1" ht="18.899999999999999" customHeight="1" thickBot="1">
      <c r="B19" s="261"/>
      <c r="C19" s="267" t="s">
        <v>187</v>
      </c>
      <c r="D19" s="263"/>
      <c r="E19" s="224">
        <f>ROUND(+E18/G18,4)</f>
        <v>0.5958</v>
      </c>
      <c r="F19" s="224">
        <f>ROUND(+F18/G18,4)</f>
        <v>0.4042</v>
      </c>
      <c r="G19" s="225">
        <f>SUM(E19:F19)</f>
        <v>1</v>
      </c>
      <c r="H19" s="268"/>
      <c r="J19" s="287"/>
      <c r="K19" s="287"/>
    </row>
    <row r="20" spans="1:11" s="260" customFormat="1" ht="15" customHeight="1" thickTop="1">
      <c r="A20" s="261"/>
      <c r="B20" s="261"/>
      <c r="D20" s="263"/>
      <c r="J20" s="287"/>
      <c r="K20" s="287"/>
    </row>
    <row r="21" spans="1:11" s="260" customFormat="1" ht="15" customHeight="1">
      <c r="A21" s="264">
        <v>4</v>
      </c>
      <c r="B21" s="264" t="s">
        <v>185</v>
      </c>
      <c r="C21" s="265" t="s">
        <v>193</v>
      </c>
      <c r="D21" s="263" t="s">
        <v>194</v>
      </c>
      <c r="J21" s="287"/>
      <c r="K21" s="287"/>
    </row>
    <row r="22" spans="1:11" s="260" customFormat="1" ht="15" customHeight="1">
      <c r="A22" s="261"/>
      <c r="B22" s="261"/>
      <c r="C22" s="271" t="s">
        <v>195</v>
      </c>
      <c r="D22" s="269">
        <v>44196</v>
      </c>
      <c r="E22" s="199">
        <f>[3]Lead!E22</f>
        <v>1181577</v>
      </c>
      <c r="F22" s="199">
        <f>[3]Lead!F22</f>
        <v>850720</v>
      </c>
      <c r="G22" s="199">
        <f>SUM(E22:F22)</f>
        <v>2032297</v>
      </c>
      <c r="H22" s="266"/>
      <c r="J22" s="287"/>
      <c r="K22" s="287"/>
    </row>
    <row r="23" spans="1:11" s="260" customFormat="1" ht="15" customHeight="1">
      <c r="A23" s="261"/>
      <c r="B23" s="261"/>
      <c r="C23" s="267" t="s">
        <v>196</v>
      </c>
      <c r="D23" s="261"/>
      <c r="E23" s="235">
        <f>+E22/G22</f>
        <v>0.58139976588067588</v>
      </c>
      <c r="F23" s="235">
        <f>+F22/G22</f>
        <v>0.41860023411932412</v>
      </c>
      <c r="G23" s="276">
        <f>SUM(E23:F23)</f>
        <v>1</v>
      </c>
      <c r="H23" s="268"/>
      <c r="J23" s="287"/>
      <c r="K23" s="287"/>
    </row>
    <row r="24" spans="1:11" s="260" customFormat="1" ht="15" customHeight="1">
      <c r="A24" s="261"/>
      <c r="B24" s="261"/>
      <c r="D24" s="263"/>
      <c r="J24" s="287"/>
      <c r="K24" s="287"/>
    </row>
    <row r="25" spans="1:11" s="260" customFormat="1" ht="15" customHeight="1">
      <c r="A25" s="261"/>
      <c r="B25" s="261"/>
      <c r="C25" s="260" t="s">
        <v>197</v>
      </c>
      <c r="D25" s="269">
        <v>44196</v>
      </c>
      <c r="E25" s="199">
        <f>[3]Lead!E25</f>
        <v>59768671.730000004</v>
      </c>
      <c r="F25" s="199">
        <f>[3]Lead!F25</f>
        <v>26253908.610000003</v>
      </c>
      <c r="G25" s="275">
        <f>SUM(E25:F25)</f>
        <v>86022580.340000004</v>
      </c>
      <c r="H25" s="266"/>
      <c r="J25" s="287"/>
      <c r="K25" s="287"/>
    </row>
    <row r="26" spans="1:11" s="260" customFormat="1" ht="15" customHeight="1">
      <c r="A26" s="261"/>
      <c r="B26" s="261"/>
      <c r="C26" s="267" t="s">
        <v>196</v>
      </c>
      <c r="D26" s="263"/>
      <c r="E26" s="235">
        <f>+E25/G25</f>
        <v>0.69480212629948179</v>
      </c>
      <c r="F26" s="235">
        <f>+F25/G25</f>
        <v>0.30519787370051821</v>
      </c>
      <c r="G26" s="276">
        <f>SUM(E26:F26)</f>
        <v>1</v>
      </c>
      <c r="H26" s="268"/>
      <c r="J26" s="287"/>
      <c r="K26" s="287"/>
    </row>
    <row r="27" spans="1:11" s="260" customFormat="1" ht="15" customHeight="1">
      <c r="A27" s="261"/>
      <c r="B27" s="261"/>
      <c r="D27" s="263"/>
      <c r="J27" s="287"/>
      <c r="K27" s="287"/>
    </row>
    <row r="28" spans="1:11" s="260" customFormat="1" ht="15" customHeight="1">
      <c r="A28" s="277"/>
      <c r="B28" s="261"/>
      <c r="C28" s="260" t="s">
        <v>198</v>
      </c>
      <c r="D28" s="269">
        <v>44196</v>
      </c>
      <c r="E28" s="199">
        <f>[3]Lead!E28</f>
        <v>75670569.030000031</v>
      </c>
      <c r="F28" s="199">
        <f>[3]Lead!F28</f>
        <v>34119707.200000003</v>
      </c>
      <c r="G28" s="203">
        <f>SUM(E28:F28)</f>
        <v>109790276.23000003</v>
      </c>
      <c r="H28" s="266"/>
      <c r="J28" s="287"/>
      <c r="K28" s="287"/>
    </row>
    <row r="29" spans="1:11" s="260" customFormat="1" ht="15" customHeight="1">
      <c r="A29" s="261"/>
      <c r="B29" s="261"/>
      <c r="C29" s="267" t="s">
        <v>196</v>
      </c>
      <c r="D29" s="278"/>
      <c r="E29" s="235">
        <f>+E28/G28</f>
        <v>0.68922833267563233</v>
      </c>
      <c r="F29" s="235">
        <f>+F28/G28</f>
        <v>0.31077166732436767</v>
      </c>
      <c r="G29" s="276">
        <f>SUM(E29:F29)</f>
        <v>1</v>
      </c>
      <c r="H29" s="268"/>
      <c r="J29" s="287"/>
      <c r="K29" s="287"/>
    </row>
    <row r="30" spans="1:11" s="260" customFormat="1" ht="15" customHeight="1">
      <c r="A30" s="261"/>
      <c r="B30" s="261"/>
      <c r="D30" s="263"/>
      <c r="J30" s="287"/>
      <c r="K30" s="287"/>
    </row>
    <row r="31" spans="1:11" s="260" customFormat="1" ht="15" customHeight="1">
      <c r="A31" s="277"/>
      <c r="B31" s="261"/>
      <c r="C31" s="260" t="s">
        <v>199</v>
      </c>
      <c r="D31" s="269">
        <v>44196</v>
      </c>
      <c r="E31" s="199">
        <f>[3]Lead!E31</f>
        <v>5608994657.9250002</v>
      </c>
      <c r="F31" s="199">
        <f>[3]Lead!F31</f>
        <v>2583606244.715416</v>
      </c>
      <c r="G31" s="199">
        <f>SUM(E31:F31)</f>
        <v>8192600902.6404161</v>
      </c>
      <c r="H31" s="266"/>
      <c r="J31" s="288"/>
      <c r="K31" s="288"/>
    </row>
    <row r="32" spans="1:11" s="260" customFormat="1" ht="15" customHeight="1">
      <c r="A32" s="261"/>
      <c r="B32" s="261"/>
      <c r="C32" s="267" t="s">
        <v>196</v>
      </c>
      <c r="D32" s="263"/>
      <c r="E32" s="235">
        <f>+E31/G31</f>
        <v>0.68464151062420986</v>
      </c>
      <c r="F32" s="235">
        <f>+F31/G31</f>
        <v>0.31535848937579009</v>
      </c>
      <c r="G32" s="276">
        <f>SUM(E32:F32)</f>
        <v>1</v>
      </c>
      <c r="H32" s="268"/>
      <c r="J32" s="287"/>
      <c r="K32" s="287"/>
    </row>
    <row r="33" spans="1:11" s="260" customFormat="1" ht="15" customHeight="1">
      <c r="A33" s="261"/>
      <c r="D33" s="263"/>
      <c r="E33" s="279"/>
      <c r="F33" s="279"/>
      <c r="G33" s="279"/>
      <c r="J33" s="287"/>
      <c r="K33" s="287"/>
    </row>
    <row r="34" spans="1:11" s="260" customFormat="1" ht="15" customHeight="1">
      <c r="A34" s="261"/>
      <c r="C34" s="260" t="s">
        <v>200</v>
      </c>
      <c r="D34" s="263"/>
      <c r="E34" s="241">
        <f>+E32+E29+E26+E23</f>
        <v>2.6500717354800001</v>
      </c>
      <c r="F34" s="241">
        <f>+F32+F29+F26+F23</f>
        <v>1.3499282645200001</v>
      </c>
      <c r="G34" s="241">
        <f>+G32+G29+G26+G23</f>
        <v>4</v>
      </c>
      <c r="H34" s="268"/>
      <c r="J34" s="287"/>
      <c r="K34" s="287"/>
    </row>
    <row r="35" spans="1:11" s="260" customFormat="1" ht="18.899999999999999" customHeight="1" thickBot="1">
      <c r="C35" s="260" t="s">
        <v>187</v>
      </c>
      <c r="D35" s="263"/>
      <c r="E35" s="224">
        <f>ROUND(+E34/4,4)</f>
        <v>0.66249999999999998</v>
      </c>
      <c r="F35" s="224">
        <f>ROUND(+F34/4,4)</f>
        <v>0.33750000000000002</v>
      </c>
      <c r="G35" s="225">
        <f>+G34/4</f>
        <v>1</v>
      </c>
      <c r="H35" s="268"/>
      <c r="J35" s="287"/>
      <c r="K35" s="287"/>
    </row>
    <row r="36" spans="1:11" s="260" customFormat="1" ht="15" customHeight="1" thickTop="1">
      <c r="D36" s="263"/>
      <c r="J36" s="287"/>
      <c r="K36" s="287"/>
    </row>
    <row r="37" spans="1:11" s="260" customFormat="1" ht="15" customHeight="1">
      <c r="A37" s="264">
        <v>5</v>
      </c>
      <c r="B37" s="264" t="s">
        <v>185</v>
      </c>
      <c r="C37" s="265" t="s">
        <v>201</v>
      </c>
      <c r="D37" s="263"/>
      <c r="J37" s="287"/>
      <c r="K37" s="287"/>
    </row>
    <row r="38" spans="1:11" s="260" customFormat="1" ht="15" customHeight="1">
      <c r="C38" s="267" t="s">
        <v>202</v>
      </c>
      <c r="D38" s="269">
        <v>44196</v>
      </c>
      <c r="E38" s="199">
        <f>[3]Lead!E38</f>
        <v>67067413.680000007</v>
      </c>
      <c r="F38" s="199">
        <f>[3]Lead!F38</f>
        <v>27486340.700000003</v>
      </c>
      <c r="G38" s="199">
        <f>SUM(E38:F38)</f>
        <v>94553754.38000001</v>
      </c>
      <c r="H38" s="266"/>
      <c r="I38" s="260" t="s">
        <v>223</v>
      </c>
      <c r="J38" s="287"/>
      <c r="K38" s="287"/>
    </row>
    <row r="39" spans="1:11" s="260" customFormat="1" ht="15" customHeight="1">
      <c r="C39" s="260" t="s">
        <v>172</v>
      </c>
      <c r="D39" s="263"/>
      <c r="E39" s="242">
        <f>SUM(E38:E38)</f>
        <v>67067413.680000007</v>
      </c>
      <c r="F39" s="242">
        <f>SUM(F38:F38)</f>
        <v>27486340.700000003</v>
      </c>
      <c r="G39" s="242">
        <f>SUM(G38:G38)</f>
        <v>94553754.38000001</v>
      </c>
      <c r="H39" s="275"/>
      <c r="J39" s="287"/>
      <c r="K39" s="287"/>
    </row>
    <row r="40" spans="1:11" s="260" customFormat="1" ht="18.899999999999999" customHeight="1" thickBot="1">
      <c r="C40" s="260" t="s">
        <v>187</v>
      </c>
      <c r="D40" s="263"/>
      <c r="E40" s="224">
        <f>ROUND(+E39/G39,4)</f>
        <v>0.70930000000000004</v>
      </c>
      <c r="F40" s="224">
        <f>ROUND(+F39/G39,4)</f>
        <v>0.29070000000000001</v>
      </c>
      <c r="G40" s="280">
        <f>SUM(E40:F40)</f>
        <v>1</v>
      </c>
      <c r="H40" s="268"/>
      <c r="J40" s="287"/>
      <c r="K40" s="287"/>
    </row>
    <row r="41" spans="1:11" s="260" customFormat="1" ht="15" customHeight="1" thickTop="1">
      <c r="D41" s="261"/>
      <c r="J41" s="287"/>
      <c r="K41" s="287"/>
    </row>
    <row r="42" spans="1:11" s="260" customFormat="1" ht="15" customHeight="1">
      <c r="A42" s="264">
        <v>6</v>
      </c>
      <c r="C42" s="265" t="s">
        <v>203</v>
      </c>
      <c r="D42" s="269">
        <v>44196</v>
      </c>
      <c r="F42" s="261" t="s">
        <v>204</v>
      </c>
      <c r="J42" s="287"/>
      <c r="K42" s="287"/>
    </row>
    <row r="43" spans="1:11" ht="15" customHeight="1">
      <c r="A43" s="260"/>
      <c r="B43" s="260"/>
      <c r="C43" s="260" t="s">
        <v>205</v>
      </c>
      <c r="D43" s="261"/>
      <c r="E43" s="260"/>
      <c r="F43" s="199">
        <f>[3]Lead!F43</f>
        <v>148057613.35000002</v>
      </c>
      <c r="G43" s="268">
        <f>'[3]SAP DL Downld'!H15</f>
        <v>0.49083053809347571</v>
      </c>
      <c r="J43" s="287"/>
      <c r="K43" s="287"/>
    </row>
    <row r="44" spans="1:11" ht="15" customHeight="1">
      <c r="A44" s="260"/>
      <c r="B44" s="260"/>
      <c r="C44" s="260" t="s">
        <v>206</v>
      </c>
      <c r="D44" s="261"/>
      <c r="E44" s="260"/>
      <c r="F44" s="199">
        <f>[3]Lead!F44</f>
        <v>4371320.9000000004</v>
      </c>
      <c r="G44" s="268">
        <f>'[3]SAP DL Downld'!H16</f>
        <v>1.4491505981892531E-2</v>
      </c>
      <c r="J44" s="287"/>
      <c r="K44" s="287"/>
    </row>
    <row r="45" spans="1:11" ht="15" customHeight="1">
      <c r="A45" s="260"/>
      <c r="B45" s="260"/>
      <c r="C45" s="260" t="s">
        <v>207</v>
      </c>
      <c r="D45" s="261"/>
      <c r="E45" s="260"/>
      <c r="F45" s="199">
        <f>[3]Lead!F45</f>
        <v>149218175.81999999</v>
      </c>
      <c r="G45" s="268">
        <f>'[3]SAP DL Downld'!H17</f>
        <v>0.49467795592463165</v>
      </c>
      <c r="J45" s="287"/>
      <c r="K45" s="287"/>
    </row>
    <row r="46" spans="1:11" ht="15" customHeight="1" thickBot="1">
      <c r="A46" s="260"/>
      <c r="B46" s="260"/>
      <c r="C46" s="260" t="s">
        <v>208</v>
      </c>
      <c r="D46" s="261"/>
      <c r="E46" s="260"/>
      <c r="F46" s="281">
        <f>'[3]SAP DL Downld'!G18</f>
        <v>301647110.07000005</v>
      </c>
      <c r="G46" s="280">
        <f>SUM(G43:G45)</f>
        <v>1</v>
      </c>
      <c r="J46" s="287"/>
      <c r="K46" s="287"/>
    </row>
    <row r="47" spans="1:11" ht="15" customHeight="1" thickTop="1">
      <c r="J47" s="287"/>
      <c r="K47" s="287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18" activePane="bottomRight" state="frozen"/>
      <selection pane="topRight" activeCell="E1" sqref="E1"/>
      <selection pane="bottomLeft" activeCell="A7" sqref="A7"/>
      <selection pane="bottomRight" activeCell="F28" sqref="F28"/>
    </sheetView>
  </sheetViews>
  <sheetFormatPr defaultColWidth="7.21875" defaultRowHeight="15" customHeight="1"/>
  <cols>
    <col min="1" max="1" width="6.5546875" style="211" customWidth="1"/>
    <col min="2" max="2" width="1.5546875" style="211" customWidth="1"/>
    <col min="3" max="3" width="45" style="211" bestFit="1" customWidth="1"/>
    <col min="4" max="4" width="9.88671875" style="212" bestFit="1" customWidth="1"/>
    <col min="5" max="5" width="14.6640625" style="211" bestFit="1" customWidth="1"/>
    <col min="6" max="6" width="14.5546875" style="211" bestFit="1" customWidth="1"/>
    <col min="7" max="7" width="14.21875" style="211" bestFit="1" customWidth="1"/>
    <col min="8" max="8" width="9.44140625" style="211" customWidth="1"/>
    <col min="9" max="16384" width="7.21875" style="211"/>
  </cols>
  <sheetData>
    <row r="1" spans="1:8" ht="15" customHeight="1">
      <c r="G1" s="213"/>
    </row>
    <row r="2" spans="1:8" ht="14.25" customHeight="1">
      <c r="A2" s="214" t="s">
        <v>181</v>
      </c>
      <c r="B2" s="214"/>
      <c r="C2" s="214"/>
      <c r="D2" s="214"/>
      <c r="E2" s="214"/>
      <c r="F2" s="214"/>
      <c r="G2" s="214"/>
    </row>
    <row r="3" spans="1:8" ht="15" customHeight="1">
      <c r="A3" s="214" t="s">
        <v>132</v>
      </c>
      <c r="B3" s="214"/>
      <c r="C3" s="214"/>
      <c r="D3" s="214"/>
      <c r="E3" s="214"/>
      <c r="F3" s="214"/>
      <c r="G3" s="214"/>
    </row>
    <row r="4" spans="1:8" ht="15" customHeight="1">
      <c r="A4" s="214" t="s">
        <v>182</v>
      </c>
      <c r="B4" s="214"/>
      <c r="C4" s="214"/>
      <c r="D4" s="214"/>
      <c r="E4" s="214"/>
      <c r="F4" s="214"/>
      <c r="G4" s="214"/>
    </row>
    <row r="5" spans="1:8" s="215" customFormat="1" ht="15" customHeight="1">
      <c r="C5" s="216"/>
      <c r="D5" s="216"/>
    </row>
    <row r="6" spans="1:8" s="215" customFormat="1" ht="15" customHeight="1">
      <c r="A6" s="217" t="s">
        <v>183</v>
      </c>
      <c r="B6" s="217"/>
      <c r="C6" s="217" t="s">
        <v>184</v>
      </c>
      <c r="D6" s="217"/>
      <c r="E6" s="217" t="s">
        <v>163</v>
      </c>
      <c r="F6" s="217" t="s">
        <v>164</v>
      </c>
      <c r="G6" s="217" t="s">
        <v>172</v>
      </c>
    </row>
    <row r="7" spans="1:8" s="215" customFormat="1" ht="29.25" customHeight="1">
      <c r="D7" s="218"/>
    </row>
    <row r="8" spans="1:8" s="215" customFormat="1" ht="15" customHeight="1">
      <c r="A8" s="219">
        <v>1</v>
      </c>
      <c r="B8" s="219" t="s">
        <v>185</v>
      </c>
      <c r="C8" s="220" t="s">
        <v>186</v>
      </c>
      <c r="D8" s="221">
        <v>43830</v>
      </c>
      <c r="E8" s="199">
        <v>1165699</v>
      </c>
      <c r="F8" s="199">
        <v>841427</v>
      </c>
      <c r="G8" s="199">
        <f>SUM(E8:F8)</f>
        <v>2007126</v>
      </c>
      <c r="H8" s="222"/>
    </row>
    <row r="9" spans="1:8" s="215" customFormat="1" ht="18.899999999999999" customHeight="1" thickBot="1">
      <c r="B9" s="216"/>
      <c r="C9" s="223" t="s">
        <v>187</v>
      </c>
      <c r="D9" s="216"/>
      <c r="E9" s="224">
        <f>ROUND(+E8/G8,4)</f>
        <v>0.58079999999999998</v>
      </c>
      <c r="F9" s="224">
        <f>ROUND(+F8/G8,4)</f>
        <v>0.41920000000000002</v>
      </c>
      <c r="G9" s="225">
        <f>SUM(E9:F9)</f>
        <v>1</v>
      </c>
      <c r="H9" s="226"/>
    </row>
    <row r="10" spans="1:8" s="215" customFormat="1" ht="15" customHeight="1" thickTop="1">
      <c r="A10" s="216"/>
      <c r="B10" s="216"/>
      <c r="D10" s="221"/>
    </row>
    <row r="11" spans="1:8" s="215" customFormat="1" ht="15" customHeight="1">
      <c r="A11" s="219">
        <v>2</v>
      </c>
      <c r="B11" s="219" t="s">
        <v>185</v>
      </c>
      <c r="C11" s="220" t="s">
        <v>188</v>
      </c>
      <c r="D11" s="221">
        <v>43830</v>
      </c>
      <c r="E11" s="199">
        <v>801558</v>
      </c>
      <c r="F11" s="199">
        <v>478801</v>
      </c>
      <c r="G11" s="200">
        <f>SUM(E11:F11)</f>
        <v>1280359</v>
      </c>
      <c r="H11" s="227"/>
    </row>
    <row r="12" spans="1:8" s="215" customFormat="1" ht="18.899999999999999" customHeight="1" thickBot="1">
      <c r="B12" s="216"/>
      <c r="C12" s="223" t="s">
        <v>187</v>
      </c>
      <c r="D12" s="218"/>
      <c r="E12" s="224">
        <f>ROUND(+E11/G11,4)</f>
        <v>0.626</v>
      </c>
      <c r="F12" s="224">
        <f>ROUND(+F11/G11,4)</f>
        <v>0.374</v>
      </c>
      <c r="G12" s="225">
        <f>SUM(E12:F12)</f>
        <v>1</v>
      </c>
      <c r="H12" s="226"/>
    </row>
    <row r="13" spans="1:8" s="215" customFormat="1" ht="15" customHeight="1" thickTop="1">
      <c r="A13" s="216"/>
      <c r="B13" s="216"/>
      <c r="D13" s="218"/>
    </row>
    <row r="14" spans="1:8" s="215" customFormat="1" ht="15" customHeight="1">
      <c r="A14" s="219">
        <v>3</v>
      </c>
      <c r="B14" s="219" t="s">
        <v>185</v>
      </c>
      <c r="C14" s="220" t="s">
        <v>189</v>
      </c>
      <c r="D14" s="218"/>
    </row>
    <row r="15" spans="1:8" s="215" customFormat="1" ht="15" customHeight="1">
      <c r="A15" s="216"/>
      <c r="B15" s="216"/>
      <c r="C15" s="228" t="s">
        <v>190</v>
      </c>
      <c r="D15" s="221">
        <v>43830</v>
      </c>
      <c r="E15" s="229">
        <v>4166559339</v>
      </c>
      <c r="F15" s="229">
        <v>3952014250</v>
      </c>
      <c r="G15" s="202">
        <f>SUM(E15:F15)</f>
        <v>8118573589</v>
      </c>
      <c r="H15" s="230"/>
    </row>
    <row r="16" spans="1:8" s="215" customFormat="1" ht="15" customHeight="1">
      <c r="A16" s="216"/>
      <c r="B16" s="216"/>
      <c r="C16" s="228" t="s">
        <v>191</v>
      </c>
      <c r="D16" s="221">
        <v>43830</v>
      </c>
      <c r="E16" s="229">
        <v>1610794348</v>
      </c>
      <c r="F16" s="229">
        <v>0</v>
      </c>
      <c r="G16" s="201">
        <f>SUM(E16:F16)</f>
        <v>1610794348</v>
      </c>
      <c r="H16" s="230"/>
    </row>
    <row r="17" spans="1:8" s="215" customFormat="1" ht="15" customHeight="1">
      <c r="A17" s="216"/>
      <c r="B17" s="216"/>
      <c r="C17" s="228" t="s">
        <v>192</v>
      </c>
      <c r="D17" s="221">
        <v>43830</v>
      </c>
      <c r="E17" s="231">
        <v>230459020</v>
      </c>
      <c r="F17" s="231">
        <v>38752321</v>
      </c>
      <c r="G17" s="201">
        <f>SUM(E17:F17)</f>
        <v>269211341</v>
      </c>
      <c r="H17" s="230"/>
    </row>
    <row r="18" spans="1:8" s="215" customFormat="1" ht="15" customHeight="1">
      <c r="A18" s="216"/>
      <c r="B18" s="216"/>
      <c r="C18" s="228" t="s">
        <v>172</v>
      </c>
      <c r="D18" s="232"/>
      <c r="E18" s="233">
        <f>SUM(E15:E17)</f>
        <v>6007812707</v>
      </c>
      <c r="F18" s="233">
        <f>SUM(F15:F17)</f>
        <v>3990766571</v>
      </c>
      <c r="G18" s="233">
        <f>SUM(G15:G17)</f>
        <v>9998579278</v>
      </c>
      <c r="H18" s="234"/>
    </row>
    <row r="19" spans="1:8" s="215" customFormat="1" ht="18.899999999999999" customHeight="1" thickBot="1">
      <c r="B19" s="216"/>
      <c r="C19" s="223" t="s">
        <v>187</v>
      </c>
      <c r="D19" s="218"/>
      <c r="E19" s="224">
        <f>ROUND(+E18/G18,4)</f>
        <v>0.60089999999999999</v>
      </c>
      <c r="F19" s="224">
        <f>ROUND(+F18/G18,4)</f>
        <v>0.39910000000000001</v>
      </c>
      <c r="G19" s="225">
        <f>SUM(E19:F19)</f>
        <v>1</v>
      </c>
      <c r="H19" s="226"/>
    </row>
    <row r="20" spans="1:8" s="215" customFormat="1" ht="15" customHeight="1" thickTop="1">
      <c r="A20" s="216"/>
      <c r="B20" s="216"/>
      <c r="D20" s="218"/>
    </row>
    <row r="21" spans="1:8" s="215" customFormat="1" ht="15" customHeight="1">
      <c r="A21" s="219">
        <v>4</v>
      </c>
      <c r="B21" s="219" t="s">
        <v>185</v>
      </c>
      <c r="C21" s="220" t="s">
        <v>193</v>
      </c>
      <c r="D21" s="218" t="s">
        <v>194</v>
      </c>
    </row>
    <row r="22" spans="1:8" s="215" customFormat="1" ht="15" customHeight="1">
      <c r="A22" s="216"/>
      <c r="B22" s="216"/>
      <c r="C22" s="228" t="s">
        <v>195</v>
      </c>
      <c r="D22" s="221">
        <v>43830</v>
      </c>
      <c r="E22" s="199">
        <f>+E8</f>
        <v>1165699</v>
      </c>
      <c r="F22" s="199">
        <f>+F8</f>
        <v>841427</v>
      </c>
      <c r="G22" s="199">
        <f>SUM(E22:F22)</f>
        <v>2007126</v>
      </c>
      <c r="H22" s="222"/>
    </row>
    <row r="23" spans="1:8" s="215" customFormat="1" ht="15" customHeight="1">
      <c r="A23" s="216"/>
      <c r="B23" s="216"/>
      <c r="C23" s="223" t="s">
        <v>196</v>
      </c>
      <c r="D23" s="216"/>
      <c r="E23" s="235">
        <f>+E22/G22</f>
        <v>0.58078018021788369</v>
      </c>
      <c r="F23" s="235">
        <f>+F22/G22</f>
        <v>0.41921981978211631</v>
      </c>
      <c r="G23" s="236">
        <f>SUM(E23:F23)</f>
        <v>1</v>
      </c>
      <c r="H23" s="226"/>
    </row>
    <row r="24" spans="1:8" s="215" customFormat="1" ht="15" customHeight="1">
      <c r="A24" s="216"/>
      <c r="B24" s="216"/>
      <c r="D24" s="218"/>
    </row>
    <row r="25" spans="1:8" s="215" customFormat="1" ht="15" customHeight="1">
      <c r="A25" s="216"/>
      <c r="B25" s="216"/>
      <c r="C25" s="215" t="s">
        <v>197</v>
      </c>
      <c r="D25" s="221">
        <v>43830</v>
      </c>
      <c r="E25" s="229">
        <v>57293748.480000004</v>
      </c>
      <c r="F25" s="229">
        <v>25939781.139999997</v>
      </c>
      <c r="G25" s="237">
        <f>SUM(E25:F25)</f>
        <v>83233529.620000005</v>
      </c>
      <c r="H25" s="222"/>
    </row>
    <row r="26" spans="1:8" s="215" customFormat="1" ht="15" customHeight="1">
      <c r="A26" s="216"/>
      <c r="B26" s="216"/>
      <c r="C26" s="223" t="s">
        <v>196</v>
      </c>
      <c r="D26" s="218"/>
      <c r="E26" s="235">
        <f>+E25/G25</f>
        <v>0.68834937964991716</v>
      </c>
      <c r="F26" s="235">
        <f>+F25/G25</f>
        <v>0.31165062035008284</v>
      </c>
      <c r="G26" s="236">
        <f>SUM(E26:F26)</f>
        <v>1</v>
      </c>
      <c r="H26" s="226"/>
    </row>
    <row r="27" spans="1:8" s="215" customFormat="1" ht="15" customHeight="1">
      <c r="A27" s="216"/>
      <c r="B27" s="216"/>
      <c r="D27" s="218"/>
    </row>
    <row r="28" spans="1:8" s="215" customFormat="1" ht="15" customHeight="1">
      <c r="A28" s="238"/>
      <c r="B28" s="216"/>
      <c r="C28" s="215" t="s">
        <v>198</v>
      </c>
      <c r="D28" s="221">
        <v>43830</v>
      </c>
      <c r="E28" s="229">
        <v>70896439.959999993</v>
      </c>
      <c r="F28" s="229">
        <v>32847012.400000013</v>
      </c>
      <c r="G28" s="203">
        <f>SUM(E28:F28)</f>
        <v>103743452.36000001</v>
      </c>
      <c r="H28" s="222"/>
    </row>
    <row r="29" spans="1:8" s="215" customFormat="1" ht="15" customHeight="1">
      <c r="A29" s="216"/>
      <c r="B29" s="216"/>
      <c r="C29" s="223" t="s">
        <v>196</v>
      </c>
      <c r="D29" s="239"/>
      <c r="E29" s="235">
        <f>+E28/G28</f>
        <v>0.68338230844663195</v>
      </c>
      <c r="F29" s="235">
        <f>+F28/G28</f>
        <v>0.316617691553368</v>
      </c>
      <c r="G29" s="236">
        <f>SUM(E29:F29)</f>
        <v>1</v>
      </c>
      <c r="H29" s="226"/>
    </row>
    <row r="30" spans="1:8" s="215" customFormat="1" ht="15" customHeight="1">
      <c r="A30" s="216"/>
      <c r="B30" s="216"/>
      <c r="D30" s="218"/>
    </row>
    <row r="31" spans="1:8" s="215" customFormat="1" ht="15" customHeight="1">
      <c r="A31" s="238"/>
      <c r="B31" s="216"/>
      <c r="C31" s="215" t="s">
        <v>199</v>
      </c>
      <c r="D31" s="221">
        <v>43830</v>
      </c>
      <c r="E31" s="229">
        <v>5709956719.251667</v>
      </c>
      <c r="F31" s="229">
        <v>2427713526.0904169</v>
      </c>
      <c r="G31" s="199">
        <f>SUM(E31:F31)</f>
        <v>8137670245.3420839</v>
      </c>
      <c r="H31" s="222"/>
    </row>
    <row r="32" spans="1:8" s="215" customFormat="1" ht="15" customHeight="1">
      <c r="A32" s="216"/>
      <c r="B32" s="216"/>
      <c r="C32" s="223" t="s">
        <v>196</v>
      </c>
      <c r="D32" s="218"/>
      <c r="E32" s="235">
        <f>+E31/G31</f>
        <v>0.70166970976981846</v>
      </c>
      <c r="F32" s="235">
        <f>+F31/G31</f>
        <v>0.29833029023018159</v>
      </c>
      <c r="G32" s="236">
        <f>SUM(E32:F32)</f>
        <v>1</v>
      </c>
      <c r="H32" s="226"/>
    </row>
    <row r="33" spans="1:9" s="215" customFormat="1" ht="15" customHeight="1">
      <c r="A33" s="216"/>
      <c r="D33" s="218"/>
      <c r="E33" s="240"/>
      <c r="F33" s="240"/>
      <c r="G33" s="240"/>
    </row>
    <row r="34" spans="1:9" s="215" customFormat="1" ht="15" customHeight="1">
      <c r="A34" s="216"/>
      <c r="C34" s="215" t="s">
        <v>200</v>
      </c>
      <c r="D34" s="218"/>
      <c r="E34" s="241">
        <f>+E32+E29+E26+E23</f>
        <v>2.6541815780842515</v>
      </c>
      <c r="F34" s="241">
        <f>+F32+F29+F26+F23</f>
        <v>1.3458184219157487</v>
      </c>
      <c r="G34" s="241">
        <f>+G32+G29+G26+G23</f>
        <v>4</v>
      </c>
      <c r="H34" s="226"/>
    </row>
    <row r="35" spans="1:9" s="215" customFormat="1" ht="18.899999999999999" customHeight="1" thickBot="1">
      <c r="C35" s="215" t="s">
        <v>187</v>
      </c>
      <c r="D35" s="218"/>
      <c r="E35" s="224">
        <f>ROUND(+E34/4,4)</f>
        <v>0.66349999999999998</v>
      </c>
      <c r="F35" s="224">
        <f>ROUND(+F34/4,4)</f>
        <v>0.33650000000000002</v>
      </c>
      <c r="G35" s="225">
        <f>+G34/4</f>
        <v>1</v>
      </c>
      <c r="H35" s="226"/>
    </row>
    <row r="36" spans="1:9" s="215" customFormat="1" ht="15" customHeight="1" thickTop="1">
      <c r="D36" s="218"/>
    </row>
    <row r="37" spans="1:9" s="215" customFormat="1" ht="15" customHeight="1">
      <c r="A37" s="219">
        <v>5</v>
      </c>
      <c r="B37" s="219" t="s">
        <v>185</v>
      </c>
      <c r="C37" s="220" t="s">
        <v>201</v>
      </c>
      <c r="D37" s="218"/>
    </row>
    <row r="38" spans="1:9" s="215" customFormat="1" ht="15" customHeight="1">
      <c r="C38" s="223" t="s">
        <v>202</v>
      </c>
      <c r="D38" s="221">
        <v>43830</v>
      </c>
      <c r="E38" s="229">
        <v>63523701.140000001</v>
      </c>
      <c r="F38" s="229">
        <v>27457459.629999999</v>
      </c>
      <c r="G38" s="199">
        <f>SUM(E38:F38)</f>
        <v>90981160.769999996</v>
      </c>
      <c r="H38" s="222"/>
      <c r="I38" s="215" t="s">
        <v>223</v>
      </c>
    </row>
    <row r="39" spans="1:9" s="215" customFormat="1" ht="15" customHeight="1">
      <c r="C39" s="215" t="s">
        <v>172</v>
      </c>
      <c r="D39" s="218"/>
      <c r="E39" s="242">
        <f>SUM(E38:E38)</f>
        <v>63523701.140000001</v>
      </c>
      <c r="F39" s="242">
        <f>SUM(F38:F38)</f>
        <v>27457459.629999999</v>
      </c>
      <c r="G39" s="242">
        <f>SUM(G38:G38)</f>
        <v>90981160.769999996</v>
      </c>
      <c r="H39" s="237"/>
    </row>
    <row r="40" spans="1:9" s="215" customFormat="1" ht="18.899999999999999" customHeight="1" thickBot="1">
      <c r="C40" s="215" t="s">
        <v>187</v>
      </c>
      <c r="D40" s="218"/>
      <c r="E40" s="224">
        <f>ROUND(+E39/G39,4)</f>
        <v>0.69820000000000004</v>
      </c>
      <c r="F40" s="224">
        <f>ROUND(+F39/G39,4)</f>
        <v>0.30180000000000001</v>
      </c>
      <c r="G40" s="243">
        <f>SUM(E40:F40)</f>
        <v>1</v>
      </c>
      <c r="H40" s="226"/>
    </row>
    <row r="41" spans="1:9" s="215" customFormat="1" ht="15" customHeight="1" thickTop="1">
      <c r="D41" s="216"/>
    </row>
    <row r="42" spans="1:9" s="215" customFormat="1" ht="15" customHeight="1">
      <c r="A42" s="219">
        <v>6</v>
      </c>
      <c r="C42" s="220" t="s">
        <v>203</v>
      </c>
      <c r="D42" s="221">
        <v>43830</v>
      </c>
      <c r="F42" s="216" t="s">
        <v>204</v>
      </c>
    </row>
    <row r="43" spans="1:9" ht="15" customHeight="1">
      <c r="A43" s="215"/>
      <c r="B43" s="215"/>
      <c r="C43" s="215" t="s">
        <v>205</v>
      </c>
      <c r="D43" s="216"/>
      <c r="E43" s="215"/>
      <c r="F43" s="244">
        <v>140293776.69</v>
      </c>
      <c r="G43" s="226">
        <v>0.48546088037267432</v>
      </c>
    </row>
    <row r="44" spans="1:9" ht="15" customHeight="1">
      <c r="A44" s="215"/>
      <c r="B44" s="215"/>
      <c r="C44" s="215" t="s">
        <v>206</v>
      </c>
      <c r="D44" s="216"/>
      <c r="E44" s="215"/>
      <c r="F44" s="229">
        <v>1437598.6800000002</v>
      </c>
      <c r="G44" s="226">
        <v>4.9745465357134413E-3</v>
      </c>
    </row>
    <row r="45" spans="1:9" ht="15" customHeight="1">
      <c r="A45" s="215"/>
      <c r="B45" s="215"/>
      <c r="C45" s="215" t="s">
        <v>207</v>
      </c>
      <c r="D45" s="216"/>
      <c r="E45" s="215"/>
      <c r="F45" s="229">
        <v>147259524.53999999</v>
      </c>
      <c r="G45" s="226">
        <v>0.50956457309161229</v>
      </c>
    </row>
    <row r="46" spans="1:9" ht="15" customHeight="1" thickBot="1">
      <c r="A46" s="215"/>
      <c r="B46" s="215"/>
      <c r="C46" s="215" t="s">
        <v>208</v>
      </c>
      <c r="D46" s="216"/>
      <c r="E46" s="215"/>
      <c r="F46" s="245">
        <v>288990899.90999997</v>
      </c>
      <c r="G46" s="24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31A134-23C0-4BEC-9AD2-373823BC7A1A}"/>
</file>

<file path=customXml/itemProps2.xml><?xml version="1.0" encoding="utf-8"?>
<ds:datastoreItem xmlns:ds="http://schemas.openxmlformats.org/officeDocument/2006/customXml" ds:itemID="{231E9736-50FB-45C9-B30A-822A343A7537}"/>
</file>

<file path=customXml/itemProps3.xml><?xml version="1.0" encoding="utf-8"?>
<ds:datastoreItem xmlns:ds="http://schemas.openxmlformats.org/officeDocument/2006/customXml" ds:itemID="{1A0E7084-4DF6-42E0-8623-91A513D5C76A}"/>
</file>

<file path=customXml/itemProps4.xml><?xml version="1.0" encoding="utf-8"?>
<ds:datastoreItem xmlns:ds="http://schemas.openxmlformats.org/officeDocument/2006/customXml" ds:itemID="{96213C1F-11C0-45A0-B90C-ED38A1597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Sheet</vt:lpstr>
      <vt:lpstr>3-YR AVERAGE-GAS</vt:lpstr>
      <vt:lpstr>NetWriteoffs-Gas</vt:lpstr>
      <vt:lpstr>BS Acct-Gas</vt:lpstr>
      <vt:lpstr>ZO12</vt:lpstr>
      <vt:lpstr>SOG 12ME 8-2020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 Marina</cp:lastModifiedBy>
  <cp:lastPrinted>2018-03-01T15:52:38Z</cp:lastPrinted>
  <dcterms:created xsi:type="dcterms:W3CDTF">2017-08-14T17:09:01Z</dcterms:created>
  <dcterms:modified xsi:type="dcterms:W3CDTF">2021-03-23T18:04:17Z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