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65521" windowWidth="14070" windowHeight="6285" activeTab="0"/>
  </bookViews>
  <sheets>
    <sheet name="Depr Summary" sheetId="1" r:id="rId1"/>
    <sheet name="2144 Trks" sheetId="2" r:id="rId2"/>
    <sheet name="Truck Allocation" sheetId="3" r:id="rId3"/>
    <sheet name="2144 Cont, DB" sheetId="4" r:id="rId4"/>
    <sheet name="2144 Shop,Serv" sheetId="5" r:id="rId5"/>
    <sheet name="2144 Other" sheetId="6" r:id="rId6"/>
    <sheet name="2144 Trks Orig" sheetId="7" r:id="rId7"/>
    <sheet name="2144 Cont, DB Orig" sheetId="8" r:id="rId8"/>
    <sheet name="2144 Shop,Serv Orig" sheetId="9" r:id="rId9"/>
    <sheet name="2144 Other Orig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ACT1">'[7]Hidden'!#REF!</definedName>
    <definedName name="_ACT2">'[7]Hidden'!#REF!</definedName>
    <definedName name="_ACT3">'[7]Hidden'!#REF!</definedName>
    <definedName name="_xlnm._FilterDatabase" localSheetId="3" hidden="1">'2144 Cont, DB'!$A$11:$S$108</definedName>
    <definedName name="_xlfn.IFERROR" hidden="1">#NAME?</definedName>
    <definedName name="_xlfn.SUMIFS" hidden="1">#NAME?</definedName>
    <definedName name="ACCT">'[7]Hidden'!#REF!</definedName>
    <definedName name="ACT_CUR">'[7]Hidden'!#REF!</definedName>
    <definedName name="ACT_YTD">'[7]Hidden'!#REF!</definedName>
    <definedName name="AmountCount">#REF!</definedName>
    <definedName name="AmountTotal">#REF!</definedName>
    <definedName name="BREMAIR_COST_of_SERVICE_STUDY">#REF!</definedName>
    <definedName name="BUD_CUR">'[7]Hidden'!#REF!</definedName>
    <definedName name="BUD_YTD">'[7]Hidden'!#REF!</definedName>
    <definedName name="CheckTotals">#REF!</definedName>
    <definedName name="CRCTable">#REF!</definedName>
    <definedName name="CRCTableOLD">#REF!</definedName>
    <definedName name="CriteriaType">'[3]ControlPanel'!$Z$2:$Z$5</definedName>
    <definedName name="Cutomers">#REF!</definedName>
    <definedName name="Database1">#REF!</definedName>
    <definedName name="DEPT">'[7]Hidden'!#REF!</definedName>
    <definedName name="DistrictNum">#REF!</definedName>
    <definedName name="End">#REF!</definedName>
    <definedName name="FBTable">#REF!</definedName>
    <definedName name="FBTableOld">#REF!</definedName>
    <definedName name="GLMappingStart">#REF!</definedName>
    <definedName name="IncomeStmnt">#REF!</definedName>
    <definedName name="INPUT">#REF!</definedName>
    <definedName name="Insurance">#REF!</definedName>
    <definedName name="JEDetail">#REF!</definedName>
    <definedName name="JEType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>#REF!</definedName>
    <definedName name="NewOnlyOrg">#N/A</definedName>
    <definedName name="NOTES">'2144 Trks'!#REF!</definedName>
    <definedName name="OfficerSalary">#N/A</definedName>
    <definedName name="OffsetAcctBil">'[6]JEexport'!$L$10</definedName>
    <definedName name="OffsetAcctPmt">'[6]JEexport'!$L$9</definedName>
    <definedName name="Org11_13">#N/A</definedName>
    <definedName name="Org7_10">#N/A</definedName>
    <definedName name="p">#REF!</definedName>
    <definedName name="PAGE_1">'2144 Trks'!$C$1:$U$11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_xlnm.Print_Area" localSheetId="5">'2144 Other'!$A$1:$T$37</definedName>
    <definedName name="_xlnm.Print_Area" localSheetId="9">'2144 Other Orig'!$A$1:$AC$57</definedName>
    <definedName name="_xlnm.Print_Area" localSheetId="4">'2144 Shop,Serv'!$A$1:$S$45</definedName>
    <definedName name="_xlnm.Print_Area" localSheetId="8">'2144 Shop,Serv Orig'!$A$1:$AC$62</definedName>
    <definedName name="_xlnm.Print_Area" localSheetId="1">'2144 Trks'!$A$1:$X$73</definedName>
    <definedName name="_xlnm.Print_Area" localSheetId="6">'2144 Trks Orig'!$B$1:$AC$52</definedName>
    <definedName name="_xlnm.Print_Area" localSheetId="0">'Depr Summary'!$A$1:$H$44</definedName>
    <definedName name="_xlnm.Print_Area" localSheetId="2">'Truck Allocation'!$A$1:$W$35</definedName>
    <definedName name="Print_Area_MI" localSheetId="1">'2144 Trks'!$C$1:$U$11</definedName>
    <definedName name="Print_Area_MI" localSheetId="6">'2144 Trks Orig'!$C$1:$AC$11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Print1">#REF!</definedName>
    <definedName name="Print2">#REF!</definedName>
    <definedName name="Print5">#REF!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latedSalary">#N/A</definedName>
    <definedName name="ReportNames">'[1]ControlPanel'!$S$2:$S$16</definedName>
    <definedName name="RetainedEarnings">#REF!</definedName>
    <definedName name="RevCust">'[4]RevenuesCust'!#REF!</definedName>
    <definedName name="sortcol">#REF!</definedName>
    <definedName name="SWDisposal">#N/A</definedName>
    <definedName name="System">'[8]BS_Close'!$V$8</definedName>
    <definedName name="TemplateEnd">#REF!</definedName>
    <definedName name="TemplateStart">#REF!</definedName>
    <definedName name="TheTable">#REF!</definedName>
    <definedName name="TheTableOLD">#REF!</definedName>
    <definedName name="Transactions">#REF!</definedName>
    <definedName name="WTable">#REF!</definedName>
    <definedName name="WTableOld">#REF!</definedName>
    <definedName name="xtabin">'[7]Hidden'!#REF!</definedName>
    <definedName name="xx">#REF!</definedName>
    <definedName name="YWMedWasteDisp">#N/A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Heather Garland</author>
    <author>Lindsay Waldram</author>
  </authors>
  <commentList>
    <comment ref="C67" authorId="0">
      <text>
        <r>
          <rPr>
            <b/>
            <sz val="9"/>
            <rFont val="Tahoma"/>
            <family val="2"/>
          </rPr>
          <t>Heather Garland:</t>
        </r>
        <r>
          <rPr>
            <sz val="9"/>
            <rFont val="Tahoma"/>
            <family val="2"/>
          </rPr>
          <t xml:space="preserve">
Haul cardboard and comingle recycling</t>
        </r>
      </text>
    </comment>
    <comment ref="C110" authorId="1">
      <text>
        <r>
          <rPr>
            <b/>
            <sz val="9"/>
            <rFont val="Tahoma"/>
            <family val="2"/>
          </rPr>
          <t>Lindsay Waldram:</t>
        </r>
        <r>
          <rPr>
            <sz val="9"/>
            <rFont val="Tahoma"/>
            <family val="2"/>
          </rPr>
          <t xml:space="preserve">
Spare Coupeville Recycling</t>
        </r>
      </text>
    </comment>
    <comment ref="C111" authorId="1">
      <text>
        <r>
          <rPr>
            <b/>
            <sz val="9"/>
            <rFont val="Tahoma"/>
            <family val="2"/>
          </rPr>
          <t>Lindsay Waldram:</t>
        </r>
        <r>
          <rPr>
            <sz val="9"/>
            <rFont val="Tahoma"/>
            <family val="2"/>
          </rPr>
          <t xml:space="preserve">
Frontline Coupeville Recycling</t>
        </r>
      </text>
    </comment>
    <comment ref="C123" authorId="1">
      <text>
        <r>
          <rPr>
            <b/>
            <sz val="9"/>
            <rFont val="Tahoma"/>
            <family val="2"/>
          </rPr>
          <t>Lindsay Waldram:</t>
        </r>
        <r>
          <rPr>
            <sz val="9"/>
            <rFont val="Tahoma"/>
            <family val="2"/>
          </rPr>
          <t xml:space="preserve">
Haul recycling</t>
        </r>
      </text>
    </comment>
  </commentList>
</comments>
</file>

<file path=xl/comments3.xml><?xml version="1.0" encoding="utf-8"?>
<comments xmlns="http://schemas.openxmlformats.org/spreadsheetml/2006/main">
  <authors>
    <author>Andrew Riggs</author>
    <author>Lindsay Waldram</author>
    <author>Heather Garland</author>
  </authors>
  <commentList>
    <comment ref="N14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Service calls - Split between UTC/Non-UTC service/repairs.</t>
        </r>
      </text>
    </comment>
    <comment ref="O14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Service calls - Split between UTC/Non-UTC service/repairs.</t>
        </r>
      </text>
    </comment>
    <comment ref="N15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Mon route truck picking up commercial garbage - Tue-Fri spare garbage. </t>
        </r>
      </text>
    </comment>
    <comment ref="N16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Spare garbage</t>
        </r>
      </text>
    </comment>
    <comment ref="C17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Spare (H)</t>
        </r>
      </text>
    </comment>
    <comment ref="N17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Mon/Thur/Fri - spare garbage
</t>
        </r>
      </text>
    </comment>
    <comment ref="O17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Tue/Wed commercial recycle</t>
        </r>
      </text>
    </comment>
    <comment ref="C18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Route C</t>
        </r>
      </text>
    </comment>
    <comment ref="N18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Island County MSW
</t>
        </r>
      </text>
    </comment>
    <comment ref="O18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Portion of Monday City of Coupeville MSW</t>
        </r>
      </text>
    </comment>
    <comment ref="C19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Route I</t>
        </r>
      </text>
    </comment>
    <comment ref="N19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Island County MSW
</t>
        </r>
      </text>
    </comment>
    <comment ref="O19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Portion of Monday City of Coupeville MSW</t>
        </r>
      </text>
    </comment>
    <comment ref="C20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Route A</t>
        </r>
      </text>
    </comment>
    <comment ref="N20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Island County MSW</t>
        </r>
      </text>
    </comment>
    <comment ref="O20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Wed - Very small portion City of Coupeville MSW
</t>
        </r>
      </text>
    </comment>
    <comment ref="C21" authorId="0">
      <text>
        <r>
          <rPr>
            <b/>
            <sz val="9"/>
            <rFont val="Tahoma"/>
            <family val="2"/>
          </rPr>
          <t xml:space="preserve">Andrew Riggs-
</t>
        </r>
        <r>
          <rPr>
            <sz val="9"/>
            <rFont val="Tahoma"/>
            <family val="2"/>
          </rPr>
          <t>No truck number - edited to put truck number in.
Route D</t>
        </r>
      </text>
    </comment>
    <comment ref="N21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Island County MSW</t>
        </r>
      </text>
    </comment>
    <comment ref="C23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No truck number - edited to put truck number in.
Route F</t>
        </r>
      </text>
    </comment>
    <comment ref="N23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Island County MSW</t>
        </r>
      </text>
    </comment>
    <comment ref="O23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City of Coupeville MSW
Monday</t>
        </r>
      </text>
    </comment>
    <comment ref="C24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Route B</t>
        </r>
      </text>
    </comment>
    <comment ref="N24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Island County MSW
</t>
        </r>
      </text>
    </comment>
    <comment ref="C25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Route E</t>
        </r>
      </text>
    </comment>
    <comment ref="N25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Wed-Fri - Island County MSW</t>
        </r>
      </text>
    </comment>
    <comment ref="O25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Mon/Tue - Navy Contract</t>
        </r>
      </text>
    </comment>
    <comment ref="C26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Spare Roll Off
</t>
        </r>
      </text>
    </comment>
    <comment ref="N26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</t>
        </r>
      </text>
    </comment>
    <comment ref="O26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Hunt (Navy Contract)-
20yd MSW, Steel, and Recycle &amp; 4x 20yd glass.
City of Coupeville - 
2x 20yd schools, 35yd packer, 20yd glass, 20yd recycle &amp; 20 yd garbage.
</t>
        </r>
      </text>
    </comment>
    <comment ref="N27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</t>
        </r>
      </text>
    </comment>
    <comment ref="O27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Hunt (Navy Contract)-
20yd MSW, Steel, and Recycle &amp; 4x 20yd glass.
City of Coupeville - 
2x 20yd schools, 35yd packer, 20yd glass, 20yd recycle &amp; 20 yd garbage.
</t>
        </r>
      </text>
    </comment>
    <comment ref="N28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</t>
        </r>
      </text>
    </comment>
    <comment ref="O28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Hunt (Navy Contract)-
20yd MSW, Steel, and Recycle &amp; 4x 20yd glass.
City of Coupeville - 
2x 20yd schools, 35yd packer, 20yd glass, 20yd recycle &amp; 20 yd garbage.
</t>
        </r>
      </text>
    </comment>
    <comment ref="N29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</t>
        </r>
      </text>
    </comment>
    <comment ref="O29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Hunt (Navy Contract)-
20yd MSW, Steel, and Recycle &amp; 4x 20yd glass.
City of Coupeville - 
2x 20yd schools, 35yd packer, 20yd glass, 20yd recycle &amp; 20 yd garbage.
</t>
        </r>
      </text>
    </comment>
    <comment ref="C30" authorId="1">
      <text>
        <r>
          <rPr>
            <b/>
            <sz val="9"/>
            <rFont val="Tahoma"/>
            <family val="2"/>
          </rPr>
          <t>Lindsay Waldram:</t>
        </r>
        <r>
          <rPr>
            <sz val="9"/>
            <rFont val="Tahoma"/>
            <family val="2"/>
          </rPr>
          <t xml:space="preserve">
Spare
</t>
        </r>
      </text>
    </comment>
    <comment ref="N30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Spare</t>
        </r>
      </text>
    </comment>
    <comment ref="O30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Spare
</t>
        </r>
      </text>
    </comment>
    <comment ref="C31" authorId="2">
      <text>
        <r>
          <rPr>
            <b/>
            <sz val="9"/>
            <rFont val="Tahoma"/>
            <family val="2"/>
          </rPr>
          <t>Heather Garland:</t>
        </r>
        <r>
          <rPr>
            <sz val="9"/>
            <rFont val="Tahoma"/>
            <family val="2"/>
          </rPr>
          <t xml:space="preserve">
Haul cardboard and comingle recycling</t>
        </r>
      </text>
    </comment>
    <comment ref="C32" authorId="1">
      <text>
        <r>
          <rPr>
            <b/>
            <sz val="9"/>
            <rFont val="Tahoma"/>
            <family val="2"/>
          </rPr>
          <t>Lindsay Waldram:</t>
        </r>
        <r>
          <rPr>
            <sz val="9"/>
            <rFont val="Tahoma"/>
            <family val="2"/>
          </rPr>
          <t xml:space="preserve">
Haul recycling</t>
        </r>
      </text>
    </comment>
    <comment ref="N34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Spare MSW </t>
        </r>
      </text>
    </comment>
    <comment ref="O34" authorId="0">
      <text>
        <r>
          <rPr>
            <b/>
            <sz val="9"/>
            <rFont val="Tahoma"/>
            <family val="2"/>
          </rPr>
          <t>Andrew Riggs:</t>
        </r>
        <r>
          <rPr>
            <sz val="9"/>
            <rFont val="Tahoma"/>
            <family val="2"/>
          </rPr>
          <t xml:space="preserve">
1xAW Resi Recycle Coupeville &amp; Navy
</t>
        </r>
      </text>
    </comment>
  </commentList>
</comments>
</file>

<file path=xl/comments4.xml><?xml version="1.0" encoding="utf-8"?>
<comments xmlns="http://schemas.openxmlformats.org/spreadsheetml/2006/main">
  <authors>
    <author>Lindsay Waldram</author>
    <author>Heather Garland</author>
  </authors>
  <commentList>
    <comment ref="C93" authorId="0">
      <text>
        <r>
          <rPr>
            <b/>
            <sz val="9"/>
            <rFont val="Tahoma"/>
            <family val="2"/>
          </rPr>
          <t>Lindsay Waldram:</t>
        </r>
        <r>
          <rPr>
            <sz val="9"/>
            <rFont val="Tahoma"/>
            <family val="2"/>
          </rPr>
          <t xml:space="preserve">
These were bought specifically for the Naval Base/Whidbey Island</t>
        </r>
      </text>
    </comment>
    <comment ref="C75" authorId="1">
      <text>
        <r>
          <rPr>
            <b/>
            <sz val="9"/>
            <rFont val="Tahoma"/>
            <family val="2"/>
          </rPr>
          <t>Heather Garland:</t>
        </r>
        <r>
          <rPr>
            <sz val="9"/>
            <rFont val="Tahoma"/>
            <family val="2"/>
          </rPr>
          <t xml:space="preserve">
Purchased specifically for the UTC automation.</t>
        </r>
      </text>
    </comment>
  </commentList>
</comments>
</file>

<file path=xl/comments7.xml><?xml version="1.0" encoding="utf-8"?>
<comments xmlns="http://schemas.openxmlformats.org/spreadsheetml/2006/main">
  <authors>
    <author>jenniferb</author>
    <author>Lindsay Waldram</author>
    <author>Heather Garland</author>
  </authors>
  <commentList>
    <comment ref="C44" authorId="0">
      <text>
        <r>
          <rPr>
            <b/>
            <sz val="9"/>
            <rFont val="Tahoma"/>
            <family val="2"/>
          </rPr>
          <t>jenniferb:</t>
        </r>
        <r>
          <rPr>
            <sz val="9"/>
            <rFont val="Tahoma"/>
            <family val="2"/>
          </rPr>
          <t xml:space="preserve">
5033 per FAR, 1996 Western Star RO, asset #90764</t>
        </r>
      </text>
    </comment>
    <comment ref="C57" authorId="1">
      <text>
        <r>
          <rPr>
            <b/>
            <sz val="9"/>
            <rFont val="Tahoma"/>
            <family val="2"/>
          </rPr>
          <t>Lindsay Waldram:</t>
        </r>
        <r>
          <rPr>
            <sz val="9"/>
            <rFont val="Tahoma"/>
            <family val="2"/>
          </rPr>
          <t xml:space="preserve">
Spare Coupeville Recycling</t>
        </r>
      </text>
    </comment>
    <comment ref="C58" authorId="1">
      <text>
        <r>
          <rPr>
            <b/>
            <sz val="9"/>
            <rFont val="Tahoma"/>
            <family val="2"/>
          </rPr>
          <t>Lindsay Waldram:</t>
        </r>
        <r>
          <rPr>
            <sz val="9"/>
            <rFont val="Tahoma"/>
            <family val="2"/>
          </rPr>
          <t xml:space="preserve">
Frontline Coupeville Recycling</t>
        </r>
      </text>
    </comment>
    <comment ref="C60" authorId="1">
      <text>
        <r>
          <rPr>
            <b/>
            <sz val="9"/>
            <rFont val="Tahoma"/>
            <family val="2"/>
          </rPr>
          <t>Lindsay Waldram:</t>
        </r>
        <r>
          <rPr>
            <sz val="9"/>
            <rFont val="Tahoma"/>
            <family val="2"/>
          </rPr>
          <t xml:space="preserve">
Frontline Navy Garbage</t>
        </r>
      </text>
    </comment>
    <comment ref="C61" authorId="2">
      <text>
        <r>
          <rPr>
            <b/>
            <sz val="9"/>
            <rFont val="Tahoma"/>
            <family val="2"/>
          </rPr>
          <t>Heather Garland:</t>
        </r>
        <r>
          <rPr>
            <sz val="9"/>
            <rFont val="Tahoma"/>
            <family val="2"/>
          </rPr>
          <t xml:space="preserve">
Haul cardboard and comingle recycling</t>
        </r>
      </text>
    </comment>
    <comment ref="C62" authorId="1">
      <text>
        <r>
          <rPr>
            <b/>
            <sz val="9"/>
            <rFont val="Tahoma"/>
            <family val="2"/>
          </rPr>
          <t>Lindsay Waldram:</t>
        </r>
        <r>
          <rPr>
            <sz val="9"/>
            <rFont val="Tahoma"/>
            <family val="2"/>
          </rPr>
          <t xml:space="preserve">
Haul recycling</t>
        </r>
      </text>
    </comment>
  </commentList>
</comments>
</file>

<file path=xl/comments8.xml><?xml version="1.0" encoding="utf-8"?>
<comments xmlns="http://schemas.openxmlformats.org/spreadsheetml/2006/main">
  <authors>
    <author>A satisfied Microsoft Office user</author>
  </authors>
  <commentList>
    <comment ref="C16" authorId="0">
      <text>
        <r>
          <rPr>
            <sz val="8"/>
            <rFont val="Tahoma"/>
            <family val="2"/>
          </rPr>
          <t>njohnson:
ok</t>
        </r>
      </text>
    </comment>
    <comment ref="C21" authorId="0">
      <text>
        <r>
          <rPr>
            <sz val="8"/>
            <rFont val="Tahoma"/>
            <family val="2"/>
          </rPr>
          <t>njohnson:
ok</t>
        </r>
      </text>
    </comment>
    <comment ref="C65" authorId="0">
      <text>
        <r>
          <rPr>
            <sz val="8"/>
            <rFont val="Tahoma"/>
            <family val="2"/>
          </rPr>
          <t>njohnson:
I added this from invoice 9*3365+2665.08 sales tax</t>
        </r>
      </text>
    </comment>
    <comment ref="C66" authorId="0">
      <text>
        <r>
          <rPr>
            <sz val="8"/>
            <rFont val="Tahoma"/>
            <family val="2"/>
          </rPr>
          <t>njohnson:
I added this from invoice 6*3365+1776.72 sales tax</t>
        </r>
      </text>
    </comment>
  </commentList>
</comments>
</file>

<file path=xl/sharedStrings.xml><?xml version="1.0" encoding="utf-8"?>
<sst xmlns="http://schemas.openxmlformats.org/spreadsheetml/2006/main" count="1743" uniqueCount="371">
  <si>
    <t>Beginning</t>
  </si>
  <si>
    <t>Ending</t>
  </si>
  <si>
    <t>Average</t>
  </si>
  <si>
    <t>Equipment</t>
  </si>
  <si>
    <t>Cost</t>
  </si>
  <si>
    <t>Salvage</t>
  </si>
  <si>
    <t>Depr</t>
  </si>
  <si>
    <t>Test Year</t>
  </si>
  <si>
    <t>Accum Depr</t>
  </si>
  <si>
    <t>Investment</t>
  </si>
  <si>
    <t>Trucks</t>
  </si>
  <si>
    <t>Roll-off</t>
  </si>
  <si>
    <t>Total Trucks</t>
  </si>
  <si>
    <t xml:space="preserve"> </t>
  </si>
  <si>
    <t>Drop Boxes</t>
  </si>
  <si>
    <t>Total Cont, Carts,Totes</t>
  </si>
  <si>
    <t>Service Equipment</t>
  </si>
  <si>
    <t>Shop Equipment</t>
  </si>
  <si>
    <t>Office Equipment</t>
  </si>
  <si>
    <t>Building</t>
  </si>
  <si>
    <t>Total Equipment</t>
  </si>
  <si>
    <t>Land</t>
  </si>
  <si>
    <t>Whitbey Island:</t>
  </si>
  <si>
    <t>Island Disposal Inc</t>
  </si>
  <si>
    <t>Depreciation Schedule</t>
  </si>
  <si>
    <t>Months in first year</t>
  </si>
  <si>
    <t>CONVENTIONS</t>
  </si>
  <si>
    <t>Months in second year</t>
  </si>
  <si>
    <t>A.</t>
  </si>
  <si>
    <t>Purchase date</t>
  </si>
  <si>
    <t>First year</t>
  </si>
  <si>
    <t>B.</t>
  </si>
  <si>
    <t>End of Test Period</t>
  </si>
  <si>
    <t xml:space="preserve">Calendar year test period: </t>
  </si>
  <si>
    <t>mos in first year</t>
  </si>
  <si>
    <t>Second year</t>
  </si>
  <si>
    <t>C</t>
  </si>
  <si>
    <t>Date fully Depr</t>
  </si>
  <si>
    <t>mos in 2nd year</t>
  </si>
  <si>
    <t>D.</t>
  </si>
  <si>
    <t>Beg of Test Period</t>
  </si>
  <si>
    <t>E.</t>
  </si>
  <si>
    <t>Disposition Date</t>
  </si>
  <si>
    <t>Second Year</t>
  </si>
  <si>
    <t>Disposal</t>
  </si>
  <si>
    <t>Total</t>
  </si>
  <si>
    <t>Allocated</t>
  </si>
  <si>
    <t>GARBAGE</t>
  </si>
  <si>
    <t>Date in</t>
  </si>
  <si>
    <t>Year</t>
  </si>
  <si>
    <t>Asset</t>
  </si>
  <si>
    <t>Test</t>
  </si>
  <si>
    <t>%</t>
  </si>
  <si>
    <t>Accumulated</t>
  </si>
  <si>
    <t>Branch</t>
  </si>
  <si>
    <t>Accum.</t>
  </si>
  <si>
    <t>Truck</t>
  </si>
  <si>
    <t xml:space="preserve">Service </t>
  </si>
  <si>
    <t>Value</t>
  </si>
  <si>
    <t>Method</t>
  </si>
  <si>
    <t xml:space="preserve">Life </t>
  </si>
  <si>
    <t xml:space="preserve">Fully </t>
  </si>
  <si>
    <t xml:space="preserve"> Mo.</t>
  </si>
  <si>
    <t xml:space="preserve">Monthly </t>
  </si>
  <si>
    <t>Depn</t>
  </si>
  <si>
    <t>Test yr.</t>
  </si>
  <si>
    <t>Allo.</t>
  </si>
  <si>
    <t>Test year</t>
  </si>
  <si>
    <t>Depreciation</t>
  </si>
  <si>
    <t>Depr.</t>
  </si>
  <si>
    <t>B</t>
  </si>
  <si>
    <t>C.</t>
  </si>
  <si>
    <t>Dispositions must be in test period</t>
  </si>
  <si>
    <t>Codes</t>
  </si>
  <si>
    <t>No</t>
  </si>
  <si>
    <t>Asset Classification</t>
  </si>
  <si>
    <t>Mo</t>
  </si>
  <si>
    <t>-</t>
  </si>
  <si>
    <t>M</t>
  </si>
  <si>
    <t>Years</t>
  </si>
  <si>
    <t>Depn.</t>
  </si>
  <si>
    <t>94 Volvo (less tires)</t>
  </si>
  <si>
    <t>S/L</t>
  </si>
  <si>
    <t>1989 Volvo</t>
  </si>
  <si>
    <t>RL</t>
  </si>
  <si>
    <t>1997 Freightliner</t>
  </si>
  <si>
    <t>20 yd Heil Pckr</t>
  </si>
  <si>
    <t>2000 Freightliner</t>
  </si>
  <si>
    <t>Fleet Upgrade</t>
  </si>
  <si>
    <t>2004 Int'l 7400 RL W/P (N)</t>
  </si>
  <si>
    <t>2005 Int'l 7400 RL W/P (N)</t>
  </si>
  <si>
    <t>2006 Int'l RL Pckr</t>
  </si>
  <si>
    <t>DL</t>
  </si>
  <si>
    <t>2004 GMC (delivery pu)</t>
  </si>
  <si>
    <t>2007 International RL w/ Heil Pkr</t>
  </si>
  <si>
    <t>2004 Int'l  W/P 7400 (U)</t>
  </si>
  <si>
    <t>2010 Int'l W/McNls Pkr (N)</t>
  </si>
  <si>
    <t>Drive Cam (23)</t>
  </si>
  <si>
    <t>RO</t>
  </si>
  <si>
    <t>90 Volvo Truck RO</t>
  </si>
  <si>
    <t>Force Magnum RO system</t>
  </si>
  <si>
    <t>2007 Sterln LT9600 (N)</t>
  </si>
  <si>
    <t>Drive Cam (4)</t>
  </si>
  <si>
    <t>SL</t>
  </si>
  <si>
    <t>1997 Volvo H (U)</t>
  </si>
  <si>
    <t>1998 Volvo H (U)</t>
  </si>
  <si>
    <t>Trct</t>
  </si>
  <si>
    <t>1987 Freightliner (U)</t>
  </si>
  <si>
    <t>Fleet Upgrade (Inframe)</t>
  </si>
  <si>
    <t>5001 Rabenco Haul</t>
  </si>
  <si>
    <t>Island Disposal</t>
  </si>
  <si>
    <t>Accum</t>
  </si>
  <si>
    <t>Quantity</t>
  </si>
  <si>
    <t>Containers</t>
  </si>
  <si>
    <t>12 1 yd containers</t>
  </si>
  <si>
    <t>12 1.5 yd containers</t>
  </si>
  <si>
    <t>12 2 yd containers</t>
  </si>
  <si>
    <t>1 yd container</t>
  </si>
  <si>
    <t>1.5 yd container</t>
  </si>
  <si>
    <t>2 yd container</t>
  </si>
  <si>
    <t>1 yd  w/lids</t>
  </si>
  <si>
    <t>TOTAL GARB COLL EQUIP</t>
  </si>
  <si>
    <t>Drop Box(s)</t>
  </si>
  <si>
    <t>6 20 yd</t>
  </si>
  <si>
    <t>4 20 yd</t>
  </si>
  <si>
    <t>2 40 yd</t>
  </si>
  <si>
    <t>3 20 yd</t>
  </si>
  <si>
    <t>sales tax</t>
  </si>
  <si>
    <t>6 dropboxes</t>
  </si>
  <si>
    <t>2 dropboxes</t>
  </si>
  <si>
    <t>20yd</t>
  </si>
  <si>
    <t>3 dropbox</t>
  </si>
  <si>
    <t>2 40 yd  ok</t>
  </si>
  <si>
    <t>3 20 yd  ok</t>
  </si>
  <si>
    <t>9 20 yders</t>
  </si>
  <si>
    <t>6 20 yders</t>
  </si>
  <si>
    <t>3 20 yd  w/lids</t>
  </si>
  <si>
    <t>20 yd  w/lids</t>
  </si>
  <si>
    <t>40 yd  w/lids</t>
  </si>
  <si>
    <t>30 yd  w/lids</t>
  </si>
  <si>
    <t>Total Dropboxes</t>
  </si>
  <si>
    <t>95 Gallon</t>
  </si>
  <si>
    <t>65 Gallon</t>
  </si>
  <si>
    <t>20 yard Recycle Box</t>
  </si>
  <si>
    <t>FAR</t>
  </si>
  <si>
    <t>Small Tools</t>
  </si>
  <si>
    <t>Pressure Washer</t>
  </si>
  <si>
    <t>Compressor</t>
  </si>
  <si>
    <t>Table Saw</t>
  </si>
  <si>
    <t>Shelving</t>
  </si>
  <si>
    <t>Grease Gun</t>
  </si>
  <si>
    <t>Drill</t>
  </si>
  <si>
    <t>Transmission Jack</t>
  </si>
  <si>
    <t>used Lathe</t>
  </si>
  <si>
    <t>Welding Bench</t>
  </si>
  <si>
    <t>Tools (Don)</t>
  </si>
  <si>
    <t>10 HP 120 Gal Air Compr</t>
  </si>
  <si>
    <t>Shop Lighting</t>
  </si>
  <si>
    <t>Bobcat 54 Sweeper Attach</t>
  </si>
  <si>
    <t>Diagnostic Laptop (shop)</t>
  </si>
  <si>
    <t>Total Shop</t>
  </si>
  <si>
    <t>Trailer</t>
  </si>
  <si>
    <t>2000 Dodge Dakota</t>
  </si>
  <si>
    <t>2008 Ford F-150 (U)</t>
  </si>
  <si>
    <t>Total Service Cars</t>
  </si>
  <si>
    <t>Miscellaneous:</t>
  </si>
  <si>
    <t>Radios</t>
  </si>
  <si>
    <t>Handheld Radios</t>
  </si>
  <si>
    <t>Motorola Radio</t>
  </si>
  <si>
    <t>Truck radio</t>
  </si>
  <si>
    <t>Fork Lift</t>
  </si>
  <si>
    <t>Skid Steer Loader (N)</t>
  </si>
  <si>
    <t>Office</t>
  </si>
  <si>
    <t>Furniture</t>
  </si>
  <si>
    <t>Computers</t>
  </si>
  <si>
    <t>Printer</t>
  </si>
  <si>
    <t>MAS Software</t>
  </si>
  <si>
    <t>Telephone System</t>
  </si>
  <si>
    <t>Panosonic Copier</t>
  </si>
  <si>
    <t>Laptop</t>
  </si>
  <si>
    <t>Route Manager Conversion</t>
  </si>
  <si>
    <t>Laptop &amp; Docking Station</t>
  </si>
  <si>
    <t>HP Pro 3130</t>
  </si>
  <si>
    <t>Total Office</t>
  </si>
  <si>
    <t>Leasehold Improvs</t>
  </si>
  <si>
    <t>Building Improvs</t>
  </si>
  <si>
    <t>Gravel-yard</t>
  </si>
  <si>
    <t>Wiring compressor pod</t>
  </si>
  <si>
    <t>New Shop</t>
  </si>
  <si>
    <t>Black top</t>
  </si>
  <si>
    <t>Concrete Pad</t>
  </si>
  <si>
    <t>Grading Parking Lot</t>
  </si>
  <si>
    <t>Electrical for Computer</t>
  </si>
  <si>
    <t>Air conditioner</t>
  </si>
  <si>
    <t>Clearing Yards</t>
  </si>
  <si>
    <t>Gravel Yard</t>
  </si>
  <si>
    <t>Clear Lot &amp; Pave</t>
  </si>
  <si>
    <t>Water Line</t>
  </si>
  <si>
    <t>30502,31427,32825,34587,35252,35253,33260</t>
  </si>
  <si>
    <t>Expended Office Space</t>
  </si>
  <si>
    <t>Installed Storm Drain</t>
  </si>
  <si>
    <t xml:space="preserve">Paving </t>
  </si>
  <si>
    <t>Total Leasehold Improvs</t>
  </si>
  <si>
    <t>Phone System Upgrade</t>
  </si>
  <si>
    <t>HP Computer</t>
  </si>
  <si>
    <t>Engine Rebuild, Capital Repair</t>
  </si>
  <si>
    <t>Depreciation &amp; Average Investment Summary</t>
  </si>
  <si>
    <t>Island Disposal, Inc. G-154</t>
  </si>
  <si>
    <t>10 Yd RO Boxes</t>
  </si>
  <si>
    <t>Security Fencing &amp; Cameras</t>
  </si>
  <si>
    <t>2000 Kenworth Tractor (Commingle) (U)</t>
  </si>
  <si>
    <t>12 Truck Radios</t>
  </si>
  <si>
    <t>FAR #</t>
  </si>
  <si>
    <t>3 Truck Radios</t>
  </si>
  <si>
    <t>4 Truck Radios</t>
  </si>
  <si>
    <t>Radio Base Unit</t>
  </si>
  <si>
    <t>109492/112383</t>
  </si>
  <si>
    <t>Retired/Transferred 2014</t>
  </si>
  <si>
    <t>RO Tarper #5036</t>
  </si>
  <si>
    <t>(2) Wyse Winterms</t>
  </si>
  <si>
    <t>ASL</t>
  </si>
  <si>
    <t>2006 Peterbilt ASL (U)</t>
  </si>
  <si>
    <t>Retired/Transferred 2015</t>
  </si>
  <si>
    <t>Improvement- Auto Tarper</t>
  </si>
  <si>
    <t>40 yd RO Boxes</t>
  </si>
  <si>
    <t>Transmission</t>
  </si>
  <si>
    <t>Drive Cam Replacement</t>
  </si>
  <si>
    <t>2016 REL Truck</t>
  </si>
  <si>
    <t>Truck Wash</t>
  </si>
  <si>
    <t>2009 53' Trailer</t>
  </si>
  <si>
    <t>2016 REL Truck (N)</t>
  </si>
  <si>
    <t>ProBook</t>
  </si>
  <si>
    <t>10 yd RO Boxes</t>
  </si>
  <si>
    <t>30 yd RO Boxes</t>
  </si>
  <si>
    <t>Container Delivery Truck (N)</t>
  </si>
  <si>
    <t>Scissor Lift</t>
  </si>
  <si>
    <t>Retired/Transferred 2016</t>
  </si>
  <si>
    <t>132131 132501</t>
  </si>
  <si>
    <t>(10) Samsung Tablets</t>
  </si>
  <si>
    <t>131542 133018 139929</t>
  </si>
  <si>
    <t>130761</t>
  </si>
  <si>
    <t>2 Way radio for Container Del Truck</t>
  </si>
  <si>
    <t>2000 Kenworth T800</t>
  </si>
  <si>
    <t>181717/181718</t>
  </si>
  <si>
    <t>Engine Repair on 2000 Kenworth</t>
  </si>
  <si>
    <t>Diagnostic Software for Shop</t>
  </si>
  <si>
    <t>20YD RO Boxes with Lids</t>
  </si>
  <si>
    <t>40YD Rolloff Boxes with lids</t>
  </si>
  <si>
    <t>Salvage Value Calculations</t>
  </si>
  <si>
    <t>Adjustment to</t>
  </si>
  <si>
    <t>Amort of</t>
  </si>
  <si>
    <t>Total Depreciation</t>
  </si>
  <si>
    <t>Avg. Investment</t>
  </si>
  <si>
    <t>Adjusted Avg.</t>
  </si>
  <si>
    <t>Salvage Value</t>
  </si>
  <si>
    <t>For Test Period</t>
  </si>
  <si>
    <t>Fully Depr Assets</t>
  </si>
  <si>
    <t>Assets w/ Depr Life</t>
  </si>
  <si>
    <t>TOTAL</t>
  </si>
  <si>
    <t>Fully Depreciated in 2016</t>
  </si>
  <si>
    <t>Fully Depreciated in 2017</t>
  </si>
  <si>
    <t>Disposed/Transferred Out in 2017</t>
  </si>
  <si>
    <t>Retired/Transferred 2017</t>
  </si>
  <si>
    <t>Fully Non-Regulated Trucks</t>
  </si>
  <si>
    <t>1 yd Commercial Containers</t>
  </si>
  <si>
    <t>1.5 yd Commercial Containers</t>
  </si>
  <si>
    <t>2 yd Commercial Containers</t>
  </si>
  <si>
    <t>187422, 187423</t>
  </si>
  <si>
    <t xml:space="preserve">2009 Murrey's Pre-Ordered REL Truck </t>
  </si>
  <si>
    <t>2014 Road Tractor</t>
  </si>
  <si>
    <t>2018 ASL Truck</t>
  </si>
  <si>
    <t>186154, 188087</t>
  </si>
  <si>
    <t>Radio System for ASL</t>
  </si>
  <si>
    <t>187379, 190461</t>
  </si>
  <si>
    <t>2019 ASL Truck</t>
  </si>
  <si>
    <t>30 Yd Roll off Boxes</t>
  </si>
  <si>
    <t>8 Yd Container</t>
  </si>
  <si>
    <t>2 Yd Container</t>
  </si>
  <si>
    <t>1 Yd Container</t>
  </si>
  <si>
    <t>2018 Peterbilt 567 Rolloff Truck</t>
  </si>
  <si>
    <t>197551/ 199113</t>
  </si>
  <si>
    <t>202702/197551</t>
  </si>
  <si>
    <t>Radio Installation</t>
  </si>
  <si>
    <t>2018 Chevy Silverado</t>
  </si>
  <si>
    <t>20 Yard Roll Off Boxes</t>
  </si>
  <si>
    <t>40 Yd Rolloff Boxes</t>
  </si>
  <si>
    <t>Shop Diagnostic Laptop - Panasonic Toughbook 14'</t>
  </si>
  <si>
    <t>Diagnostic Software</t>
  </si>
  <si>
    <t xml:space="preserve">Bucket Loader </t>
  </si>
  <si>
    <t>Nexiq USB Link 2</t>
  </si>
  <si>
    <t>Isuzu-IDDS License Software</t>
  </si>
  <si>
    <t>AC Machine (Robinair B34988NI)</t>
  </si>
  <si>
    <t>206362/ 206363/ 206364/ 206365/ 206366/ 206367/ 206368/ 206369/ 206370/ 206371/ 206185</t>
  </si>
  <si>
    <t>Year/Mo</t>
  </si>
  <si>
    <t>Fully</t>
  </si>
  <si>
    <t>Annual</t>
  </si>
  <si>
    <t>Effective Rate Month</t>
  </si>
  <si>
    <t>First Year</t>
  </si>
  <si>
    <t>Rate Effective Year</t>
  </si>
  <si>
    <t>Truck #5008 Amort of Salvage</t>
  </si>
  <si>
    <t>Truck #5003 Amort of Salvage</t>
  </si>
  <si>
    <t>Truck #5006 Amort of Salvage</t>
  </si>
  <si>
    <t>Truck 2004 GMC Amort of Salvage</t>
  </si>
  <si>
    <t>Truck #5016 Amort of Salvage</t>
  </si>
  <si>
    <t>Truck #5010 Amort of Salvage</t>
  </si>
  <si>
    <t>Truck #5039 Amort of Salvage</t>
  </si>
  <si>
    <t>Truck #5040 Amort of Salvage</t>
  </si>
  <si>
    <t>Truck #5041 Amort of Salvage</t>
  </si>
  <si>
    <t>Drive Cams (23) Amort of Salvage</t>
  </si>
  <si>
    <t>Truck #5036 Amort of Salvage</t>
  </si>
  <si>
    <t>Truck #5037 Amort of Salvage</t>
  </si>
  <si>
    <t>Drive Cam Amort of Salvage</t>
  </si>
  <si>
    <t>Date in Service</t>
  </si>
  <si>
    <t>2000 Dodge Dakota Amort of Salvage</t>
  </si>
  <si>
    <t>Truck #5004 Amort of Salvage</t>
  </si>
  <si>
    <t>Truck #5018 Amort of Salvage</t>
  </si>
  <si>
    <t>Truck #5021 Amort of Salvage</t>
  </si>
  <si>
    <t>Truck #5020 Amort of Salvage</t>
  </si>
  <si>
    <t>Truck #5009 Amort of Salvage</t>
  </si>
  <si>
    <t>General</t>
  </si>
  <si>
    <t>Retired/Transferred 2018</t>
  </si>
  <si>
    <t>Non-Regulated</t>
  </si>
  <si>
    <t>2019 ASL Peterbilt/Labrie (31 yd)</t>
  </si>
  <si>
    <t>Capital Repair - Truck 5039 Engine</t>
  </si>
  <si>
    <t>96 Gal MSW Carts</t>
  </si>
  <si>
    <t>65 Gal MSW Carts</t>
  </si>
  <si>
    <t>35 Gal MSW Carts</t>
  </si>
  <si>
    <t>Truck 5036 Head Gasket Repair</t>
  </si>
  <si>
    <t>Commercial Garbage</t>
  </si>
  <si>
    <t>Whidbey Island (Naval Base):</t>
  </si>
  <si>
    <t>Retired/Transferred 2019</t>
  </si>
  <si>
    <t>Truck #5002 Amort of Salvage</t>
  </si>
  <si>
    <t>2 Yd REL Metal Containers</t>
  </si>
  <si>
    <t>1 Yard Rear Load Container</t>
  </si>
  <si>
    <t>2019 Ford Service Truck</t>
  </si>
  <si>
    <t>223826/ 218618</t>
  </si>
  <si>
    <t>Coropla Signs</t>
  </si>
  <si>
    <t>PROFORMA</t>
  </si>
  <si>
    <t>MSW Carts - 35, 64, 95 gal</t>
  </si>
  <si>
    <t>REL Metal 1, 1.5, 2 yd</t>
  </si>
  <si>
    <t>Regulated Carts</t>
  </si>
  <si>
    <t>Shared Carts</t>
  </si>
  <si>
    <t>Regulated Garbage Carts</t>
  </si>
  <si>
    <t>Scrapped Jan 2020</t>
  </si>
  <si>
    <t>2004 GMC Service Truck</t>
  </si>
  <si>
    <t>Regulated %</t>
  </si>
  <si>
    <t>Percent Used</t>
  </si>
  <si>
    <t>UTC</t>
  </si>
  <si>
    <t>MRF/Long Haul</t>
  </si>
  <si>
    <t>Line of Business</t>
  </si>
  <si>
    <t>*</t>
  </si>
  <si>
    <t>*Scrapped Jan 2020 (was spare)</t>
  </si>
  <si>
    <t>Service Truck</t>
  </si>
  <si>
    <t>MSW</t>
  </si>
  <si>
    <t>MSW &amp; Recycle</t>
  </si>
  <si>
    <t>Delivery</t>
  </si>
  <si>
    <t>*0</t>
  </si>
  <si>
    <t>* No longer on site</t>
  </si>
  <si>
    <t>Regulated</t>
  </si>
  <si>
    <t xml:space="preserve">2009 REL Truck </t>
  </si>
  <si>
    <t>REARLOAD TRUCKS</t>
  </si>
  <si>
    <t>ASL TRUCKS</t>
  </si>
  <si>
    <t>ROLL OFF TRUCKS</t>
  </si>
  <si>
    <t>LONG HAUL TRUCKS</t>
  </si>
  <si>
    <t>Rear Load Trucks</t>
  </si>
  <si>
    <t>ASL Trucks</t>
  </si>
  <si>
    <t>Long Haul</t>
  </si>
  <si>
    <t>GARBAGE CONTAINERS</t>
  </si>
  <si>
    <t>DROP BOXES</t>
  </si>
  <si>
    <t xml:space="preserve">Non-Reg </t>
  </si>
  <si>
    <t>Amortization of Salvage - Retired Assets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</si>
</sst>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0%;\(0%\);&quot;&quot;"/>
    <numFmt numFmtId="167" formatCode="m/d/yy\ h:mm\ AM/PM"/>
    <numFmt numFmtId="168" formatCode="_(* #,##0,_);_(* \(#,##0,\);_(* &quot;-&quot;??_);_(@_)"/>
    <numFmt numFmtId="169" formatCode="mmmm\-yy"/>
    <numFmt numFmtId="170" formatCode="0.0%"/>
    <numFmt numFmtId="171" formatCode="_(* #,##0.000_);_(* \(#,##0.000\);_(* &quot;-&quot;???_);_(@_)"/>
    <numFmt numFmtId="172" formatCode="dd\-mmm\-yy_)"/>
    <numFmt numFmtId="173" formatCode="[$-409]dddd\,\ mmmm\ dd\,\ yyyy"/>
    <numFmt numFmtId="174" formatCode="[$-409]mmmm\ d\,\ yyyy;@"/>
    <numFmt numFmtId="175" formatCode="#,##0.000"/>
    <numFmt numFmtId="176" formatCode="#,##0.0"/>
    <numFmt numFmtId="177" formatCode="m/d/yy;@"/>
    <numFmt numFmtId="178" formatCode="m/d/yy"/>
    <numFmt numFmtId="179" formatCode="#,##0.000000000_);\(#,##0.000000000\)"/>
    <numFmt numFmtId="180" formatCode="mm/dd/yy;@"/>
    <numFmt numFmtId="181" formatCode="0.0"/>
    <numFmt numFmtId="182" formatCode="&quot;$&quot;#,##0"/>
    <numFmt numFmtId="183" formatCode="&quot;$&quot;#,##0.00"/>
    <numFmt numFmtId="184" formatCode="_(&quot;$&quot;* #,##0_);_(&quot;$&quot;* \(#,##0\);_(&quot;$&quot;* &quot;-&quot;??_);_(@_)"/>
    <numFmt numFmtId="185" formatCode="0.0000%"/>
    <numFmt numFmtId="186" formatCode="#,##0.0000"/>
    <numFmt numFmtId="187" formatCode="0.000%"/>
    <numFmt numFmtId="188" formatCode="#,##0.000000"/>
    <numFmt numFmtId="189" formatCode="_(* #,##0.0_);_(* \(#,##0.0\);_(* &quot;-&quot;??_);_(@_)"/>
    <numFmt numFmtId="190" formatCode="0.000"/>
    <numFmt numFmtId="191" formatCode="_(&quot;$&quot;* #,##0.0000_);_(&quot;$&quot;* \(#,##0.0000\);_(&quot;$&quot;* &quot;-&quot;??_);_(@_)"/>
    <numFmt numFmtId="192" formatCode="&quot;$&quot;#,##0.000000"/>
    <numFmt numFmtId="193" formatCode="#,##0.000_);\(#,##0.000\)"/>
    <numFmt numFmtId="194" formatCode="_(&quot;$&quot;* #,##0.000_);_(&quot;$&quot;* \(#,##0.000\);_(&quot;$&quot;* &quot;-&quot;???_);_(@_)"/>
    <numFmt numFmtId="195" formatCode="_(* #,##0.00000_);_(* \(#,##0.00000\);_(* &quot;-&quot;?????_);_(@_)"/>
    <numFmt numFmtId="196" formatCode="_(* #,##0.000000_);_(* \(#,##0.000000\);_(* &quot;-&quot;??????_);_(@_)"/>
    <numFmt numFmtId="197" formatCode="0.0000000000000"/>
    <numFmt numFmtId="198" formatCode="0.000000000000"/>
    <numFmt numFmtId="199" formatCode="_(* #,##0.0000_);_(* \(#,##0.0000\);_(* &quot;-&quot;??_);_(@_)"/>
    <numFmt numFmtId="200" formatCode="[$-409]mmm\-yy;@"/>
    <numFmt numFmtId="201" formatCode="_(* #,##0.000_);_(* \(#,##0.000\);_(* &quot;-&quot;??_);_(@_)"/>
    <numFmt numFmtId="202" formatCode="_(&quot;$&quot;* #,##0.000_);_(&quot;$&quot;* \(#,##0.000\);_(&quot;$&quot;* &quot;-&quot;??_);_(@_)"/>
    <numFmt numFmtId="203" formatCode="#,##0.0000000000_);\(#,##0.0000000000\)"/>
    <numFmt numFmtId="204" formatCode="##"/>
    <numFmt numFmtId="205" formatCode="0.0000"/>
    <numFmt numFmtId="206" formatCode="[$-409]h:mm:ss\ AM/PM"/>
    <numFmt numFmtId="207" formatCode="#,##0.0_);\(#,##0.0\)"/>
  </numFmts>
  <fonts count="92"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16"/>
      <name val="Arial"/>
      <family val="2"/>
    </font>
    <font>
      <b/>
      <sz val="9"/>
      <color indexed="16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9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2"/>
      <name val="Arial"/>
      <family val="2"/>
    </font>
    <font>
      <sz val="9"/>
      <color indexed="57"/>
      <name val="Arial"/>
      <family val="2"/>
    </font>
    <font>
      <b/>
      <sz val="9"/>
      <color indexed="17"/>
      <name val="Arial"/>
      <family val="2"/>
    </font>
    <font>
      <sz val="9"/>
      <color indexed="13"/>
      <name val="Arial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9"/>
      <name val="Arial"/>
      <family val="2"/>
    </font>
    <font>
      <sz val="11"/>
      <name val="Bookman Old Style"/>
      <family val="1"/>
    </font>
    <font>
      <sz val="8"/>
      <name val="Arial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2"/>
      <name val="Arial MT"/>
      <family val="0"/>
    </font>
    <font>
      <b/>
      <u val="single"/>
      <sz val="11"/>
      <name val="Arial"/>
      <family val="2"/>
    </font>
    <font>
      <b/>
      <sz val="18"/>
      <color indexed="61"/>
      <name val="Cambria"/>
      <family val="2"/>
    </font>
    <font>
      <b/>
      <u val="single"/>
      <sz val="9"/>
      <color indexed="8"/>
      <name val="Arial"/>
      <family val="2"/>
    </font>
    <font>
      <u val="single"/>
      <sz val="8.8"/>
      <color indexed="12"/>
      <name val="Calibri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b/>
      <sz val="8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10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4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71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0" applyNumberFormat="0" applyBorder="0" applyAlignment="0" applyProtection="0"/>
    <xf numFmtId="0" fontId="7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7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3" borderId="0" applyNumberFormat="0" applyBorder="0" applyAlignment="0" applyProtection="0"/>
    <xf numFmtId="0" fontId="71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7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6" borderId="0" applyNumberFormat="0" applyBorder="0" applyAlignment="0" applyProtection="0"/>
    <xf numFmtId="0" fontId="7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7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7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43" borderId="0" applyNumberFormat="0" applyBorder="0" applyAlignment="0" applyProtection="0"/>
    <xf numFmtId="0" fontId="7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3" borderId="0" applyNumberFormat="0" applyBorder="0" applyAlignment="0" applyProtection="0"/>
    <xf numFmtId="0" fontId="71" fillId="4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71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71" fillId="49" borderId="0" applyNumberFormat="0" applyBorder="0" applyAlignment="0" applyProtection="0"/>
    <xf numFmtId="41" fontId="2" fillId="0" borderId="0">
      <alignment/>
      <protection/>
    </xf>
    <xf numFmtId="41" fontId="2" fillId="0" borderId="0">
      <alignment/>
      <protection/>
    </xf>
    <xf numFmtId="41" fontId="2" fillId="0" borderId="0">
      <alignment/>
      <protection/>
    </xf>
    <xf numFmtId="41" fontId="2" fillId="0" borderId="0">
      <alignment/>
      <protection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72" fillId="50" borderId="0" applyNumberFormat="0" applyBorder="0" applyAlignment="0" applyProtection="0"/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0" fontId="4" fillId="3" borderId="1" applyNumberFormat="0" applyAlignment="0" applyProtection="0"/>
    <xf numFmtId="0" fontId="4" fillId="51" borderId="1" applyNumberFormat="0" applyAlignment="0" applyProtection="0"/>
    <xf numFmtId="0" fontId="52" fillId="51" borderId="1" applyNumberFormat="0" applyAlignment="0" applyProtection="0"/>
    <xf numFmtId="0" fontId="4" fillId="51" borderId="1" applyNumberFormat="0" applyAlignment="0" applyProtection="0"/>
    <xf numFmtId="0" fontId="52" fillId="51" borderId="1" applyNumberFormat="0" applyAlignment="0" applyProtection="0"/>
    <xf numFmtId="0" fontId="4" fillId="3" borderId="1" applyNumberFormat="0" applyAlignment="0" applyProtection="0"/>
    <xf numFmtId="0" fontId="73" fillId="52" borderId="2" applyNumberFormat="0" applyAlignment="0" applyProtection="0"/>
    <xf numFmtId="0" fontId="5" fillId="53" borderId="3" applyNumberFormat="0" applyAlignment="0" applyProtection="0"/>
    <xf numFmtId="0" fontId="5" fillId="53" borderId="3" applyNumberFormat="0" applyAlignment="0" applyProtection="0"/>
    <xf numFmtId="0" fontId="5" fillId="54" borderId="4" applyNumberFormat="0" applyAlignment="0" applyProtection="0"/>
    <xf numFmtId="0" fontId="5" fillId="53" borderId="3" applyNumberFormat="0" applyAlignment="0" applyProtection="0"/>
    <xf numFmtId="0" fontId="74" fillId="55" borderId="5" applyNumberFormat="0" applyAlignment="0" applyProtection="0"/>
    <xf numFmtId="0" fontId="2" fillId="6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56" borderId="6" applyAlignment="0"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57" borderId="0">
      <alignment horizontal="right"/>
      <protection locked="0"/>
    </xf>
    <xf numFmtId="14" fontId="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>
      <alignment/>
      <protection/>
    </xf>
    <xf numFmtId="2" fontId="11" fillId="57" borderId="0">
      <alignment horizontal="right"/>
      <protection locked="0"/>
    </xf>
    <xf numFmtId="1" fontId="2" fillId="0" borderId="0">
      <alignment horizontal="center"/>
      <protection/>
    </xf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8" applyNumberFormat="0" applyFill="0" applyAlignment="0" applyProtection="0"/>
    <xf numFmtId="0" fontId="16" fillId="0" borderId="9" applyNumberFormat="0" applyFill="0" applyAlignment="0" applyProtection="0"/>
    <xf numFmtId="0" fontId="15" fillId="0" borderId="7" applyNumberFormat="0" applyFill="0" applyAlignment="0" applyProtection="0"/>
    <xf numFmtId="0" fontId="77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1" applyNumberFormat="0" applyFill="0" applyAlignment="0" applyProtection="0"/>
    <xf numFmtId="0" fontId="18" fillId="0" borderId="12" applyNumberFormat="0" applyFill="0" applyAlignment="0" applyProtection="0"/>
    <xf numFmtId="0" fontId="17" fillId="0" borderId="11" applyNumberFormat="0" applyFill="0" applyAlignment="0" applyProtection="0"/>
    <xf numFmtId="0" fontId="7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15" applyNumberFormat="0" applyFill="0" applyAlignment="0" applyProtection="0"/>
    <xf numFmtId="0" fontId="20" fillId="0" borderId="16" applyNumberFormat="0" applyFill="0" applyAlignment="0" applyProtection="0"/>
    <xf numFmtId="0" fontId="19" fillId="0" borderId="14" applyNumberFormat="0" applyFill="0" applyAlignment="0" applyProtection="0"/>
    <xf numFmtId="0" fontId="79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3" fillId="13" borderId="1" applyNumberFormat="0" applyAlignment="0" applyProtection="0"/>
    <xf numFmtId="0" fontId="23" fillId="21" borderId="1" applyNumberFormat="0" applyAlignment="0" applyProtection="0"/>
    <xf numFmtId="0" fontId="62" fillId="21" borderId="1" applyNumberFormat="0" applyAlignment="0" applyProtection="0"/>
    <xf numFmtId="0" fontId="23" fillId="21" borderId="1" applyNumberFormat="0" applyAlignment="0" applyProtection="0"/>
    <xf numFmtId="0" fontId="23" fillId="13" borderId="1" applyNumberFormat="0" applyAlignment="0" applyProtection="0"/>
    <xf numFmtId="0" fontId="81" fillId="59" borderId="2" applyNumberFormat="0" applyAlignment="0" applyProtection="0"/>
    <xf numFmtId="3" fontId="24" fillId="3" borderId="0">
      <alignment/>
      <protection locked="0"/>
    </xf>
    <xf numFmtId="4" fontId="24" fillId="3" borderId="0">
      <alignment/>
      <protection locked="0"/>
    </xf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34" fillId="0" borderId="19" applyNumberFormat="0" applyFill="0" applyAlignment="0" applyProtection="0"/>
    <xf numFmtId="0" fontId="25" fillId="0" borderId="18" applyNumberFormat="0" applyFill="0" applyAlignment="0" applyProtection="0"/>
    <xf numFmtId="0" fontId="34" fillId="0" borderId="19" applyNumberFormat="0" applyFill="0" applyAlignment="0" applyProtection="0"/>
    <xf numFmtId="0" fontId="25" fillId="0" borderId="18" applyNumberFormat="0" applyFill="0" applyAlignment="0" applyProtection="0"/>
    <xf numFmtId="0" fontId="82" fillId="0" borderId="20" applyNumberFormat="0" applyFill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54" fillId="21" borderId="0" applyNumberFormat="0" applyBorder="0" applyAlignment="0" applyProtection="0"/>
    <xf numFmtId="0" fontId="26" fillId="21" borderId="0" applyNumberFormat="0" applyBorder="0" applyAlignment="0" applyProtection="0"/>
    <xf numFmtId="0" fontId="54" fillId="21" borderId="0" applyNumberFormat="0" applyBorder="0" applyAlignment="0" applyProtection="0"/>
    <xf numFmtId="0" fontId="26" fillId="21" borderId="0" applyNumberFormat="0" applyBorder="0" applyAlignment="0" applyProtection="0"/>
    <xf numFmtId="0" fontId="83" fillId="60" borderId="0" applyNumberFormat="0" applyBorder="0" applyAlignment="0" applyProtection="0"/>
    <xf numFmtId="43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0" fontId="59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7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27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27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7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10" borderId="21" applyNumberFormat="0" applyFont="0" applyAlignment="0" applyProtection="0"/>
    <xf numFmtId="0" fontId="0" fillId="10" borderId="21" applyNumberFormat="0" applyFont="0" applyAlignment="0" applyProtection="0"/>
    <xf numFmtId="0" fontId="27" fillId="10" borderId="21" applyNumberFormat="0" applyFont="0" applyAlignment="0" applyProtection="0"/>
    <xf numFmtId="0" fontId="0" fillId="10" borderId="21" applyNumberFormat="0" applyFont="0" applyAlignment="0" applyProtection="0"/>
    <xf numFmtId="0" fontId="27" fillId="10" borderId="21" applyNumberFormat="0" applyFont="0" applyAlignment="0" applyProtection="0"/>
    <xf numFmtId="0" fontId="60" fillId="10" borderId="21" applyNumberFormat="0" applyFont="0" applyAlignment="0" applyProtection="0"/>
    <xf numFmtId="0" fontId="0" fillId="10" borderId="21" applyNumberFormat="0" applyFont="0" applyAlignment="0" applyProtection="0"/>
    <xf numFmtId="0" fontId="70" fillId="61" borderId="22" applyNumberFormat="0" applyFont="0" applyAlignment="0" applyProtection="0"/>
    <xf numFmtId="0" fontId="70" fillId="61" borderId="22" applyNumberFormat="0" applyFont="0" applyAlignment="0" applyProtection="0"/>
    <xf numFmtId="170" fontId="28" fillId="0" borderId="0" applyNumberFormat="0">
      <alignment/>
      <protection/>
    </xf>
    <xf numFmtId="0" fontId="29" fillId="3" borderId="23" applyNumberFormat="0" applyAlignment="0" applyProtection="0"/>
    <xf numFmtId="0" fontId="29" fillId="51" borderId="23" applyNumberFormat="0" applyAlignment="0" applyProtection="0"/>
    <xf numFmtId="0" fontId="20" fillId="51" borderId="24" applyNumberFormat="0" applyAlignment="0" applyProtection="0"/>
    <xf numFmtId="0" fontId="29" fillId="51" borderId="23" applyNumberFormat="0" applyAlignment="0" applyProtection="0"/>
    <xf numFmtId="0" fontId="29" fillId="3" borderId="23" applyNumberFormat="0" applyAlignment="0" applyProtection="0"/>
    <xf numFmtId="0" fontId="84" fillId="52" borderId="2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 applyNumberFormat="0" applyFont="0" applyFill="0" applyBorder="0" applyAlignment="0" applyProtection="0"/>
    <xf numFmtId="0" fontId="31" fillId="0" borderId="26">
      <alignment horizontal="center"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 applyNumberFormat="0" applyBorder="0" applyAlignment="0">
      <protection/>
    </xf>
    <xf numFmtId="0" fontId="6" fillId="0" borderId="0" applyNumberFormat="0" applyBorder="0" applyAlignment="0">
      <protection/>
    </xf>
    <xf numFmtId="37" fontId="64" fillId="0" borderId="0">
      <alignment/>
      <protection/>
    </xf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3" fillId="0" borderId="27" applyNumberFormat="0" applyFill="0" applyAlignment="0" applyProtection="0"/>
    <xf numFmtId="0" fontId="33" fillId="0" borderId="28" applyNumberFormat="0" applyFill="0" applyAlignment="0" applyProtection="0"/>
    <xf numFmtId="0" fontId="33" fillId="0" borderId="29" applyNumberFormat="0" applyFill="0" applyAlignment="0" applyProtection="0"/>
    <xf numFmtId="0" fontId="33" fillId="0" borderId="28" applyNumberFormat="0" applyFill="0" applyAlignment="0" applyProtection="0"/>
    <xf numFmtId="0" fontId="33" fillId="0" borderId="29" applyNumberFormat="0" applyFill="0" applyAlignment="0" applyProtection="0"/>
    <xf numFmtId="0" fontId="33" fillId="0" borderId="27" applyNumberFormat="0" applyFill="0" applyAlignment="0" applyProtection="0"/>
    <xf numFmtId="0" fontId="86" fillId="0" borderId="3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35" fillId="0" borderId="0" xfId="594" applyFont="1" applyBorder="1">
      <alignment/>
      <protection/>
    </xf>
    <xf numFmtId="0" fontId="36" fillId="0" borderId="0" xfId="594" applyFont="1" applyBorder="1">
      <alignment/>
      <protection/>
    </xf>
    <xf numFmtId="0" fontId="37" fillId="0" borderId="0" xfId="594" applyFont="1" applyBorder="1">
      <alignment/>
      <protection/>
    </xf>
    <xf numFmtId="0" fontId="35" fillId="0" borderId="0" xfId="594" applyFont="1" applyBorder="1" applyAlignment="1">
      <alignment horizontal="center"/>
      <protection/>
    </xf>
    <xf numFmtId="3" fontId="37" fillId="0" borderId="0" xfId="594" applyNumberFormat="1" applyFont="1" applyBorder="1">
      <alignment/>
      <protection/>
    </xf>
    <xf numFmtId="164" fontId="37" fillId="0" borderId="0" xfId="204" applyNumberFormat="1" applyFont="1" applyBorder="1" applyAlignment="1">
      <alignment/>
    </xf>
    <xf numFmtId="0" fontId="37" fillId="0" borderId="0" xfId="594" applyFont="1" applyFill="1" applyBorder="1">
      <alignment/>
      <protection/>
    </xf>
    <xf numFmtId="3" fontId="35" fillId="0" borderId="0" xfId="594" applyNumberFormat="1" applyFont="1" applyBorder="1">
      <alignment/>
      <protection/>
    </xf>
    <xf numFmtId="0" fontId="37" fillId="3" borderId="0" xfId="594" applyFont="1" applyFill="1" applyBorder="1">
      <alignment/>
      <protection/>
    </xf>
    <xf numFmtId="37" fontId="37" fillId="0" borderId="0" xfId="594" applyNumberFormat="1" applyFont="1" applyBorder="1">
      <alignment/>
      <protection/>
    </xf>
    <xf numFmtId="43" fontId="37" fillId="0" borderId="0" xfId="594" applyNumberFormat="1" applyFont="1" applyBorder="1">
      <alignment/>
      <protection/>
    </xf>
    <xf numFmtId="0" fontId="37" fillId="0" borderId="0" xfId="594" applyFont="1" applyBorder="1" applyAlignment="1">
      <alignment horizontal="center"/>
      <protection/>
    </xf>
    <xf numFmtId="4" fontId="35" fillId="0" borderId="0" xfId="594" applyNumberFormat="1" applyFont="1" applyBorder="1" applyAlignment="1">
      <alignment horizontal="left"/>
      <protection/>
    </xf>
    <xf numFmtId="0" fontId="37" fillId="0" borderId="0" xfId="594" applyNumberFormat="1" applyFont="1" applyBorder="1">
      <alignment/>
      <protection/>
    </xf>
    <xf numFmtId="4" fontId="37" fillId="0" borderId="0" xfId="594" applyNumberFormat="1" applyFont="1" applyBorder="1" applyAlignment="1">
      <alignment horizontal="right"/>
      <protection/>
    </xf>
    <xf numFmtId="14" fontId="45" fillId="0" borderId="0" xfId="594" applyNumberFormat="1" applyFont="1" applyBorder="1">
      <alignment/>
      <protection/>
    </xf>
    <xf numFmtId="3" fontId="35" fillId="0" borderId="0" xfId="594" applyNumberFormat="1" applyFont="1" applyBorder="1" applyAlignment="1">
      <alignment horizontal="right"/>
      <protection/>
    </xf>
    <xf numFmtId="4" fontId="37" fillId="0" borderId="0" xfId="594" applyNumberFormat="1" applyFont="1" applyBorder="1" applyAlignment="1">
      <alignment horizontal="left"/>
      <protection/>
    </xf>
    <xf numFmtId="174" fontId="35" fillId="0" borderId="0" xfId="204" applyNumberFormat="1" applyFont="1" applyBorder="1" applyAlignment="1">
      <alignment horizontal="left"/>
    </xf>
    <xf numFmtId="4" fontId="37" fillId="0" borderId="0" xfId="594" applyNumberFormat="1" applyFont="1" applyBorder="1">
      <alignment/>
      <protection/>
    </xf>
    <xf numFmtId="0" fontId="35" fillId="0" borderId="0" xfId="594" applyNumberFormat="1" applyFont="1" applyBorder="1" applyAlignment="1">
      <alignment horizontal="right"/>
      <protection/>
    </xf>
    <xf numFmtId="4" fontId="37" fillId="0" borderId="0" xfId="594" applyNumberFormat="1" applyFont="1" applyBorder="1" applyAlignment="1">
      <alignment horizontal="center"/>
      <protection/>
    </xf>
    <xf numFmtId="0" fontId="37" fillId="0" borderId="0" xfId="594" applyNumberFormat="1" applyFont="1" applyBorder="1" applyAlignment="1">
      <alignment horizontal="right"/>
      <protection/>
    </xf>
    <xf numFmtId="0" fontId="35" fillId="0" borderId="0" xfId="594" applyFont="1" applyBorder="1" applyAlignment="1">
      <alignment horizontal="left"/>
      <protection/>
    </xf>
    <xf numFmtId="9" fontId="35" fillId="0" borderId="0" xfId="594" applyNumberFormat="1" applyFont="1" applyBorder="1" applyAlignment="1">
      <alignment horizontal="center"/>
      <protection/>
    </xf>
    <xf numFmtId="0" fontId="35" fillId="0" borderId="0" xfId="594" applyNumberFormat="1" applyFont="1" applyBorder="1" applyAlignment="1">
      <alignment horizontal="center"/>
      <protection/>
    </xf>
    <xf numFmtId="0" fontId="38" fillId="0" borderId="0" xfId="594" applyFont="1" applyBorder="1" applyAlignment="1">
      <alignment horizontal="center"/>
      <protection/>
    </xf>
    <xf numFmtId="0" fontId="38" fillId="0" borderId="0" xfId="594" applyFont="1" applyBorder="1" applyAlignment="1">
      <alignment horizontal="left"/>
      <protection/>
    </xf>
    <xf numFmtId="9" fontId="38" fillId="0" borderId="0" xfId="594" applyNumberFormat="1" applyFont="1" applyBorder="1" applyAlignment="1">
      <alignment horizontal="center"/>
      <protection/>
    </xf>
    <xf numFmtId="0" fontId="38" fillId="0" borderId="0" xfId="594" applyNumberFormat="1" applyFont="1" applyBorder="1" applyAlignment="1">
      <alignment horizontal="center"/>
      <protection/>
    </xf>
    <xf numFmtId="0" fontId="37" fillId="0" borderId="0" xfId="594" applyFont="1" applyBorder="1" applyAlignment="1">
      <alignment horizontal="fill"/>
      <protection/>
    </xf>
    <xf numFmtId="178" fontId="35" fillId="0" borderId="0" xfId="594" applyNumberFormat="1" applyFont="1" applyBorder="1" applyAlignment="1">
      <alignment horizontal="center"/>
      <protection/>
    </xf>
    <xf numFmtId="177" fontId="35" fillId="0" borderId="0" xfId="594" applyNumberFormat="1" applyFont="1" applyBorder="1" applyAlignment="1">
      <alignment horizontal="center"/>
      <protection/>
    </xf>
    <xf numFmtId="180" fontId="35" fillId="0" borderId="0" xfId="594" applyNumberFormat="1" applyFont="1" applyBorder="1" applyAlignment="1">
      <alignment horizontal="center"/>
      <protection/>
    </xf>
    <xf numFmtId="0" fontId="37" fillId="0" borderId="0" xfId="594" applyFont="1" applyFill="1" applyBorder="1" applyAlignment="1">
      <alignment horizontal="center"/>
      <protection/>
    </xf>
    <xf numFmtId="0" fontId="8" fillId="0" borderId="0" xfId="594" applyNumberFormat="1" applyFont="1" applyFill="1" applyBorder="1">
      <alignment/>
      <protection/>
    </xf>
    <xf numFmtId="9" fontId="8" fillId="0" borderId="0" xfId="594" applyNumberFormat="1" applyFont="1" applyFill="1" applyBorder="1" applyAlignment="1">
      <alignment horizontal="center"/>
      <protection/>
    </xf>
    <xf numFmtId="0" fontId="8" fillId="0" borderId="0" xfId="594" applyNumberFormat="1" applyFont="1" applyFill="1" applyBorder="1" applyAlignment="1">
      <alignment horizontal="center"/>
      <protection/>
    </xf>
    <xf numFmtId="0" fontId="37" fillId="0" borderId="0" xfId="594" applyNumberFormat="1" applyFont="1" applyFill="1" applyBorder="1" applyAlignment="1">
      <alignment horizontal="right"/>
      <protection/>
    </xf>
    <xf numFmtId="37" fontId="8" fillId="0" borderId="0" xfId="594" applyNumberFormat="1" applyFont="1" applyFill="1" applyBorder="1">
      <alignment/>
      <protection/>
    </xf>
    <xf numFmtId="4" fontId="37" fillId="0" borderId="0" xfId="594" applyNumberFormat="1" applyFont="1" applyFill="1" applyBorder="1" applyAlignment="1">
      <alignment horizontal="right"/>
      <protection/>
    </xf>
    <xf numFmtId="37" fontId="37" fillId="0" borderId="0" xfId="594" applyNumberFormat="1" applyFont="1" applyFill="1" applyBorder="1" applyProtection="1">
      <alignment/>
      <protection/>
    </xf>
    <xf numFmtId="0" fontId="37" fillId="0" borderId="0" xfId="594" applyFont="1" applyFill="1" applyBorder="1" applyAlignment="1">
      <alignment horizontal="right"/>
      <protection/>
    </xf>
    <xf numFmtId="0" fontId="37" fillId="0" borderId="0" xfId="594" applyNumberFormat="1" applyFont="1" applyFill="1" applyBorder="1">
      <alignment/>
      <protection/>
    </xf>
    <xf numFmtId="37" fontId="37" fillId="0" borderId="0" xfId="594" applyNumberFormat="1" applyFont="1" applyFill="1" applyBorder="1">
      <alignment/>
      <protection/>
    </xf>
    <xf numFmtId="0" fontId="8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9" fontId="8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37" fillId="0" borderId="0" xfId="0" applyNumberFormat="1" applyFont="1" applyBorder="1" applyAlignment="1">
      <alignment horizontal="right"/>
    </xf>
    <xf numFmtId="37" fontId="8" fillId="0" borderId="0" xfId="0" applyNumberFormat="1" applyFont="1" applyBorder="1" applyAlignment="1">
      <alignment/>
    </xf>
    <xf numFmtId="4" fontId="37" fillId="0" borderId="0" xfId="0" applyNumberFormat="1" applyFont="1" applyBorder="1" applyAlignment="1">
      <alignment horizontal="right"/>
    </xf>
    <xf numFmtId="3" fontId="37" fillId="0" borderId="0" xfId="594" applyNumberFormat="1" applyFont="1" applyFill="1" applyBorder="1" applyAlignment="1">
      <alignment horizontal="right"/>
      <protection/>
    </xf>
    <xf numFmtId="0" fontId="8" fillId="0" borderId="0" xfId="594" applyNumberFormat="1" applyFont="1" applyBorder="1">
      <alignment/>
      <protection/>
    </xf>
    <xf numFmtId="1" fontId="37" fillId="0" borderId="0" xfId="594" applyNumberFormat="1" applyFont="1" applyBorder="1" applyAlignment="1">
      <alignment horizontal="center"/>
      <protection/>
    </xf>
    <xf numFmtId="0" fontId="8" fillId="0" borderId="0" xfId="594" applyNumberFormat="1" applyFont="1" applyBorder="1" applyAlignment="1">
      <alignment horizontal="center"/>
      <protection/>
    </xf>
    <xf numFmtId="37" fontId="8" fillId="0" borderId="0" xfId="594" applyNumberFormat="1" applyFont="1" applyBorder="1">
      <alignment/>
      <protection/>
    </xf>
    <xf numFmtId="0" fontId="37" fillId="32" borderId="0" xfId="594" applyFont="1" applyFill="1" applyBorder="1">
      <alignment/>
      <protection/>
    </xf>
    <xf numFmtId="0" fontId="35" fillId="0" borderId="0" xfId="594" applyFont="1" applyFill="1" applyBorder="1">
      <alignment/>
      <protection/>
    </xf>
    <xf numFmtId="0" fontId="35" fillId="0" borderId="0" xfId="594" applyFont="1" applyFill="1" applyBorder="1" applyAlignment="1">
      <alignment horizontal="center"/>
      <protection/>
    </xf>
    <xf numFmtId="0" fontId="43" fillId="0" borderId="0" xfId="594" applyNumberFormat="1" applyFont="1" applyFill="1" applyBorder="1">
      <alignment/>
      <protection/>
    </xf>
    <xf numFmtId="9" fontId="43" fillId="0" borderId="0" xfId="594" applyNumberFormat="1" applyFont="1" applyFill="1" applyBorder="1" applyAlignment="1">
      <alignment horizontal="center"/>
      <protection/>
    </xf>
    <xf numFmtId="0" fontId="48" fillId="0" borderId="0" xfId="594" applyFont="1" applyFill="1" applyBorder="1" applyAlignment="1">
      <alignment horizontal="center"/>
      <protection/>
    </xf>
    <xf numFmtId="0" fontId="43" fillId="0" borderId="0" xfId="594" applyNumberFormat="1" applyFont="1" applyFill="1" applyBorder="1" applyAlignment="1">
      <alignment horizontal="center"/>
      <protection/>
    </xf>
    <xf numFmtId="0" fontId="35" fillId="0" borderId="0" xfId="594" applyNumberFormat="1" applyFont="1" applyFill="1" applyBorder="1" applyAlignment="1">
      <alignment horizontal="right"/>
      <protection/>
    </xf>
    <xf numFmtId="37" fontId="43" fillId="0" borderId="0" xfId="594" applyNumberFormat="1" applyFont="1" applyFill="1" applyBorder="1">
      <alignment/>
      <protection/>
    </xf>
    <xf numFmtId="4" fontId="35" fillId="0" borderId="0" xfId="594" applyNumberFormat="1" applyFont="1" applyFill="1" applyBorder="1">
      <alignment/>
      <protection/>
    </xf>
    <xf numFmtId="0" fontId="49" fillId="0" borderId="0" xfId="594" applyFont="1" applyFill="1" applyBorder="1" applyAlignment="1">
      <alignment horizontal="center"/>
      <protection/>
    </xf>
    <xf numFmtId="4" fontId="40" fillId="0" borderId="0" xfId="594" applyNumberFormat="1" applyFont="1" applyFill="1" applyBorder="1" applyAlignment="1">
      <alignment horizontal="right"/>
      <protection/>
    </xf>
    <xf numFmtId="3" fontId="37" fillId="0" borderId="0" xfId="594" applyNumberFormat="1" applyFont="1" applyFill="1" applyBorder="1">
      <alignment/>
      <protection/>
    </xf>
    <xf numFmtId="4" fontId="37" fillId="0" borderId="0" xfId="594" applyNumberFormat="1" applyFont="1" applyFill="1" applyBorder="1">
      <alignment/>
      <protection/>
    </xf>
    <xf numFmtId="39" fontId="37" fillId="0" borderId="0" xfId="594" applyNumberFormat="1" applyFont="1" applyFill="1" applyBorder="1">
      <alignment/>
      <protection/>
    </xf>
    <xf numFmtId="4" fontId="50" fillId="0" borderId="0" xfId="594" applyNumberFormat="1" applyFont="1" applyFill="1" applyBorder="1" applyAlignment="1">
      <alignment horizontal="right"/>
      <protection/>
    </xf>
    <xf numFmtId="0" fontId="35" fillId="0" borderId="0" xfId="594" applyFont="1" applyFill="1" applyBorder="1" applyAlignment="1">
      <alignment horizontal="left"/>
      <protection/>
    </xf>
    <xf numFmtId="4" fontId="39" fillId="0" borderId="0" xfId="594" applyNumberFormat="1" applyFont="1" applyFill="1" applyBorder="1" applyAlignment="1">
      <alignment horizontal="right"/>
      <protection/>
    </xf>
    <xf numFmtId="0" fontId="37" fillId="62" borderId="0" xfId="594" applyFont="1" applyFill="1" applyBorder="1">
      <alignment/>
      <protection/>
    </xf>
    <xf numFmtId="0" fontId="37" fillId="62" borderId="0" xfId="594" applyFont="1" applyFill="1" applyBorder="1" applyAlignment="1">
      <alignment horizontal="center"/>
      <protection/>
    </xf>
    <xf numFmtId="0" fontId="8" fillId="62" borderId="0" xfId="594" applyNumberFormat="1" applyFont="1" applyFill="1" applyBorder="1">
      <alignment/>
      <protection/>
    </xf>
    <xf numFmtId="9" fontId="8" fillId="62" borderId="0" xfId="594" applyNumberFormat="1" applyFont="1" applyFill="1" applyBorder="1" applyAlignment="1">
      <alignment horizontal="center"/>
      <protection/>
    </xf>
    <xf numFmtId="0" fontId="8" fillId="62" borderId="0" xfId="594" applyNumberFormat="1" applyFont="1" applyFill="1" applyBorder="1" applyAlignment="1">
      <alignment horizontal="center"/>
      <protection/>
    </xf>
    <xf numFmtId="0" fontId="37" fillId="62" borderId="0" xfId="594" applyNumberFormat="1" applyFont="1" applyFill="1" applyBorder="1" applyAlignment="1">
      <alignment horizontal="right"/>
      <protection/>
    </xf>
    <xf numFmtId="37" fontId="8" fillId="62" borderId="0" xfId="594" applyNumberFormat="1" applyFont="1" applyFill="1" applyBorder="1">
      <alignment/>
      <protection/>
    </xf>
    <xf numFmtId="4" fontId="37" fillId="62" borderId="0" xfId="594" applyNumberFormat="1" applyFont="1" applyFill="1" applyBorder="1" applyAlignment="1">
      <alignment horizontal="right"/>
      <protection/>
    </xf>
    <xf numFmtId="1" fontId="37" fillId="0" borderId="0" xfId="594" applyNumberFormat="1" applyFont="1" applyFill="1" applyBorder="1" applyAlignment="1">
      <alignment horizontal="center"/>
      <protection/>
    </xf>
    <xf numFmtId="0" fontId="37" fillId="13" borderId="0" xfId="594" applyFont="1" applyFill="1" applyBorder="1">
      <alignment/>
      <protection/>
    </xf>
    <xf numFmtId="0" fontId="8" fillId="13" borderId="0" xfId="594" applyNumberFormat="1" applyFont="1" applyFill="1" applyBorder="1">
      <alignment/>
      <protection/>
    </xf>
    <xf numFmtId="9" fontId="8" fillId="13" borderId="0" xfId="594" applyNumberFormat="1" applyFont="1" applyFill="1" applyBorder="1" applyAlignment="1">
      <alignment horizontal="center"/>
      <protection/>
    </xf>
    <xf numFmtId="0" fontId="37" fillId="13" borderId="0" xfId="594" applyFont="1" applyFill="1" applyBorder="1" applyAlignment="1">
      <alignment horizontal="center"/>
      <protection/>
    </xf>
    <xf numFmtId="0" fontId="8" fillId="13" borderId="0" xfId="594" applyNumberFormat="1" applyFont="1" applyFill="1" applyBorder="1" applyAlignment="1">
      <alignment horizontal="center"/>
      <protection/>
    </xf>
    <xf numFmtId="0" fontId="37" fillId="13" borderId="0" xfId="594" applyNumberFormat="1" applyFont="1" applyFill="1" applyBorder="1" applyAlignment="1">
      <alignment horizontal="right"/>
      <protection/>
    </xf>
    <xf numFmtId="37" fontId="8" fillId="13" borderId="0" xfId="594" applyNumberFormat="1" applyFont="1" applyFill="1" applyBorder="1">
      <alignment/>
      <protection/>
    </xf>
    <xf numFmtId="4" fontId="37" fillId="13" borderId="0" xfId="594" applyNumberFormat="1" applyFont="1" applyFill="1" applyBorder="1" applyAlignment="1">
      <alignment horizontal="right"/>
      <protection/>
    </xf>
    <xf numFmtId="0" fontId="37" fillId="0" borderId="0" xfId="594" applyNumberFormat="1" applyFont="1" applyFill="1" applyBorder="1" applyAlignment="1">
      <alignment horizontal="center"/>
      <protection/>
    </xf>
    <xf numFmtId="1" fontId="35" fillId="0" borderId="0" xfId="594" applyNumberFormat="1" applyFont="1" applyFill="1" applyBorder="1" applyAlignment="1">
      <alignment horizontal="center"/>
      <protection/>
    </xf>
    <xf numFmtId="0" fontId="35" fillId="0" borderId="0" xfId="594" applyNumberFormat="1" applyFont="1" applyFill="1" applyBorder="1">
      <alignment/>
      <protection/>
    </xf>
    <xf numFmtId="37" fontId="35" fillId="0" borderId="0" xfId="594" applyNumberFormat="1" applyFont="1" applyFill="1" applyBorder="1">
      <alignment/>
      <protection/>
    </xf>
    <xf numFmtId="0" fontId="37" fillId="3" borderId="0" xfId="594" applyFont="1" applyFill="1" applyBorder="1" applyAlignment="1">
      <alignment horizontal="center"/>
      <protection/>
    </xf>
    <xf numFmtId="1" fontId="37" fillId="3" borderId="0" xfId="594" applyNumberFormat="1" applyFont="1" applyFill="1" applyBorder="1" applyAlignment="1">
      <alignment horizontal="center"/>
      <protection/>
    </xf>
    <xf numFmtId="0" fontId="37" fillId="3" borderId="0" xfId="594" applyNumberFormat="1" applyFont="1" applyFill="1" applyBorder="1">
      <alignment/>
      <protection/>
    </xf>
    <xf numFmtId="0" fontId="88" fillId="0" borderId="0" xfId="594" applyFont="1" applyFill="1" applyBorder="1">
      <alignment/>
      <protection/>
    </xf>
    <xf numFmtId="0" fontId="36" fillId="0" borderId="0" xfId="594" applyFont="1" applyFill="1" applyBorder="1">
      <alignment/>
      <protection/>
    </xf>
    <xf numFmtId="0" fontId="49" fillId="0" borderId="0" xfId="594" applyNumberFormat="1" applyFont="1" applyFill="1" applyBorder="1" applyAlignment="1">
      <alignment horizontal="center"/>
      <protection/>
    </xf>
    <xf numFmtId="9" fontId="37" fillId="0" borderId="0" xfId="594" applyNumberFormat="1" applyFont="1" applyFill="1" applyBorder="1" applyAlignment="1">
      <alignment horizontal="center"/>
      <protection/>
    </xf>
    <xf numFmtId="0" fontId="37" fillId="0" borderId="0" xfId="594" applyNumberFormat="1" applyFont="1" applyFill="1" applyBorder="1" applyAlignment="1" quotePrefix="1">
      <alignment horizontal="left"/>
      <protection/>
    </xf>
    <xf numFmtId="0" fontId="51" fillId="0" borderId="0" xfId="594" applyNumberFormat="1" applyFont="1" applyFill="1" applyBorder="1">
      <alignment/>
      <protection/>
    </xf>
    <xf numFmtId="3" fontId="8" fillId="0" borderId="0" xfId="594" applyNumberFormat="1" applyFont="1" applyFill="1" applyBorder="1">
      <alignment/>
      <protection/>
    </xf>
    <xf numFmtId="0" fontId="8" fillId="0" borderId="0" xfId="594" applyFont="1" applyFill="1" applyBorder="1" applyAlignment="1">
      <alignment horizontal="center"/>
      <protection/>
    </xf>
    <xf numFmtId="39" fontId="37" fillId="0" borderId="0" xfId="594" applyNumberFormat="1" applyFont="1" applyFill="1" applyBorder="1" applyAlignment="1" applyProtection="1">
      <alignment horizontal="fill"/>
      <protection/>
    </xf>
    <xf numFmtId="0" fontId="39" fillId="0" borderId="0" xfId="594" applyFont="1" applyFill="1" applyBorder="1" applyAlignment="1">
      <alignment horizontal="center"/>
      <protection/>
    </xf>
    <xf numFmtId="0" fontId="39" fillId="0" borderId="0" xfId="594" applyNumberFormat="1" applyFont="1" applyFill="1" applyBorder="1" applyAlignment="1">
      <alignment horizontal="right"/>
      <protection/>
    </xf>
    <xf numFmtId="0" fontId="39" fillId="0" borderId="0" xfId="594" applyFont="1" applyFill="1" applyBorder="1">
      <alignment/>
      <protection/>
    </xf>
    <xf numFmtId="39" fontId="39" fillId="0" borderId="0" xfId="594" applyNumberFormat="1" applyFont="1" applyFill="1" applyBorder="1" applyProtection="1">
      <alignment/>
      <protection/>
    </xf>
    <xf numFmtId="37" fontId="37" fillId="51" borderId="0" xfId="594" applyNumberFormat="1" applyFont="1" applyFill="1" applyBorder="1" applyProtection="1">
      <alignment/>
      <protection/>
    </xf>
    <xf numFmtId="37" fontId="8" fillId="51" borderId="0" xfId="594" applyNumberFormat="1" applyFont="1" applyFill="1" applyBorder="1">
      <alignment/>
      <protection/>
    </xf>
    <xf numFmtId="0" fontId="37" fillId="51" borderId="0" xfId="594" applyNumberFormat="1" applyFont="1" applyFill="1" applyBorder="1" applyAlignment="1">
      <alignment horizontal="center"/>
      <protection/>
    </xf>
    <xf numFmtId="0" fontId="8" fillId="51" borderId="0" xfId="594" applyNumberFormat="1" applyFont="1" applyFill="1" applyBorder="1" applyAlignment="1">
      <alignment horizontal="center"/>
      <protection/>
    </xf>
    <xf numFmtId="9" fontId="8" fillId="51" borderId="0" xfId="594" applyNumberFormat="1" applyFont="1" applyFill="1" applyBorder="1" applyAlignment="1">
      <alignment horizontal="center"/>
      <protection/>
    </xf>
    <xf numFmtId="0" fontId="8" fillId="51" borderId="0" xfId="594" applyNumberFormat="1" applyFont="1" applyFill="1" applyBorder="1">
      <alignment/>
      <protection/>
    </xf>
    <xf numFmtId="0" fontId="40" fillId="51" borderId="0" xfId="594" applyFont="1" applyFill="1" applyBorder="1" applyAlignment="1">
      <alignment horizontal="center"/>
      <protection/>
    </xf>
    <xf numFmtId="0" fontId="40" fillId="0" borderId="0" xfId="594" applyFont="1" applyBorder="1" applyAlignment="1">
      <alignment horizontal="center"/>
      <protection/>
    </xf>
    <xf numFmtId="0" fontId="39" fillId="51" borderId="0" xfId="594" applyFont="1" applyFill="1" applyBorder="1" applyAlignment="1">
      <alignment horizontal="center"/>
      <protection/>
    </xf>
    <xf numFmtId="0" fontId="39" fillId="0" borderId="0" xfId="594" applyFont="1" applyBorder="1" applyAlignment="1">
      <alignment horizontal="center"/>
      <protection/>
    </xf>
    <xf numFmtId="1" fontId="35" fillId="0" borderId="0" xfId="594" applyNumberFormat="1" applyFont="1" applyBorder="1" applyAlignment="1">
      <alignment horizontal="left"/>
      <protection/>
    </xf>
    <xf numFmtId="41" fontId="37" fillId="0" borderId="0" xfId="594" applyNumberFormat="1" applyFont="1" applyBorder="1" applyAlignment="1">
      <alignment horizontal="center"/>
      <protection/>
    </xf>
    <xf numFmtId="0" fontId="37" fillId="0" borderId="0" xfId="594" applyFont="1" applyFill="1" applyBorder="1" applyAlignment="1">
      <alignment horizontal="left"/>
      <protection/>
    </xf>
    <xf numFmtId="0" fontId="8" fillId="0" borderId="0" xfId="594" applyFont="1" applyBorder="1" applyAlignment="1">
      <alignment horizontal="center"/>
      <protection/>
    </xf>
    <xf numFmtId="0" fontId="37" fillId="51" borderId="0" xfId="594" applyFont="1" applyFill="1" applyBorder="1" applyAlignment="1">
      <alignment horizontal="center"/>
      <protection/>
    </xf>
    <xf numFmtId="0" fontId="38" fillId="51" borderId="0" xfId="594" applyFont="1" applyFill="1" applyBorder="1" applyAlignment="1">
      <alignment horizontal="center"/>
      <protection/>
    </xf>
    <xf numFmtId="0" fontId="35" fillId="51" borderId="0" xfId="594" applyFont="1" applyFill="1" applyBorder="1" applyAlignment="1">
      <alignment horizontal="center"/>
      <protection/>
    </xf>
    <xf numFmtId="4" fontId="37" fillId="51" borderId="0" xfId="594" applyNumberFormat="1" applyFont="1" applyFill="1" applyBorder="1" applyAlignment="1">
      <alignment horizontal="right"/>
      <protection/>
    </xf>
    <xf numFmtId="0" fontId="37" fillId="51" borderId="0" xfId="594" applyFont="1" applyFill="1" applyBorder="1">
      <alignment/>
      <protection/>
    </xf>
    <xf numFmtId="37" fontId="37" fillId="0" borderId="0" xfId="594" applyNumberFormat="1" applyFont="1" applyFill="1" applyBorder="1" applyAlignment="1">
      <alignment horizontal="center"/>
      <protection/>
    </xf>
    <xf numFmtId="0" fontId="89" fillId="0" borderId="0" xfId="594" applyFont="1" applyFill="1" applyBorder="1">
      <alignment/>
      <protection/>
    </xf>
    <xf numFmtId="37" fontId="35" fillId="0" borderId="0" xfId="594" applyNumberFormat="1" applyFont="1" applyBorder="1">
      <alignment/>
      <protection/>
    </xf>
    <xf numFmtId="39" fontId="35" fillId="0" borderId="0" xfId="594" applyNumberFormat="1" applyFont="1" applyBorder="1" applyAlignment="1">
      <alignment horizontal="right"/>
      <protection/>
    </xf>
    <xf numFmtId="0" fontId="37" fillId="0" borderId="0" xfId="594" applyNumberFormat="1" applyFont="1" applyBorder="1" applyAlignment="1">
      <alignment horizontal="center"/>
      <protection/>
    </xf>
    <xf numFmtId="1" fontId="35" fillId="0" borderId="0" xfId="594" applyNumberFormat="1" applyFont="1" applyBorder="1" applyAlignment="1">
      <alignment horizontal="center"/>
      <protection/>
    </xf>
    <xf numFmtId="0" fontId="35" fillId="0" borderId="0" xfId="594" applyFont="1" applyBorder="1" applyAlignment="1">
      <alignment/>
      <protection/>
    </xf>
    <xf numFmtId="0" fontId="37" fillId="32" borderId="0" xfId="594" applyFont="1" applyFill="1" applyBorder="1" applyAlignment="1">
      <alignment/>
      <protection/>
    </xf>
    <xf numFmtId="4" fontId="35" fillId="0" borderId="0" xfId="594" applyNumberFormat="1" applyFont="1" applyBorder="1" applyAlignment="1">
      <alignment horizontal="right"/>
      <protection/>
    </xf>
    <xf numFmtId="37" fontId="37" fillId="0" borderId="0" xfId="594" applyNumberFormat="1" applyFont="1" applyBorder="1" applyProtection="1">
      <alignment/>
      <protection/>
    </xf>
    <xf numFmtId="0" fontId="37" fillId="51" borderId="0" xfId="594" applyNumberFormat="1" applyFont="1" applyFill="1" applyBorder="1">
      <alignment/>
      <protection/>
    </xf>
    <xf numFmtId="0" fontId="37" fillId="0" borderId="0" xfId="594" applyFont="1" applyBorder="1" applyAlignment="1">
      <alignment/>
      <protection/>
    </xf>
    <xf numFmtId="0" fontId="37" fillId="0" borderId="0" xfId="594" applyFont="1" applyFill="1" applyBorder="1" applyAlignment="1">
      <alignment/>
      <protection/>
    </xf>
    <xf numFmtId="43" fontId="37" fillId="0" borderId="0" xfId="594" applyNumberFormat="1" applyFont="1" applyFill="1" applyBorder="1">
      <alignment/>
      <protection/>
    </xf>
    <xf numFmtId="0" fontId="56" fillId="0" borderId="0" xfId="593" applyFont="1" applyBorder="1" applyAlignment="1">
      <alignment horizontal="center"/>
      <protection/>
    </xf>
    <xf numFmtId="0" fontId="56" fillId="63" borderId="0" xfId="593" applyFont="1" applyFill="1" applyBorder="1" applyAlignment="1">
      <alignment horizontal="center"/>
      <protection/>
    </xf>
    <xf numFmtId="0" fontId="57" fillId="63" borderId="0" xfId="593" applyFont="1" applyFill="1" applyBorder="1">
      <alignment/>
      <protection/>
    </xf>
    <xf numFmtId="0" fontId="56" fillId="63" borderId="0" xfId="593" applyFont="1" applyFill="1" applyBorder="1">
      <alignment/>
      <protection/>
    </xf>
    <xf numFmtId="0" fontId="41" fillId="0" borderId="0" xfId="594" applyFont="1" applyBorder="1" applyAlignment="1">
      <alignment horizontal="center"/>
      <protection/>
    </xf>
    <xf numFmtId="0" fontId="41" fillId="51" borderId="0" xfId="594" applyFont="1" applyFill="1" applyBorder="1" applyAlignment="1">
      <alignment horizontal="center"/>
      <protection/>
    </xf>
    <xf numFmtId="0" fontId="41" fillId="0" borderId="0" xfId="594" applyFont="1" applyBorder="1">
      <alignment/>
      <protection/>
    </xf>
    <xf numFmtId="9" fontId="37" fillId="0" borderId="0" xfId="594" applyNumberFormat="1" applyFont="1" applyBorder="1" applyAlignment="1">
      <alignment horizontal="center"/>
      <protection/>
    </xf>
    <xf numFmtId="1" fontId="41" fillId="0" borderId="0" xfId="594" applyNumberFormat="1" applyFont="1" applyBorder="1" applyAlignment="1">
      <alignment horizontal="center"/>
      <protection/>
    </xf>
    <xf numFmtId="0" fontId="41" fillId="0" borderId="0" xfId="594" applyNumberFormat="1" applyFont="1" applyBorder="1" applyAlignment="1">
      <alignment horizontal="center"/>
      <protection/>
    </xf>
    <xf numFmtId="4" fontId="41" fillId="0" borderId="0" xfId="594" applyNumberFormat="1" applyFont="1" applyBorder="1" applyAlignment="1">
      <alignment horizontal="right"/>
      <protection/>
    </xf>
    <xf numFmtId="4" fontId="42" fillId="0" borderId="0" xfId="594" applyNumberFormat="1" applyFont="1" applyBorder="1" applyAlignment="1">
      <alignment horizontal="right"/>
      <protection/>
    </xf>
    <xf numFmtId="0" fontId="41" fillId="0" borderId="0" xfId="594" applyFont="1" applyFill="1" applyBorder="1" applyAlignment="1">
      <alignment horizontal="center"/>
      <protection/>
    </xf>
    <xf numFmtId="0" fontId="37" fillId="26" borderId="0" xfId="594" applyFont="1" applyFill="1" applyBorder="1">
      <alignment/>
      <protection/>
    </xf>
    <xf numFmtId="0" fontId="37" fillId="26" borderId="0" xfId="594" applyFont="1" applyFill="1" applyBorder="1" applyAlignment="1">
      <alignment horizontal="center"/>
      <protection/>
    </xf>
    <xf numFmtId="0" fontId="8" fillId="26" borderId="0" xfId="594" applyNumberFormat="1" applyFont="1" applyFill="1" applyBorder="1">
      <alignment/>
      <protection/>
    </xf>
    <xf numFmtId="9" fontId="8" fillId="26" borderId="0" xfId="594" applyNumberFormat="1" applyFont="1" applyFill="1" applyBorder="1" applyAlignment="1">
      <alignment horizontal="center"/>
      <protection/>
    </xf>
    <xf numFmtId="0" fontId="8" fillId="26" borderId="0" xfId="594" applyNumberFormat="1" applyFont="1" applyFill="1" applyBorder="1" applyAlignment="1">
      <alignment horizontal="center"/>
      <protection/>
    </xf>
    <xf numFmtId="0" fontId="37" fillId="26" borderId="0" xfId="594" applyNumberFormat="1" applyFont="1" applyFill="1" applyBorder="1" applyAlignment="1">
      <alignment horizontal="right"/>
      <protection/>
    </xf>
    <xf numFmtId="37" fontId="8" fillId="26" borderId="0" xfId="594" applyNumberFormat="1" applyFont="1" applyFill="1" applyBorder="1">
      <alignment/>
      <protection/>
    </xf>
    <xf numFmtId="4" fontId="37" fillId="26" borderId="0" xfId="594" applyNumberFormat="1" applyFont="1" applyFill="1" applyBorder="1" applyAlignment="1">
      <alignment horizontal="right"/>
      <protection/>
    </xf>
    <xf numFmtId="43" fontId="37" fillId="26" borderId="0" xfId="594" applyNumberFormat="1" applyFont="1" applyFill="1" applyBorder="1">
      <alignment/>
      <protection/>
    </xf>
    <xf numFmtId="4" fontId="37" fillId="0" borderId="0" xfId="594" applyNumberFormat="1" applyFont="1" applyBorder="1" applyAlignment="1">
      <alignment/>
      <protection/>
    </xf>
    <xf numFmtId="4" fontId="36" fillId="0" borderId="0" xfId="594" applyNumberFormat="1" applyFont="1" applyBorder="1" applyAlignment="1">
      <alignment/>
      <protection/>
    </xf>
    <xf numFmtId="37" fontId="36" fillId="0" borderId="0" xfId="594" applyNumberFormat="1" applyFont="1" applyBorder="1" applyProtection="1">
      <alignment/>
      <protection/>
    </xf>
    <xf numFmtId="0" fontId="35" fillId="0" borderId="0" xfId="594" applyNumberFormat="1" applyFont="1" applyFill="1" applyBorder="1" applyAlignment="1">
      <alignment/>
      <protection/>
    </xf>
    <xf numFmtId="4" fontId="35" fillId="0" borderId="0" xfId="594" applyNumberFormat="1" applyFont="1" applyBorder="1" applyAlignment="1">
      <alignment/>
      <protection/>
    </xf>
    <xf numFmtId="0" fontId="37" fillId="0" borderId="0" xfId="594" applyNumberFormat="1" applyFont="1" applyFill="1" applyBorder="1" applyAlignment="1">
      <alignment/>
      <protection/>
    </xf>
    <xf numFmtId="0" fontId="37" fillId="0" borderId="0" xfId="594" applyNumberFormat="1" applyFont="1" applyBorder="1" applyAlignment="1">
      <alignment/>
      <protection/>
    </xf>
    <xf numFmtId="0" fontId="35" fillId="0" borderId="0" xfId="594" applyNumberFormat="1" applyFont="1" applyFill="1" applyBorder="1" applyAlignment="1">
      <alignment horizontal="left"/>
      <protection/>
    </xf>
    <xf numFmtId="0" fontId="8" fillId="0" borderId="0" xfId="594" applyNumberFormat="1" applyFont="1" applyBorder="1" quotePrefix="1">
      <alignment/>
      <protection/>
    </xf>
    <xf numFmtId="0" fontId="43" fillId="0" borderId="0" xfId="594" applyNumberFormat="1" applyFont="1" applyBorder="1">
      <alignment/>
      <protection/>
    </xf>
    <xf numFmtId="43" fontId="37" fillId="0" borderId="0" xfId="204" applyFont="1" applyBorder="1" applyAlignment="1">
      <alignment/>
    </xf>
    <xf numFmtId="203" fontId="37" fillId="0" borderId="0" xfId="594" applyNumberFormat="1" applyFont="1" applyBorder="1">
      <alignment/>
      <protection/>
    </xf>
    <xf numFmtId="4" fontId="37" fillId="0" borderId="0" xfId="594" applyNumberFormat="1" applyFont="1" applyFill="1" applyBorder="1" applyAlignment="1">
      <alignment/>
      <protection/>
    </xf>
    <xf numFmtId="4" fontId="35" fillId="0" borderId="0" xfId="594" applyNumberFormat="1" applyFont="1" applyFill="1" applyBorder="1" applyAlignment="1">
      <alignment/>
      <protection/>
    </xf>
    <xf numFmtId="37" fontId="35" fillId="0" borderId="0" xfId="594" applyNumberFormat="1" applyFont="1" applyFill="1" applyBorder="1" applyProtection="1">
      <alignment/>
      <protection/>
    </xf>
    <xf numFmtId="0" fontId="58" fillId="0" borderId="0" xfId="594" applyFont="1" applyBorder="1">
      <alignment/>
      <protection/>
    </xf>
    <xf numFmtId="0" fontId="37" fillId="26" borderId="0" xfId="594" applyFont="1" applyFill="1" applyBorder="1" applyAlignment="1" quotePrefix="1">
      <alignment horizontal="center"/>
      <protection/>
    </xf>
    <xf numFmtId="0" fontId="37" fillId="26" borderId="0" xfId="594" applyNumberFormat="1" applyFont="1" applyFill="1" applyBorder="1" applyAlignment="1">
      <alignment horizontal="center"/>
      <protection/>
    </xf>
    <xf numFmtId="37" fontId="37" fillId="26" borderId="0" xfId="594" applyNumberFormat="1" applyFont="1" applyFill="1" applyBorder="1" applyProtection="1">
      <alignment/>
      <protection/>
    </xf>
    <xf numFmtId="1" fontId="37" fillId="14" borderId="0" xfId="594" applyNumberFormat="1" applyFont="1" applyFill="1" applyBorder="1" applyAlignment="1">
      <alignment horizontal="center"/>
      <protection/>
    </xf>
    <xf numFmtId="0" fontId="37" fillId="14" borderId="0" xfId="594" applyNumberFormat="1" applyFont="1" applyFill="1" applyBorder="1" applyAlignment="1">
      <alignment horizontal="right"/>
      <protection/>
    </xf>
    <xf numFmtId="0" fontId="37" fillId="14" borderId="0" xfId="594" applyFont="1" applyFill="1" applyBorder="1">
      <alignment/>
      <protection/>
    </xf>
    <xf numFmtId="0" fontId="37" fillId="14" borderId="0" xfId="594" applyNumberFormat="1" applyFont="1" applyFill="1" applyBorder="1">
      <alignment/>
      <protection/>
    </xf>
    <xf numFmtId="43" fontId="37" fillId="14" borderId="0" xfId="594" applyNumberFormat="1" applyFont="1" applyFill="1" applyBorder="1">
      <alignment/>
      <protection/>
    </xf>
    <xf numFmtId="0" fontId="37" fillId="14" borderId="0" xfId="594" applyFont="1" applyFill="1" applyBorder="1" applyAlignment="1">
      <alignment/>
      <protection/>
    </xf>
    <xf numFmtId="0" fontId="37" fillId="14" borderId="0" xfId="594" applyFont="1" applyFill="1" applyBorder="1" applyAlignment="1">
      <alignment horizontal="center"/>
      <protection/>
    </xf>
    <xf numFmtId="0" fontId="8" fillId="14" borderId="0" xfId="594" applyNumberFormat="1" applyFont="1" applyFill="1" applyBorder="1" applyAlignment="1">
      <alignment horizontal="center"/>
      <protection/>
    </xf>
    <xf numFmtId="37" fontId="8" fillId="14" borderId="0" xfId="594" applyNumberFormat="1" applyFont="1" applyFill="1" applyBorder="1">
      <alignment/>
      <protection/>
    </xf>
    <xf numFmtId="4" fontId="37" fillId="14" borderId="0" xfId="594" applyNumberFormat="1" applyFont="1" applyFill="1" applyBorder="1" applyAlignment="1">
      <alignment horizontal="right"/>
      <protection/>
    </xf>
    <xf numFmtId="9" fontId="8" fillId="14" borderId="0" xfId="594" applyNumberFormat="1" applyFont="1" applyFill="1" applyBorder="1" applyAlignment="1">
      <alignment horizontal="center"/>
      <protection/>
    </xf>
    <xf numFmtId="0" fontId="37" fillId="14" borderId="0" xfId="594" applyNumberFormat="1" applyFont="1" applyFill="1" applyBorder="1" applyAlignment="1">
      <alignment horizontal="center"/>
      <protection/>
    </xf>
    <xf numFmtId="37" fontId="37" fillId="14" borderId="0" xfId="594" applyNumberFormat="1" applyFont="1" applyFill="1" applyBorder="1" applyProtection="1">
      <alignment/>
      <protection/>
    </xf>
    <xf numFmtId="0" fontId="37" fillId="23" borderId="0" xfId="594" applyFont="1" applyFill="1" applyBorder="1" applyAlignment="1">
      <alignment/>
      <protection/>
    </xf>
    <xf numFmtId="0" fontId="37" fillId="23" borderId="0" xfId="594" applyFont="1" applyFill="1" applyBorder="1">
      <alignment/>
      <protection/>
    </xf>
    <xf numFmtId="0" fontId="37" fillId="23" borderId="0" xfId="594" applyFont="1" applyFill="1" applyBorder="1" applyAlignment="1">
      <alignment horizontal="center"/>
      <protection/>
    </xf>
    <xf numFmtId="0" fontId="8" fillId="23" borderId="0" xfId="594" applyNumberFormat="1" applyFont="1" applyFill="1" applyBorder="1" applyAlignment="1">
      <alignment horizontal="center"/>
      <protection/>
    </xf>
    <xf numFmtId="0" fontId="37" fillId="23" borderId="0" xfId="594" applyNumberFormat="1" applyFont="1" applyFill="1" applyBorder="1" applyAlignment="1">
      <alignment horizontal="right"/>
      <protection/>
    </xf>
    <xf numFmtId="37" fontId="8" fillId="23" borderId="0" xfId="594" applyNumberFormat="1" applyFont="1" applyFill="1" applyBorder="1">
      <alignment/>
      <protection/>
    </xf>
    <xf numFmtId="4" fontId="37" fillId="23" borderId="0" xfId="594" applyNumberFormat="1" applyFont="1" applyFill="1" applyBorder="1" applyAlignment="1">
      <alignment horizontal="right"/>
      <protection/>
    </xf>
    <xf numFmtId="0" fontId="35" fillId="0" borderId="0" xfId="594" applyFont="1" applyBorder="1" applyAlignment="1">
      <alignment horizontal="fill"/>
      <protection/>
    </xf>
    <xf numFmtId="181" fontId="37" fillId="0" borderId="0" xfId="594" applyNumberFormat="1" applyFont="1" applyFill="1" applyBorder="1">
      <alignment/>
      <protection/>
    </xf>
    <xf numFmtId="43" fontId="37" fillId="0" borderId="0" xfId="204" applyFont="1" applyFill="1" applyBorder="1" applyAlignment="1">
      <alignment horizontal="right"/>
    </xf>
    <xf numFmtId="0" fontId="37" fillId="22" borderId="0" xfId="594" applyNumberFormat="1" applyFont="1" applyFill="1" applyBorder="1" applyAlignment="1">
      <alignment horizontal="right"/>
      <protection/>
    </xf>
    <xf numFmtId="181" fontId="37" fillId="22" borderId="0" xfId="594" applyNumberFormat="1" applyFont="1" applyFill="1" applyBorder="1">
      <alignment/>
      <protection/>
    </xf>
    <xf numFmtId="0" fontId="90" fillId="22" borderId="0" xfId="594" applyFont="1" applyFill="1" applyBorder="1">
      <alignment/>
      <protection/>
    </xf>
    <xf numFmtId="0" fontId="90" fillId="22" borderId="0" xfId="594" applyFont="1" applyFill="1" applyBorder="1" applyAlignment="1">
      <alignment horizontal="center"/>
      <protection/>
    </xf>
    <xf numFmtId="0" fontId="90" fillId="22" borderId="0" xfId="594" applyNumberFormat="1" applyFont="1" applyFill="1" applyBorder="1">
      <alignment/>
      <protection/>
    </xf>
    <xf numFmtId="9" fontId="90" fillId="22" borderId="0" xfId="594" applyNumberFormat="1" applyFont="1" applyFill="1" applyBorder="1" applyAlignment="1">
      <alignment horizontal="center"/>
      <protection/>
    </xf>
    <xf numFmtId="0" fontId="90" fillId="22" borderId="0" xfId="594" applyNumberFormat="1" applyFont="1" applyFill="1" applyBorder="1" applyAlignment="1">
      <alignment horizontal="center"/>
      <protection/>
    </xf>
    <xf numFmtId="181" fontId="90" fillId="22" borderId="0" xfId="594" applyNumberFormat="1" applyFont="1" applyFill="1" applyBorder="1">
      <alignment/>
      <protection/>
    </xf>
    <xf numFmtId="37" fontId="90" fillId="22" borderId="0" xfId="594" applyNumberFormat="1" applyFont="1" applyFill="1" applyBorder="1">
      <alignment/>
      <protection/>
    </xf>
    <xf numFmtId="4" fontId="90" fillId="22" borderId="0" xfId="594" applyNumberFormat="1" applyFont="1" applyFill="1" applyBorder="1" applyAlignment="1">
      <alignment horizontal="right"/>
      <protection/>
    </xf>
    <xf numFmtId="43" fontId="90" fillId="22" borderId="0" xfId="204" applyFont="1" applyFill="1" applyBorder="1" applyAlignment="1">
      <alignment horizontal="right"/>
    </xf>
    <xf numFmtId="174" fontId="35" fillId="0" borderId="0" xfId="211" applyNumberFormat="1" applyFont="1" applyBorder="1" applyAlignment="1">
      <alignment horizontal="left"/>
    </xf>
    <xf numFmtId="0" fontId="2" fillId="0" borderId="0" xfId="462">
      <alignment/>
      <protection/>
    </xf>
    <xf numFmtId="43" fontId="37" fillId="0" borderId="0" xfId="211" applyFont="1" applyFill="1" applyBorder="1" applyAlignment="1">
      <alignment/>
    </xf>
    <xf numFmtId="164" fontId="43" fillId="0" borderId="0" xfId="211" applyNumberFormat="1" applyFont="1" applyFill="1" applyBorder="1" applyAlignment="1">
      <alignment/>
    </xf>
    <xf numFmtId="43" fontId="37" fillId="26" borderId="0" xfId="211" applyFont="1" applyFill="1" applyBorder="1" applyAlignment="1">
      <alignment/>
    </xf>
    <xf numFmtId="43" fontId="37" fillId="14" borderId="0" xfId="211" applyFont="1" applyFill="1" applyBorder="1" applyAlignment="1">
      <alignment/>
    </xf>
    <xf numFmtId="164" fontId="35" fillId="0" borderId="0" xfId="211" applyNumberFormat="1" applyFont="1" applyFill="1" applyBorder="1" applyAlignment="1">
      <alignment/>
    </xf>
    <xf numFmtId="43" fontId="37" fillId="14" borderId="6" xfId="211" applyFont="1" applyFill="1" applyBorder="1" applyAlignment="1">
      <alignment/>
    </xf>
    <xf numFmtId="164" fontId="35" fillId="0" borderId="0" xfId="211" applyNumberFormat="1" applyFont="1" applyBorder="1" applyAlignment="1">
      <alignment horizontal="right"/>
    </xf>
    <xf numFmtId="43" fontId="37" fillId="0" borderId="0" xfId="211" applyFont="1" applyBorder="1" applyAlignment="1">
      <alignment/>
    </xf>
    <xf numFmtId="181" fontId="37" fillId="23" borderId="0" xfId="594" applyNumberFormat="1" applyFont="1" applyFill="1" applyBorder="1">
      <alignment/>
      <protection/>
    </xf>
    <xf numFmtId="43" fontId="37" fillId="23" borderId="0" xfId="204" applyFont="1" applyFill="1" applyBorder="1" applyAlignment="1">
      <alignment horizontal="right"/>
    </xf>
    <xf numFmtId="4" fontId="35" fillId="0" borderId="31" xfId="594" applyNumberFormat="1" applyFont="1" applyBorder="1" applyAlignment="1">
      <alignment horizontal="right"/>
      <protection/>
    </xf>
    <xf numFmtId="37" fontId="35" fillId="0" borderId="31" xfId="594" applyNumberFormat="1" applyFont="1" applyBorder="1">
      <alignment/>
      <protection/>
    </xf>
    <xf numFmtId="37" fontId="43" fillId="0" borderId="31" xfId="594" applyNumberFormat="1" applyFont="1" applyFill="1" applyBorder="1">
      <alignment/>
      <protection/>
    </xf>
    <xf numFmtId="37" fontId="43" fillId="0" borderId="32" xfId="594" applyNumberFormat="1" applyFont="1" applyFill="1" applyBorder="1">
      <alignment/>
      <protection/>
    </xf>
    <xf numFmtId="37" fontId="35" fillId="0" borderId="31" xfId="594" applyNumberFormat="1" applyFont="1" applyFill="1" applyBorder="1">
      <alignment/>
      <protection/>
    </xf>
    <xf numFmtId="9" fontId="37" fillId="0" borderId="0" xfId="611" applyFont="1" applyBorder="1" applyAlignment="1">
      <alignment horizontal="center"/>
    </xf>
    <xf numFmtId="9" fontId="37" fillId="0" borderId="0" xfId="611" applyFont="1" applyFill="1" applyBorder="1" applyAlignment="1">
      <alignment horizontal="center"/>
    </xf>
    <xf numFmtId="9" fontId="8" fillId="0" borderId="0" xfId="611" applyFont="1" applyFill="1" applyBorder="1" applyAlignment="1">
      <alignment horizontal="center"/>
    </xf>
    <xf numFmtId="0" fontId="41" fillId="0" borderId="0" xfId="594" applyFont="1" applyFill="1" applyBorder="1">
      <alignment/>
      <protection/>
    </xf>
    <xf numFmtId="164" fontId="37" fillId="0" borderId="0" xfId="204" applyNumberFormat="1" applyFont="1" applyBorder="1" applyAlignment="1">
      <alignment horizontal="right"/>
    </xf>
    <xf numFmtId="3" fontId="37" fillId="0" borderId="0" xfId="594" applyNumberFormat="1" applyFont="1" applyBorder="1" applyAlignment="1">
      <alignment horizontal="right"/>
      <protection/>
    </xf>
    <xf numFmtId="3" fontId="35" fillId="0" borderId="0" xfId="594" applyNumberFormat="1" applyFont="1" applyBorder="1" applyAlignment="1">
      <alignment horizontal="left"/>
      <protection/>
    </xf>
    <xf numFmtId="3" fontId="35" fillId="0" borderId="0" xfId="594" applyNumberFormat="1" applyFont="1" applyBorder="1" applyAlignment="1">
      <alignment horizontal="center"/>
      <protection/>
    </xf>
    <xf numFmtId="3" fontId="37" fillId="51" borderId="0" xfId="594" applyNumberFormat="1" applyFont="1" applyFill="1" applyBorder="1" applyAlignment="1">
      <alignment horizontal="right"/>
      <protection/>
    </xf>
    <xf numFmtId="3" fontId="41" fillId="0" borderId="0" xfId="594" applyNumberFormat="1" applyFont="1" applyBorder="1" applyAlignment="1">
      <alignment horizontal="right"/>
      <protection/>
    </xf>
    <xf numFmtId="164" fontId="37" fillId="0" borderId="0" xfId="594" applyNumberFormat="1" applyFont="1" applyBorder="1" applyAlignment="1">
      <alignment horizontal="right"/>
      <protection/>
    </xf>
    <xf numFmtId="164" fontId="37" fillId="51" borderId="0" xfId="594" applyNumberFormat="1" applyFont="1" applyFill="1" applyBorder="1" applyAlignment="1">
      <alignment horizontal="right"/>
      <protection/>
    </xf>
    <xf numFmtId="164" fontId="41" fillId="0" borderId="0" xfId="594" applyNumberFormat="1" applyFont="1" applyBorder="1" applyAlignment="1">
      <alignment horizontal="right"/>
      <protection/>
    </xf>
    <xf numFmtId="181" fontId="37" fillId="0" borderId="0" xfId="594" applyNumberFormat="1" applyFont="1" applyBorder="1">
      <alignment/>
      <protection/>
    </xf>
    <xf numFmtId="3" fontId="35" fillId="0" borderId="31" xfId="594" applyNumberFormat="1" applyFont="1" applyBorder="1" applyAlignment="1">
      <alignment horizontal="right"/>
      <protection/>
    </xf>
    <xf numFmtId="164" fontId="35" fillId="0" borderId="31" xfId="594" applyNumberFormat="1" applyFont="1" applyBorder="1" applyAlignment="1">
      <alignment horizontal="right"/>
      <protection/>
    </xf>
    <xf numFmtId="3" fontId="37" fillId="0" borderId="0" xfId="204" applyNumberFormat="1" applyFont="1" applyBorder="1" applyAlignment="1">
      <alignment horizontal="right"/>
    </xf>
    <xf numFmtId="3" fontId="90" fillId="22" borderId="0" xfId="594" applyNumberFormat="1" applyFont="1" applyFill="1" applyBorder="1" applyAlignment="1">
      <alignment horizontal="right"/>
      <protection/>
    </xf>
    <xf numFmtId="164" fontId="90" fillId="22" borderId="0" xfId="204" applyNumberFormat="1" applyFont="1" applyFill="1" applyBorder="1" applyAlignment="1">
      <alignment horizontal="right"/>
    </xf>
    <xf numFmtId="164" fontId="37" fillId="0" borderId="0" xfId="204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164" fontId="35" fillId="0" borderId="0" xfId="594" applyNumberFormat="1" applyFont="1" applyBorder="1" applyAlignment="1">
      <alignment horizontal="right"/>
      <protection/>
    </xf>
    <xf numFmtId="164" fontId="37" fillId="0" borderId="0" xfId="204" applyNumberFormat="1" applyFont="1" applyFill="1" applyBorder="1" applyAlignment="1">
      <alignment horizontal="right"/>
    </xf>
    <xf numFmtId="181" fontId="35" fillId="0" borderId="0" xfId="594" applyNumberFormat="1" applyFont="1" applyBorder="1" applyAlignment="1">
      <alignment horizontal="right"/>
      <protection/>
    </xf>
    <xf numFmtId="0" fontId="37" fillId="23" borderId="0" xfId="594" applyFont="1" applyFill="1" applyBorder="1" applyAlignment="1">
      <alignment horizontal="left"/>
      <protection/>
    </xf>
    <xf numFmtId="37" fontId="35" fillId="0" borderId="32" xfId="594" applyNumberFormat="1" applyFont="1" applyBorder="1">
      <alignment/>
      <protection/>
    </xf>
    <xf numFmtId="4" fontId="35" fillId="0" borderId="32" xfId="594" applyNumberFormat="1" applyFont="1" applyBorder="1" applyAlignment="1">
      <alignment horizontal="right"/>
      <protection/>
    </xf>
    <xf numFmtId="164" fontId="35" fillId="0" borderId="0" xfId="204" applyNumberFormat="1" applyFont="1" applyFill="1" applyBorder="1" applyAlignment="1">
      <alignment/>
    </xf>
    <xf numFmtId="0" fontId="37" fillId="0" borderId="0" xfId="594" applyFont="1" applyFill="1" applyBorder="1" applyAlignment="1" quotePrefix="1">
      <alignment horizontal="center"/>
      <protection/>
    </xf>
    <xf numFmtId="0" fontId="37" fillId="23" borderId="0" xfId="594" applyNumberFormat="1" applyFont="1" applyFill="1" applyBorder="1">
      <alignment/>
      <protection/>
    </xf>
    <xf numFmtId="1" fontId="37" fillId="23" borderId="0" xfId="594" applyNumberFormat="1" applyFont="1" applyFill="1" applyBorder="1" applyAlignment="1">
      <alignment horizontal="center"/>
      <protection/>
    </xf>
    <xf numFmtId="0" fontId="38" fillId="0" borderId="6" xfId="594" applyFont="1" applyBorder="1" applyAlignment="1">
      <alignment horizontal="center"/>
      <protection/>
    </xf>
    <xf numFmtId="0" fontId="38" fillId="0" borderId="6" xfId="594" applyFont="1" applyBorder="1" applyAlignment="1">
      <alignment horizontal="left"/>
      <protection/>
    </xf>
    <xf numFmtId="9" fontId="38" fillId="0" borderId="6" xfId="594" applyNumberFormat="1" applyFont="1" applyBorder="1" applyAlignment="1">
      <alignment horizontal="center"/>
      <protection/>
    </xf>
    <xf numFmtId="4" fontId="37" fillId="0" borderId="6" xfId="594" applyNumberFormat="1" applyFont="1" applyBorder="1" applyAlignment="1">
      <alignment horizontal="right"/>
      <protection/>
    </xf>
    <xf numFmtId="0" fontId="38" fillId="0" borderId="6" xfId="594" applyNumberFormat="1" applyFont="1" applyBorder="1" applyAlignment="1">
      <alignment horizontal="center"/>
      <protection/>
    </xf>
    <xf numFmtId="0" fontId="35" fillId="0" borderId="6" xfId="594" applyFont="1" applyBorder="1" applyAlignment="1">
      <alignment horizontal="center"/>
      <protection/>
    </xf>
    <xf numFmtId="178" fontId="35" fillId="0" borderId="6" xfId="594" applyNumberFormat="1" applyFont="1" applyBorder="1" applyAlignment="1">
      <alignment horizontal="center"/>
      <protection/>
    </xf>
    <xf numFmtId="180" fontId="35" fillId="0" borderId="6" xfId="594" applyNumberFormat="1" applyFont="1" applyBorder="1" applyAlignment="1">
      <alignment horizontal="center"/>
      <protection/>
    </xf>
    <xf numFmtId="0" fontId="38" fillId="51" borderId="6" xfId="594" applyFont="1" applyFill="1" applyBorder="1" applyAlignment="1">
      <alignment horizontal="center"/>
      <protection/>
    </xf>
    <xf numFmtId="3" fontId="38" fillId="0" borderId="6" xfId="594" applyNumberFormat="1" applyFont="1" applyBorder="1" applyAlignment="1">
      <alignment horizontal="center"/>
      <protection/>
    </xf>
    <xf numFmtId="0" fontId="35" fillId="0" borderId="0" xfId="594" applyNumberFormat="1" applyFont="1" applyBorder="1" applyAlignment="1" quotePrefix="1">
      <alignment horizontal="right"/>
      <protection/>
    </xf>
    <xf numFmtId="0" fontId="37" fillId="0" borderId="0" xfId="594" applyFont="1" applyBorder="1" applyAlignment="1">
      <alignment horizontal="right" wrapText="1"/>
      <protection/>
    </xf>
    <xf numFmtId="0" fontId="37" fillId="0" borderId="0" xfId="594" applyFont="1" applyBorder="1" applyAlignment="1">
      <alignment horizontal="right"/>
      <protection/>
    </xf>
    <xf numFmtId="0" fontId="35" fillId="0" borderId="0" xfId="594" applyFont="1" applyBorder="1" applyAlignment="1">
      <alignment horizontal="right"/>
      <protection/>
    </xf>
    <xf numFmtId="0" fontId="35" fillId="0" borderId="6" xfId="594" applyFont="1" applyFill="1" applyBorder="1" applyAlignment="1">
      <alignment horizontal="center"/>
      <protection/>
    </xf>
    <xf numFmtId="0" fontId="38" fillId="0" borderId="0" xfId="594" applyFont="1" applyBorder="1" applyAlignment="1">
      <alignment horizontal="right" wrapText="1"/>
      <protection/>
    </xf>
    <xf numFmtId="0" fontId="38" fillId="0" borderId="0" xfId="594" applyFont="1" applyBorder="1" applyAlignment="1">
      <alignment horizontal="right"/>
      <protection/>
    </xf>
    <xf numFmtId="0" fontId="35" fillId="0" borderId="33" xfId="594" applyFont="1" applyFill="1" applyBorder="1" applyAlignment="1">
      <alignment horizontal="center"/>
      <protection/>
    </xf>
    <xf numFmtId="0" fontId="35" fillId="0" borderId="33" xfId="594" applyFont="1" applyFill="1" applyBorder="1">
      <alignment/>
      <protection/>
    </xf>
    <xf numFmtId="0" fontId="37" fillId="0" borderId="0" xfId="594" applyFont="1" applyFill="1" applyBorder="1" applyAlignment="1">
      <alignment horizontal="right" wrapText="1"/>
      <protection/>
    </xf>
    <xf numFmtId="0" fontId="37" fillId="11" borderId="0" xfId="594" applyFont="1" applyFill="1" applyBorder="1" applyAlignment="1">
      <alignment horizontal="center"/>
      <protection/>
    </xf>
    <xf numFmtId="0" fontId="37" fillId="11" borderId="0" xfId="594" applyFont="1" applyFill="1" applyBorder="1" applyAlignment="1">
      <alignment horizontal="right"/>
      <protection/>
    </xf>
    <xf numFmtId="0" fontId="8" fillId="11" borderId="0" xfId="594" applyNumberFormat="1" applyFont="1" applyFill="1" applyBorder="1">
      <alignment/>
      <protection/>
    </xf>
    <xf numFmtId="0" fontId="37" fillId="11" borderId="0" xfId="594" applyFont="1" applyFill="1" applyBorder="1">
      <alignment/>
      <protection/>
    </xf>
    <xf numFmtId="9" fontId="8" fillId="11" borderId="0" xfId="594" applyNumberFormat="1" applyFont="1" applyFill="1" applyBorder="1" applyAlignment="1">
      <alignment horizontal="center"/>
      <protection/>
    </xf>
    <xf numFmtId="0" fontId="8" fillId="11" borderId="0" xfId="594" applyNumberFormat="1" applyFont="1" applyFill="1" applyBorder="1" applyAlignment="1">
      <alignment horizontal="center"/>
      <protection/>
    </xf>
    <xf numFmtId="0" fontId="37" fillId="11" borderId="0" xfId="594" applyNumberFormat="1" applyFont="1" applyFill="1" applyBorder="1" applyAlignment="1">
      <alignment horizontal="right"/>
      <protection/>
    </xf>
    <xf numFmtId="181" fontId="37" fillId="11" borderId="0" xfId="594" applyNumberFormat="1" applyFont="1" applyFill="1" applyBorder="1">
      <alignment/>
      <protection/>
    </xf>
    <xf numFmtId="37" fontId="8" fillId="11" borderId="0" xfId="594" applyNumberFormat="1" applyFont="1" applyFill="1" applyBorder="1">
      <alignment/>
      <protection/>
    </xf>
    <xf numFmtId="9" fontId="37" fillId="11" borderId="33" xfId="594" applyNumberFormat="1" applyFont="1" applyFill="1" applyBorder="1" applyAlignment="1">
      <alignment horizontal="right"/>
      <protection/>
    </xf>
    <xf numFmtId="0" fontId="37" fillId="11" borderId="33" xfId="594" applyFont="1" applyFill="1" applyBorder="1" applyAlignment="1">
      <alignment horizontal="right"/>
      <protection/>
    </xf>
    <xf numFmtId="9" fontId="37" fillId="0" borderId="33" xfId="594" applyNumberFormat="1" applyFont="1" applyFill="1" applyBorder="1">
      <alignment/>
      <protection/>
    </xf>
    <xf numFmtId="0" fontId="37" fillId="0" borderId="33" xfId="594" applyFont="1" applyFill="1" applyBorder="1">
      <alignment/>
      <protection/>
    </xf>
    <xf numFmtId="0" fontId="37" fillId="0" borderId="0" xfId="594" applyFont="1" applyFill="1" applyBorder="1" applyAlignment="1" quotePrefix="1">
      <alignment horizontal="right"/>
      <protection/>
    </xf>
    <xf numFmtId="0" fontId="37" fillId="62" borderId="0" xfId="594" applyFont="1" applyFill="1" applyBorder="1" applyAlignment="1">
      <alignment horizontal="right"/>
      <protection/>
    </xf>
    <xf numFmtId="0" fontId="37" fillId="0" borderId="33" xfId="594" applyFont="1" applyFill="1" applyBorder="1" applyAlignment="1">
      <alignment horizontal="right"/>
      <protection/>
    </xf>
    <xf numFmtId="0" fontId="88" fillId="0" borderId="33" xfId="594" applyFont="1" applyFill="1" applyBorder="1">
      <alignment/>
      <protection/>
    </xf>
    <xf numFmtId="9" fontId="37" fillId="0" borderId="0" xfId="594" applyNumberFormat="1" applyFont="1" applyFill="1" applyBorder="1">
      <alignment/>
      <protection/>
    </xf>
    <xf numFmtId="0" fontId="38" fillId="0" borderId="0" xfId="594" applyFont="1" applyFill="1" applyBorder="1">
      <alignment/>
      <protection/>
    </xf>
    <xf numFmtId="0" fontId="66" fillId="0" borderId="0" xfId="594" applyNumberFormat="1" applyFont="1" applyFill="1" applyBorder="1">
      <alignment/>
      <protection/>
    </xf>
    <xf numFmtId="0" fontId="37" fillId="22" borderId="0" xfId="594" applyFont="1" applyFill="1" applyBorder="1" applyAlignment="1">
      <alignment horizontal="center"/>
      <protection/>
    </xf>
    <xf numFmtId="9" fontId="37" fillId="0" borderId="0" xfId="611" applyFont="1" applyFill="1" applyBorder="1" applyAlignment="1">
      <alignment/>
    </xf>
    <xf numFmtId="0" fontId="35" fillId="0" borderId="31" xfId="594" applyFont="1" applyBorder="1" applyAlignment="1">
      <alignment horizontal="left"/>
      <protection/>
    </xf>
    <xf numFmtId="0" fontId="35" fillId="0" borderId="31" xfId="594" applyFont="1" applyBorder="1" applyAlignment="1">
      <alignment horizontal="center"/>
      <protection/>
    </xf>
    <xf numFmtId="1" fontId="37" fillId="0" borderId="31" xfId="594" applyNumberFormat="1" applyFont="1" applyBorder="1" applyAlignment="1">
      <alignment horizontal="center"/>
      <protection/>
    </xf>
    <xf numFmtId="0" fontId="37" fillId="0" borderId="31" xfId="594" applyFont="1" applyBorder="1">
      <alignment/>
      <protection/>
    </xf>
    <xf numFmtId="0" fontId="37" fillId="0" borderId="31" xfId="594" applyFont="1" applyBorder="1" applyAlignment="1">
      <alignment horizontal="center"/>
      <protection/>
    </xf>
    <xf numFmtId="0" fontId="8" fillId="0" borderId="31" xfId="594" applyNumberFormat="1" applyFont="1" applyBorder="1" applyAlignment="1">
      <alignment horizontal="center"/>
      <protection/>
    </xf>
    <xf numFmtId="0" fontId="37" fillId="0" borderId="31" xfId="594" applyNumberFormat="1" applyFont="1" applyBorder="1" applyAlignment="1">
      <alignment horizontal="right"/>
      <protection/>
    </xf>
    <xf numFmtId="0" fontId="35" fillId="0" borderId="31" xfId="594" applyFont="1" applyBorder="1" applyAlignment="1">
      <alignment/>
      <protection/>
    </xf>
    <xf numFmtId="0" fontId="35" fillId="0" borderId="31" xfId="594" applyFont="1" applyBorder="1">
      <alignment/>
      <protection/>
    </xf>
    <xf numFmtId="1" fontId="35" fillId="0" borderId="31" xfId="594" applyNumberFormat="1" applyFont="1" applyBorder="1" applyAlignment="1">
      <alignment horizontal="center"/>
      <protection/>
    </xf>
    <xf numFmtId="0" fontId="35" fillId="0" borderId="31" xfId="594" applyNumberFormat="1" applyFont="1" applyBorder="1" applyAlignment="1">
      <alignment horizontal="right"/>
      <protection/>
    </xf>
    <xf numFmtId="3" fontId="35" fillId="0" borderId="31" xfId="594" applyNumberFormat="1" applyFont="1" applyBorder="1" applyAlignment="1">
      <alignment/>
      <protection/>
    </xf>
    <xf numFmtId="0" fontId="38" fillId="0" borderId="0" xfId="594" applyFont="1" applyFill="1" applyBorder="1" applyAlignment="1">
      <alignment horizontal="left"/>
      <protection/>
    </xf>
    <xf numFmtId="9" fontId="90" fillId="22" borderId="0" xfId="611" applyFont="1" applyFill="1" applyBorder="1" applyAlignment="1">
      <alignment horizontal="center"/>
    </xf>
    <xf numFmtId="164" fontId="37" fillId="0" borderId="0" xfId="204" applyNumberFormat="1" applyFont="1" applyBorder="1" applyAlignment="1">
      <alignment horizontal="center"/>
    </xf>
    <xf numFmtId="164" fontId="8" fillId="0" borderId="0" xfId="204" applyNumberFormat="1" applyFont="1" applyBorder="1" applyAlignment="1">
      <alignment/>
    </xf>
    <xf numFmtId="164" fontId="8" fillId="0" borderId="0" xfId="204" applyNumberFormat="1" applyFont="1" applyFill="1" applyBorder="1" applyAlignment="1">
      <alignment horizontal="center"/>
    </xf>
    <xf numFmtId="164" fontId="90" fillId="22" borderId="0" xfId="204" applyNumberFormat="1" applyFont="1" applyFill="1" applyBorder="1" applyAlignment="1">
      <alignment horizontal="center"/>
    </xf>
    <xf numFmtId="164" fontId="37" fillId="0" borderId="0" xfId="204" applyNumberFormat="1" applyFont="1" applyFill="1" applyBorder="1" applyAlignment="1">
      <alignment horizontal="center"/>
    </xf>
    <xf numFmtId="14" fontId="35" fillId="0" borderId="6" xfId="594" applyNumberFormat="1" applyFont="1" applyFill="1" applyBorder="1" applyAlignment="1" quotePrefix="1">
      <alignment horizontal="center"/>
      <protection/>
    </xf>
    <xf numFmtId="164" fontId="37" fillId="0" borderId="6" xfId="204" applyNumberFormat="1" applyFont="1" applyFill="1" applyBorder="1" applyAlignment="1">
      <alignment/>
    </xf>
    <xf numFmtId="0" fontId="35" fillId="0" borderId="34" xfId="594" applyFont="1" applyFill="1" applyBorder="1">
      <alignment/>
      <protection/>
    </xf>
    <xf numFmtId="0" fontId="36" fillId="0" borderId="35" xfId="594" applyFont="1" applyFill="1" applyBorder="1">
      <alignment/>
      <protection/>
    </xf>
    <xf numFmtId="0" fontId="37" fillId="0" borderId="35" xfId="594" applyFont="1" applyFill="1" applyBorder="1">
      <alignment/>
      <protection/>
    </xf>
    <xf numFmtId="0" fontId="37" fillId="0" borderId="36" xfId="594" applyFont="1" applyFill="1" applyBorder="1">
      <alignment/>
      <protection/>
    </xf>
    <xf numFmtId="0" fontId="35" fillId="0" borderId="37" xfId="594" applyFont="1" applyFill="1" applyBorder="1">
      <alignment/>
      <protection/>
    </xf>
    <xf numFmtId="0" fontId="37" fillId="0" borderId="38" xfId="594" applyFont="1" applyFill="1" applyBorder="1">
      <alignment/>
      <protection/>
    </xf>
    <xf numFmtId="0" fontId="37" fillId="0" borderId="37" xfId="594" applyFont="1" applyFill="1" applyBorder="1">
      <alignment/>
      <protection/>
    </xf>
    <xf numFmtId="0" fontId="35" fillId="0" borderId="38" xfId="594" applyFont="1" applyFill="1" applyBorder="1" applyAlignment="1">
      <alignment horizontal="center"/>
      <protection/>
    </xf>
    <xf numFmtId="0" fontId="35" fillId="0" borderId="37" xfId="594" applyFont="1" applyFill="1" applyBorder="1" applyAlignment="1">
      <alignment horizontal="center"/>
      <protection/>
    </xf>
    <xf numFmtId="14" fontId="35" fillId="0" borderId="39" xfId="594" applyNumberFormat="1" applyFont="1" applyFill="1" applyBorder="1" applyAlignment="1" quotePrefix="1">
      <alignment horizontal="center"/>
      <protection/>
    </xf>
    <xf numFmtId="0" fontId="38" fillId="0" borderId="37" xfId="594" applyFont="1" applyFill="1" applyBorder="1">
      <alignment/>
      <protection/>
    </xf>
    <xf numFmtId="164" fontId="37" fillId="0" borderId="38" xfId="204" applyNumberFormat="1" applyFont="1" applyFill="1" applyBorder="1" applyAlignment="1">
      <alignment/>
    </xf>
    <xf numFmtId="0" fontId="37" fillId="0" borderId="40" xfId="594" applyFont="1" applyFill="1" applyBorder="1">
      <alignment/>
      <protection/>
    </xf>
    <xf numFmtId="164" fontId="37" fillId="0" borderId="39" xfId="204" applyNumberFormat="1" applyFont="1" applyFill="1" applyBorder="1" applyAlignment="1">
      <alignment/>
    </xf>
    <xf numFmtId="164" fontId="35" fillId="0" borderId="38" xfId="204" applyNumberFormat="1" applyFont="1" applyFill="1" applyBorder="1" applyAlignment="1">
      <alignment/>
    </xf>
    <xf numFmtId="0" fontId="35" fillId="0" borderId="41" xfId="594" applyFont="1" applyFill="1" applyBorder="1">
      <alignment/>
      <protection/>
    </xf>
    <xf numFmtId="164" fontId="35" fillId="0" borderId="26" xfId="204" applyNumberFormat="1" applyFont="1" applyFill="1" applyBorder="1" applyAlignment="1">
      <alignment/>
    </xf>
    <xf numFmtId="164" fontId="35" fillId="0" borderId="42" xfId="204" applyNumberFormat="1" applyFont="1" applyFill="1" applyBorder="1" applyAlignment="1">
      <alignment/>
    </xf>
    <xf numFmtId="0" fontId="90" fillId="22" borderId="0" xfId="594" applyFont="1" applyFill="1" applyBorder="1" applyAlignment="1">
      <alignment horizontal="right" wrapText="1"/>
      <protection/>
    </xf>
    <xf numFmtId="0" fontId="35" fillId="0" borderId="0" xfId="594" applyFont="1" applyFill="1" applyBorder="1" applyAlignment="1">
      <alignment horizontal="right" wrapText="1"/>
      <protection/>
    </xf>
    <xf numFmtId="0" fontId="37" fillId="3" borderId="0" xfId="594" applyFont="1" applyFill="1" applyBorder="1" applyAlignment="1">
      <alignment horizontal="right" wrapText="1"/>
      <protection/>
    </xf>
    <xf numFmtId="0" fontId="37" fillId="0" borderId="0" xfId="0" applyFont="1" applyBorder="1" applyAlignment="1">
      <alignment horizontal="right" wrapText="1"/>
    </xf>
    <xf numFmtId="0" fontId="37" fillId="13" borderId="0" xfId="594" applyFont="1" applyFill="1" applyBorder="1" applyAlignment="1">
      <alignment horizontal="right" wrapText="1"/>
      <protection/>
    </xf>
    <xf numFmtId="0" fontId="37" fillId="32" borderId="0" xfId="594" applyFont="1" applyFill="1" applyBorder="1" applyAlignment="1">
      <alignment horizontal="right" wrapText="1"/>
      <protection/>
    </xf>
    <xf numFmtId="0" fontId="37" fillId="62" borderId="0" xfId="594" applyFont="1" applyFill="1" applyBorder="1" applyAlignment="1">
      <alignment horizontal="right" wrapText="1"/>
      <protection/>
    </xf>
    <xf numFmtId="0" fontId="39" fillId="0" borderId="0" xfId="594" applyFont="1" applyFill="1" applyBorder="1" applyAlignment="1">
      <alignment horizontal="right" wrapText="1"/>
      <protection/>
    </xf>
    <xf numFmtId="0" fontId="90" fillId="0" borderId="0" xfId="594" applyFont="1" applyFill="1" applyBorder="1" applyAlignment="1">
      <alignment horizontal="right" wrapText="1"/>
      <protection/>
    </xf>
    <xf numFmtId="0" fontId="90" fillId="0" borderId="0" xfId="594" applyFont="1" applyFill="1" applyBorder="1" applyAlignment="1">
      <alignment horizontal="center"/>
      <protection/>
    </xf>
    <xf numFmtId="0" fontId="90" fillId="0" borderId="0" xfId="594" applyFont="1" applyFill="1" applyBorder="1" applyAlignment="1">
      <alignment horizontal="right"/>
      <protection/>
    </xf>
    <xf numFmtId="0" fontId="90" fillId="0" borderId="0" xfId="594" applyNumberFormat="1" applyFont="1" applyFill="1" applyBorder="1">
      <alignment/>
      <protection/>
    </xf>
    <xf numFmtId="9" fontId="90" fillId="0" borderId="0" xfId="594" applyNumberFormat="1" applyFont="1" applyFill="1" applyBorder="1" applyAlignment="1">
      <alignment horizontal="center"/>
      <protection/>
    </xf>
    <xf numFmtId="0" fontId="90" fillId="0" borderId="0" xfId="594" applyFont="1" applyFill="1" applyBorder="1">
      <alignment/>
      <protection/>
    </xf>
    <xf numFmtId="0" fontId="90" fillId="0" borderId="0" xfId="594" applyNumberFormat="1" applyFont="1" applyFill="1" applyBorder="1" applyAlignment="1">
      <alignment horizontal="center"/>
      <protection/>
    </xf>
    <xf numFmtId="0" fontId="90" fillId="0" borderId="0" xfId="594" applyNumberFormat="1" applyFont="1" applyFill="1" applyBorder="1" applyAlignment="1">
      <alignment horizontal="right"/>
      <protection/>
    </xf>
    <xf numFmtId="181" fontId="90" fillId="0" borderId="0" xfId="594" applyNumberFormat="1" applyFont="1" applyFill="1" applyBorder="1">
      <alignment/>
      <protection/>
    </xf>
    <xf numFmtId="37" fontId="90" fillId="0" borderId="0" xfId="594" applyNumberFormat="1" applyFont="1" applyFill="1" applyBorder="1">
      <alignment/>
      <protection/>
    </xf>
    <xf numFmtId="9" fontId="90" fillId="0" borderId="33" xfId="594" applyNumberFormat="1" applyFont="1" applyFill="1" applyBorder="1">
      <alignment/>
      <protection/>
    </xf>
    <xf numFmtId="0" fontId="90" fillId="0" borderId="33" xfId="594" applyFont="1" applyFill="1" applyBorder="1">
      <alignment/>
      <protection/>
    </xf>
    <xf numFmtId="9" fontId="90" fillId="0" borderId="0" xfId="611" applyFont="1" applyFill="1" applyBorder="1" applyAlignment="1">
      <alignment/>
    </xf>
    <xf numFmtId="189" fontId="37" fillId="0" borderId="0" xfId="204" applyNumberFormat="1" applyFont="1" applyBorder="1" applyAlignment="1">
      <alignment/>
    </xf>
    <xf numFmtId="189" fontId="90" fillId="22" borderId="0" xfId="204" applyNumberFormat="1" applyFont="1" applyFill="1" applyBorder="1" applyAlignment="1">
      <alignment/>
    </xf>
    <xf numFmtId="189" fontId="37" fillId="0" borderId="0" xfId="204" applyNumberFormat="1" applyFont="1" applyFill="1" applyBorder="1" applyAlignment="1">
      <alignment/>
    </xf>
    <xf numFmtId="0" fontId="38" fillId="0" borderId="0" xfId="594" applyNumberFormat="1" applyFont="1" applyBorder="1" applyAlignment="1">
      <alignment horizontal="right"/>
      <protection/>
    </xf>
    <xf numFmtId="0" fontId="90" fillId="22" borderId="0" xfId="594" applyNumberFormat="1" applyFont="1" applyFill="1" applyBorder="1" applyAlignment="1">
      <alignment horizontal="right"/>
      <protection/>
    </xf>
    <xf numFmtId="0" fontId="37" fillId="3" borderId="0" xfId="594" applyNumberFormat="1" applyFont="1" applyFill="1" applyBorder="1" applyAlignment="1">
      <alignment horizontal="right"/>
      <protection/>
    </xf>
    <xf numFmtId="0" fontId="35" fillId="0" borderId="6" xfId="594" applyFont="1" applyFill="1" applyBorder="1" applyAlignment="1">
      <alignment horizontal="center"/>
      <protection/>
    </xf>
    <xf numFmtId="0" fontId="35" fillId="0" borderId="0" xfId="594" applyFont="1" applyBorder="1" applyAlignment="1">
      <alignment horizontal="center"/>
      <protection/>
    </xf>
    <xf numFmtId="0" fontId="56" fillId="64" borderId="0" xfId="593" applyFont="1" applyFill="1" applyBorder="1" applyAlignment="1">
      <alignment horizontal="center" wrapText="1"/>
      <protection/>
    </xf>
  </cellXfs>
  <cellStyles count="6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1 2" xfId="16"/>
    <cellStyle name="20% - Accent1 2 2" xfId="17"/>
    <cellStyle name="20% - Accent1 2 2 2" xfId="18"/>
    <cellStyle name="20% - Accent1 3" xfId="19"/>
    <cellStyle name="20% - Accent1 3 2" xfId="20"/>
    <cellStyle name="20% - Accent1 4" xfId="21"/>
    <cellStyle name="20% - Accent1 5" xfId="22"/>
    <cellStyle name="20% - Accent2" xfId="23"/>
    <cellStyle name="20% - Accent2 2" xfId="24"/>
    <cellStyle name="20% - Accent2 3" xfId="25"/>
    <cellStyle name="20% - Accent2 3 2" xfId="26"/>
    <cellStyle name="20% - Accent2 4" xfId="27"/>
    <cellStyle name="20% - Accent2 5" xfId="28"/>
    <cellStyle name="20% - Accent3" xfId="29"/>
    <cellStyle name="20% - Accent3 2" xfId="30"/>
    <cellStyle name="20% - Accent3 3" xfId="31"/>
    <cellStyle name="20% - Accent3 3 2" xfId="32"/>
    <cellStyle name="20% - Accent3 4" xfId="33"/>
    <cellStyle name="20% - Accent3 5" xfId="34"/>
    <cellStyle name="20% - Accent4" xfId="35"/>
    <cellStyle name="20% - Accent4 2" xfId="36"/>
    <cellStyle name="20% - Accent4 2 2" xfId="37"/>
    <cellStyle name="20% - Accent4 2 2 2" xfId="38"/>
    <cellStyle name="20% - Accent4 3" xfId="39"/>
    <cellStyle name="20% - Accent4 3 2" xfId="40"/>
    <cellStyle name="20% - Accent4 4" xfId="41"/>
    <cellStyle name="20% - Accent4 5" xfId="42"/>
    <cellStyle name="20% - Accent5" xfId="43"/>
    <cellStyle name="20% - Accent5 2" xfId="44"/>
    <cellStyle name="20% - Accent5 3" xfId="45"/>
    <cellStyle name="20% - Accent5 4" xfId="46"/>
    <cellStyle name="20% - Accent5 5" xfId="47"/>
    <cellStyle name="20% - Accent6" xfId="48"/>
    <cellStyle name="20% - Accent6 2" xfId="49"/>
    <cellStyle name="20% - Accent6 3" xfId="50"/>
    <cellStyle name="20% - Accent6 3 2" xfId="51"/>
    <cellStyle name="20% - Accent6 4" xfId="52"/>
    <cellStyle name="20% - Accent6 5" xfId="53"/>
    <cellStyle name="40% - Accent1" xfId="54"/>
    <cellStyle name="40% - Accent1 2" xfId="55"/>
    <cellStyle name="40% - Accent1 2 2" xfId="56"/>
    <cellStyle name="40% - Accent1 2 2 2" xfId="57"/>
    <cellStyle name="40% - Accent1 3" xfId="58"/>
    <cellStyle name="40% - Accent1 3 2" xfId="59"/>
    <cellStyle name="40% - Accent1 4" xfId="60"/>
    <cellStyle name="40% - Accent1 5" xfId="61"/>
    <cellStyle name="40% - Accent2" xfId="62"/>
    <cellStyle name="40% - Accent2 2" xfId="63"/>
    <cellStyle name="40% - Accent2 3" xfId="64"/>
    <cellStyle name="40% - Accent2 4" xfId="65"/>
    <cellStyle name="40% - Accent2 5" xfId="66"/>
    <cellStyle name="40% - Accent3" xfId="67"/>
    <cellStyle name="40% - Accent3 2" xfId="68"/>
    <cellStyle name="40% - Accent3 3" xfId="69"/>
    <cellStyle name="40% - Accent3 3 2" xfId="70"/>
    <cellStyle name="40% - Accent3 4" xfId="71"/>
    <cellStyle name="40% - Accent3 5" xfId="72"/>
    <cellStyle name="40% - Accent4" xfId="73"/>
    <cellStyle name="40% - Accent4 2" xfId="74"/>
    <cellStyle name="40% - Accent4 2 2" xfId="75"/>
    <cellStyle name="40% - Accent4 2 2 2" xfId="76"/>
    <cellStyle name="40% - Accent4 3" xfId="77"/>
    <cellStyle name="40% - Accent4 3 2" xfId="78"/>
    <cellStyle name="40% - Accent4 4" xfId="79"/>
    <cellStyle name="40% - Accent4 5" xfId="80"/>
    <cellStyle name="40% - Accent5" xfId="81"/>
    <cellStyle name="40% - Accent5 2" xfId="82"/>
    <cellStyle name="40% - Accent5 2 2" xfId="83"/>
    <cellStyle name="40% - Accent5 2 2 2" xfId="84"/>
    <cellStyle name="40% - Accent5 3" xfId="85"/>
    <cellStyle name="40% - Accent5 3 2" xfId="86"/>
    <cellStyle name="40% - Accent5 4" xfId="87"/>
    <cellStyle name="40% - Accent5 5" xfId="88"/>
    <cellStyle name="40% - Accent6" xfId="89"/>
    <cellStyle name="40% - Accent6 2" xfId="90"/>
    <cellStyle name="40% - Accent6 2 2" xfId="91"/>
    <cellStyle name="40% - Accent6 2 2 2" xfId="92"/>
    <cellStyle name="40% - Accent6 3" xfId="93"/>
    <cellStyle name="40% - Accent6 3 2" xfId="94"/>
    <cellStyle name="40% - Accent6 4" xfId="95"/>
    <cellStyle name="40% - Accent6 5" xfId="96"/>
    <cellStyle name="60% - Accent1" xfId="97"/>
    <cellStyle name="60% - Accent1 2" xfId="98"/>
    <cellStyle name="60% - Accent1 2 2" xfId="99"/>
    <cellStyle name="60% - Accent1 2 2 2" xfId="100"/>
    <cellStyle name="60% - Accent1 3" xfId="101"/>
    <cellStyle name="60% - Accent1 3 2" xfId="102"/>
    <cellStyle name="60% - Accent1 4" xfId="103"/>
    <cellStyle name="60% - Accent2" xfId="104"/>
    <cellStyle name="60% - Accent2 2" xfId="105"/>
    <cellStyle name="60% - Accent2 2 2" xfId="106"/>
    <cellStyle name="60% - Accent2 2 2 2" xfId="107"/>
    <cellStyle name="60% - Accent2 3" xfId="108"/>
    <cellStyle name="60% - Accent2 3 2" xfId="109"/>
    <cellStyle name="60% - Accent2 4" xfId="110"/>
    <cellStyle name="60% - Accent3" xfId="111"/>
    <cellStyle name="60% - Accent3 2" xfId="112"/>
    <cellStyle name="60% - Accent3 2 2" xfId="113"/>
    <cellStyle name="60% - Accent3 2 2 2" xfId="114"/>
    <cellStyle name="60% - Accent3 3" xfId="115"/>
    <cellStyle name="60% - Accent3 3 2" xfId="116"/>
    <cellStyle name="60% - Accent3 4" xfId="117"/>
    <cellStyle name="60% - Accent4" xfId="118"/>
    <cellStyle name="60% - Accent4 2" xfId="119"/>
    <cellStyle name="60% - Accent4 2 2" xfId="120"/>
    <cellStyle name="60% - Accent4 2 2 2" xfId="121"/>
    <cellStyle name="60% - Accent4 3" xfId="122"/>
    <cellStyle name="60% - Accent4 3 2" xfId="123"/>
    <cellStyle name="60% - Accent4 4" xfId="124"/>
    <cellStyle name="60% - Accent5" xfId="125"/>
    <cellStyle name="60% - Accent5 2" xfId="126"/>
    <cellStyle name="60% - Accent5 2 2" xfId="127"/>
    <cellStyle name="60% - Accent5 2 2 2" xfId="128"/>
    <cellStyle name="60% - Accent5 3" xfId="129"/>
    <cellStyle name="60% - Accent5 3 2" xfId="130"/>
    <cellStyle name="60% - Accent5 4" xfId="131"/>
    <cellStyle name="60% - Accent6" xfId="132"/>
    <cellStyle name="60% - Accent6 2" xfId="133"/>
    <cellStyle name="60% - Accent6 3" xfId="134"/>
    <cellStyle name="60% - Accent6 3 2" xfId="135"/>
    <cellStyle name="60% - Accent6 4" xfId="136"/>
    <cellStyle name="Accent1" xfId="137"/>
    <cellStyle name="Accent1 2" xfId="138"/>
    <cellStyle name="Accent1 2 2" xfId="139"/>
    <cellStyle name="Accent1 2 2 2" xfId="140"/>
    <cellStyle name="Accent1 3" xfId="141"/>
    <cellStyle name="Accent1 3 2" xfId="142"/>
    <cellStyle name="Accent1 4" xfId="143"/>
    <cellStyle name="Accent2" xfId="144"/>
    <cellStyle name="Accent2 2" xfId="145"/>
    <cellStyle name="Accent2 2 2" xfId="146"/>
    <cellStyle name="Accent2 2 2 2" xfId="147"/>
    <cellStyle name="Accent2 3" xfId="148"/>
    <cellStyle name="Accent2 3 2" xfId="149"/>
    <cellStyle name="Accent2 4" xfId="150"/>
    <cellStyle name="Accent3" xfId="151"/>
    <cellStyle name="Accent3 2" xfId="152"/>
    <cellStyle name="Accent3 2 2" xfId="153"/>
    <cellStyle name="Accent3 2 2 2" xfId="154"/>
    <cellStyle name="Accent3 3" xfId="155"/>
    <cellStyle name="Accent3 3 2" xfId="156"/>
    <cellStyle name="Accent3 4" xfId="157"/>
    <cellStyle name="Accent4" xfId="158"/>
    <cellStyle name="Accent4 2" xfId="159"/>
    <cellStyle name="Accent4 2 2" xfId="160"/>
    <cellStyle name="Accent4 3" xfId="161"/>
    <cellStyle name="Accent4 3 2" xfId="162"/>
    <cellStyle name="Accent4 4" xfId="163"/>
    <cellStyle name="Accent5" xfId="164"/>
    <cellStyle name="Accent5 2" xfId="165"/>
    <cellStyle name="Accent5 2 2" xfId="166"/>
    <cellStyle name="Accent5 3" xfId="167"/>
    <cellStyle name="Accent5 4" xfId="168"/>
    <cellStyle name="Accent6" xfId="169"/>
    <cellStyle name="Accent6 2" xfId="170"/>
    <cellStyle name="Accent6 2 2" xfId="171"/>
    <cellStyle name="Accent6 2 2 2" xfId="172"/>
    <cellStyle name="Accent6 3" xfId="173"/>
    <cellStyle name="Accent6 3 2" xfId="174"/>
    <cellStyle name="Accent6 4" xfId="175"/>
    <cellStyle name="Accounting" xfId="176"/>
    <cellStyle name="Accounting 2" xfId="177"/>
    <cellStyle name="Accounting 3" xfId="178"/>
    <cellStyle name="Accounting_2011-11" xfId="179"/>
    <cellStyle name="Bad" xfId="180"/>
    <cellStyle name="Bad 2" xfId="181"/>
    <cellStyle name="Bad 2 2" xfId="182"/>
    <cellStyle name="Bad 2 2 2" xfId="183"/>
    <cellStyle name="Bad 3" xfId="184"/>
    <cellStyle name="Bad 3 2" xfId="185"/>
    <cellStyle name="Bad 4" xfId="186"/>
    <cellStyle name="Budget" xfId="187"/>
    <cellStyle name="Budget 2" xfId="188"/>
    <cellStyle name="Budget 3" xfId="189"/>
    <cellStyle name="Budget_2011-11" xfId="190"/>
    <cellStyle name="Calculation" xfId="191"/>
    <cellStyle name="Calculation 2" xfId="192"/>
    <cellStyle name="Calculation 2 2" xfId="193"/>
    <cellStyle name="Calculation 2 2 2" xfId="194"/>
    <cellStyle name="Calculation 3" xfId="195"/>
    <cellStyle name="Calculation 3 2" xfId="196"/>
    <cellStyle name="Calculation 4" xfId="197"/>
    <cellStyle name="Check Cell" xfId="198"/>
    <cellStyle name="Check Cell 2" xfId="199"/>
    <cellStyle name="Check Cell 2 2" xfId="200"/>
    <cellStyle name="Check Cell 3" xfId="201"/>
    <cellStyle name="Check Cell 4" xfId="202"/>
    <cellStyle name="combo" xfId="203"/>
    <cellStyle name="Comma" xfId="204"/>
    <cellStyle name="Comma [0]" xfId="205"/>
    <cellStyle name="Comma 10" xfId="206"/>
    <cellStyle name="Comma 10 2" xfId="207"/>
    <cellStyle name="Comma 11" xfId="208"/>
    <cellStyle name="Comma 11 2" xfId="209"/>
    <cellStyle name="Comma 12" xfId="210"/>
    <cellStyle name="Comma 12 2" xfId="211"/>
    <cellStyle name="Comma 12 3" xfId="212"/>
    <cellStyle name="Comma 13" xfId="213"/>
    <cellStyle name="Comma 13 2" xfId="214"/>
    <cellStyle name="Comma 14" xfId="215"/>
    <cellStyle name="Comma 14 2" xfId="216"/>
    <cellStyle name="Comma 15" xfId="217"/>
    <cellStyle name="Comma 15 2" xfId="218"/>
    <cellStyle name="Comma 16" xfId="219"/>
    <cellStyle name="Comma 16 2" xfId="220"/>
    <cellStyle name="Comma 17" xfId="221"/>
    <cellStyle name="Comma 18" xfId="222"/>
    <cellStyle name="Comma 18 2" xfId="223"/>
    <cellStyle name="Comma 19" xfId="224"/>
    <cellStyle name="Comma 2" xfId="225"/>
    <cellStyle name="Comma 2 2" xfId="226"/>
    <cellStyle name="Comma 2 2 2" xfId="227"/>
    <cellStyle name="Comma 2 2 2 2" xfId="228"/>
    <cellStyle name="Comma 2 3" xfId="229"/>
    <cellStyle name="Comma 2 3 2" xfId="230"/>
    <cellStyle name="Comma 2 4" xfId="231"/>
    <cellStyle name="Comma 2 4 2" xfId="232"/>
    <cellStyle name="Comma 2 4 3" xfId="233"/>
    <cellStyle name="Comma 2 5" xfId="234"/>
    <cellStyle name="Comma 2 6" xfId="235"/>
    <cellStyle name="Comma 2 6 2" xfId="236"/>
    <cellStyle name="Comma 2 7" xfId="237"/>
    <cellStyle name="Comma 2 8" xfId="238"/>
    <cellStyle name="Comma 20" xfId="239"/>
    <cellStyle name="Comma 3" xfId="240"/>
    <cellStyle name="Comma 3 2" xfId="241"/>
    <cellStyle name="Comma 3 2 2" xfId="242"/>
    <cellStyle name="Comma 3 3" xfId="243"/>
    <cellStyle name="Comma 3 4" xfId="244"/>
    <cellStyle name="Comma 4" xfId="245"/>
    <cellStyle name="Comma 4 2" xfId="246"/>
    <cellStyle name="Comma 4 2 2" xfId="247"/>
    <cellStyle name="Comma 4 2 2 2" xfId="248"/>
    <cellStyle name="Comma 4 3" xfId="249"/>
    <cellStyle name="Comma 4 3 2" xfId="250"/>
    <cellStyle name="Comma 4 4" xfId="251"/>
    <cellStyle name="Comma 4 4 2" xfId="252"/>
    <cellStyle name="Comma 4 5" xfId="253"/>
    <cellStyle name="Comma 4 6" xfId="254"/>
    <cellStyle name="Comma 5" xfId="255"/>
    <cellStyle name="Comma 5 2" xfId="256"/>
    <cellStyle name="Comma 6" xfId="257"/>
    <cellStyle name="Comma 6 2" xfId="258"/>
    <cellStyle name="Comma 6 2 2" xfId="259"/>
    <cellStyle name="Comma 7" xfId="260"/>
    <cellStyle name="Comma 7 2" xfId="261"/>
    <cellStyle name="Comma 8" xfId="262"/>
    <cellStyle name="Comma 8 2" xfId="263"/>
    <cellStyle name="Comma 8 2 2" xfId="264"/>
    <cellStyle name="Comma 9" xfId="265"/>
    <cellStyle name="Comma 9 2" xfId="266"/>
    <cellStyle name="Comma(2)" xfId="267"/>
    <cellStyle name="Comma0 - Style2" xfId="268"/>
    <cellStyle name="Comma1 - Style1" xfId="269"/>
    <cellStyle name="Comments" xfId="270"/>
    <cellStyle name="Currency" xfId="271"/>
    <cellStyle name="Currency [0]" xfId="272"/>
    <cellStyle name="Currency 10" xfId="273"/>
    <cellStyle name="Currency 11" xfId="274"/>
    <cellStyle name="Currency 2" xfId="275"/>
    <cellStyle name="Currency 2 2" xfId="276"/>
    <cellStyle name="Currency 2 2 2" xfId="277"/>
    <cellStyle name="Currency 2 2 3" xfId="278"/>
    <cellStyle name="Currency 2 2 3 2" xfId="279"/>
    <cellStyle name="Currency 2 3" xfId="280"/>
    <cellStyle name="Currency 2 3 2" xfId="281"/>
    <cellStyle name="Currency 2 4" xfId="282"/>
    <cellStyle name="Currency 2 4 2" xfId="283"/>
    <cellStyle name="Currency 2 5" xfId="284"/>
    <cellStyle name="Currency 2 6" xfId="285"/>
    <cellStyle name="Currency 2 7" xfId="286"/>
    <cellStyle name="Currency 3" xfId="287"/>
    <cellStyle name="Currency 3 2" xfId="288"/>
    <cellStyle name="Currency 3 3" xfId="289"/>
    <cellStyle name="Currency 4" xfId="290"/>
    <cellStyle name="Currency 4 2" xfId="291"/>
    <cellStyle name="Currency 5" xfId="292"/>
    <cellStyle name="Currency 5 2" xfId="293"/>
    <cellStyle name="Currency 5 3" xfId="294"/>
    <cellStyle name="Currency 6" xfId="295"/>
    <cellStyle name="Currency 6 2" xfId="296"/>
    <cellStyle name="Currency 7" xfId="297"/>
    <cellStyle name="Currency 7 2" xfId="298"/>
    <cellStyle name="Currency 8" xfId="299"/>
    <cellStyle name="Currency 8 2" xfId="300"/>
    <cellStyle name="Currency 8 3" xfId="301"/>
    <cellStyle name="Currency 9" xfId="302"/>
    <cellStyle name="Data Enter" xfId="303"/>
    <cellStyle name="date" xfId="304"/>
    <cellStyle name="Explanatory Text" xfId="305"/>
    <cellStyle name="Explanatory Text 2" xfId="306"/>
    <cellStyle name="Explanatory Text 3" xfId="307"/>
    <cellStyle name="Explanatory Text 4" xfId="308"/>
    <cellStyle name="F9ReportControlStyle_ctpInquire" xfId="309"/>
    <cellStyle name="FactSheet" xfId="310"/>
    <cellStyle name="fish" xfId="311"/>
    <cellStyle name="Followed Hyperlink" xfId="312"/>
    <cellStyle name="Good" xfId="313"/>
    <cellStyle name="Good 2" xfId="314"/>
    <cellStyle name="Good 2 2" xfId="315"/>
    <cellStyle name="Good 2 2 2" xfId="316"/>
    <cellStyle name="Good 3" xfId="317"/>
    <cellStyle name="Good 3 2" xfId="318"/>
    <cellStyle name="Good 4" xfId="319"/>
    <cellStyle name="Good 5" xfId="320"/>
    <cellStyle name="Heading 1" xfId="321"/>
    <cellStyle name="Heading 1 2" xfId="322"/>
    <cellStyle name="Heading 1 2 2" xfId="323"/>
    <cellStyle name="Heading 1 2 2 2" xfId="324"/>
    <cellStyle name="Heading 1 3" xfId="325"/>
    <cellStyle name="Heading 1 3 2" xfId="326"/>
    <cellStyle name="Heading 1 4" xfId="327"/>
    <cellStyle name="Heading 2" xfId="328"/>
    <cellStyle name="Heading 2 2" xfId="329"/>
    <cellStyle name="Heading 2 2 2" xfId="330"/>
    <cellStyle name="Heading 2 2 2 2" xfId="331"/>
    <cellStyle name="Heading 2 3" xfId="332"/>
    <cellStyle name="Heading 2 3 2" xfId="333"/>
    <cellStyle name="Heading 2 4" xfId="334"/>
    <cellStyle name="Heading 3" xfId="335"/>
    <cellStyle name="Heading 3 2" xfId="336"/>
    <cellStyle name="Heading 3 2 2" xfId="337"/>
    <cellStyle name="Heading 3 2 2 2" xfId="338"/>
    <cellStyle name="Heading 3 3" xfId="339"/>
    <cellStyle name="Heading 3 3 2" xfId="340"/>
    <cellStyle name="Heading 3 4" xfId="341"/>
    <cellStyle name="Heading 4" xfId="342"/>
    <cellStyle name="Heading 4 2" xfId="343"/>
    <cellStyle name="Heading 4 2 2" xfId="344"/>
    <cellStyle name="Heading 4 3" xfId="345"/>
    <cellStyle name="Heading 4 3 2" xfId="346"/>
    <cellStyle name="Heading 4 4" xfId="347"/>
    <cellStyle name="Hyperlink" xfId="348"/>
    <cellStyle name="Hyperlink 2" xfId="349"/>
    <cellStyle name="Hyperlink 2 2" xfId="350"/>
    <cellStyle name="Hyperlink 2 2 2" xfId="351"/>
    <cellStyle name="Hyperlink 3" xfId="352"/>
    <cellStyle name="Hyperlink 3 2" xfId="353"/>
    <cellStyle name="Hyperlink 3 2 2" xfId="354"/>
    <cellStyle name="Hyperlink 4" xfId="355"/>
    <cellStyle name="Input" xfId="356"/>
    <cellStyle name="Input 2" xfId="357"/>
    <cellStyle name="Input 2 2" xfId="358"/>
    <cellStyle name="Input 3" xfId="359"/>
    <cellStyle name="Input 3 2" xfId="360"/>
    <cellStyle name="Input 4" xfId="361"/>
    <cellStyle name="input(0)" xfId="362"/>
    <cellStyle name="Input(2)" xfId="363"/>
    <cellStyle name="Linked Cell" xfId="364"/>
    <cellStyle name="Linked Cell 2" xfId="365"/>
    <cellStyle name="Linked Cell 2 2" xfId="366"/>
    <cellStyle name="Linked Cell 2 2 2" xfId="367"/>
    <cellStyle name="Linked Cell 3" xfId="368"/>
    <cellStyle name="Linked Cell 3 2" xfId="369"/>
    <cellStyle name="Linked Cell 4" xfId="370"/>
    <cellStyle name="Neutral" xfId="371"/>
    <cellStyle name="Neutral 2" xfId="372"/>
    <cellStyle name="Neutral 2 2" xfId="373"/>
    <cellStyle name="Neutral 2 2 2" xfId="374"/>
    <cellStyle name="Neutral 3" xfId="375"/>
    <cellStyle name="Neutral 3 2" xfId="376"/>
    <cellStyle name="Neutral 4" xfId="377"/>
    <cellStyle name="New_normal" xfId="378"/>
    <cellStyle name="Normal - Style1" xfId="379"/>
    <cellStyle name="Normal - Style2" xfId="380"/>
    <cellStyle name="Normal - Style3" xfId="381"/>
    <cellStyle name="Normal - Style4" xfId="382"/>
    <cellStyle name="Normal - Style5" xfId="383"/>
    <cellStyle name="Normal 10" xfId="384"/>
    <cellStyle name="Normal 10 2" xfId="385"/>
    <cellStyle name="Normal 10 2 2" xfId="386"/>
    <cellStyle name="Normal 10 2 3" xfId="387"/>
    <cellStyle name="Normal 10_2112 DF Schedule" xfId="388"/>
    <cellStyle name="Normal 11" xfId="389"/>
    <cellStyle name="Normal 11 2" xfId="390"/>
    <cellStyle name="Normal 12" xfId="391"/>
    <cellStyle name="Normal 12 2" xfId="392"/>
    <cellStyle name="Normal 12 3" xfId="393"/>
    <cellStyle name="Normal 13" xfId="394"/>
    <cellStyle name="Normal 13 2" xfId="395"/>
    <cellStyle name="Normal 13 2 2" xfId="396"/>
    <cellStyle name="Normal 14" xfId="397"/>
    <cellStyle name="Normal 14 2" xfId="398"/>
    <cellStyle name="Normal 14 2 2" xfId="399"/>
    <cellStyle name="Normal 15" xfId="400"/>
    <cellStyle name="Normal 15 2" xfId="401"/>
    <cellStyle name="Normal 15 2 2" xfId="402"/>
    <cellStyle name="Normal 16" xfId="403"/>
    <cellStyle name="Normal 16 2" xfId="404"/>
    <cellStyle name="Normal 16 2 2" xfId="405"/>
    <cellStyle name="Normal 17" xfId="406"/>
    <cellStyle name="Normal 17 2" xfId="407"/>
    <cellStyle name="Normal 17 2 2" xfId="408"/>
    <cellStyle name="Normal 18" xfId="409"/>
    <cellStyle name="Normal 18 2" xfId="410"/>
    <cellStyle name="Normal 18 2 2" xfId="411"/>
    <cellStyle name="Normal 19" xfId="412"/>
    <cellStyle name="Normal 19 2" xfId="413"/>
    <cellStyle name="Normal 19 2 2" xfId="414"/>
    <cellStyle name="Normal 2" xfId="415"/>
    <cellStyle name="Normal 2 2" xfId="416"/>
    <cellStyle name="Normal 2 2 2" xfId="417"/>
    <cellStyle name="Normal 2 2 2 2" xfId="418"/>
    <cellStyle name="Normal 2 2 3" xfId="419"/>
    <cellStyle name="Normal 2 2_Actual_Fuel" xfId="420"/>
    <cellStyle name="Normal 2 3" xfId="421"/>
    <cellStyle name="Normal 2 3 2" xfId="422"/>
    <cellStyle name="Normal 2 3 3" xfId="423"/>
    <cellStyle name="Normal 2 3 3 2" xfId="424"/>
    <cellStyle name="Normal 2 3 3 3" xfId="425"/>
    <cellStyle name="Normal 2 3 4" xfId="426"/>
    <cellStyle name="Normal 2 3 4 2" xfId="427"/>
    <cellStyle name="Normal 2 4" xfId="428"/>
    <cellStyle name="Normal 2 5" xfId="429"/>
    <cellStyle name="Normal 2 5 2" xfId="430"/>
    <cellStyle name="Normal 2 5 3" xfId="431"/>
    <cellStyle name="Normal 2 6" xfId="432"/>
    <cellStyle name="Normal 2 6 2" xfId="433"/>
    <cellStyle name="Normal 2 7" xfId="434"/>
    <cellStyle name="Normal 2_2012-10" xfId="435"/>
    <cellStyle name="Normal 20" xfId="436"/>
    <cellStyle name="Normal 20 2" xfId="437"/>
    <cellStyle name="Normal 20 3" xfId="438"/>
    <cellStyle name="Normal 21" xfId="439"/>
    <cellStyle name="Normal 21 2" xfId="440"/>
    <cellStyle name="Normal 21 3" xfId="441"/>
    <cellStyle name="Normal 22" xfId="442"/>
    <cellStyle name="Normal 22 2" xfId="443"/>
    <cellStyle name="Normal 22 3" xfId="444"/>
    <cellStyle name="Normal 23" xfId="445"/>
    <cellStyle name="Normal 23 2" xfId="446"/>
    <cellStyle name="Normal 23 3" xfId="447"/>
    <cellStyle name="Normal 24" xfId="448"/>
    <cellStyle name="Normal 24 2" xfId="449"/>
    <cellStyle name="Normal 24 3" xfId="450"/>
    <cellStyle name="Normal 25" xfId="451"/>
    <cellStyle name="Normal 25 2" xfId="452"/>
    <cellStyle name="Normal 25 3" xfId="453"/>
    <cellStyle name="Normal 26" xfId="454"/>
    <cellStyle name="Normal 26 2" xfId="455"/>
    <cellStyle name="Normal 26 3" xfId="456"/>
    <cellStyle name="Normal 26 4" xfId="457"/>
    <cellStyle name="Normal 27" xfId="458"/>
    <cellStyle name="Normal 27 2" xfId="459"/>
    <cellStyle name="Normal 27 3" xfId="460"/>
    <cellStyle name="Normal 28" xfId="461"/>
    <cellStyle name="Normal 28 2" xfId="462"/>
    <cellStyle name="Normal 28 2 2" xfId="463"/>
    <cellStyle name="Normal 28 3" xfId="464"/>
    <cellStyle name="Normal 28 4" xfId="465"/>
    <cellStyle name="Normal 29" xfId="466"/>
    <cellStyle name="Normal 29 2" xfId="467"/>
    <cellStyle name="Normal 29 3" xfId="468"/>
    <cellStyle name="Normal 3" xfId="469"/>
    <cellStyle name="Normal 3 2" xfId="470"/>
    <cellStyle name="Normal 3 2 2" xfId="471"/>
    <cellStyle name="Normal 3 2 3" xfId="472"/>
    <cellStyle name="Normal 3 3" xfId="473"/>
    <cellStyle name="Normal 3 3 2" xfId="474"/>
    <cellStyle name="Normal 3_2 Island Regulated Price Out 3 31 2012 Heather 5-15-2012" xfId="475"/>
    <cellStyle name="Normal 30" xfId="476"/>
    <cellStyle name="Normal 30 2" xfId="477"/>
    <cellStyle name="Normal 30 3" xfId="478"/>
    <cellStyle name="Normal 31" xfId="479"/>
    <cellStyle name="Normal 31 2" xfId="480"/>
    <cellStyle name="Normal 31 3" xfId="481"/>
    <cellStyle name="Normal 32" xfId="482"/>
    <cellStyle name="Normal 32 2" xfId="483"/>
    <cellStyle name="Normal 32 3" xfId="484"/>
    <cellStyle name="Normal 33" xfId="485"/>
    <cellStyle name="Normal 33 2" xfId="486"/>
    <cellStyle name="Normal 34" xfId="487"/>
    <cellStyle name="Normal 34 2" xfId="488"/>
    <cellStyle name="Normal 35" xfId="489"/>
    <cellStyle name="Normal 35 2" xfId="490"/>
    <cellStyle name="Normal 36" xfId="491"/>
    <cellStyle name="Normal 36 2" xfId="492"/>
    <cellStyle name="Normal 37" xfId="493"/>
    <cellStyle name="Normal 37 2" xfId="494"/>
    <cellStyle name="Normal 38" xfId="495"/>
    <cellStyle name="Normal 38 2" xfId="496"/>
    <cellStyle name="Normal 39" xfId="497"/>
    <cellStyle name="Normal 39 2" xfId="498"/>
    <cellStyle name="Normal 4" xfId="499"/>
    <cellStyle name="Normal 4 2" xfId="500"/>
    <cellStyle name="Normal 40" xfId="501"/>
    <cellStyle name="Normal 40 2" xfId="502"/>
    <cellStyle name="Normal 41" xfId="503"/>
    <cellStyle name="Normal 41 2" xfId="504"/>
    <cellStyle name="Normal 42" xfId="505"/>
    <cellStyle name="Normal 42 2" xfId="506"/>
    <cellStyle name="Normal 43" xfId="507"/>
    <cellStyle name="Normal 43 2" xfId="508"/>
    <cellStyle name="Normal 44" xfId="509"/>
    <cellStyle name="Normal 44 2" xfId="510"/>
    <cellStyle name="Normal 45" xfId="511"/>
    <cellStyle name="Normal 45 2" xfId="512"/>
    <cellStyle name="Normal 46" xfId="513"/>
    <cellStyle name="Normal 46 2" xfId="514"/>
    <cellStyle name="Normal 47" xfId="515"/>
    <cellStyle name="Normal 47 2" xfId="516"/>
    <cellStyle name="Normal 48" xfId="517"/>
    <cellStyle name="Normal 48 2" xfId="518"/>
    <cellStyle name="Normal 49" xfId="519"/>
    <cellStyle name="Normal 49 2" xfId="520"/>
    <cellStyle name="Normal 5" xfId="521"/>
    <cellStyle name="Normal 5 2" xfId="522"/>
    <cellStyle name="Normal 5 2 2" xfId="523"/>
    <cellStyle name="Normal 5_2112 DF Schedule" xfId="524"/>
    <cellStyle name="Normal 50" xfId="525"/>
    <cellStyle name="Normal 50 2" xfId="526"/>
    <cellStyle name="Normal 51" xfId="527"/>
    <cellStyle name="Normal 51 2" xfId="528"/>
    <cellStyle name="Normal 52" xfId="529"/>
    <cellStyle name="Normal 52 2" xfId="530"/>
    <cellStyle name="Normal 53" xfId="531"/>
    <cellStyle name="Normal 53 2" xfId="532"/>
    <cellStyle name="Normal 54" xfId="533"/>
    <cellStyle name="Normal 54 2" xfId="534"/>
    <cellStyle name="Normal 55" xfId="535"/>
    <cellStyle name="Normal 55 2" xfId="536"/>
    <cellStyle name="Normal 56" xfId="537"/>
    <cellStyle name="Normal 56 2" xfId="538"/>
    <cellStyle name="Normal 57" xfId="539"/>
    <cellStyle name="Normal 57 2" xfId="540"/>
    <cellStyle name="Normal 58" xfId="541"/>
    <cellStyle name="Normal 58 2" xfId="542"/>
    <cellStyle name="Normal 59" xfId="543"/>
    <cellStyle name="Normal 59 2" xfId="544"/>
    <cellStyle name="Normal 6" xfId="545"/>
    <cellStyle name="Normal 6 2" xfId="546"/>
    <cellStyle name="Normal 60" xfId="547"/>
    <cellStyle name="Normal 60 2" xfId="548"/>
    <cellStyle name="Normal 61" xfId="549"/>
    <cellStyle name="Normal 61 2" xfId="550"/>
    <cellStyle name="Normal 62" xfId="551"/>
    <cellStyle name="Normal 62 2" xfId="552"/>
    <cellStyle name="Normal 63" xfId="553"/>
    <cellStyle name="Normal 63 2" xfId="554"/>
    <cellStyle name="Normal 64" xfId="555"/>
    <cellStyle name="Normal 64 2" xfId="556"/>
    <cellStyle name="Normal 65" xfId="557"/>
    <cellStyle name="Normal 65 2" xfId="558"/>
    <cellStyle name="Normal 66" xfId="559"/>
    <cellStyle name="Normal 66 2" xfId="560"/>
    <cellStyle name="Normal 67" xfId="561"/>
    <cellStyle name="Normal 67 2" xfId="562"/>
    <cellStyle name="Normal 68" xfId="563"/>
    <cellStyle name="Normal 68 2" xfId="564"/>
    <cellStyle name="Normal 69" xfId="565"/>
    <cellStyle name="Normal 69 2" xfId="566"/>
    <cellStyle name="Normal 7" xfId="567"/>
    <cellStyle name="Normal 7 2" xfId="568"/>
    <cellStyle name="Normal 70" xfId="569"/>
    <cellStyle name="Normal 70 2" xfId="570"/>
    <cellStyle name="Normal 71" xfId="571"/>
    <cellStyle name="Normal 72" xfId="572"/>
    <cellStyle name="Normal 73" xfId="573"/>
    <cellStyle name="Normal 74" xfId="574"/>
    <cellStyle name="Normal 75" xfId="575"/>
    <cellStyle name="Normal 76" xfId="576"/>
    <cellStyle name="Normal 77" xfId="577"/>
    <cellStyle name="Normal 78" xfId="578"/>
    <cellStyle name="Normal 79" xfId="579"/>
    <cellStyle name="Normal 8" xfId="580"/>
    <cellStyle name="Normal 8 2" xfId="581"/>
    <cellStyle name="Normal 80" xfId="582"/>
    <cellStyle name="Normal 81" xfId="583"/>
    <cellStyle name="Normal 82" xfId="584"/>
    <cellStyle name="Normal 83" xfId="585"/>
    <cellStyle name="Normal 84" xfId="586"/>
    <cellStyle name="Normal 85" xfId="587"/>
    <cellStyle name="Normal 86" xfId="588"/>
    <cellStyle name="Normal 87" xfId="589"/>
    <cellStyle name="Normal 88" xfId="590"/>
    <cellStyle name="Normal 9" xfId="591"/>
    <cellStyle name="Normal 9 2" xfId="592"/>
    <cellStyle name="Normal_Clark County Depr 12-31-10 R" xfId="593"/>
    <cellStyle name="Normal_Depr 2144 3-31-12" xfId="594"/>
    <cellStyle name="Note" xfId="595"/>
    <cellStyle name="Note 2" xfId="596"/>
    <cellStyle name="Note 2 2" xfId="597"/>
    <cellStyle name="Note 2 2 2" xfId="598"/>
    <cellStyle name="Note 3" xfId="599"/>
    <cellStyle name="Note 3 2" xfId="600"/>
    <cellStyle name="Note 3 3" xfId="601"/>
    <cellStyle name="Note 4" xfId="602"/>
    <cellStyle name="Note 5" xfId="603"/>
    <cellStyle name="Notes" xfId="604"/>
    <cellStyle name="Output" xfId="605"/>
    <cellStyle name="Output 2" xfId="606"/>
    <cellStyle name="Output 2 2" xfId="607"/>
    <cellStyle name="Output 3" xfId="608"/>
    <cellStyle name="Output 3 2" xfId="609"/>
    <cellStyle name="Output 4" xfId="610"/>
    <cellStyle name="Percent" xfId="611"/>
    <cellStyle name="Percent 10" xfId="612"/>
    <cellStyle name="Percent 2" xfId="613"/>
    <cellStyle name="Percent 2 2" xfId="614"/>
    <cellStyle name="Percent 2 3" xfId="615"/>
    <cellStyle name="Percent 3" xfId="616"/>
    <cellStyle name="Percent 4" xfId="617"/>
    <cellStyle name="Percent 4 2" xfId="618"/>
    <cellStyle name="Percent 4 3" xfId="619"/>
    <cellStyle name="Percent 4 4" xfId="620"/>
    <cellStyle name="Percent 5" xfId="621"/>
    <cellStyle name="Percent 6" xfId="622"/>
    <cellStyle name="Percent 7" xfId="623"/>
    <cellStyle name="Percent 8" xfId="624"/>
    <cellStyle name="Percent 9" xfId="625"/>
    <cellStyle name="Percent(1)" xfId="626"/>
    <cellStyle name="Percent(2)" xfId="627"/>
    <cellStyle name="PRM" xfId="628"/>
    <cellStyle name="PRM 2" xfId="629"/>
    <cellStyle name="PRM 3" xfId="630"/>
    <cellStyle name="PRM_2011-11" xfId="631"/>
    <cellStyle name="PSChar" xfId="632"/>
    <cellStyle name="PSHeading" xfId="633"/>
    <cellStyle name="STYL0 - Style1" xfId="634"/>
    <cellStyle name="STYL1 - Style2" xfId="635"/>
    <cellStyle name="STYL2 - Style3" xfId="636"/>
    <cellStyle name="STYL3 - Style4" xfId="637"/>
    <cellStyle name="STYL4 - Style5" xfId="638"/>
    <cellStyle name="STYL5 - Style6" xfId="639"/>
    <cellStyle name="STYL6 - Style7" xfId="640"/>
    <cellStyle name="STYL7 - Style8" xfId="641"/>
    <cellStyle name="Style 1" xfId="642"/>
    <cellStyle name="Style 1 2" xfId="643"/>
    <cellStyle name="STYLE1" xfId="644"/>
    <cellStyle name="STYLE1 2" xfId="645"/>
    <cellStyle name="sub heading" xfId="646"/>
    <cellStyle name="Title" xfId="647"/>
    <cellStyle name="Title 2" xfId="648"/>
    <cellStyle name="Title 2 2" xfId="649"/>
    <cellStyle name="Title 3" xfId="650"/>
    <cellStyle name="Title 3 2" xfId="651"/>
    <cellStyle name="Title 4" xfId="652"/>
    <cellStyle name="Total" xfId="653"/>
    <cellStyle name="Total 2" xfId="654"/>
    <cellStyle name="Total 2 2" xfId="655"/>
    <cellStyle name="Total 2 2 2" xfId="656"/>
    <cellStyle name="Total 3" xfId="657"/>
    <cellStyle name="Total 3 2" xfId="658"/>
    <cellStyle name="Total 4" xfId="659"/>
    <cellStyle name="Warning Text" xfId="660"/>
    <cellStyle name="Warning Text 2" xfId="661"/>
    <cellStyle name="Warning Text 3" xfId="662"/>
    <cellStyle name="Warning Text 4" xfId="6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Financials_v3b1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Western%20Region\WUTC\WIP%20Files\2144%20Island%20Disposal\Depreciation\2019\2144%20Depr%20Schedule%2012.31.20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.Island%20GRC%20Pro%20forma%2012.31.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estern%20Region\WUTC\WIP%20Files\LeMay%20Companies\2010\LeMay%2012.31.2010%20IS's%20for%20Annual%20Rpt\LeMay%20Consolidated%20IS%2012.31.20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cinf05\DistShares\WCNX%20Stuff\Excel\Financials\Excel%20Financials\ExcelFinancial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estern%20Region\WUTC\WIP%20Files\LeMay%20Companies\2010\Grays%20Harbor%20100930%20Test%20Year\Gray's%20Container%20Counts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cinf06\sacshare\Data_Automation\DMS\RouteManagerReports\RM_MM001_Query_v4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xcelFinancials_v3c1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-file01\DistShare$\Western%20Region\WUTC\WIP%20Files\2144%20Island%20Disposal\Depreciation\2017\2144%20Depr%20Schedule%2012.31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pr Summary"/>
      <sheetName val="2144 Trks"/>
      <sheetName val="2144 Cont, DB"/>
      <sheetName val="2144 Shop,Serv"/>
      <sheetName val="2144 Other"/>
      <sheetName val="2144 Trks Orig"/>
      <sheetName val="2144 Cont, DB Orig"/>
      <sheetName val="2144 Shop,Serv Orig"/>
      <sheetName val="2144 Other Orig"/>
    </sheetNames>
    <sheetDataSet>
      <sheetData sheetId="0">
        <row r="5">
          <cell r="H5">
            <v>43830</v>
          </cell>
        </row>
      </sheetData>
      <sheetData sheetId="5">
        <row r="15">
          <cell r="P15">
            <v>101661.6</v>
          </cell>
        </row>
        <row r="16">
          <cell r="P16">
            <v>110632.51999999999</v>
          </cell>
        </row>
        <row r="17">
          <cell r="P17">
            <v>9875.8</v>
          </cell>
        </row>
        <row r="18">
          <cell r="P18">
            <v>109360.696</v>
          </cell>
        </row>
        <row r="19">
          <cell r="P19">
            <v>44791.31570000001</v>
          </cell>
        </row>
        <row r="20">
          <cell r="P20">
            <v>148199.472</v>
          </cell>
        </row>
        <row r="21">
          <cell r="P21">
            <v>147465.856</v>
          </cell>
        </row>
        <row r="22">
          <cell r="P22">
            <v>147465.856</v>
          </cell>
        </row>
        <row r="39">
          <cell r="P39">
            <v>110918.24799999999</v>
          </cell>
        </row>
        <row r="40">
          <cell r="P40">
            <v>108651.856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2144 IS"/>
      <sheetName val="Master IS"/>
      <sheetName val="Allocators"/>
      <sheetName val="Restating Adj"/>
      <sheetName val="Pro forma Adj"/>
      <sheetName val="Regulated Price Out"/>
      <sheetName val="LG Total Regulated Company"/>
      <sheetName val="Rate Sheet"/>
      <sheetName val="Deprec. Summary"/>
      <sheetName val="Payroll Summary"/>
      <sheetName val="UTC Disposal Breakout (C)"/>
      <sheetName val="DVP-DivCon Allocs  (C)"/>
      <sheetName val="Corp-OH (C)"/>
      <sheetName val="Region OH (C)"/>
      <sheetName val="LG Total"/>
      <sheetName val="Interject_LastPulledValues"/>
      <sheetName val="43001 JE Query"/>
      <sheetName val="70225 JE Query"/>
      <sheetName val="70195 JE Query"/>
      <sheetName val="2144_BS 12-2018"/>
      <sheetName val="2144_BS 12-2019"/>
      <sheetName val="Corp IS-BS"/>
    </sheetNames>
    <sheetDataSet>
      <sheetData sheetId="3">
        <row r="65">
          <cell r="C65">
            <v>0.8684499013374261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180 IS"/>
      <sheetName val="2181 IS"/>
      <sheetName val="2182 IS"/>
      <sheetName val="2183 IS"/>
      <sheetName val="2184 IS"/>
      <sheetName val="2185 IS"/>
      <sheetName val="2186 IS"/>
      <sheetName val="2187 IS"/>
      <sheetName val="2188 IS"/>
      <sheetName val="2189 IS"/>
      <sheetName val="Consolidated I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1">
        <row r="2"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186-2187  Unit Cou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1">
        <row r="9">
          <cell r="L9">
            <v>11501</v>
          </cell>
        </row>
        <row r="10">
          <cell r="L10" t="str">
            <v>11501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pr Summary"/>
      <sheetName val="2144 Trks"/>
      <sheetName val="2144 Cont, DB"/>
      <sheetName val="2144 Shop,Serv"/>
      <sheetName val="2144 Other"/>
    </sheetNames>
    <sheetDataSet>
      <sheetData sheetId="0">
        <row r="5">
          <cell r="F5">
            <v>42736</v>
          </cell>
          <cell r="H5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showGridLines="0" tabSelected="1" view="pageBreakPreview" zoomScale="70" zoomScaleSheetLayoutView="70" zoomScalePageLayoutView="0" workbookViewId="0" topLeftCell="A1">
      <selection activeCell="K12" sqref="K12"/>
    </sheetView>
  </sheetViews>
  <sheetFormatPr defaultColWidth="18.8515625" defaultRowHeight="15"/>
  <cols>
    <col min="1" max="1" width="26.57421875" style="3" customWidth="1"/>
    <col min="2" max="2" width="12.8515625" style="3" bestFit="1" customWidth="1"/>
    <col min="3" max="3" width="11.00390625" style="3" bestFit="1" customWidth="1"/>
    <col min="4" max="4" width="14.57421875" style="3" bestFit="1" customWidth="1"/>
    <col min="5" max="5" width="13.140625" style="3" bestFit="1" customWidth="1"/>
    <col min="6" max="7" width="14.00390625" style="3" bestFit="1" customWidth="1"/>
    <col min="8" max="8" width="13.7109375" style="3" bestFit="1" customWidth="1"/>
    <col min="9" max="9" width="14.28125" style="3" customWidth="1"/>
    <col min="10" max="16384" width="18.8515625" style="3" customWidth="1"/>
  </cols>
  <sheetData>
    <row r="1" spans="1:8" ht="12">
      <c r="A1" s="333" t="s">
        <v>206</v>
      </c>
      <c r="B1" s="334"/>
      <c r="C1" s="335"/>
      <c r="D1" s="335"/>
      <c r="E1" s="335"/>
      <c r="F1" s="335"/>
      <c r="G1" s="335"/>
      <c r="H1" s="336"/>
    </row>
    <row r="2" spans="1:8" ht="12">
      <c r="A2" s="337" t="s">
        <v>207</v>
      </c>
      <c r="B2" s="7"/>
      <c r="C2" s="7"/>
      <c r="D2" s="7"/>
      <c r="E2" s="7"/>
      <c r="F2" s="7"/>
      <c r="G2" s="7"/>
      <c r="H2" s="338"/>
    </row>
    <row r="3" spans="1:8" ht="12">
      <c r="A3" s="339"/>
      <c r="B3" s="7"/>
      <c r="C3" s="7"/>
      <c r="D3" s="7"/>
      <c r="E3" s="7"/>
      <c r="F3" s="61" t="s">
        <v>0</v>
      </c>
      <c r="G3" s="61" t="s">
        <v>1</v>
      </c>
      <c r="H3" s="340" t="s">
        <v>2</v>
      </c>
    </row>
    <row r="4" spans="1:8" ht="12">
      <c r="A4" s="341" t="s">
        <v>3</v>
      </c>
      <c r="B4" s="61" t="s">
        <v>4</v>
      </c>
      <c r="C4" s="61" t="s">
        <v>5</v>
      </c>
      <c r="D4" s="61" t="s">
        <v>6</v>
      </c>
      <c r="E4" s="61" t="s">
        <v>7</v>
      </c>
      <c r="F4" s="61" t="s">
        <v>8</v>
      </c>
      <c r="G4" s="61" t="s">
        <v>8</v>
      </c>
      <c r="H4" s="340" t="s">
        <v>9</v>
      </c>
    </row>
    <row r="5" spans="1:8" ht="12">
      <c r="A5" s="341"/>
      <c r="B5" s="284"/>
      <c r="C5" s="284"/>
      <c r="D5" s="284" t="s">
        <v>4</v>
      </c>
      <c r="E5" s="284" t="s">
        <v>6</v>
      </c>
      <c r="F5" s="331">
        <v>43466</v>
      </c>
      <c r="G5" s="331">
        <v>43830</v>
      </c>
      <c r="H5" s="342">
        <f>G5</f>
        <v>43830</v>
      </c>
    </row>
    <row r="6" spans="1:13" ht="12">
      <c r="A6" s="343" t="s">
        <v>10</v>
      </c>
      <c r="B6" s="71"/>
      <c r="C6" s="7"/>
      <c r="D6" s="7"/>
      <c r="E6" s="7"/>
      <c r="F6" s="7"/>
      <c r="G6" s="7"/>
      <c r="H6" s="338"/>
      <c r="J6" s="7"/>
      <c r="K6" s="7"/>
      <c r="L6" s="7"/>
      <c r="M6" s="7"/>
    </row>
    <row r="7" spans="1:13" ht="12">
      <c r="A7" s="339" t="s">
        <v>364</v>
      </c>
      <c r="B7" s="258">
        <f>'2144 Trks'!M37</f>
        <v>1729635.7300000002</v>
      </c>
      <c r="C7" s="258">
        <f>B7-D7</f>
        <v>0</v>
      </c>
      <c r="D7" s="258">
        <f>'2144 Trks'!N37</f>
        <v>1729635.7300000002</v>
      </c>
      <c r="E7" s="258">
        <f>+'2144 Trks'!Q37</f>
        <v>145845.14787777778</v>
      </c>
      <c r="F7" s="258">
        <f>+'2144 Trks'!S37</f>
        <v>1112879.7822555555</v>
      </c>
      <c r="G7" s="258">
        <f>+'2144 Trks'!T37</f>
        <v>1233028.6201333331</v>
      </c>
      <c r="H7" s="344">
        <f>+'2144 Trks'!U37</f>
        <v>496607.10986666667</v>
      </c>
      <c r="I7" s="5"/>
      <c r="J7" s="7"/>
      <c r="K7" s="7"/>
      <c r="L7" s="7"/>
      <c r="M7" s="7"/>
    </row>
    <row r="8" spans="1:8" ht="12">
      <c r="A8" s="339"/>
      <c r="B8" s="258"/>
      <c r="C8" s="258"/>
      <c r="D8" s="258"/>
      <c r="E8" s="258"/>
      <c r="F8" s="258"/>
      <c r="G8" s="258"/>
      <c r="H8" s="344"/>
    </row>
    <row r="9" spans="1:8" ht="12">
      <c r="A9" s="339" t="s">
        <v>365</v>
      </c>
      <c r="B9" s="258">
        <f>+'2144 Trks'!M46</f>
        <v>1042954.71</v>
      </c>
      <c r="C9" s="258">
        <f>B9-D9</f>
        <v>0</v>
      </c>
      <c r="D9" s="258">
        <f>+'2144 Trks'!N46</f>
        <v>1042954.71</v>
      </c>
      <c r="E9" s="258">
        <f>+'2144 Trks'!Q46</f>
        <v>104395.70899999999</v>
      </c>
      <c r="F9" s="258">
        <f>+'2144 Trks'!S46</f>
        <v>34368.26</v>
      </c>
      <c r="G9" s="258">
        <f>+'2144 Trks'!T46</f>
        <v>138763.96899999998</v>
      </c>
      <c r="H9" s="344">
        <f>+'2144 Trks'!U46</f>
        <v>904190.7410000002</v>
      </c>
    </row>
    <row r="10" spans="1:8" ht="12">
      <c r="A10" s="339"/>
      <c r="B10" s="258"/>
      <c r="C10" s="258"/>
      <c r="D10" s="258"/>
      <c r="E10" s="258"/>
      <c r="F10" s="258"/>
      <c r="G10" s="258"/>
      <c r="H10" s="344"/>
    </row>
    <row r="11" spans="1:9" ht="12">
      <c r="A11" s="339" t="s">
        <v>11</v>
      </c>
      <c r="B11" s="258">
        <f>+'2144 Trks'!M63</f>
        <v>548174.85</v>
      </c>
      <c r="C11" s="258">
        <f>B11-D11</f>
        <v>0</v>
      </c>
      <c r="D11" s="258">
        <f>+'2144 Trks'!N63</f>
        <v>548174.85</v>
      </c>
      <c r="E11" s="258">
        <f>+'2144 Trks'!Q63</f>
        <v>46266.29233333334</v>
      </c>
      <c r="F11" s="258">
        <f>+'2144 Trks'!S63</f>
        <v>247252.97399999996</v>
      </c>
      <c r="G11" s="258">
        <f>+'2144 Trks'!T63</f>
        <v>293519.26633333333</v>
      </c>
      <c r="H11" s="344">
        <f>+'2144 Trks'!U63</f>
        <v>254655.58366666664</v>
      </c>
      <c r="I11" s="5"/>
    </row>
    <row r="12" spans="1:8" ht="12">
      <c r="A12" s="339"/>
      <c r="B12" s="258"/>
      <c r="C12" s="258"/>
      <c r="D12" s="258"/>
      <c r="E12" s="258"/>
      <c r="F12" s="258"/>
      <c r="G12" s="258"/>
      <c r="H12" s="344"/>
    </row>
    <row r="13" spans="1:9" ht="12">
      <c r="A13" s="339" t="s">
        <v>366</v>
      </c>
      <c r="B13" s="258">
        <f>+'2144 Trks'!M70</f>
        <v>125535.73</v>
      </c>
      <c r="C13" s="258">
        <f>B13-D13</f>
        <v>0</v>
      </c>
      <c r="D13" s="258">
        <f>+'2144 Trks'!N70</f>
        <v>125535.73</v>
      </c>
      <c r="E13" s="258">
        <f>+'2144 Trks'!Q70</f>
        <v>16636.50833333333</v>
      </c>
      <c r="F13" s="258">
        <f>+'2144 Trks'!S70</f>
        <v>44241.62833333333</v>
      </c>
      <c r="G13" s="258">
        <f>+'2144 Trks'!T70</f>
        <v>60878.136666666665</v>
      </c>
      <c r="H13" s="344">
        <f>+'2144 Trks'!U70</f>
        <v>64657.59333333334</v>
      </c>
      <c r="I13" s="5"/>
    </row>
    <row r="14" spans="1:8" ht="12">
      <c r="A14" s="345"/>
      <c r="B14" s="332"/>
      <c r="C14" s="332"/>
      <c r="D14" s="332"/>
      <c r="E14" s="332"/>
      <c r="F14" s="332"/>
      <c r="G14" s="332"/>
      <c r="H14" s="346"/>
    </row>
    <row r="15" spans="1:9" ht="12">
      <c r="A15" s="337" t="s">
        <v>12</v>
      </c>
      <c r="B15" s="266">
        <f aca="true" t="shared" si="0" ref="B15:H15">SUM(B7:B14)</f>
        <v>3446301.0200000005</v>
      </c>
      <c r="C15" s="266">
        <f t="shared" si="0"/>
        <v>0</v>
      </c>
      <c r="D15" s="266">
        <f t="shared" si="0"/>
        <v>3446301.0200000005</v>
      </c>
      <c r="E15" s="266">
        <f t="shared" si="0"/>
        <v>313143.65754444443</v>
      </c>
      <c r="F15" s="266">
        <f t="shared" si="0"/>
        <v>1438742.6445888889</v>
      </c>
      <c r="G15" s="266">
        <f t="shared" si="0"/>
        <v>1726189.9921333333</v>
      </c>
      <c r="H15" s="347">
        <f t="shared" si="0"/>
        <v>1720111.0278666667</v>
      </c>
      <c r="I15" s="5"/>
    </row>
    <row r="16" spans="1:8" ht="12">
      <c r="A16" s="339"/>
      <c r="B16" s="258"/>
      <c r="C16" s="258"/>
      <c r="D16" s="258"/>
      <c r="E16" s="258">
        <f>E15-'2144 Trks'!Q73</f>
        <v>0</v>
      </c>
      <c r="F16" s="258"/>
      <c r="G16" s="258"/>
      <c r="H16" s="344">
        <f>H15-'2144 Trks'!U73</f>
        <v>0</v>
      </c>
    </row>
    <row r="17" spans="1:8" ht="12">
      <c r="A17" s="343" t="s">
        <v>113</v>
      </c>
      <c r="B17" s="258"/>
      <c r="C17" s="258"/>
      <c r="D17" s="258"/>
      <c r="E17" s="258"/>
      <c r="F17" s="258"/>
      <c r="G17" s="258"/>
      <c r="H17" s="344"/>
    </row>
    <row r="18" spans="1:9" ht="12">
      <c r="A18" s="339" t="s">
        <v>328</v>
      </c>
      <c r="B18" s="258">
        <f>'2144 Cont, DB'!L48</f>
        <v>332518</v>
      </c>
      <c r="C18" s="258">
        <f>B18-D18</f>
        <v>0</v>
      </c>
      <c r="D18" s="258">
        <f>'2144 Cont, DB'!M48</f>
        <v>332518</v>
      </c>
      <c r="E18" s="258">
        <f>'2144 Cont, DB'!P48</f>
        <v>20535.293166666666</v>
      </c>
      <c r="F18" s="258">
        <f>+'2144 Cont, DB'!Q48</f>
        <v>164310.1513333333</v>
      </c>
      <c r="G18" s="258">
        <f>+'2144 Cont, DB'!R48</f>
        <v>184845.44450000004</v>
      </c>
      <c r="H18" s="344">
        <f>+'2144 Cont, DB'!S48</f>
        <v>147672.5555</v>
      </c>
      <c r="I18" s="5"/>
    </row>
    <row r="19" spans="1:8" ht="12">
      <c r="A19" s="339"/>
      <c r="B19" s="258"/>
      <c r="C19" s="258"/>
      <c r="D19" s="258"/>
      <c r="E19" s="258"/>
      <c r="F19" s="258"/>
      <c r="G19" s="258"/>
      <c r="H19" s="344"/>
    </row>
    <row r="20" spans="1:9" ht="12">
      <c r="A20" s="339" t="s">
        <v>14</v>
      </c>
      <c r="B20" s="258">
        <f>'2144 Cont, DB'!L73</f>
        <v>482732.2</v>
      </c>
      <c r="C20" s="258">
        <f>B20-D20</f>
        <v>0</v>
      </c>
      <c r="D20" s="258">
        <f>'2144 Cont, DB'!M73</f>
        <v>482732.2</v>
      </c>
      <c r="E20" s="258">
        <f>'2144 Cont, DB'!P73</f>
        <v>24460.36</v>
      </c>
      <c r="F20" s="258">
        <f>'2144 Cont, DB'!Q73</f>
        <v>286765.15533333336</v>
      </c>
      <c r="G20" s="258">
        <f>'2144 Cont, DB'!R73</f>
        <v>311225.5153333333</v>
      </c>
      <c r="H20" s="344">
        <f>'2144 Cont, DB'!S73</f>
        <v>171506.6846666667</v>
      </c>
      <c r="I20" s="5"/>
    </row>
    <row r="21" spans="1:8" ht="12">
      <c r="A21" s="339"/>
      <c r="B21" s="258"/>
      <c r="C21" s="258"/>
      <c r="D21" s="258"/>
      <c r="E21" s="258"/>
      <c r="F21" s="258"/>
      <c r="G21" s="258"/>
      <c r="H21" s="344"/>
    </row>
    <row r="22" spans="1:8" ht="12">
      <c r="A22" s="339" t="s">
        <v>342</v>
      </c>
      <c r="B22" s="258">
        <f>+'2144 Cont, DB'!L82</f>
        <v>175957.7036382114</v>
      </c>
      <c r="C22" s="258">
        <f>B22-D22</f>
        <v>0</v>
      </c>
      <c r="D22" s="258">
        <f>+'2144 Cont, DB'!M82</f>
        <v>175957.7036382114</v>
      </c>
      <c r="E22" s="258">
        <f>+'2144 Cont, DB'!P82</f>
        <v>25136.81480545877</v>
      </c>
      <c r="F22" s="258">
        <f>+'2144 Cont, DB'!Q82</f>
        <v>0</v>
      </c>
      <c r="G22" s="258">
        <f>+'2144 Cont, DB'!R82</f>
        <v>25136.81480545877</v>
      </c>
      <c r="H22" s="344">
        <f>+'2144 Cont, DB'!S82</f>
        <v>150820.88883275265</v>
      </c>
    </row>
    <row r="23" spans="1:8" ht="12">
      <c r="A23" s="339"/>
      <c r="B23" s="258"/>
      <c r="C23" s="258"/>
      <c r="D23" s="258"/>
      <c r="E23" s="258"/>
      <c r="F23" s="258"/>
      <c r="G23" s="258"/>
      <c r="H23" s="344"/>
    </row>
    <row r="24" spans="1:8" ht="12">
      <c r="A24" s="339" t="s">
        <v>341</v>
      </c>
      <c r="B24" s="258">
        <f>+'2144 Cont, DB'!L90</f>
        <v>104283.10636178862</v>
      </c>
      <c r="C24" s="258">
        <f>B24-D24</f>
        <v>0</v>
      </c>
      <c r="D24" s="258">
        <f>+'2144 Cont, DB'!M90</f>
        <v>104283.10636178862</v>
      </c>
      <c r="E24" s="258">
        <f>+'2144 Cont, DB'!P90</f>
        <v>14897.58662311266</v>
      </c>
      <c r="F24" s="258">
        <f>+'2144 Cont, DB'!Q90</f>
        <v>0</v>
      </c>
      <c r="G24" s="258">
        <f>+'2144 Cont, DB'!R90</f>
        <v>14897.58662311266</v>
      </c>
      <c r="H24" s="344">
        <f>+'2144 Cont, DB'!S90</f>
        <v>89385.51973867597</v>
      </c>
    </row>
    <row r="25" spans="1:8" ht="12">
      <c r="A25" s="339"/>
      <c r="B25" s="258"/>
      <c r="C25" s="258">
        <f>B25-D25</f>
        <v>0</v>
      </c>
      <c r="D25" s="258"/>
      <c r="E25" s="258"/>
      <c r="F25" s="258"/>
      <c r="G25" s="258"/>
      <c r="H25" s="344"/>
    </row>
    <row r="26" spans="1:8" ht="12">
      <c r="A26" s="339" t="s">
        <v>369</v>
      </c>
      <c r="B26" s="258">
        <f>+'2144 Cont, DB'!L105</f>
        <v>280003.51</v>
      </c>
      <c r="C26" s="258"/>
      <c r="D26" s="258">
        <f>+'2144 Cont, DB'!M105</f>
        <v>280003.51</v>
      </c>
      <c r="E26" s="258">
        <f>+'2144 Cont, DB'!P105</f>
        <v>23001.841000000004</v>
      </c>
      <c r="F26" s="258">
        <f>+'2144 Cont, DB'!Q105</f>
        <v>226987.70200000005</v>
      </c>
      <c r="G26" s="258">
        <f>+'2144 Cont, DB'!R105</f>
        <v>249989.54300000003</v>
      </c>
      <c r="H26" s="344">
        <f>+'2144 Cont, DB'!S105</f>
        <v>30013.966999999997</v>
      </c>
    </row>
    <row r="27" spans="1:10" ht="12">
      <c r="A27" s="345"/>
      <c r="B27" s="332"/>
      <c r="C27" s="332"/>
      <c r="D27" s="332"/>
      <c r="E27" s="332"/>
      <c r="F27" s="332"/>
      <c r="G27" s="332"/>
      <c r="H27" s="346"/>
      <c r="J27" s="5"/>
    </row>
    <row r="28" spans="1:10" ht="12">
      <c r="A28" s="337" t="s">
        <v>15</v>
      </c>
      <c r="B28" s="266">
        <f aca="true" t="shared" si="1" ref="B28:H28">SUM(B18:B26)</f>
        <v>1375494.52</v>
      </c>
      <c r="C28" s="266">
        <f t="shared" si="1"/>
        <v>0</v>
      </c>
      <c r="D28" s="266">
        <f t="shared" si="1"/>
        <v>1375494.52</v>
      </c>
      <c r="E28" s="266">
        <f t="shared" si="1"/>
        <v>108031.8955952381</v>
      </c>
      <c r="F28" s="266">
        <f t="shared" si="1"/>
        <v>678063.0086666667</v>
      </c>
      <c r="G28" s="266">
        <f t="shared" si="1"/>
        <v>786094.9042619048</v>
      </c>
      <c r="H28" s="347">
        <f t="shared" si="1"/>
        <v>589399.6157380952</v>
      </c>
      <c r="I28" s="8"/>
      <c r="J28" s="10"/>
    </row>
    <row r="29" spans="1:10" ht="12">
      <c r="A29" s="339"/>
      <c r="B29" s="258"/>
      <c r="C29" s="258"/>
      <c r="D29" s="258"/>
      <c r="E29" s="258">
        <f>E28-'2144 Cont, DB'!P107</f>
        <v>0</v>
      </c>
      <c r="F29" s="258"/>
      <c r="G29" s="258"/>
      <c r="H29" s="344">
        <f>H28-'2144 Cont, DB'!S107</f>
        <v>0</v>
      </c>
      <c r="J29" s="10"/>
    </row>
    <row r="30" spans="1:10" ht="12">
      <c r="A30" s="339" t="s">
        <v>16</v>
      </c>
      <c r="B30" s="258">
        <f>'2144 Shop,Serv'!L34</f>
        <v>123817.73</v>
      </c>
      <c r="C30" s="258">
        <f>B30-D30</f>
        <v>0</v>
      </c>
      <c r="D30" s="258">
        <f>'2144 Shop,Serv'!M34</f>
        <v>123817.73</v>
      </c>
      <c r="E30" s="258">
        <f>'2144 Shop,Serv'!P34</f>
        <v>25489.346</v>
      </c>
      <c r="F30" s="258">
        <f>'2144 Shop,Serv'!Q34</f>
        <v>11075.8</v>
      </c>
      <c r="G30" s="258">
        <f>'2144 Shop,Serv'!R34</f>
        <v>34272.746</v>
      </c>
      <c r="H30" s="344">
        <f>'2144 Shop,Serv'!S34</f>
        <v>89544.984</v>
      </c>
      <c r="J30" s="10"/>
    </row>
    <row r="31" spans="1:10" ht="12">
      <c r="A31" s="339"/>
      <c r="B31" s="258"/>
      <c r="C31" s="258"/>
      <c r="D31" s="258"/>
      <c r="E31" s="258"/>
      <c r="F31" s="258"/>
      <c r="G31" s="258"/>
      <c r="H31" s="344"/>
      <c r="J31" s="10"/>
    </row>
    <row r="32" spans="1:10" ht="12">
      <c r="A32" s="339" t="s">
        <v>17</v>
      </c>
      <c r="B32" s="258">
        <f>'2144 Shop,Serv'!L24</f>
        <v>237010.67999999996</v>
      </c>
      <c r="C32" s="258">
        <f>B32-D32</f>
        <v>0</v>
      </c>
      <c r="D32" s="258">
        <f>'2144 Shop,Serv'!M24</f>
        <v>237010.67999999996</v>
      </c>
      <c r="E32" s="258">
        <f>'2144 Shop,Serv'!P24</f>
        <v>25664.607</v>
      </c>
      <c r="F32" s="258">
        <f>'2144 Shop,Serv'!Q24</f>
        <v>77448.89</v>
      </c>
      <c r="G32" s="258">
        <f>'2144 Shop,Serv'!R24</f>
        <v>103113.49699999999</v>
      </c>
      <c r="H32" s="344">
        <f>'2144 Shop,Serv'!S24</f>
        <v>133897.183</v>
      </c>
      <c r="J32" s="10"/>
    </row>
    <row r="33" spans="1:10" ht="12">
      <c r="A33" s="339"/>
      <c r="B33" s="258"/>
      <c r="C33" s="258"/>
      <c r="D33" s="258"/>
      <c r="E33" s="258"/>
      <c r="F33" s="258"/>
      <c r="G33" s="258"/>
      <c r="H33" s="344"/>
      <c r="J33" s="10"/>
    </row>
    <row r="34" spans="1:10" ht="12">
      <c r="A34" s="339" t="s">
        <v>321</v>
      </c>
      <c r="B34" s="258">
        <f>'2144 Shop,Serv'!L40</f>
        <v>105958.30200000001</v>
      </c>
      <c r="C34" s="258">
        <f>B34-D34</f>
        <v>0</v>
      </c>
      <c r="D34" s="258">
        <f>'2144 Shop,Serv'!M40</f>
        <v>105958.30200000001</v>
      </c>
      <c r="E34" s="258">
        <f>'2144 Shop,Serv'!P40</f>
        <v>29643.86333333334</v>
      </c>
      <c r="F34" s="258">
        <f>'2144 Shop,Serv'!Q40</f>
        <v>17026.712</v>
      </c>
      <c r="G34" s="258">
        <f>'2144 Shop,Serv'!R40</f>
        <v>46670.57533333334</v>
      </c>
      <c r="H34" s="344">
        <f>'2144 Shop,Serv'!S40</f>
        <v>59287.72666666667</v>
      </c>
      <c r="J34" s="10"/>
    </row>
    <row r="35" spans="1:10" ht="12">
      <c r="A35" s="339"/>
      <c r="B35" s="258"/>
      <c r="C35" s="258"/>
      <c r="D35" s="258"/>
      <c r="E35" s="258"/>
      <c r="F35" s="258"/>
      <c r="G35" s="258"/>
      <c r="H35" s="344"/>
      <c r="J35" s="10"/>
    </row>
    <row r="36" spans="1:8" ht="12">
      <c r="A36" s="339" t="s">
        <v>18</v>
      </c>
      <c r="B36" s="258">
        <f>'2144 Other'!M20</f>
        <v>15910.720000000003</v>
      </c>
      <c r="C36" s="258">
        <f>B36-D36</f>
        <v>0</v>
      </c>
      <c r="D36" s="258">
        <f>'2144 Other'!N20</f>
        <v>15910.720000000003</v>
      </c>
      <c r="E36" s="258">
        <f>'2144 Other'!Q20</f>
        <v>374.67619047619047</v>
      </c>
      <c r="F36" s="258">
        <f>'2144 Other'!R20</f>
        <v>14905.244285714287</v>
      </c>
      <c r="G36" s="258">
        <f>'2144 Other'!S20</f>
        <v>15279.920476190477</v>
      </c>
      <c r="H36" s="344">
        <f>'2144 Other'!T20</f>
        <v>630.7995238095237</v>
      </c>
    </row>
    <row r="37" spans="1:10" ht="12">
      <c r="A37" s="339"/>
      <c r="B37" s="258"/>
      <c r="C37" s="258"/>
      <c r="D37" s="258"/>
      <c r="E37" s="258"/>
      <c r="F37" s="258"/>
      <c r="G37" s="258"/>
      <c r="H37" s="344"/>
      <c r="J37" s="11"/>
    </row>
    <row r="38" spans="1:8" ht="12">
      <c r="A38" s="339" t="s">
        <v>19</v>
      </c>
      <c r="B38" s="258">
        <f>'2144 Other'!M34</f>
        <v>207799.72</v>
      </c>
      <c r="C38" s="258">
        <f>B38-D38</f>
        <v>0</v>
      </c>
      <c r="D38" s="258">
        <f>'2144 Other'!N34</f>
        <v>207799.72</v>
      </c>
      <c r="E38" s="258">
        <f>'2144 Other'!Q34</f>
        <v>9218.947</v>
      </c>
      <c r="F38" s="258">
        <f>'2144 Other'!R34</f>
        <v>168509.83499999996</v>
      </c>
      <c r="G38" s="258">
        <f>'2144 Other'!S34</f>
        <v>177728.782</v>
      </c>
      <c r="H38" s="344">
        <f>'2144 Other'!T34</f>
        <v>30070.938000000002</v>
      </c>
    </row>
    <row r="39" spans="1:8" ht="12">
      <c r="A39" s="345"/>
      <c r="B39" s="332"/>
      <c r="C39" s="332"/>
      <c r="D39" s="332"/>
      <c r="E39" s="332"/>
      <c r="F39" s="332"/>
      <c r="G39" s="332"/>
      <c r="H39" s="346"/>
    </row>
    <row r="40" spans="1:8" ht="12">
      <c r="A40" s="337" t="s">
        <v>20</v>
      </c>
      <c r="B40" s="266">
        <f>B15+B28+B30+B32+B36+B38+B34</f>
        <v>5512292.692000001</v>
      </c>
      <c r="C40" s="266">
        <f aca="true" t="shared" si="2" ref="C40:H40">C15+C28+C30+C32+C36+C38+C34</f>
        <v>0</v>
      </c>
      <c r="D40" s="266">
        <f t="shared" si="2"/>
        <v>5512292.692000001</v>
      </c>
      <c r="E40" s="266">
        <f t="shared" si="2"/>
        <v>511566.99266349204</v>
      </c>
      <c r="F40" s="266">
        <f t="shared" si="2"/>
        <v>2405772.13454127</v>
      </c>
      <c r="G40" s="266">
        <f t="shared" si="2"/>
        <v>2889350.417204762</v>
      </c>
      <c r="H40" s="347">
        <f t="shared" si="2"/>
        <v>2622942.2747952384</v>
      </c>
    </row>
    <row r="41" spans="1:8" ht="12">
      <c r="A41" s="339"/>
      <c r="B41" s="258"/>
      <c r="C41" s="258"/>
      <c r="D41" s="258"/>
      <c r="E41" s="258"/>
      <c r="F41" s="258"/>
      <c r="G41" s="258"/>
      <c r="H41" s="344"/>
    </row>
    <row r="42" spans="1:8" ht="12">
      <c r="A42" s="337" t="s">
        <v>21</v>
      </c>
      <c r="B42" s="266">
        <f>177500*2</f>
        <v>355000</v>
      </c>
      <c r="C42" s="266"/>
      <c r="D42" s="266"/>
      <c r="E42" s="266"/>
      <c r="F42" s="266"/>
      <c r="G42" s="266"/>
      <c r="H42" s="347">
        <f>B42</f>
        <v>355000</v>
      </c>
    </row>
    <row r="43" spans="1:8" ht="12">
      <c r="A43" s="339"/>
      <c r="B43" s="258"/>
      <c r="C43" s="258"/>
      <c r="D43" s="258"/>
      <c r="E43" s="258"/>
      <c r="F43" s="258"/>
      <c r="G43" s="258"/>
      <c r="H43" s="344"/>
    </row>
    <row r="44" spans="1:8" ht="12.75" thickBot="1">
      <c r="A44" s="348" t="s">
        <v>258</v>
      </c>
      <c r="B44" s="349">
        <f aca="true" t="shared" si="3" ref="B44:H44">B40+B42</f>
        <v>5867292.692000001</v>
      </c>
      <c r="C44" s="349">
        <f t="shared" si="3"/>
        <v>0</v>
      </c>
      <c r="D44" s="349">
        <f t="shared" si="3"/>
        <v>5512292.692000001</v>
      </c>
      <c r="E44" s="349">
        <f t="shared" si="3"/>
        <v>511566.99266349204</v>
      </c>
      <c r="F44" s="349">
        <f t="shared" si="3"/>
        <v>2405772.13454127</v>
      </c>
      <c r="G44" s="349">
        <f t="shared" si="3"/>
        <v>2889350.417204762</v>
      </c>
      <c r="H44" s="350">
        <f t="shared" si="3"/>
        <v>2977942.2747952384</v>
      </c>
    </row>
    <row r="45" spans="1:9" ht="12">
      <c r="A45" s="7"/>
      <c r="B45" s="258">
        <f>B40-'2144 Trks'!M73-'2144 Cont, DB'!L107-'2144 Shop,Serv'!L43-'2144 Other'!M36</f>
        <v>6.984919309616089E-10</v>
      </c>
      <c r="C45" s="258"/>
      <c r="D45" s="258"/>
      <c r="E45" s="258">
        <f>E40-'2144 Trks'!Q73-'2144 Cont, DB'!P107-'2144 Shop,Serv'!P43-'2144 Other'!Q36</f>
        <v>0</v>
      </c>
      <c r="F45" s="258"/>
      <c r="G45" s="258"/>
      <c r="H45" s="258">
        <f>H40-'2144 Trks'!U73-'2144 Cont, DB'!S107-'2144 Shop,Serv'!S43-'2144 Other'!T36</f>
        <v>3.055902197957039E-10</v>
      </c>
      <c r="I45" s="184"/>
    </row>
    <row r="46" spans="1:8" ht="12">
      <c r="A46" s="7"/>
      <c r="B46" s="7"/>
      <c r="C46" s="7"/>
      <c r="D46" s="7"/>
      <c r="E46" s="7"/>
      <c r="F46" s="7"/>
      <c r="G46" s="7"/>
      <c r="H46" s="7"/>
    </row>
    <row r="47" spans="1:9" ht="12">
      <c r="A47" s="7"/>
      <c r="B47" s="7"/>
      <c r="C47" s="7"/>
      <c r="D47" s="7"/>
      <c r="E47" s="7"/>
      <c r="F47" s="7"/>
      <c r="G47" s="7"/>
      <c r="H47" s="7"/>
      <c r="I47" s="7"/>
    </row>
    <row r="48" spans="1:9" ht="12">
      <c r="A48" s="7"/>
      <c r="B48" s="7"/>
      <c r="C48" s="7"/>
      <c r="D48" s="7"/>
      <c r="E48" s="7"/>
      <c r="F48" s="7"/>
      <c r="G48" s="7"/>
      <c r="H48" s="7"/>
      <c r="I48" s="7"/>
    </row>
    <row r="49" spans="1:9" ht="12">
      <c r="A49" s="7"/>
      <c r="B49" s="7"/>
      <c r="C49" s="7"/>
      <c r="D49" s="7"/>
      <c r="E49" s="7"/>
      <c r="F49" s="7"/>
      <c r="G49" s="7"/>
      <c r="H49" s="7"/>
      <c r="I49" s="7"/>
    </row>
    <row r="61" ht="12">
      <c r="G61" s="10"/>
    </row>
    <row r="62" ht="12">
      <c r="G62" s="10"/>
    </row>
    <row r="63" ht="12">
      <c r="G63" s="10"/>
    </row>
    <row r="64" ht="12">
      <c r="G64" s="10"/>
    </row>
    <row r="65" ht="12">
      <c r="G65" s="10"/>
    </row>
    <row r="68" ht="12">
      <c r="G68" s="11"/>
    </row>
    <row r="69" ht="12">
      <c r="G69" s="11"/>
    </row>
    <row r="70" ht="12">
      <c r="G70" s="11"/>
    </row>
    <row r="71" ht="12">
      <c r="G71" s="11"/>
    </row>
    <row r="72" ht="12">
      <c r="G72" s="11"/>
    </row>
    <row r="73" ht="12">
      <c r="G73" s="11"/>
    </row>
    <row r="74" ht="12">
      <c r="G74" s="11"/>
    </row>
    <row r="76" ht="12">
      <c r="G76" s="11"/>
    </row>
  </sheetData>
  <sheetProtection/>
  <printOptions/>
  <pageMargins left="0.75" right="0.75" top="1" bottom="1" header="0.5" footer="0.5"/>
  <pageSetup horizontalDpi="300" verticalDpi="300" orientation="portrait" scale="75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H70"/>
  <sheetViews>
    <sheetView zoomScalePageLayoutView="0" workbookViewId="0" topLeftCell="A25">
      <selection activeCell="P65" sqref="P65"/>
    </sheetView>
  </sheetViews>
  <sheetFormatPr defaultColWidth="11.421875" defaultRowHeight="15"/>
  <cols>
    <col min="1" max="2" width="4.00390625" style="3" customWidth="1"/>
    <col min="3" max="3" width="7.00390625" style="3" bestFit="1" customWidth="1"/>
    <col min="4" max="4" width="24.7109375" style="3" customWidth="1"/>
    <col min="5" max="5" width="9.28125" style="3" customWidth="1"/>
    <col min="6" max="6" width="5.00390625" style="3" customWidth="1"/>
    <col min="7" max="7" width="8.00390625" style="3" customWidth="1"/>
    <col min="8" max="8" width="1.28515625" style="3" customWidth="1"/>
    <col min="9" max="9" width="8.140625" style="3" customWidth="1"/>
    <col min="10" max="10" width="6.28125" style="12" customWidth="1"/>
    <col min="11" max="11" width="10.00390625" style="14" customWidth="1"/>
    <col min="12" max="13" width="11.421875" style="3" customWidth="1"/>
    <col min="14" max="14" width="8.8515625" style="3" bestFit="1" customWidth="1"/>
    <col min="15" max="15" width="11.421875" style="3" customWidth="1"/>
    <col min="16" max="16" width="10.421875" style="3" customWidth="1"/>
    <col min="17" max="17" width="8.8515625" style="3" customWidth="1"/>
    <col min="18" max="18" width="9.00390625" style="3" customWidth="1"/>
    <col min="19" max="19" width="11.421875" style="3" customWidth="1"/>
    <col min="20" max="20" width="10.28125" style="3" customWidth="1"/>
    <col min="21" max="21" width="6.00390625" style="3" customWidth="1"/>
    <col min="22" max="22" width="11.57421875" style="3" customWidth="1"/>
    <col min="23" max="23" width="1.1484375" style="3" customWidth="1"/>
    <col min="24" max="24" width="9.00390625" style="3" bestFit="1" customWidth="1"/>
    <col min="25" max="25" width="8.8515625" style="3" bestFit="1" customWidth="1"/>
    <col min="26" max="26" width="6.57421875" style="3" bestFit="1" customWidth="1"/>
    <col min="27" max="28" width="8.8515625" style="3" bestFit="1" customWidth="1"/>
    <col min="29" max="29" width="10.00390625" style="3" bestFit="1" customWidth="1"/>
    <col min="30" max="31" width="7.8515625" style="3" bestFit="1" customWidth="1"/>
    <col min="32" max="32" width="9.421875" style="3" customWidth="1"/>
    <col min="33" max="33" width="7.8515625" style="3" bestFit="1" customWidth="1"/>
    <col min="34" max="34" width="5.00390625" style="3" bestFit="1" customWidth="1"/>
    <col min="35" max="16384" width="11.421875" style="3" customWidth="1"/>
  </cols>
  <sheetData>
    <row r="1" spans="4:31" ht="12">
      <c r="D1" s="13" t="s">
        <v>110</v>
      </c>
      <c r="K1" s="137"/>
      <c r="P1" s="15"/>
      <c r="Q1" s="15"/>
      <c r="AE1" s="16">
        <v>40909</v>
      </c>
    </row>
    <row r="2" spans="4:17" ht="12">
      <c r="D2" s="13" t="s">
        <v>24</v>
      </c>
      <c r="K2" s="137"/>
      <c r="P2" s="17">
        <f>+'2144 Trks Orig'!P2</f>
        <v>12</v>
      </c>
      <c r="Q2" s="18" t="s">
        <v>25</v>
      </c>
    </row>
    <row r="3" spans="4:32" ht="12">
      <c r="D3" s="222">
        <f>'[9]Depr Summary'!H5</f>
        <v>43100</v>
      </c>
      <c r="K3" s="137"/>
      <c r="P3" s="17">
        <f>+'2144 Trks Orig'!P3</f>
        <v>0</v>
      </c>
      <c r="Q3" s="18" t="s">
        <v>27</v>
      </c>
      <c r="AE3" s="3" t="s">
        <v>28</v>
      </c>
      <c r="AF3" s="3" t="s">
        <v>29</v>
      </c>
    </row>
    <row r="4" spans="11:32" ht="12">
      <c r="K4" s="137"/>
      <c r="P4" s="21">
        <f>'2144 Trks Orig'!P4</f>
        <v>2017</v>
      </c>
      <c r="Q4" s="18" t="s">
        <v>30</v>
      </c>
      <c r="AE4" s="3" t="s">
        <v>31</v>
      </c>
      <c r="AF4" s="3" t="s">
        <v>32</v>
      </c>
    </row>
    <row r="5" spans="11:32" ht="12">
      <c r="K5" s="137"/>
      <c r="P5" s="21">
        <f>'2144 Trks Orig'!P5</f>
        <v>2018</v>
      </c>
      <c r="Q5" s="18" t="s">
        <v>35</v>
      </c>
      <c r="AE5" s="3" t="s">
        <v>36</v>
      </c>
      <c r="AF5" s="3" t="s">
        <v>37</v>
      </c>
    </row>
    <row r="6" spans="11:32" ht="12">
      <c r="K6" s="137"/>
      <c r="AE6" s="3" t="s">
        <v>39</v>
      </c>
      <c r="AF6" s="3" t="s">
        <v>40</v>
      </c>
    </row>
    <row r="7" spans="11:32" ht="12">
      <c r="K7" s="137"/>
      <c r="AE7" s="3" t="s">
        <v>41</v>
      </c>
      <c r="AF7" s="3" t="s">
        <v>42</v>
      </c>
    </row>
    <row r="8" spans="2:29" ht="12">
      <c r="B8" s="15"/>
      <c r="C8" s="15"/>
      <c r="D8" s="15"/>
      <c r="E8" s="15"/>
      <c r="F8" s="15"/>
      <c r="G8" s="15"/>
      <c r="H8" s="15"/>
      <c r="I8" s="15"/>
      <c r="J8" s="22"/>
      <c r="K8" s="137"/>
      <c r="S8" s="12" t="s">
        <v>44</v>
      </c>
      <c r="V8" s="4" t="s">
        <v>45</v>
      </c>
      <c r="X8" s="4" t="s">
        <v>0</v>
      </c>
      <c r="Y8" s="4" t="s">
        <v>1</v>
      </c>
      <c r="AA8" s="4" t="s">
        <v>46</v>
      </c>
      <c r="AB8" s="4" t="s">
        <v>46</v>
      </c>
      <c r="AC8" s="4"/>
    </row>
    <row r="9" spans="1:29" ht="12">
      <c r="A9" s="4"/>
      <c r="B9" s="4" t="s">
        <v>13</v>
      </c>
      <c r="C9" s="4"/>
      <c r="D9" s="24"/>
      <c r="E9" s="4" t="s">
        <v>48</v>
      </c>
      <c r="F9" s="4"/>
      <c r="G9" s="25" t="s">
        <v>5</v>
      </c>
      <c r="H9" s="15"/>
      <c r="I9" s="4" t="s">
        <v>13</v>
      </c>
      <c r="J9" s="4"/>
      <c r="K9" s="26" t="s">
        <v>49</v>
      </c>
      <c r="L9" s="4" t="s">
        <v>13</v>
      </c>
      <c r="N9" s="4" t="s">
        <v>13</v>
      </c>
      <c r="O9" s="12" t="s">
        <v>50</v>
      </c>
      <c r="P9" s="24" t="s">
        <v>13</v>
      </c>
      <c r="Q9" s="24"/>
      <c r="R9" s="4" t="s">
        <v>51</v>
      </c>
      <c r="S9" s="12" t="s">
        <v>49</v>
      </c>
      <c r="T9" s="4" t="s">
        <v>45</v>
      </c>
      <c r="U9" s="4" t="s">
        <v>52</v>
      </c>
      <c r="V9" s="4" t="s">
        <v>46</v>
      </c>
      <c r="X9" s="4" t="s">
        <v>111</v>
      </c>
      <c r="Y9" s="4" t="s">
        <v>111</v>
      </c>
      <c r="Z9" s="12" t="s">
        <v>54</v>
      </c>
      <c r="AA9" s="4" t="s">
        <v>55</v>
      </c>
      <c r="AB9" s="4" t="s">
        <v>55</v>
      </c>
      <c r="AC9" s="4" t="s">
        <v>2</v>
      </c>
    </row>
    <row r="10" spans="1:34" ht="12">
      <c r="A10" s="4"/>
      <c r="B10" s="4"/>
      <c r="C10" s="4"/>
      <c r="D10" s="24" t="s">
        <v>172</v>
      </c>
      <c r="E10" s="4" t="s">
        <v>57</v>
      </c>
      <c r="F10" s="4"/>
      <c r="G10" s="25" t="s">
        <v>58</v>
      </c>
      <c r="H10" s="15"/>
      <c r="I10" s="4" t="s">
        <v>59</v>
      </c>
      <c r="J10" s="4" t="s">
        <v>60</v>
      </c>
      <c r="K10" s="26" t="s">
        <v>61</v>
      </c>
      <c r="L10" s="4" t="s">
        <v>50</v>
      </c>
      <c r="M10" s="3" t="s">
        <v>62</v>
      </c>
      <c r="N10" s="4" t="s">
        <v>50</v>
      </c>
      <c r="O10" s="12" t="s">
        <v>44</v>
      </c>
      <c r="P10" s="4" t="s">
        <v>6</v>
      </c>
      <c r="Q10" s="4" t="s">
        <v>63</v>
      </c>
      <c r="R10" s="4" t="s">
        <v>49</v>
      </c>
      <c r="S10" s="12" t="s">
        <v>64</v>
      </c>
      <c r="T10" s="4" t="s">
        <v>65</v>
      </c>
      <c r="U10" s="4" t="s">
        <v>66</v>
      </c>
      <c r="V10" s="4" t="s">
        <v>67</v>
      </c>
      <c r="W10" s="4"/>
      <c r="X10" s="4" t="s">
        <v>6</v>
      </c>
      <c r="Y10" s="4" t="s">
        <v>6</v>
      </c>
      <c r="Z10" s="4" t="s">
        <v>66</v>
      </c>
      <c r="AA10" s="4" t="s">
        <v>69</v>
      </c>
      <c r="AB10" s="4" t="s">
        <v>69</v>
      </c>
      <c r="AC10" s="4" t="s">
        <v>9</v>
      </c>
      <c r="AD10" s="12" t="s">
        <v>28</v>
      </c>
      <c r="AE10" s="12" t="s">
        <v>70</v>
      </c>
      <c r="AF10" s="12" t="s">
        <v>71</v>
      </c>
      <c r="AG10" s="12" t="s">
        <v>39</v>
      </c>
      <c r="AH10" s="12" t="s">
        <v>41</v>
      </c>
    </row>
    <row r="11" spans="1:29" ht="12">
      <c r="A11" s="27" t="s">
        <v>73</v>
      </c>
      <c r="B11" s="27" t="s">
        <v>74</v>
      </c>
      <c r="C11" s="27" t="s">
        <v>144</v>
      </c>
      <c r="D11" s="28" t="s">
        <v>75</v>
      </c>
      <c r="E11" s="27" t="s">
        <v>49</v>
      </c>
      <c r="F11" s="27" t="s">
        <v>76</v>
      </c>
      <c r="G11" s="29" t="s">
        <v>52</v>
      </c>
      <c r="H11" s="15" t="s">
        <v>77</v>
      </c>
      <c r="I11" s="27" t="s">
        <v>78</v>
      </c>
      <c r="J11" s="27" t="s">
        <v>79</v>
      </c>
      <c r="K11" s="30" t="s">
        <v>6</v>
      </c>
      <c r="L11" s="27" t="s">
        <v>4</v>
      </c>
      <c r="M11" s="31" t="s">
        <v>77</v>
      </c>
      <c r="N11" s="27" t="s">
        <v>4</v>
      </c>
      <c r="O11" s="31" t="s">
        <v>77</v>
      </c>
      <c r="P11" s="27" t="s">
        <v>4</v>
      </c>
      <c r="Q11" s="27" t="s">
        <v>6</v>
      </c>
      <c r="R11" s="27" t="s">
        <v>6</v>
      </c>
      <c r="S11" s="31" t="s">
        <v>77</v>
      </c>
      <c r="T11" s="4" t="s">
        <v>80</v>
      </c>
      <c r="U11" s="27" t="s">
        <v>77</v>
      </c>
      <c r="V11" s="4" t="s">
        <v>69</v>
      </c>
      <c r="W11" s="4"/>
      <c r="X11" s="32">
        <f>'[9]Depr Summary'!F5</f>
        <v>42736</v>
      </c>
      <c r="Y11" s="32">
        <f>+D3</f>
        <v>43100</v>
      </c>
      <c r="Z11" s="4" t="s">
        <v>52</v>
      </c>
      <c r="AA11" s="33">
        <f>+X11</f>
        <v>42736</v>
      </c>
      <c r="AB11" s="33">
        <f>+D3</f>
        <v>43100</v>
      </c>
      <c r="AC11" s="34">
        <f>D3</f>
        <v>43100</v>
      </c>
    </row>
    <row r="12" spans="1:34" ht="12">
      <c r="A12" s="169"/>
      <c r="D12" s="55" t="s">
        <v>173</v>
      </c>
      <c r="E12" s="55">
        <v>1993</v>
      </c>
      <c r="F12" s="55">
        <v>6</v>
      </c>
      <c r="G12" s="56">
        <v>0</v>
      </c>
      <c r="H12" s="15"/>
      <c r="I12" s="12" t="s">
        <v>82</v>
      </c>
      <c r="J12" s="55">
        <v>5</v>
      </c>
      <c r="K12" s="137">
        <f aca="true" t="shared" si="0" ref="K12:K21">E12+J12</f>
        <v>1998</v>
      </c>
      <c r="N12" s="58">
        <v>1661</v>
      </c>
      <c r="O12" s="142"/>
      <c r="P12" s="15">
        <f aca="true" t="shared" si="1" ref="P12:P21">N12-N12*G12</f>
        <v>1661</v>
      </c>
      <c r="Q12" s="15">
        <f aca="true" t="shared" si="2" ref="Q12:Q21">P12/J12/12</f>
        <v>27.683333333333334</v>
      </c>
      <c r="R12" s="15">
        <f aca="true" t="shared" si="3" ref="R12:R21">IF(O12&gt;0,0,IF(OR(AD12&gt;AE12,AF12&lt;AG12),0,IF(AND(AF12&gt;=AG12,AF12&lt;=AE12),Q12*((AF12-AG12)*12),IF(AND(AG12&lt;=AD12,AE12&gt;=AD12),((AE12-AD12)*12)*Q12,IF(AF12&gt;AE12,12*Q12,0)))))</f>
        <v>0</v>
      </c>
      <c r="S12" s="15">
        <f aca="true" t="shared" si="4" ref="S12:S21">IF(O12=0,0,IF(AND(AH12&gt;=AG12,AH12&lt;=AF12),((AH12-AG12)*12)*Q12,0))</f>
        <v>0</v>
      </c>
      <c r="T12" s="15">
        <f aca="true" t="shared" si="5" ref="T12:T21">IF(S12&gt;0,S12,R12)</f>
        <v>0</v>
      </c>
      <c r="U12" s="15">
        <v>1</v>
      </c>
      <c r="V12" s="15">
        <f aca="true" t="shared" si="6" ref="V12:V21">U12*SUM(R12:S12)</f>
        <v>0</v>
      </c>
      <c r="W12" s="15"/>
      <c r="X12" s="15">
        <f aca="true" t="shared" si="7" ref="X12:X21">IF(AD12&gt;AE12,0,IF(AF12&lt;AG12,P12,IF(AND(AF12&gt;=AG12,AF12&lt;=AE12),(P12-T12),IF(AND(AG12&lt;=AD12,AE12&gt;=AD12),0,IF(AF12&gt;AE12,((AG12-AD12)*12)*Q12,0)))))</f>
        <v>1661</v>
      </c>
      <c r="Y12" s="15">
        <f aca="true" t="shared" si="8" ref="Y12:Y21">X12*U12</f>
        <v>1661</v>
      </c>
      <c r="Z12" s="15">
        <v>1</v>
      </c>
      <c r="AA12" s="15">
        <f aca="true" t="shared" si="9" ref="AA12:AA21">Y12*Z12</f>
        <v>1661</v>
      </c>
      <c r="AB12" s="15">
        <f aca="true" t="shared" si="10" ref="AB12:AB21">IF(O12&gt;0,0,AA12+V12*Z12)*Z12</f>
        <v>1661</v>
      </c>
      <c r="AC12" s="15">
        <f aca="true" t="shared" si="11" ref="AC12:AC21">IF(O12&gt;0,(N12-AA12)/2,IF(AD12&gt;=AG12,(((N12*U12)*Z12)-AB12)/2,((((N12*U12)*Z12)-AA12)+(((N12*U12)*Z12)-AB12))/2))</f>
        <v>0</v>
      </c>
      <c r="AD12" s="15">
        <f aca="true" t="shared" si="12" ref="AD12:AD28">$E12+(($F12-1)/12)</f>
        <v>1993.4166666666667</v>
      </c>
      <c r="AE12" s="15">
        <f aca="true" t="shared" si="13" ref="AE12:AE26">($P$5+1)-($P$2/12)</f>
        <v>2018</v>
      </c>
      <c r="AF12" s="15">
        <f aca="true" t="shared" si="14" ref="AF12:AF28">$K12+(($F12-1)/12)</f>
        <v>1998.4166666666667</v>
      </c>
      <c r="AG12" s="15">
        <f aca="true" t="shared" si="15" ref="AG12:AG26">$P$4+($P$3/12)</f>
        <v>2017</v>
      </c>
      <c r="AH12" s="15">
        <f aca="true" t="shared" si="16" ref="AH12:AH28">$L12+(($M12-1)/12)</f>
        <v>-0.08333333333333333</v>
      </c>
    </row>
    <row r="13" spans="1:34" s="2" customFormat="1" ht="12">
      <c r="A13" s="170"/>
      <c r="B13" s="12"/>
      <c r="C13" s="12">
        <v>13314</v>
      </c>
      <c r="D13" s="36" t="s">
        <v>174</v>
      </c>
      <c r="E13" s="55">
        <v>1998</v>
      </c>
      <c r="F13" s="55">
        <v>6</v>
      </c>
      <c r="G13" s="56">
        <v>0</v>
      </c>
      <c r="H13" s="15"/>
      <c r="I13" s="12" t="s">
        <v>82</v>
      </c>
      <c r="J13" s="55">
        <v>5</v>
      </c>
      <c r="K13" s="137">
        <f t="shared" si="0"/>
        <v>2003</v>
      </c>
      <c r="N13" s="58">
        <v>5649</v>
      </c>
      <c r="O13" s="171">
        <v>0</v>
      </c>
      <c r="P13" s="15">
        <f t="shared" si="1"/>
        <v>5649</v>
      </c>
      <c r="Q13" s="15">
        <f t="shared" si="2"/>
        <v>94.14999999999999</v>
      </c>
      <c r="R13" s="15">
        <f t="shared" si="3"/>
        <v>0</v>
      </c>
      <c r="S13" s="15">
        <f t="shared" si="4"/>
        <v>0</v>
      </c>
      <c r="T13" s="15">
        <f t="shared" si="5"/>
        <v>0</v>
      </c>
      <c r="U13" s="15">
        <v>1</v>
      </c>
      <c r="V13" s="15">
        <f t="shared" si="6"/>
        <v>0</v>
      </c>
      <c r="W13" s="15"/>
      <c r="X13" s="15">
        <f t="shared" si="7"/>
        <v>5649</v>
      </c>
      <c r="Y13" s="15">
        <f t="shared" si="8"/>
        <v>5649</v>
      </c>
      <c r="Z13" s="15">
        <v>1</v>
      </c>
      <c r="AA13" s="15">
        <f t="shared" si="9"/>
        <v>5649</v>
      </c>
      <c r="AB13" s="15">
        <f t="shared" si="10"/>
        <v>5649</v>
      </c>
      <c r="AC13" s="15">
        <f t="shared" si="11"/>
        <v>0</v>
      </c>
      <c r="AD13" s="15">
        <f t="shared" si="12"/>
        <v>1998.4166666666667</v>
      </c>
      <c r="AE13" s="15">
        <f t="shared" si="13"/>
        <v>2018</v>
      </c>
      <c r="AF13" s="15">
        <f t="shared" si="14"/>
        <v>2003.4166666666667</v>
      </c>
      <c r="AG13" s="15">
        <f t="shared" si="15"/>
        <v>2017</v>
      </c>
      <c r="AH13" s="15">
        <f t="shared" si="16"/>
        <v>-0.08333333333333333</v>
      </c>
    </row>
    <row r="14" spans="1:34" s="2" customFormat="1" ht="12">
      <c r="A14" s="170"/>
      <c r="B14" s="12"/>
      <c r="C14" s="12">
        <v>13315</v>
      </c>
      <c r="D14" s="36" t="s">
        <v>174</v>
      </c>
      <c r="E14" s="55">
        <v>1998</v>
      </c>
      <c r="F14" s="55">
        <v>11</v>
      </c>
      <c r="G14" s="56">
        <v>0</v>
      </c>
      <c r="H14" s="15"/>
      <c r="I14" s="12" t="s">
        <v>82</v>
      </c>
      <c r="J14" s="55">
        <v>5</v>
      </c>
      <c r="K14" s="137">
        <f t="shared" si="0"/>
        <v>2003</v>
      </c>
      <c r="N14" s="58">
        <v>1282</v>
      </c>
      <c r="O14" s="171">
        <v>0</v>
      </c>
      <c r="P14" s="15">
        <f t="shared" si="1"/>
        <v>1282</v>
      </c>
      <c r="Q14" s="15">
        <f t="shared" si="2"/>
        <v>21.366666666666664</v>
      </c>
      <c r="R14" s="15">
        <f t="shared" si="3"/>
        <v>0</v>
      </c>
      <c r="S14" s="15">
        <f t="shared" si="4"/>
        <v>0</v>
      </c>
      <c r="T14" s="15">
        <f t="shared" si="5"/>
        <v>0</v>
      </c>
      <c r="U14" s="15">
        <v>1</v>
      </c>
      <c r="V14" s="15">
        <f t="shared" si="6"/>
        <v>0</v>
      </c>
      <c r="W14" s="15"/>
      <c r="X14" s="15">
        <f t="shared" si="7"/>
        <v>1282</v>
      </c>
      <c r="Y14" s="15">
        <f t="shared" si="8"/>
        <v>1282</v>
      </c>
      <c r="Z14" s="15">
        <v>1</v>
      </c>
      <c r="AA14" s="15">
        <f t="shared" si="9"/>
        <v>1282</v>
      </c>
      <c r="AB14" s="15">
        <f t="shared" si="10"/>
        <v>1282</v>
      </c>
      <c r="AC14" s="15">
        <f t="shared" si="11"/>
        <v>0</v>
      </c>
      <c r="AD14" s="15">
        <f t="shared" si="12"/>
        <v>1998.8333333333333</v>
      </c>
      <c r="AE14" s="15">
        <f t="shared" si="13"/>
        <v>2018</v>
      </c>
      <c r="AF14" s="15">
        <f t="shared" si="14"/>
        <v>2003.8333333333333</v>
      </c>
      <c r="AG14" s="15">
        <f t="shared" si="15"/>
        <v>2017</v>
      </c>
      <c r="AH14" s="15">
        <f t="shared" si="16"/>
        <v>-0.08333333333333333</v>
      </c>
    </row>
    <row r="15" spans="1:34" s="2" customFormat="1" ht="12">
      <c r="A15" s="170"/>
      <c r="B15" s="3"/>
      <c r="C15" s="3">
        <v>13316</v>
      </c>
      <c r="D15" s="36" t="s">
        <v>175</v>
      </c>
      <c r="E15" s="55">
        <v>1998</v>
      </c>
      <c r="F15" s="55">
        <v>12</v>
      </c>
      <c r="G15" s="56">
        <v>0</v>
      </c>
      <c r="H15" s="15"/>
      <c r="I15" s="12" t="s">
        <v>82</v>
      </c>
      <c r="J15" s="55">
        <v>5</v>
      </c>
      <c r="K15" s="137">
        <f t="shared" si="0"/>
        <v>2003</v>
      </c>
      <c r="N15" s="58">
        <v>413</v>
      </c>
      <c r="O15" s="171">
        <v>0</v>
      </c>
      <c r="P15" s="15">
        <f t="shared" si="1"/>
        <v>413</v>
      </c>
      <c r="Q15" s="15">
        <f t="shared" si="2"/>
        <v>6.883333333333333</v>
      </c>
      <c r="R15" s="15">
        <f t="shared" si="3"/>
        <v>0</v>
      </c>
      <c r="S15" s="15">
        <f t="shared" si="4"/>
        <v>0</v>
      </c>
      <c r="T15" s="15">
        <f t="shared" si="5"/>
        <v>0</v>
      </c>
      <c r="U15" s="15">
        <v>1</v>
      </c>
      <c r="V15" s="15">
        <f t="shared" si="6"/>
        <v>0</v>
      </c>
      <c r="W15" s="15"/>
      <c r="X15" s="15">
        <f t="shared" si="7"/>
        <v>413</v>
      </c>
      <c r="Y15" s="15">
        <f t="shared" si="8"/>
        <v>413</v>
      </c>
      <c r="Z15" s="15">
        <v>1</v>
      </c>
      <c r="AA15" s="15">
        <f t="shared" si="9"/>
        <v>413</v>
      </c>
      <c r="AB15" s="15">
        <f t="shared" si="10"/>
        <v>413</v>
      </c>
      <c r="AC15" s="15">
        <f t="shared" si="11"/>
        <v>0</v>
      </c>
      <c r="AD15" s="15">
        <f t="shared" si="12"/>
        <v>1998.9166666666667</v>
      </c>
      <c r="AE15" s="15">
        <f t="shared" si="13"/>
        <v>2018</v>
      </c>
      <c r="AF15" s="15">
        <f t="shared" si="14"/>
        <v>2003.9166666666667</v>
      </c>
      <c r="AG15" s="15">
        <f t="shared" si="15"/>
        <v>2017</v>
      </c>
      <c r="AH15" s="15">
        <f t="shared" si="16"/>
        <v>-0.08333333333333333</v>
      </c>
    </row>
    <row r="16" spans="1:34" ht="12">
      <c r="A16" s="169"/>
      <c r="C16" s="3">
        <v>13318</v>
      </c>
      <c r="D16" s="36" t="s">
        <v>177</v>
      </c>
      <c r="E16" s="55">
        <v>2000</v>
      </c>
      <c r="F16" s="55">
        <v>9</v>
      </c>
      <c r="G16" s="56">
        <v>0</v>
      </c>
      <c r="H16" s="15"/>
      <c r="I16" s="12" t="s">
        <v>82</v>
      </c>
      <c r="J16" s="55">
        <v>5</v>
      </c>
      <c r="K16" s="137">
        <f t="shared" si="0"/>
        <v>2005</v>
      </c>
      <c r="N16" s="58">
        <v>4379</v>
      </c>
      <c r="P16" s="15">
        <f t="shared" si="1"/>
        <v>4379</v>
      </c>
      <c r="Q16" s="15">
        <f t="shared" si="2"/>
        <v>72.98333333333333</v>
      </c>
      <c r="R16" s="15">
        <f t="shared" si="3"/>
        <v>0</v>
      </c>
      <c r="S16" s="15">
        <f t="shared" si="4"/>
        <v>0</v>
      </c>
      <c r="T16" s="15">
        <f t="shared" si="5"/>
        <v>0</v>
      </c>
      <c r="U16" s="15">
        <v>1</v>
      </c>
      <c r="V16" s="15">
        <f t="shared" si="6"/>
        <v>0</v>
      </c>
      <c r="W16" s="15"/>
      <c r="X16" s="15">
        <f t="shared" si="7"/>
        <v>4379</v>
      </c>
      <c r="Y16" s="15">
        <f t="shared" si="8"/>
        <v>4379</v>
      </c>
      <c r="Z16" s="15">
        <v>1</v>
      </c>
      <c r="AA16" s="15">
        <f t="shared" si="9"/>
        <v>4379</v>
      </c>
      <c r="AB16" s="15">
        <f t="shared" si="10"/>
        <v>4379</v>
      </c>
      <c r="AC16" s="15">
        <f t="shared" si="11"/>
        <v>0</v>
      </c>
      <c r="AD16" s="15">
        <f t="shared" si="12"/>
        <v>2000.6666666666667</v>
      </c>
      <c r="AE16" s="15">
        <f t="shared" si="13"/>
        <v>2018</v>
      </c>
      <c r="AF16" s="15">
        <f t="shared" si="14"/>
        <v>2005.6666666666667</v>
      </c>
      <c r="AG16" s="15">
        <f t="shared" si="15"/>
        <v>2017</v>
      </c>
      <c r="AH16" s="15">
        <f t="shared" si="16"/>
        <v>-0.08333333333333333</v>
      </c>
    </row>
    <row r="17" spans="1:34" ht="12">
      <c r="A17" s="169"/>
      <c r="C17" s="3">
        <v>16562</v>
      </c>
      <c r="D17" s="36" t="s">
        <v>178</v>
      </c>
      <c r="E17" s="55">
        <v>2002</v>
      </c>
      <c r="F17" s="55">
        <v>10</v>
      </c>
      <c r="G17" s="56">
        <v>0</v>
      </c>
      <c r="H17" s="15"/>
      <c r="I17" s="12" t="s">
        <v>82</v>
      </c>
      <c r="J17" s="55">
        <v>5</v>
      </c>
      <c r="K17" s="137">
        <f t="shared" si="0"/>
        <v>2007</v>
      </c>
      <c r="N17" s="58">
        <v>3197</v>
      </c>
      <c r="P17" s="15">
        <f t="shared" si="1"/>
        <v>3197</v>
      </c>
      <c r="Q17" s="15">
        <f t="shared" si="2"/>
        <v>53.28333333333333</v>
      </c>
      <c r="R17" s="15">
        <f t="shared" si="3"/>
        <v>0</v>
      </c>
      <c r="S17" s="15">
        <f t="shared" si="4"/>
        <v>0</v>
      </c>
      <c r="T17" s="15">
        <f t="shared" si="5"/>
        <v>0</v>
      </c>
      <c r="U17" s="15">
        <v>1</v>
      </c>
      <c r="V17" s="15">
        <f t="shared" si="6"/>
        <v>0</v>
      </c>
      <c r="W17" s="15"/>
      <c r="X17" s="15">
        <f t="shared" si="7"/>
        <v>3197</v>
      </c>
      <c r="Y17" s="15">
        <f t="shared" si="8"/>
        <v>3197</v>
      </c>
      <c r="Z17" s="15">
        <v>1</v>
      </c>
      <c r="AA17" s="15">
        <f t="shared" si="9"/>
        <v>3197</v>
      </c>
      <c r="AB17" s="15">
        <f t="shared" si="10"/>
        <v>3197</v>
      </c>
      <c r="AC17" s="15">
        <f t="shared" si="11"/>
        <v>0</v>
      </c>
      <c r="AD17" s="15">
        <f t="shared" si="12"/>
        <v>2002.75</v>
      </c>
      <c r="AE17" s="15">
        <f t="shared" si="13"/>
        <v>2018</v>
      </c>
      <c r="AF17" s="15">
        <f t="shared" si="14"/>
        <v>2007.75</v>
      </c>
      <c r="AG17" s="15">
        <f t="shared" si="15"/>
        <v>2017</v>
      </c>
      <c r="AH17" s="15">
        <f t="shared" si="16"/>
        <v>-0.08333333333333333</v>
      </c>
    </row>
    <row r="18" spans="1:34" ht="12">
      <c r="A18" s="169"/>
      <c r="C18" s="3">
        <v>16571</v>
      </c>
      <c r="D18" s="44" t="s">
        <v>179</v>
      </c>
      <c r="E18" s="55">
        <v>2002</v>
      </c>
      <c r="F18" s="55">
        <v>10</v>
      </c>
      <c r="G18" s="56">
        <v>0</v>
      </c>
      <c r="H18" s="15"/>
      <c r="I18" s="12" t="s">
        <v>82</v>
      </c>
      <c r="J18" s="55">
        <v>5</v>
      </c>
      <c r="K18" s="137">
        <f t="shared" si="0"/>
        <v>2007</v>
      </c>
      <c r="N18" s="58">
        <v>2593</v>
      </c>
      <c r="P18" s="15">
        <f t="shared" si="1"/>
        <v>2593</v>
      </c>
      <c r="Q18" s="15">
        <f t="shared" si="2"/>
        <v>43.21666666666667</v>
      </c>
      <c r="R18" s="15">
        <f t="shared" si="3"/>
        <v>0</v>
      </c>
      <c r="S18" s="15">
        <f t="shared" si="4"/>
        <v>0</v>
      </c>
      <c r="T18" s="15">
        <f t="shared" si="5"/>
        <v>0</v>
      </c>
      <c r="U18" s="15">
        <v>1</v>
      </c>
      <c r="V18" s="15">
        <f t="shared" si="6"/>
        <v>0</v>
      </c>
      <c r="W18" s="15"/>
      <c r="X18" s="15">
        <f t="shared" si="7"/>
        <v>2593</v>
      </c>
      <c r="Y18" s="15">
        <f t="shared" si="8"/>
        <v>2593</v>
      </c>
      <c r="Z18" s="15">
        <v>1</v>
      </c>
      <c r="AA18" s="15">
        <f t="shared" si="9"/>
        <v>2593</v>
      </c>
      <c r="AB18" s="15">
        <f t="shared" si="10"/>
        <v>2593</v>
      </c>
      <c r="AC18" s="15">
        <f t="shared" si="11"/>
        <v>0</v>
      </c>
      <c r="AD18" s="15">
        <f t="shared" si="12"/>
        <v>2002.75</v>
      </c>
      <c r="AE18" s="15">
        <f t="shared" si="13"/>
        <v>2018</v>
      </c>
      <c r="AF18" s="15">
        <f t="shared" si="14"/>
        <v>2007.75</v>
      </c>
      <c r="AG18" s="15">
        <f t="shared" si="15"/>
        <v>2017</v>
      </c>
      <c r="AH18" s="15">
        <f t="shared" si="16"/>
        <v>-0.08333333333333333</v>
      </c>
    </row>
    <row r="19" spans="1:34" ht="12">
      <c r="A19" s="169"/>
      <c r="C19" s="3">
        <v>48193</v>
      </c>
      <c r="D19" s="44" t="s">
        <v>180</v>
      </c>
      <c r="E19" s="55">
        <v>2006</v>
      </c>
      <c r="F19" s="55">
        <v>12</v>
      </c>
      <c r="G19" s="56">
        <v>0</v>
      </c>
      <c r="H19" s="15"/>
      <c r="I19" s="12" t="s">
        <v>82</v>
      </c>
      <c r="J19" s="55">
        <v>5</v>
      </c>
      <c r="K19" s="137">
        <f t="shared" si="0"/>
        <v>2011</v>
      </c>
      <c r="N19" s="58">
        <v>5025</v>
      </c>
      <c r="P19" s="15">
        <f t="shared" si="1"/>
        <v>5025</v>
      </c>
      <c r="Q19" s="15">
        <f t="shared" si="2"/>
        <v>83.75</v>
      </c>
      <c r="R19" s="15">
        <f t="shared" si="3"/>
        <v>0</v>
      </c>
      <c r="S19" s="15">
        <f t="shared" si="4"/>
        <v>0</v>
      </c>
      <c r="T19" s="15">
        <f t="shared" si="5"/>
        <v>0</v>
      </c>
      <c r="U19" s="15">
        <v>1</v>
      </c>
      <c r="V19" s="15">
        <f t="shared" si="6"/>
        <v>0</v>
      </c>
      <c r="W19" s="15"/>
      <c r="X19" s="15">
        <f t="shared" si="7"/>
        <v>5025</v>
      </c>
      <c r="Y19" s="15">
        <f t="shared" si="8"/>
        <v>5025</v>
      </c>
      <c r="Z19" s="15">
        <v>1</v>
      </c>
      <c r="AA19" s="15">
        <f t="shared" si="9"/>
        <v>5025</v>
      </c>
      <c r="AB19" s="15">
        <f t="shared" si="10"/>
        <v>5025</v>
      </c>
      <c r="AC19" s="15">
        <f t="shared" si="11"/>
        <v>0</v>
      </c>
      <c r="AD19" s="15">
        <f t="shared" si="12"/>
        <v>2006.9166666666667</v>
      </c>
      <c r="AE19" s="15">
        <f t="shared" si="13"/>
        <v>2018</v>
      </c>
      <c r="AF19" s="15">
        <f t="shared" si="14"/>
        <v>2011.9166666666667</v>
      </c>
      <c r="AG19" s="15">
        <f t="shared" si="15"/>
        <v>2017</v>
      </c>
      <c r="AH19" s="15">
        <f t="shared" si="16"/>
        <v>-0.08333333333333333</v>
      </c>
    </row>
    <row r="20" spans="1:34" ht="12">
      <c r="A20" s="169"/>
      <c r="C20" s="3">
        <v>59914</v>
      </c>
      <c r="D20" s="44" t="s">
        <v>181</v>
      </c>
      <c r="E20" s="55">
        <v>2008</v>
      </c>
      <c r="F20" s="55">
        <v>10</v>
      </c>
      <c r="G20" s="56">
        <v>0</v>
      </c>
      <c r="H20" s="15"/>
      <c r="I20" s="12" t="s">
        <v>82</v>
      </c>
      <c r="J20" s="55">
        <v>5</v>
      </c>
      <c r="K20" s="137">
        <f t="shared" si="0"/>
        <v>2013</v>
      </c>
      <c r="N20" s="58">
        <v>1251.47</v>
      </c>
      <c r="P20" s="15">
        <f t="shared" si="1"/>
        <v>1251.47</v>
      </c>
      <c r="Q20" s="15">
        <f t="shared" si="2"/>
        <v>20.857833333333335</v>
      </c>
      <c r="R20" s="15">
        <f t="shared" si="3"/>
        <v>0</v>
      </c>
      <c r="S20" s="15">
        <f t="shared" si="4"/>
        <v>0</v>
      </c>
      <c r="T20" s="15">
        <f t="shared" si="5"/>
        <v>0</v>
      </c>
      <c r="U20" s="15">
        <v>1</v>
      </c>
      <c r="V20" s="15">
        <f t="shared" si="6"/>
        <v>0</v>
      </c>
      <c r="W20" s="15"/>
      <c r="X20" s="15">
        <f t="shared" si="7"/>
        <v>1251.47</v>
      </c>
      <c r="Y20" s="15">
        <f t="shared" si="8"/>
        <v>1251.47</v>
      </c>
      <c r="Z20" s="15">
        <v>1</v>
      </c>
      <c r="AA20" s="15">
        <f t="shared" si="9"/>
        <v>1251.47</v>
      </c>
      <c r="AB20" s="15">
        <f t="shared" si="10"/>
        <v>1251.47</v>
      </c>
      <c r="AC20" s="15">
        <f t="shared" si="11"/>
        <v>0</v>
      </c>
      <c r="AD20" s="15">
        <f t="shared" si="12"/>
        <v>2008.75</v>
      </c>
      <c r="AE20" s="15">
        <f t="shared" si="13"/>
        <v>2018</v>
      </c>
      <c r="AF20" s="15">
        <f t="shared" si="14"/>
        <v>2013.75</v>
      </c>
      <c r="AG20" s="15">
        <f t="shared" si="15"/>
        <v>2017</v>
      </c>
      <c r="AH20" s="15">
        <f t="shared" si="16"/>
        <v>-0.08333333333333333</v>
      </c>
    </row>
    <row r="21" spans="1:34" ht="12">
      <c r="A21" s="169"/>
      <c r="C21" s="3">
        <v>88830</v>
      </c>
      <c r="D21" s="44" t="s">
        <v>182</v>
      </c>
      <c r="E21" s="55">
        <v>2011</v>
      </c>
      <c r="F21" s="55">
        <v>12</v>
      </c>
      <c r="G21" s="56">
        <v>0</v>
      </c>
      <c r="H21" s="15"/>
      <c r="I21" s="12" t="s">
        <v>82</v>
      </c>
      <c r="J21" s="55">
        <v>5</v>
      </c>
      <c r="K21" s="137">
        <f t="shared" si="0"/>
        <v>2016</v>
      </c>
      <c r="N21" s="58">
        <v>754.35</v>
      </c>
      <c r="P21" s="15">
        <f t="shared" si="1"/>
        <v>754.35</v>
      </c>
      <c r="Q21" s="15">
        <f t="shared" si="2"/>
        <v>12.5725</v>
      </c>
      <c r="R21" s="15">
        <f t="shared" si="3"/>
        <v>0</v>
      </c>
      <c r="S21" s="15">
        <f t="shared" si="4"/>
        <v>0</v>
      </c>
      <c r="T21" s="15">
        <f t="shared" si="5"/>
        <v>0</v>
      </c>
      <c r="U21" s="15">
        <v>1</v>
      </c>
      <c r="V21" s="15">
        <f t="shared" si="6"/>
        <v>0</v>
      </c>
      <c r="W21" s="15"/>
      <c r="X21" s="15">
        <f t="shared" si="7"/>
        <v>754.35</v>
      </c>
      <c r="Y21" s="15">
        <f t="shared" si="8"/>
        <v>754.35</v>
      </c>
      <c r="Z21" s="15">
        <v>1</v>
      </c>
      <c r="AA21" s="15">
        <f t="shared" si="9"/>
        <v>754.35</v>
      </c>
      <c r="AB21" s="15">
        <f t="shared" si="10"/>
        <v>754.35</v>
      </c>
      <c r="AC21" s="15">
        <f t="shared" si="11"/>
        <v>0</v>
      </c>
      <c r="AD21" s="15">
        <f t="shared" si="12"/>
        <v>2011.9166666666667</v>
      </c>
      <c r="AE21" s="15">
        <f t="shared" si="13"/>
        <v>2018</v>
      </c>
      <c r="AF21" s="15">
        <f t="shared" si="14"/>
        <v>2016.9166666666667</v>
      </c>
      <c r="AG21" s="15">
        <f t="shared" si="15"/>
        <v>2017</v>
      </c>
      <c r="AH21" s="15">
        <f t="shared" si="16"/>
        <v>-0.08333333333333333</v>
      </c>
    </row>
    <row r="22" spans="1:34" ht="12">
      <c r="A22" s="169"/>
      <c r="C22" s="3">
        <v>99654</v>
      </c>
      <c r="D22" s="44" t="s">
        <v>203</v>
      </c>
      <c r="E22" s="55">
        <v>2012</v>
      </c>
      <c r="F22" s="55">
        <v>12</v>
      </c>
      <c r="G22" s="56">
        <v>0</v>
      </c>
      <c r="H22" s="15"/>
      <c r="I22" s="12" t="s">
        <v>82</v>
      </c>
      <c r="J22" s="55">
        <v>7</v>
      </c>
      <c r="K22" s="137">
        <f>E22+J22</f>
        <v>2019</v>
      </c>
      <c r="N22" s="58">
        <f>5923.01+1122.77+3401.02+295.89+317.11+198.19</f>
        <v>11257.990000000002</v>
      </c>
      <c r="P22" s="15">
        <f>N22-N22*G22</f>
        <v>11257.990000000002</v>
      </c>
      <c r="Q22" s="15">
        <f>P22/J22/12</f>
        <v>134.0236904761905</v>
      </c>
      <c r="R22" s="15">
        <f>IF(O22&gt;0,0,IF(OR(AD22&gt;AE22,AF22&lt;AG22),0,IF(AND(AF22&gt;=AG22,AF22&lt;=AE22),Q22*((AF22-AG22)*12),IF(AND(AG22&lt;=AD22,AE22&gt;=AD22),((AE22-AD22)*12)*Q22,IF(AF22&gt;AE22,12*Q22,0)))))</f>
        <v>1608.284285714286</v>
      </c>
      <c r="S22" s="15">
        <f>IF(O22=0,0,IF(AND(AH22&gt;=AG22,AH22&lt;=AF22),((AH22-AG22)*12)*Q22,0))</f>
        <v>0</v>
      </c>
      <c r="T22" s="15">
        <f>IF(S22&gt;0,S22,R22)</f>
        <v>1608.284285714286</v>
      </c>
      <c r="U22" s="15">
        <v>1</v>
      </c>
      <c r="V22" s="15">
        <f>U22*SUM(R22:S22)</f>
        <v>1608.284285714286</v>
      </c>
      <c r="W22" s="15"/>
      <c r="X22" s="15">
        <f>IF(AD22&gt;AE22,0,IF(AF22&lt;AG22,P22,IF(AND(AF22&gt;=AG22,AF22&lt;=AE22),(P22-T22),IF(AND(AG22&lt;=AD22,AE22&gt;=AD22),0,IF(AF22&gt;AE22,((AG22-AD22)*12)*Q22,0)))))</f>
        <v>6567.160833333212</v>
      </c>
      <c r="Y22" s="15">
        <f>X22*U22</f>
        <v>6567.160833333212</v>
      </c>
      <c r="Z22" s="15">
        <v>1</v>
      </c>
      <c r="AA22" s="15">
        <f>Y22*Z22</f>
        <v>6567.160833333212</v>
      </c>
      <c r="AB22" s="15">
        <f>IF(O22&gt;0,0,AA22+V22*Z22)*Z22</f>
        <v>8175.445119047498</v>
      </c>
      <c r="AC22" s="15">
        <f>IF(O22&gt;0,(N22-AA22)/2,IF(AD22&gt;=AG22,(((N22*U22)*Z22)-AB22)/2,((((N22*U22)*Z22)-AA22)+(((N22*U22)*Z22)-AB22))/2))</f>
        <v>3886.6870238096462</v>
      </c>
      <c r="AD22" s="15">
        <f t="shared" si="12"/>
        <v>2012.9166666666667</v>
      </c>
      <c r="AE22" s="15">
        <f t="shared" si="13"/>
        <v>2018</v>
      </c>
      <c r="AF22" s="15">
        <f t="shared" si="14"/>
        <v>2019.9166666666667</v>
      </c>
      <c r="AG22" s="15">
        <f t="shared" si="15"/>
        <v>2017</v>
      </c>
      <c r="AH22" s="15">
        <f t="shared" si="16"/>
        <v>-0.08333333333333333</v>
      </c>
    </row>
    <row r="23" spans="1:34" ht="12">
      <c r="A23" s="169"/>
      <c r="C23" s="3">
        <v>99654</v>
      </c>
      <c r="D23" s="44" t="s">
        <v>204</v>
      </c>
      <c r="E23" s="55">
        <v>2012</v>
      </c>
      <c r="F23" s="55">
        <v>12</v>
      </c>
      <c r="G23" s="56">
        <v>0</v>
      </c>
      <c r="H23" s="15"/>
      <c r="I23" s="12" t="s">
        <v>82</v>
      </c>
      <c r="J23" s="55">
        <v>5</v>
      </c>
      <c r="K23" s="137">
        <f>E23+J23</f>
        <v>2017</v>
      </c>
      <c r="N23" s="58">
        <v>648.75</v>
      </c>
      <c r="P23" s="15">
        <f>N23-N23*G23</f>
        <v>648.75</v>
      </c>
      <c r="Q23" s="15">
        <f>P23/J23/12</f>
        <v>10.8125</v>
      </c>
      <c r="R23" s="15">
        <f>IF(O23&gt;0,0,IF(OR(AD23&gt;AE23,AF23&lt;AG23),0,IF(AND(AF23&gt;=AG23,AF23&lt;=AE23),Q23*((AF23-AG23)*12),IF(AND(AG23&lt;=AD23,AE23&gt;=AD23),((AE23-AD23)*12)*Q23,IF(AF23&gt;AE23,12*Q23,0)))))</f>
        <v>118.93750000000983</v>
      </c>
      <c r="S23" s="15">
        <f>IF(O23=0,0,IF(AND(AH23&gt;=AG23,AH23&lt;=AF23),((AH23-AG23)*12)*Q23,0))</f>
        <v>0</v>
      </c>
      <c r="T23" s="15">
        <f>IF(S23&gt;0,S23,R23)</f>
        <v>118.93750000000983</v>
      </c>
      <c r="U23" s="15">
        <v>1</v>
      </c>
      <c r="V23" s="15">
        <f>U23*SUM(R23:S23)</f>
        <v>118.93750000000983</v>
      </c>
      <c r="W23" s="15"/>
      <c r="X23" s="15">
        <f>IF(AD23&gt;AE23,0,IF(AF23&lt;AG23,P23,IF(AND(AF23&gt;=AG23,AF23&lt;=AE23),(P23-T23),IF(AND(AG23&lt;=AD23,AE23&gt;=AD23),0,IF(AF23&gt;AE23,((AG23-AD23)*12)*Q23,0)))))</f>
        <v>529.8124999999902</v>
      </c>
      <c r="Y23" s="15">
        <f>X23*U23</f>
        <v>529.8124999999902</v>
      </c>
      <c r="Z23" s="15">
        <v>1</v>
      </c>
      <c r="AA23" s="15">
        <f>Y23*Z23</f>
        <v>529.8124999999902</v>
      </c>
      <c r="AB23" s="15">
        <f>IF(O23&gt;0,0,AA23+V23*Z23)*Z23</f>
        <v>648.75</v>
      </c>
      <c r="AC23" s="15">
        <f>IF(O23&gt;0,(N23-AA23)/2,IF(AD23&gt;=AG23,(((N23*U23)*Z23)-AB23)/2,((((N23*U23)*Z23)-AA23)+(((N23*U23)*Z23)-AB23))/2))</f>
        <v>59.46875000000489</v>
      </c>
      <c r="AD23" s="15">
        <f t="shared" si="12"/>
        <v>2012.9166666666667</v>
      </c>
      <c r="AE23" s="15">
        <f t="shared" si="13"/>
        <v>2018</v>
      </c>
      <c r="AF23" s="15">
        <f t="shared" si="14"/>
        <v>2017.9166666666667</v>
      </c>
      <c r="AG23" s="15">
        <f t="shared" si="15"/>
        <v>2017</v>
      </c>
      <c r="AH23" s="15">
        <f t="shared" si="16"/>
        <v>-0.08333333333333333</v>
      </c>
    </row>
    <row r="24" spans="1:34" ht="12">
      <c r="A24" s="169"/>
      <c r="C24" s="3">
        <v>109830</v>
      </c>
      <c r="D24" s="44" t="s">
        <v>215</v>
      </c>
      <c r="E24" s="55">
        <v>2013</v>
      </c>
      <c r="F24" s="55">
        <v>12</v>
      </c>
      <c r="G24" s="56">
        <v>0</v>
      </c>
      <c r="H24" s="15"/>
      <c r="I24" s="12" t="s">
        <v>82</v>
      </c>
      <c r="J24" s="55">
        <v>7</v>
      </c>
      <c r="K24" s="137">
        <f>E24+J24</f>
        <v>2020</v>
      </c>
      <c r="N24" s="58">
        <v>829.87</v>
      </c>
      <c r="P24" s="15">
        <f>N24-N24*G24</f>
        <v>829.87</v>
      </c>
      <c r="Q24" s="15">
        <f>P24/J24/12</f>
        <v>9.879404761904762</v>
      </c>
      <c r="R24" s="15">
        <f>IF(O24&gt;0,0,IF(OR(AD24&gt;AE24,AF24&lt;AG24),0,IF(AND(AF24&gt;=AG24,AF24&lt;=AE24),Q24*((AF24-AG24)*12),IF(AND(AG24&lt;=AD24,AE24&gt;=AD24),((AE24-AD24)*12)*Q24,IF(AF24&gt;AE24,12*Q24,0)))))</f>
        <v>118.55285714285715</v>
      </c>
      <c r="S24" s="15">
        <f>IF(O24=0,0,IF(AND(AH24&gt;=AG24,AH24&lt;=AF24),((AH24-AG24)*12)*Q24,0))</f>
        <v>0</v>
      </c>
      <c r="T24" s="15">
        <f>IF(S24&gt;0,S24,R24)</f>
        <v>118.55285714285715</v>
      </c>
      <c r="U24" s="15">
        <v>1</v>
      </c>
      <c r="V24" s="15">
        <f>U24*SUM(R24:S24)</f>
        <v>118.55285714285715</v>
      </c>
      <c r="W24" s="15"/>
      <c r="X24" s="15">
        <f>IF(AD24&gt;AE24,0,IF(AF24&lt;AG24,P24,IF(AND(AF24&gt;=AG24,AF24&lt;=AE24),(P24-T24),IF(AND(AG24&lt;=AD24,AE24&gt;=AD24),0,IF(AF24&gt;AE24,((AG24-AD24)*12)*Q24,0)))))</f>
        <v>365.53797619046725</v>
      </c>
      <c r="Y24" s="15">
        <f>X24*U24</f>
        <v>365.53797619046725</v>
      </c>
      <c r="Z24" s="15">
        <v>1</v>
      </c>
      <c r="AA24" s="15">
        <f>Y24*Z24</f>
        <v>365.53797619046725</v>
      </c>
      <c r="AB24" s="15">
        <f>IF(O24&gt;0,0,AA24+V24*Z24)*Z24</f>
        <v>484.0908333333244</v>
      </c>
      <c r="AC24" s="15">
        <f>IF(O24&gt;0,(N24-AA24)/2,IF(AD24&gt;=AG24,(((N24*U24)*Z24)-AB24)/2,((((N24*U24)*Z24)-AA24)+(((N24*U24)*Z24)-AB24))/2))</f>
        <v>405.05559523810416</v>
      </c>
      <c r="AD24" s="15">
        <f t="shared" si="12"/>
        <v>2013.9166666666667</v>
      </c>
      <c r="AE24" s="15">
        <f t="shared" si="13"/>
        <v>2018</v>
      </c>
      <c r="AF24" s="15">
        <f t="shared" si="14"/>
        <v>2020.9166666666667</v>
      </c>
      <c r="AG24" s="15">
        <f t="shared" si="15"/>
        <v>2017</v>
      </c>
      <c r="AH24" s="15">
        <f t="shared" si="16"/>
        <v>-0.08333333333333333</v>
      </c>
    </row>
    <row r="25" spans="1:34" ht="12">
      <c r="A25" s="169"/>
      <c r="C25" s="3">
        <v>116945</v>
      </c>
      <c r="D25" s="44" t="s">
        <v>219</v>
      </c>
      <c r="E25" s="55">
        <v>2014</v>
      </c>
      <c r="F25" s="55">
        <v>4</v>
      </c>
      <c r="G25" s="56">
        <v>0</v>
      </c>
      <c r="H25" s="15"/>
      <c r="I25" s="12" t="s">
        <v>82</v>
      </c>
      <c r="J25" s="55">
        <v>5</v>
      </c>
      <c r="K25" s="137">
        <f>E25+J25</f>
        <v>2019</v>
      </c>
      <c r="N25" s="58">
        <v>666.17</v>
      </c>
      <c r="P25" s="15">
        <f>N25-N25*G25</f>
        <v>666.17</v>
      </c>
      <c r="Q25" s="15">
        <f>P25/J25/12</f>
        <v>11.102833333333331</v>
      </c>
      <c r="R25" s="15">
        <f>IF(O25&gt;0,0,IF(OR(AD25&gt;AE25,AF25&lt;AG25),0,IF(AND(AF25&gt;=AG25,AF25&lt;=AE25),Q25*((AF25-AG25)*12),IF(AND(AG25&lt;=AD25,AE25&gt;=AD25),((AE25-AD25)*12)*Q25,IF(AF25&gt;AE25,12*Q25,0)))))</f>
        <v>133.23399999999998</v>
      </c>
      <c r="S25" s="15">
        <f>IF(O25=0,0,IF(AND(AH25&gt;=AG25,AH25&lt;=AF25),((AH25-AG25)*12)*Q25,0))</f>
        <v>0</v>
      </c>
      <c r="T25" s="15">
        <f>IF(S25&gt;0,S25,R25)</f>
        <v>133.23399999999998</v>
      </c>
      <c r="U25" s="15">
        <v>1</v>
      </c>
      <c r="V25" s="15">
        <f>U25*SUM(R25:S25)</f>
        <v>133.23399999999998</v>
      </c>
      <c r="W25" s="15"/>
      <c r="X25" s="15">
        <f>IF(AD25&gt;AE25,0,IF(AF25&lt;AG25,P25,IF(AND(AF25&gt;=AG25,AF25&lt;=AE25),(P25-T25),IF(AND(AG25&lt;=AD25,AE25&gt;=AD25),0,IF(AF25&gt;AE25,((AG25-AD25)*12)*Q25,0)))))</f>
        <v>366.3934999999999</v>
      </c>
      <c r="Y25" s="15">
        <f>X25*U25</f>
        <v>366.3934999999999</v>
      </c>
      <c r="Z25" s="15">
        <v>1</v>
      </c>
      <c r="AA25" s="15">
        <f>Y25*Z25</f>
        <v>366.3934999999999</v>
      </c>
      <c r="AB25" s="15">
        <f>IF(O25&gt;0,0,AA25+V25*Z25)*Z25</f>
        <v>499.6274999999999</v>
      </c>
      <c r="AC25" s="15">
        <f>IF(O25&gt;0,(N25-AA25)/2,IF(AD25&gt;=AG25,(((N25*U25)*Z25)-AB25)/2,((((N25*U25)*Z25)-AA25)+(((N25*U25)*Z25)-AB25))/2))</f>
        <v>233.15950000000007</v>
      </c>
      <c r="AD25" s="15">
        <f t="shared" si="12"/>
        <v>2014.25</v>
      </c>
      <c r="AE25" s="15">
        <f t="shared" si="13"/>
        <v>2018</v>
      </c>
      <c r="AF25" s="15">
        <f t="shared" si="14"/>
        <v>2019.25</v>
      </c>
      <c r="AG25" s="15">
        <f t="shared" si="15"/>
        <v>2017</v>
      </c>
      <c r="AH25" s="15">
        <f t="shared" si="16"/>
        <v>-0.08333333333333333</v>
      </c>
    </row>
    <row r="26" spans="1:34" ht="12">
      <c r="A26" s="169"/>
      <c r="C26" s="3">
        <v>122701</v>
      </c>
      <c r="D26" s="44" t="s">
        <v>219</v>
      </c>
      <c r="E26" s="55">
        <v>2015</v>
      </c>
      <c r="F26" s="55">
        <v>4</v>
      </c>
      <c r="G26" s="56">
        <v>0</v>
      </c>
      <c r="H26" s="15"/>
      <c r="I26" s="12" t="s">
        <v>82</v>
      </c>
      <c r="J26" s="55">
        <v>5</v>
      </c>
      <c r="K26" s="137">
        <f>E26+J26</f>
        <v>2020</v>
      </c>
      <c r="N26" s="58">
        <v>650</v>
      </c>
      <c r="P26" s="15">
        <f>N26-N26*G26</f>
        <v>650</v>
      </c>
      <c r="Q26" s="15">
        <f>P26/J26/12</f>
        <v>10.833333333333334</v>
      </c>
      <c r="R26" s="15">
        <f>IF(O26&gt;0,0,IF(OR(AD26&gt;AE26,AF26&lt;AG26),0,IF(AND(AF26&gt;=AG26,AF26&lt;=AE26),Q26*((AF26-AG26)*12),IF(AND(AG26&lt;=AD26,AE26&gt;=AD26),((AE26-AD26)*12)*Q26,IF(AF26&gt;AE26,12*Q26,0)))))</f>
        <v>130</v>
      </c>
      <c r="S26" s="15">
        <f>IF(O26=0,0,IF(AND(AH26&gt;=AG26,AH26&lt;=AF26),((AH26-AG26)*12)*Q26,0))</f>
        <v>0</v>
      </c>
      <c r="T26" s="15">
        <f>IF(S26&gt;0,S26,R26)</f>
        <v>130</v>
      </c>
      <c r="U26" s="15">
        <v>1</v>
      </c>
      <c r="V26" s="15">
        <f>U26*SUM(R26:S26)</f>
        <v>130</v>
      </c>
      <c r="W26" s="15"/>
      <c r="X26" s="15">
        <f>IF(AD26&gt;AE26,0,IF(AF26&lt;AG26,P26,IF(AND(AF26&gt;=AG26,AF26&lt;=AE26),(P26-T26),IF(AND(AG26&lt;=AD26,AE26&gt;=AD26),0,IF(AF26&gt;AE26,((AG26-AD26)*12)*Q26,0)))))</f>
        <v>227.5</v>
      </c>
      <c r="Y26" s="15">
        <f>X26*U26</f>
        <v>227.5</v>
      </c>
      <c r="Z26" s="15">
        <v>1</v>
      </c>
      <c r="AA26" s="15">
        <f>Y26*Z26</f>
        <v>227.5</v>
      </c>
      <c r="AB26" s="15">
        <f>IF(O26&gt;0,0,AA26+V26*Z26)*Z26</f>
        <v>357.5</v>
      </c>
      <c r="AC26" s="15">
        <f>IF(O26&gt;0,(N26-AA26)/2,IF(AD26&gt;=AG26,(((N26*U26)*Z26)-AB26)/2,((((N26*U26)*Z26)-AA26)+(((N26*U26)*Z26)-AB26))/2))</f>
        <v>357.5</v>
      </c>
      <c r="AD26" s="15">
        <f t="shared" si="12"/>
        <v>2015.25</v>
      </c>
      <c r="AE26" s="15">
        <f t="shared" si="13"/>
        <v>2018</v>
      </c>
      <c r="AF26" s="15">
        <f t="shared" si="14"/>
        <v>2020.25</v>
      </c>
      <c r="AG26" s="15">
        <f t="shared" si="15"/>
        <v>2017</v>
      </c>
      <c r="AH26" s="15">
        <f t="shared" si="16"/>
        <v>-0.08333333333333333</v>
      </c>
    </row>
    <row r="27" spans="1:34" ht="12">
      <c r="A27" s="169"/>
      <c r="D27" s="44"/>
      <c r="E27" s="55"/>
      <c r="F27" s="55"/>
      <c r="G27" s="56"/>
      <c r="H27" s="15"/>
      <c r="I27" s="12"/>
      <c r="J27" s="55"/>
      <c r="K27" s="137"/>
      <c r="N27" s="58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</row>
    <row r="28" spans="1:34" ht="12">
      <c r="A28" s="169"/>
      <c r="C28" s="7">
        <v>165804</v>
      </c>
      <c r="D28" s="44" t="s">
        <v>231</v>
      </c>
      <c r="E28" s="55">
        <v>2016</v>
      </c>
      <c r="F28" s="55">
        <v>7</v>
      </c>
      <c r="G28" s="56">
        <v>0</v>
      </c>
      <c r="H28" s="15"/>
      <c r="I28" s="12" t="s">
        <v>82</v>
      </c>
      <c r="J28" s="55">
        <v>3</v>
      </c>
      <c r="K28" s="137">
        <f>E28+J28</f>
        <v>2019</v>
      </c>
      <c r="N28" s="58">
        <v>1089.57</v>
      </c>
      <c r="P28" s="15">
        <f>N28-N28*G28</f>
        <v>1089.57</v>
      </c>
      <c r="Q28" s="15">
        <f>P28/J28/12</f>
        <v>30.265833333333333</v>
      </c>
      <c r="R28" s="15">
        <f>IF(O28&gt;0,0,IF(OR(AD28&gt;AE28,AF28&lt;AG28),0,IF(AND(AF28&gt;=AG28,AF28&lt;=AE28),Q28*((AF28-AG28)*12),IF(AND(AG28&lt;=AD28,AE28&gt;=AD28),((AE28-AD28)*12)*Q28,IF(AF28&gt;AE28,12*Q28,0)))))</f>
        <v>363.19</v>
      </c>
      <c r="S28" s="15">
        <f>IF(O28=0,0,IF(AND(AH28&gt;=AG28,AH28&lt;=AF28),((AH28-AG28)*12)*Q28,0))</f>
        <v>0</v>
      </c>
      <c r="T28" s="15">
        <f>IF(S28&gt;0,S28,R28)</f>
        <v>363.19</v>
      </c>
      <c r="U28" s="15">
        <v>1</v>
      </c>
      <c r="V28" s="15">
        <f>U28*SUM(R28:S28)</f>
        <v>363.19</v>
      </c>
      <c r="W28" s="15"/>
      <c r="X28" s="15">
        <f>IF(AD28&gt;AE28,0,IF(AF28&lt;AG28,P28,IF(AND(AF28&gt;=AG28,AF28&lt;=AE28),(P28-T28),IF(AND(AG28&lt;=AD28,AE28&gt;=AD28),0,IF(AF28&gt;AE28,((AG28-AD28)*12)*Q28,0)))))</f>
        <v>181.595</v>
      </c>
      <c r="Y28" s="15">
        <f>X28*U28</f>
        <v>181.595</v>
      </c>
      <c r="Z28" s="15">
        <v>1</v>
      </c>
      <c r="AA28" s="15">
        <f>Y28*Z28</f>
        <v>181.595</v>
      </c>
      <c r="AB28" s="15">
        <f>IF(O28&gt;0,0,AA28+V28*Z28)*Z28</f>
        <v>544.785</v>
      </c>
      <c r="AC28" s="15">
        <f>IF(O28&gt;0,(N28-AA28)/2,IF(AD28&gt;=AG28,(((N28*U28)*Z28)-AB28)/2,((((N28*U28)*Z28)-AA28)+(((N28*U28)*Z28)-AB28))/2))</f>
        <v>726.3799999999999</v>
      </c>
      <c r="AD28" s="15">
        <f t="shared" si="12"/>
        <v>2016.5</v>
      </c>
      <c r="AE28" s="15">
        <f>($P$5+1)-($P$2/12)</f>
        <v>2018</v>
      </c>
      <c r="AF28" s="15">
        <f t="shared" si="14"/>
        <v>2019.5</v>
      </c>
      <c r="AG28" s="15">
        <f>$P$4+($P$3/12)</f>
        <v>2017</v>
      </c>
      <c r="AH28" s="15">
        <f t="shared" si="16"/>
        <v>-0.08333333333333333</v>
      </c>
    </row>
    <row r="29" spans="1:34" ht="12">
      <c r="A29" s="169"/>
      <c r="D29" s="44"/>
      <c r="E29" s="55"/>
      <c r="F29" s="55"/>
      <c r="G29" s="56"/>
      <c r="H29" s="15"/>
      <c r="I29" s="12"/>
      <c r="J29" s="55"/>
      <c r="K29" s="137"/>
      <c r="N29" s="58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spans="1:34" ht="12">
      <c r="A30" s="169"/>
      <c r="B30" s="12"/>
      <c r="C30" s="12"/>
      <c r="D30" s="172" t="s">
        <v>183</v>
      </c>
      <c r="E30" s="137"/>
      <c r="F30" s="137"/>
      <c r="G30" s="56"/>
      <c r="H30" s="15"/>
      <c r="I30" s="12"/>
      <c r="J30" s="137"/>
      <c r="K30" s="137"/>
      <c r="N30" s="173">
        <f>SUM(N12:N29)</f>
        <v>41347.17</v>
      </c>
      <c r="P30" s="173">
        <f>SUM(P12:P29)</f>
        <v>41347.17</v>
      </c>
      <c r="Q30" s="173">
        <f>SUM(Q12:Q29)</f>
        <v>643.6645952380954</v>
      </c>
      <c r="R30" s="173">
        <f>SUM(R12:R29)</f>
        <v>2472.198642857153</v>
      </c>
      <c r="S30" s="15"/>
      <c r="T30" s="15"/>
      <c r="U30" s="15"/>
      <c r="V30" s="173">
        <f>SUM(V12:V29)</f>
        <v>2472.198642857153</v>
      </c>
      <c r="W30" s="15"/>
      <c r="X30" s="15"/>
      <c r="Y30" s="15"/>
      <c r="Z30" s="15"/>
      <c r="AA30" s="173">
        <f>SUM(AA12:AA29)</f>
        <v>34442.81980952367</v>
      </c>
      <c r="AB30" s="173">
        <f>SUM(AB12:AB29)</f>
        <v>36915.01845238083</v>
      </c>
      <c r="AC30" s="173">
        <f>SUM(AC12:AC29)</f>
        <v>5668.250869047755</v>
      </c>
      <c r="AD30" s="15"/>
      <c r="AE30" s="15"/>
      <c r="AF30" s="15"/>
      <c r="AG30" s="15"/>
      <c r="AH30" s="15"/>
    </row>
    <row r="31" spans="1:34" ht="12">
      <c r="A31" s="169"/>
      <c r="D31" s="174"/>
      <c r="E31" s="175"/>
      <c r="F31" s="175"/>
      <c r="G31" s="56"/>
      <c r="H31" s="15"/>
      <c r="I31" s="12"/>
      <c r="J31" s="137"/>
      <c r="K31" s="137"/>
      <c r="N31" s="169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</row>
    <row r="32" spans="1:29" ht="12">
      <c r="A32" s="169"/>
      <c r="D32" s="176"/>
      <c r="E32" s="175"/>
      <c r="F32" s="175"/>
      <c r="J32" s="137"/>
      <c r="N32" s="173"/>
      <c r="P32" s="173"/>
      <c r="Q32" s="173"/>
      <c r="R32" s="173"/>
      <c r="S32" s="173"/>
      <c r="T32" s="173"/>
      <c r="V32" s="173"/>
      <c r="AA32" s="173"/>
      <c r="AB32" s="173"/>
      <c r="AC32" s="173"/>
    </row>
    <row r="33" spans="1:29" ht="12">
      <c r="A33" s="169"/>
      <c r="D33" s="60" t="s">
        <v>184</v>
      </c>
      <c r="J33" s="137"/>
      <c r="N33" s="173"/>
      <c r="P33" s="173"/>
      <c r="Q33" s="173"/>
      <c r="R33" s="173"/>
      <c r="S33" s="173"/>
      <c r="T33" s="173"/>
      <c r="V33" s="173"/>
      <c r="W33" s="173"/>
      <c r="X33" s="173"/>
      <c r="Y33" s="173"/>
      <c r="Z33" s="173"/>
      <c r="AA33" s="173"/>
      <c r="AB33" s="173"/>
      <c r="AC33" s="173"/>
    </row>
    <row r="34" spans="2:34" ht="12">
      <c r="B34" s="55"/>
      <c r="C34" s="55"/>
      <c r="D34" s="36" t="s">
        <v>184</v>
      </c>
      <c r="E34" s="55">
        <v>1974</v>
      </c>
      <c r="F34" s="55">
        <v>3</v>
      </c>
      <c r="G34" s="56">
        <v>0</v>
      </c>
      <c r="H34" s="15"/>
      <c r="I34" s="12" t="s">
        <v>82</v>
      </c>
      <c r="J34" s="55">
        <v>5</v>
      </c>
      <c r="K34" s="137">
        <f aca="true" t="shared" si="17" ref="K34:K54">E34+J34</f>
        <v>1979</v>
      </c>
      <c r="N34" s="58">
        <v>7768</v>
      </c>
      <c r="P34" s="15">
        <f aca="true" t="shared" si="18" ref="P34:P53">N34-N34*G34</f>
        <v>7768</v>
      </c>
      <c r="Q34" s="15">
        <f aca="true" t="shared" si="19" ref="Q34:Q53">P34/J34/12</f>
        <v>129.46666666666667</v>
      </c>
      <c r="R34" s="15">
        <f aca="true" t="shared" si="20" ref="R34:R53">IF(O34&gt;0,0,IF(OR(AD34&gt;AE34,AF34&lt;AG34),0,IF(AND(AF34&gt;=AG34,AF34&lt;=AE34),Q34*((AF34-AG34)*12),IF(AND(AG34&lt;=AD34,AE34&gt;=AD34),((AE34-AD34)*12)*Q34,IF(AF34&gt;AE34,12*Q34,0)))))</f>
        <v>0</v>
      </c>
      <c r="S34" s="15">
        <f aca="true" t="shared" si="21" ref="S34:S53">IF(O34=0,0,IF(AND(AH34&gt;=AG34,AH34&lt;=AF34),((AH34-AG34)*12)*Q34,0))</f>
        <v>0</v>
      </c>
      <c r="T34" s="15">
        <f aca="true" t="shared" si="22" ref="T34:T53">IF(S34&gt;0,S34,R34)</f>
        <v>0</v>
      </c>
      <c r="U34" s="15">
        <v>1</v>
      </c>
      <c r="V34" s="15">
        <f aca="true" t="shared" si="23" ref="V34:V53">U34*SUM(R34:S34)</f>
        <v>0</v>
      </c>
      <c r="W34" s="15"/>
      <c r="X34" s="15">
        <f aca="true" t="shared" si="24" ref="X34:X53">IF(AD34&gt;AE34,0,IF(AF34&lt;AG34,P34,IF(AND(AF34&gt;=AG34,AF34&lt;=AE34),(P34-T34),IF(AND(AG34&lt;=AD34,AE34&gt;=AD34),0,IF(AF34&gt;AE34,((AG34-AD34)*12)*Q34,0)))))</f>
        <v>7768</v>
      </c>
      <c r="Y34" s="15">
        <f aca="true" t="shared" si="25" ref="Y34:Y53">X34*U34</f>
        <v>7768</v>
      </c>
      <c r="Z34" s="15">
        <v>1</v>
      </c>
      <c r="AA34" s="15">
        <f aca="true" t="shared" si="26" ref="AA34:AA53">Y34*Z34</f>
        <v>7768</v>
      </c>
      <c r="AB34" s="15">
        <f aca="true" t="shared" si="27" ref="AB34:AB53">IF(O34&gt;0,0,AA34+V34*Z34)*Z34</f>
        <v>7768</v>
      </c>
      <c r="AC34" s="15">
        <f aca="true" t="shared" si="28" ref="AC34:AC53">IF(O34&gt;0,(N34-AA34)/2,IF(AD34&gt;=AG34,(((N34*U34)*Z34)-AB34)/2,((((N34*U34)*Z34)-AA34)+(((N34*U34)*Z34)-AB34))/2))</f>
        <v>0</v>
      </c>
      <c r="AD34" s="15">
        <f aca="true" t="shared" si="29" ref="AD34:AD54">$E34+(($F34-1)/12)</f>
        <v>1974.1666666666667</v>
      </c>
      <c r="AE34" s="15">
        <f aca="true" t="shared" si="30" ref="AE34:AE54">($P$5+1)-($P$2/12)</f>
        <v>2018</v>
      </c>
      <c r="AF34" s="15">
        <f aca="true" t="shared" si="31" ref="AF34:AF54">$K34+(($F34-1)/12)</f>
        <v>1979.1666666666667</v>
      </c>
      <c r="AG34" s="15">
        <f aca="true" t="shared" si="32" ref="AG34:AG54">$P$4+($P$3/12)</f>
        <v>2017</v>
      </c>
      <c r="AH34" s="15">
        <f aca="true" t="shared" si="33" ref="AH34:AH54">$L34+(($M34-1)/12)</f>
        <v>-0.08333333333333333</v>
      </c>
    </row>
    <row r="35" spans="2:34" ht="12">
      <c r="B35" s="55"/>
      <c r="C35" s="55"/>
      <c r="D35" s="36" t="s">
        <v>185</v>
      </c>
      <c r="E35" s="55">
        <v>1976</v>
      </c>
      <c r="F35" s="55">
        <v>3</v>
      </c>
      <c r="G35" s="56">
        <v>0</v>
      </c>
      <c r="H35" s="15"/>
      <c r="I35" s="12" t="s">
        <v>82</v>
      </c>
      <c r="J35" s="55">
        <v>5</v>
      </c>
      <c r="K35" s="137">
        <f t="shared" si="17"/>
        <v>1981</v>
      </c>
      <c r="N35" s="58">
        <v>338</v>
      </c>
      <c r="P35" s="15">
        <f t="shared" si="18"/>
        <v>338</v>
      </c>
      <c r="Q35" s="15">
        <f t="shared" si="19"/>
        <v>5.633333333333333</v>
      </c>
      <c r="R35" s="15">
        <f t="shared" si="20"/>
        <v>0</v>
      </c>
      <c r="S35" s="15">
        <f t="shared" si="21"/>
        <v>0</v>
      </c>
      <c r="T35" s="15">
        <f t="shared" si="22"/>
        <v>0</v>
      </c>
      <c r="U35" s="15">
        <v>1</v>
      </c>
      <c r="V35" s="15">
        <f t="shared" si="23"/>
        <v>0</v>
      </c>
      <c r="W35" s="15"/>
      <c r="X35" s="15">
        <f t="shared" si="24"/>
        <v>338</v>
      </c>
      <c r="Y35" s="15">
        <f t="shared" si="25"/>
        <v>338</v>
      </c>
      <c r="Z35" s="15">
        <v>1</v>
      </c>
      <c r="AA35" s="15">
        <f t="shared" si="26"/>
        <v>338</v>
      </c>
      <c r="AB35" s="15">
        <f t="shared" si="27"/>
        <v>338</v>
      </c>
      <c r="AC35" s="15">
        <f t="shared" si="28"/>
        <v>0</v>
      </c>
      <c r="AD35" s="15">
        <f t="shared" si="29"/>
        <v>1976.1666666666667</v>
      </c>
      <c r="AE35" s="15">
        <f t="shared" si="30"/>
        <v>2018</v>
      </c>
      <c r="AF35" s="15">
        <f t="shared" si="31"/>
        <v>1981.1666666666667</v>
      </c>
      <c r="AG35" s="15">
        <f t="shared" si="32"/>
        <v>2017</v>
      </c>
      <c r="AH35" s="15">
        <f t="shared" si="33"/>
        <v>-0.08333333333333333</v>
      </c>
    </row>
    <row r="36" spans="1:34" ht="12">
      <c r="A36" s="4"/>
      <c r="B36" s="55"/>
      <c r="C36" s="55"/>
      <c r="D36" s="36" t="s">
        <v>185</v>
      </c>
      <c r="E36" s="55">
        <v>1976</v>
      </c>
      <c r="F36" s="55">
        <v>8</v>
      </c>
      <c r="G36" s="56">
        <v>0</v>
      </c>
      <c r="H36" s="15"/>
      <c r="I36" s="12" t="s">
        <v>82</v>
      </c>
      <c r="J36" s="55">
        <v>5</v>
      </c>
      <c r="K36" s="137">
        <f t="shared" si="17"/>
        <v>1981</v>
      </c>
      <c r="N36" s="58">
        <v>14</v>
      </c>
      <c r="P36" s="15">
        <f t="shared" si="18"/>
        <v>14</v>
      </c>
      <c r="Q36" s="15">
        <f t="shared" si="19"/>
        <v>0.2333333333333333</v>
      </c>
      <c r="R36" s="15">
        <f t="shared" si="20"/>
        <v>0</v>
      </c>
      <c r="S36" s="15">
        <f t="shared" si="21"/>
        <v>0</v>
      </c>
      <c r="T36" s="15">
        <f t="shared" si="22"/>
        <v>0</v>
      </c>
      <c r="U36" s="15">
        <v>1</v>
      </c>
      <c r="V36" s="15">
        <f t="shared" si="23"/>
        <v>0</v>
      </c>
      <c r="W36" s="15"/>
      <c r="X36" s="15">
        <f t="shared" si="24"/>
        <v>14</v>
      </c>
      <c r="Y36" s="15">
        <f t="shared" si="25"/>
        <v>14</v>
      </c>
      <c r="Z36" s="15">
        <v>1</v>
      </c>
      <c r="AA36" s="15">
        <f t="shared" si="26"/>
        <v>14</v>
      </c>
      <c r="AB36" s="15">
        <f t="shared" si="27"/>
        <v>14</v>
      </c>
      <c r="AC36" s="15">
        <f t="shared" si="28"/>
        <v>0</v>
      </c>
      <c r="AD36" s="15">
        <f t="shared" si="29"/>
        <v>1976.5833333333333</v>
      </c>
      <c r="AE36" s="15">
        <f t="shared" si="30"/>
        <v>2018</v>
      </c>
      <c r="AF36" s="15">
        <f t="shared" si="31"/>
        <v>1981.5833333333333</v>
      </c>
      <c r="AG36" s="15">
        <f t="shared" si="32"/>
        <v>2017</v>
      </c>
      <c r="AH36" s="15">
        <f t="shared" si="33"/>
        <v>-0.08333333333333333</v>
      </c>
    </row>
    <row r="37" spans="1:34" ht="12">
      <c r="A37" s="4"/>
      <c r="B37" s="55"/>
      <c r="C37" s="55"/>
      <c r="D37" s="36" t="s">
        <v>185</v>
      </c>
      <c r="E37" s="55">
        <v>1977</v>
      </c>
      <c r="F37" s="55">
        <v>5</v>
      </c>
      <c r="G37" s="56">
        <v>0</v>
      </c>
      <c r="H37" s="15"/>
      <c r="I37" s="12" t="s">
        <v>82</v>
      </c>
      <c r="J37" s="55">
        <v>5</v>
      </c>
      <c r="K37" s="137">
        <f t="shared" si="17"/>
        <v>1982</v>
      </c>
      <c r="N37" s="58">
        <v>543</v>
      </c>
      <c r="P37" s="15">
        <f t="shared" si="18"/>
        <v>543</v>
      </c>
      <c r="Q37" s="15">
        <f t="shared" si="19"/>
        <v>9.049999999999999</v>
      </c>
      <c r="R37" s="15">
        <f t="shared" si="20"/>
        <v>0</v>
      </c>
      <c r="S37" s="15">
        <f t="shared" si="21"/>
        <v>0</v>
      </c>
      <c r="T37" s="15">
        <f t="shared" si="22"/>
        <v>0</v>
      </c>
      <c r="U37" s="15">
        <v>1</v>
      </c>
      <c r="V37" s="15">
        <f t="shared" si="23"/>
        <v>0</v>
      </c>
      <c r="W37" s="15"/>
      <c r="X37" s="15">
        <f t="shared" si="24"/>
        <v>543</v>
      </c>
      <c r="Y37" s="15">
        <f t="shared" si="25"/>
        <v>543</v>
      </c>
      <c r="Z37" s="15">
        <v>1</v>
      </c>
      <c r="AA37" s="15">
        <f t="shared" si="26"/>
        <v>543</v>
      </c>
      <c r="AB37" s="15">
        <f t="shared" si="27"/>
        <v>543</v>
      </c>
      <c r="AC37" s="15">
        <f t="shared" si="28"/>
        <v>0</v>
      </c>
      <c r="AD37" s="15">
        <f t="shared" si="29"/>
        <v>1977.3333333333333</v>
      </c>
      <c r="AE37" s="15">
        <f t="shared" si="30"/>
        <v>2018</v>
      </c>
      <c r="AF37" s="15">
        <f t="shared" si="31"/>
        <v>1982.3333333333333</v>
      </c>
      <c r="AG37" s="15">
        <f t="shared" si="32"/>
        <v>2017</v>
      </c>
      <c r="AH37" s="15">
        <f t="shared" si="33"/>
        <v>-0.08333333333333333</v>
      </c>
    </row>
    <row r="38" spans="1:34" ht="12">
      <c r="A38" s="27"/>
      <c r="B38" s="55"/>
      <c r="C38" s="55"/>
      <c r="D38" s="36" t="s">
        <v>186</v>
      </c>
      <c r="E38" s="55">
        <v>1981</v>
      </c>
      <c r="F38" s="55">
        <v>1</v>
      </c>
      <c r="G38" s="56">
        <v>0</v>
      </c>
      <c r="H38" s="15"/>
      <c r="I38" s="12" t="s">
        <v>82</v>
      </c>
      <c r="J38" s="55">
        <v>5</v>
      </c>
      <c r="K38" s="137">
        <f t="shared" si="17"/>
        <v>1986</v>
      </c>
      <c r="N38" s="58">
        <v>940</v>
      </c>
      <c r="P38" s="15">
        <f t="shared" si="18"/>
        <v>940</v>
      </c>
      <c r="Q38" s="15">
        <f t="shared" si="19"/>
        <v>15.666666666666666</v>
      </c>
      <c r="R38" s="15">
        <f t="shared" si="20"/>
        <v>0</v>
      </c>
      <c r="S38" s="15">
        <f t="shared" si="21"/>
        <v>0</v>
      </c>
      <c r="T38" s="15">
        <f t="shared" si="22"/>
        <v>0</v>
      </c>
      <c r="U38" s="15">
        <v>1</v>
      </c>
      <c r="V38" s="15">
        <f t="shared" si="23"/>
        <v>0</v>
      </c>
      <c r="W38" s="15"/>
      <c r="X38" s="15">
        <f t="shared" si="24"/>
        <v>940</v>
      </c>
      <c r="Y38" s="15">
        <f t="shared" si="25"/>
        <v>940</v>
      </c>
      <c r="Z38" s="15">
        <v>1</v>
      </c>
      <c r="AA38" s="15">
        <f t="shared" si="26"/>
        <v>940</v>
      </c>
      <c r="AB38" s="15">
        <f t="shared" si="27"/>
        <v>940</v>
      </c>
      <c r="AC38" s="15">
        <f t="shared" si="28"/>
        <v>0</v>
      </c>
      <c r="AD38" s="15">
        <f t="shared" si="29"/>
        <v>1981</v>
      </c>
      <c r="AE38" s="15">
        <f t="shared" si="30"/>
        <v>2018</v>
      </c>
      <c r="AF38" s="15">
        <f t="shared" si="31"/>
        <v>1986</v>
      </c>
      <c r="AG38" s="15">
        <f t="shared" si="32"/>
        <v>2017</v>
      </c>
      <c r="AH38" s="15">
        <f t="shared" si="33"/>
        <v>-0.08333333333333333</v>
      </c>
    </row>
    <row r="39" spans="1:34" ht="12">
      <c r="A39" s="169"/>
      <c r="B39" s="55"/>
      <c r="C39" s="55"/>
      <c r="D39" s="36" t="s">
        <v>187</v>
      </c>
      <c r="E39" s="55">
        <v>1981</v>
      </c>
      <c r="F39" s="55">
        <v>6</v>
      </c>
      <c r="G39" s="56">
        <v>0</v>
      </c>
      <c r="H39" s="15"/>
      <c r="I39" s="12" t="s">
        <v>82</v>
      </c>
      <c r="J39" s="55">
        <v>5</v>
      </c>
      <c r="K39" s="137">
        <f t="shared" si="17"/>
        <v>1986</v>
      </c>
      <c r="N39" s="58">
        <v>655</v>
      </c>
      <c r="P39" s="15">
        <f t="shared" si="18"/>
        <v>655</v>
      </c>
      <c r="Q39" s="15">
        <f t="shared" si="19"/>
        <v>10.916666666666666</v>
      </c>
      <c r="R39" s="15">
        <f t="shared" si="20"/>
        <v>0</v>
      </c>
      <c r="S39" s="15">
        <f t="shared" si="21"/>
        <v>0</v>
      </c>
      <c r="T39" s="15">
        <f t="shared" si="22"/>
        <v>0</v>
      </c>
      <c r="U39" s="15">
        <v>1</v>
      </c>
      <c r="V39" s="15">
        <f t="shared" si="23"/>
        <v>0</v>
      </c>
      <c r="W39" s="15"/>
      <c r="X39" s="15">
        <f t="shared" si="24"/>
        <v>655</v>
      </c>
      <c r="Y39" s="15">
        <f t="shared" si="25"/>
        <v>655</v>
      </c>
      <c r="Z39" s="15">
        <v>1</v>
      </c>
      <c r="AA39" s="15">
        <f t="shared" si="26"/>
        <v>655</v>
      </c>
      <c r="AB39" s="15">
        <f t="shared" si="27"/>
        <v>655</v>
      </c>
      <c r="AC39" s="15">
        <f t="shared" si="28"/>
        <v>0</v>
      </c>
      <c r="AD39" s="15">
        <f t="shared" si="29"/>
        <v>1981.4166666666667</v>
      </c>
      <c r="AE39" s="15">
        <f t="shared" si="30"/>
        <v>2018</v>
      </c>
      <c r="AF39" s="15">
        <f t="shared" si="31"/>
        <v>1986.4166666666667</v>
      </c>
      <c r="AG39" s="15">
        <f t="shared" si="32"/>
        <v>2017</v>
      </c>
      <c r="AH39" s="15">
        <f t="shared" si="33"/>
        <v>-0.08333333333333333</v>
      </c>
    </row>
    <row r="40" spans="1:34" ht="12">
      <c r="A40" s="169"/>
      <c r="B40" s="55"/>
      <c r="C40" s="55"/>
      <c r="D40" s="36" t="s">
        <v>188</v>
      </c>
      <c r="E40" s="55">
        <v>1982</v>
      </c>
      <c r="F40" s="55">
        <v>4</v>
      </c>
      <c r="G40" s="56">
        <v>0</v>
      </c>
      <c r="H40" s="15"/>
      <c r="I40" s="12" t="s">
        <v>82</v>
      </c>
      <c r="J40" s="55">
        <v>15</v>
      </c>
      <c r="K40" s="137">
        <f t="shared" si="17"/>
        <v>1997</v>
      </c>
      <c r="N40" s="58">
        <v>1288</v>
      </c>
      <c r="P40" s="15">
        <f t="shared" si="18"/>
        <v>1288</v>
      </c>
      <c r="Q40" s="15">
        <f t="shared" si="19"/>
        <v>7.155555555555555</v>
      </c>
      <c r="R40" s="15">
        <f t="shared" si="20"/>
        <v>0</v>
      </c>
      <c r="S40" s="15">
        <f t="shared" si="21"/>
        <v>0</v>
      </c>
      <c r="T40" s="15">
        <f t="shared" si="22"/>
        <v>0</v>
      </c>
      <c r="U40" s="15">
        <v>1</v>
      </c>
      <c r="V40" s="15">
        <f t="shared" si="23"/>
        <v>0</v>
      </c>
      <c r="W40" s="15"/>
      <c r="X40" s="15">
        <f t="shared" si="24"/>
        <v>1288</v>
      </c>
      <c r="Y40" s="15">
        <f t="shared" si="25"/>
        <v>1288</v>
      </c>
      <c r="Z40" s="15">
        <v>1</v>
      </c>
      <c r="AA40" s="15">
        <f t="shared" si="26"/>
        <v>1288</v>
      </c>
      <c r="AB40" s="15">
        <f t="shared" si="27"/>
        <v>1288</v>
      </c>
      <c r="AC40" s="15">
        <f t="shared" si="28"/>
        <v>0</v>
      </c>
      <c r="AD40" s="15">
        <f t="shared" si="29"/>
        <v>1982.25</v>
      </c>
      <c r="AE40" s="15">
        <f t="shared" si="30"/>
        <v>2018</v>
      </c>
      <c r="AF40" s="15">
        <f t="shared" si="31"/>
        <v>1997.25</v>
      </c>
      <c r="AG40" s="15">
        <f t="shared" si="32"/>
        <v>2017</v>
      </c>
      <c r="AH40" s="15">
        <f t="shared" si="33"/>
        <v>-0.08333333333333333</v>
      </c>
    </row>
    <row r="41" spans="1:34" ht="12">
      <c r="A41" s="169"/>
      <c r="B41" s="55"/>
      <c r="C41" s="55"/>
      <c r="D41" s="36" t="s">
        <v>189</v>
      </c>
      <c r="E41" s="55">
        <v>1982</v>
      </c>
      <c r="F41" s="55">
        <v>6</v>
      </c>
      <c r="G41" s="56">
        <v>0</v>
      </c>
      <c r="H41" s="15"/>
      <c r="I41" s="12" t="s">
        <v>82</v>
      </c>
      <c r="J41" s="55">
        <v>15</v>
      </c>
      <c r="K41" s="137">
        <f t="shared" si="17"/>
        <v>1997</v>
      </c>
      <c r="N41" s="58">
        <v>628</v>
      </c>
      <c r="P41" s="15">
        <f t="shared" si="18"/>
        <v>628</v>
      </c>
      <c r="Q41" s="15">
        <f t="shared" si="19"/>
        <v>3.488888888888889</v>
      </c>
      <c r="R41" s="15">
        <f t="shared" si="20"/>
        <v>0</v>
      </c>
      <c r="S41" s="15">
        <f t="shared" si="21"/>
        <v>0</v>
      </c>
      <c r="T41" s="15">
        <f t="shared" si="22"/>
        <v>0</v>
      </c>
      <c r="U41" s="15">
        <v>1</v>
      </c>
      <c r="V41" s="15">
        <f t="shared" si="23"/>
        <v>0</v>
      </c>
      <c r="W41" s="15"/>
      <c r="X41" s="15">
        <f t="shared" si="24"/>
        <v>628</v>
      </c>
      <c r="Y41" s="15">
        <f t="shared" si="25"/>
        <v>628</v>
      </c>
      <c r="Z41" s="15">
        <v>1</v>
      </c>
      <c r="AA41" s="15">
        <f t="shared" si="26"/>
        <v>628</v>
      </c>
      <c r="AB41" s="15">
        <f t="shared" si="27"/>
        <v>628</v>
      </c>
      <c r="AC41" s="15">
        <f t="shared" si="28"/>
        <v>0</v>
      </c>
      <c r="AD41" s="15">
        <f t="shared" si="29"/>
        <v>1982.4166666666667</v>
      </c>
      <c r="AE41" s="15">
        <f t="shared" si="30"/>
        <v>2018</v>
      </c>
      <c r="AF41" s="15">
        <f t="shared" si="31"/>
        <v>1997.4166666666667</v>
      </c>
      <c r="AG41" s="15">
        <f t="shared" si="32"/>
        <v>2017</v>
      </c>
      <c r="AH41" s="15">
        <f t="shared" si="33"/>
        <v>-0.08333333333333333</v>
      </c>
    </row>
    <row r="42" spans="1:34" ht="12">
      <c r="A42" s="169"/>
      <c r="B42" s="55"/>
      <c r="C42" s="55"/>
      <c r="D42" s="36" t="s">
        <v>190</v>
      </c>
      <c r="E42" s="55">
        <v>1983</v>
      </c>
      <c r="F42" s="119">
        <v>1</v>
      </c>
      <c r="G42" s="56">
        <v>0</v>
      </c>
      <c r="H42" s="15"/>
      <c r="I42" s="12" t="s">
        <v>82</v>
      </c>
      <c r="J42" s="55">
        <v>15</v>
      </c>
      <c r="K42" s="137">
        <f t="shared" si="17"/>
        <v>1998</v>
      </c>
      <c r="N42" s="58">
        <v>1996</v>
      </c>
      <c r="P42" s="15">
        <f t="shared" si="18"/>
        <v>1996</v>
      </c>
      <c r="Q42" s="15">
        <f t="shared" si="19"/>
        <v>11.088888888888889</v>
      </c>
      <c r="R42" s="15">
        <f t="shared" si="20"/>
        <v>0</v>
      </c>
      <c r="S42" s="15">
        <f t="shared" si="21"/>
        <v>0</v>
      </c>
      <c r="T42" s="15">
        <f t="shared" si="22"/>
        <v>0</v>
      </c>
      <c r="U42" s="15">
        <v>1</v>
      </c>
      <c r="V42" s="15">
        <f t="shared" si="23"/>
        <v>0</v>
      </c>
      <c r="W42" s="15"/>
      <c r="X42" s="15">
        <f t="shared" si="24"/>
        <v>1996</v>
      </c>
      <c r="Y42" s="15">
        <f t="shared" si="25"/>
        <v>1996</v>
      </c>
      <c r="Z42" s="15">
        <v>1</v>
      </c>
      <c r="AA42" s="15">
        <f t="shared" si="26"/>
        <v>1996</v>
      </c>
      <c r="AB42" s="15">
        <f t="shared" si="27"/>
        <v>1996</v>
      </c>
      <c r="AC42" s="15">
        <f t="shared" si="28"/>
        <v>0</v>
      </c>
      <c r="AD42" s="15">
        <f t="shared" si="29"/>
        <v>1983</v>
      </c>
      <c r="AE42" s="15">
        <f t="shared" si="30"/>
        <v>2018</v>
      </c>
      <c r="AF42" s="15">
        <f t="shared" si="31"/>
        <v>1998</v>
      </c>
      <c r="AG42" s="15">
        <f t="shared" si="32"/>
        <v>2017</v>
      </c>
      <c r="AH42" s="15">
        <f t="shared" si="33"/>
        <v>-0.08333333333333333</v>
      </c>
    </row>
    <row r="43" spans="1:34" ht="12">
      <c r="A43" s="169"/>
      <c r="B43" s="55"/>
      <c r="C43" s="55"/>
      <c r="D43" s="36" t="s">
        <v>191</v>
      </c>
      <c r="E43" s="55">
        <v>1985</v>
      </c>
      <c r="F43" s="55">
        <v>2</v>
      </c>
      <c r="G43" s="56">
        <v>0</v>
      </c>
      <c r="H43" s="15"/>
      <c r="I43" s="12" t="s">
        <v>82</v>
      </c>
      <c r="J43" s="55">
        <v>5</v>
      </c>
      <c r="K43" s="137">
        <f t="shared" si="17"/>
        <v>1990</v>
      </c>
      <c r="N43" s="58">
        <v>1332</v>
      </c>
      <c r="P43" s="15">
        <f t="shared" si="18"/>
        <v>1332</v>
      </c>
      <c r="Q43" s="15">
        <f t="shared" si="19"/>
        <v>22.2</v>
      </c>
      <c r="R43" s="15">
        <f t="shared" si="20"/>
        <v>0</v>
      </c>
      <c r="S43" s="15">
        <f t="shared" si="21"/>
        <v>0</v>
      </c>
      <c r="T43" s="15">
        <f t="shared" si="22"/>
        <v>0</v>
      </c>
      <c r="U43" s="15">
        <v>1</v>
      </c>
      <c r="V43" s="15">
        <f t="shared" si="23"/>
        <v>0</v>
      </c>
      <c r="W43" s="15"/>
      <c r="X43" s="15">
        <f t="shared" si="24"/>
        <v>1332</v>
      </c>
      <c r="Y43" s="15">
        <f t="shared" si="25"/>
        <v>1332</v>
      </c>
      <c r="Z43" s="15">
        <v>1</v>
      </c>
      <c r="AA43" s="15">
        <f t="shared" si="26"/>
        <v>1332</v>
      </c>
      <c r="AB43" s="15">
        <f t="shared" si="27"/>
        <v>1332</v>
      </c>
      <c r="AC43" s="15">
        <f t="shared" si="28"/>
        <v>0</v>
      </c>
      <c r="AD43" s="15">
        <f t="shared" si="29"/>
        <v>1985.0833333333333</v>
      </c>
      <c r="AE43" s="15">
        <f t="shared" si="30"/>
        <v>2018</v>
      </c>
      <c r="AF43" s="15">
        <f t="shared" si="31"/>
        <v>1990.0833333333333</v>
      </c>
      <c r="AG43" s="15">
        <f t="shared" si="32"/>
        <v>2017</v>
      </c>
      <c r="AH43" s="15">
        <f t="shared" si="33"/>
        <v>-0.08333333333333333</v>
      </c>
    </row>
    <row r="44" spans="1:34" ht="12">
      <c r="A44" s="169"/>
      <c r="B44" s="55"/>
      <c r="C44" s="55"/>
      <c r="D44" s="36" t="s">
        <v>192</v>
      </c>
      <c r="E44" s="55">
        <v>1985</v>
      </c>
      <c r="F44" s="55">
        <v>8</v>
      </c>
      <c r="G44" s="56">
        <v>0</v>
      </c>
      <c r="H44" s="15"/>
      <c r="I44" s="12" t="s">
        <v>82</v>
      </c>
      <c r="J44" s="55">
        <v>5</v>
      </c>
      <c r="K44" s="137">
        <f t="shared" si="17"/>
        <v>1990</v>
      </c>
      <c r="N44" s="58">
        <v>171</v>
      </c>
      <c r="P44" s="15">
        <f t="shared" si="18"/>
        <v>171</v>
      </c>
      <c r="Q44" s="15">
        <f t="shared" si="19"/>
        <v>2.85</v>
      </c>
      <c r="R44" s="15">
        <f t="shared" si="20"/>
        <v>0</v>
      </c>
      <c r="S44" s="15">
        <f t="shared" si="21"/>
        <v>0</v>
      </c>
      <c r="T44" s="15">
        <f t="shared" si="22"/>
        <v>0</v>
      </c>
      <c r="U44" s="15">
        <v>1</v>
      </c>
      <c r="V44" s="15">
        <f t="shared" si="23"/>
        <v>0</v>
      </c>
      <c r="W44" s="15"/>
      <c r="X44" s="15">
        <f t="shared" si="24"/>
        <v>171</v>
      </c>
      <c r="Y44" s="15">
        <f t="shared" si="25"/>
        <v>171</v>
      </c>
      <c r="Z44" s="15">
        <v>1</v>
      </c>
      <c r="AA44" s="15">
        <f t="shared" si="26"/>
        <v>171</v>
      </c>
      <c r="AB44" s="15">
        <f t="shared" si="27"/>
        <v>171</v>
      </c>
      <c r="AC44" s="15">
        <f t="shared" si="28"/>
        <v>0</v>
      </c>
      <c r="AD44" s="15">
        <f t="shared" si="29"/>
        <v>1985.5833333333333</v>
      </c>
      <c r="AE44" s="15">
        <f t="shared" si="30"/>
        <v>2018</v>
      </c>
      <c r="AF44" s="15">
        <f t="shared" si="31"/>
        <v>1990.5833333333333</v>
      </c>
      <c r="AG44" s="15">
        <f t="shared" si="32"/>
        <v>2017</v>
      </c>
      <c r="AH44" s="15">
        <f t="shared" si="33"/>
        <v>-0.08333333333333333</v>
      </c>
    </row>
    <row r="45" spans="1:34" ht="12">
      <c r="A45" s="169"/>
      <c r="B45" s="55"/>
      <c r="C45" s="55"/>
      <c r="D45" s="36" t="s">
        <v>193</v>
      </c>
      <c r="E45" s="55">
        <v>1986</v>
      </c>
      <c r="F45" s="55">
        <v>4</v>
      </c>
      <c r="G45" s="56">
        <v>0</v>
      </c>
      <c r="H45" s="15"/>
      <c r="I45" s="12" t="s">
        <v>82</v>
      </c>
      <c r="J45" s="55">
        <v>5</v>
      </c>
      <c r="K45" s="137">
        <f t="shared" si="17"/>
        <v>1991</v>
      </c>
      <c r="N45" s="58">
        <v>3254</v>
      </c>
      <c r="P45" s="15">
        <f t="shared" si="18"/>
        <v>3254</v>
      </c>
      <c r="Q45" s="15">
        <f t="shared" si="19"/>
        <v>54.23333333333333</v>
      </c>
      <c r="R45" s="15">
        <f t="shared" si="20"/>
        <v>0</v>
      </c>
      <c r="S45" s="15">
        <f t="shared" si="21"/>
        <v>0</v>
      </c>
      <c r="T45" s="15">
        <f t="shared" si="22"/>
        <v>0</v>
      </c>
      <c r="U45" s="15">
        <v>1</v>
      </c>
      <c r="V45" s="15">
        <f t="shared" si="23"/>
        <v>0</v>
      </c>
      <c r="W45" s="15"/>
      <c r="X45" s="15">
        <f t="shared" si="24"/>
        <v>3254</v>
      </c>
      <c r="Y45" s="15">
        <f t="shared" si="25"/>
        <v>3254</v>
      </c>
      <c r="Z45" s="15">
        <v>1</v>
      </c>
      <c r="AA45" s="15">
        <f t="shared" si="26"/>
        <v>3254</v>
      </c>
      <c r="AB45" s="15">
        <f t="shared" si="27"/>
        <v>3254</v>
      </c>
      <c r="AC45" s="15">
        <f t="shared" si="28"/>
        <v>0</v>
      </c>
      <c r="AD45" s="15">
        <f t="shared" si="29"/>
        <v>1986.25</v>
      </c>
      <c r="AE45" s="15">
        <f t="shared" si="30"/>
        <v>2018</v>
      </c>
      <c r="AF45" s="15">
        <f t="shared" si="31"/>
        <v>1991.25</v>
      </c>
      <c r="AG45" s="15">
        <f t="shared" si="32"/>
        <v>2017</v>
      </c>
      <c r="AH45" s="15">
        <f t="shared" si="33"/>
        <v>-0.08333333333333333</v>
      </c>
    </row>
    <row r="46" spans="2:34" ht="12">
      <c r="B46" s="55"/>
      <c r="C46" s="55">
        <v>13319</v>
      </c>
      <c r="D46" s="36" t="s">
        <v>194</v>
      </c>
      <c r="E46" s="55">
        <v>1987</v>
      </c>
      <c r="F46" s="55">
        <v>7</v>
      </c>
      <c r="G46" s="56">
        <v>0</v>
      </c>
      <c r="H46" s="15"/>
      <c r="I46" s="12" t="s">
        <v>82</v>
      </c>
      <c r="J46" s="55">
        <v>10</v>
      </c>
      <c r="K46" s="137">
        <f t="shared" si="17"/>
        <v>1997</v>
      </c>
      <c r="N46" s="58">
        <v>3196</v>
      </c>
      <c r="P46" s="15">
        <f t="shared" si="18"/>
        <v>3196</v>
      </c>
      <c r="Q46" s="15">
        <f t="shared" si="19"/>
        <v>26.633333333333336</v>
      </c>
      <c r="R46" s="15">
        <f t="shared" si="20"/>
        <v>0</v>
      </c>
      <c r="S46" s="15">
        <f t="shared" si="21"/>
        <v>0</v>
      </c>
      <c r="T46" s="15">
        <f t="shared" si="22"/>
        <v>0</v>
      </c>
      <c r="U46" s="15">
        <v>1</v>
      </c>
      <c r="V46" s="15">
        <f t="shared" si="23"/>
        <v>0</v>
      </c>
      <c r="W46" s="15"/>
      <c r="X46" s="15">
        <f t="shared" si="24"/>
        <v>3196</v>
      </c>
      <c r="Y46" s="15">
        <f t="shared" si="25"/>
        <v>3196</v>
      </c>
      <c r="Z46" s="15">
        <v>1</v>
      </c>
      <c r="AA46" s="15">
        <f t="shared" si="26"/>
        <v>3196</v>
      </c>
      <c r="AB46" s="15">
        <f t="shared" si="27"/>
        <v>3196</v>
      </c>
      <c r="AC46" s="15">
        <f t="shared" si="28"/>
        <v>0</v>
      </c>
      <c r="AD46" s="15">
        <f t="shared" si="29"/>
        <v>1987.5</v>
      </c>
      <c r="AE46" s="15">
        <f t="shared" si="30"/>
        <v>2018</v>
      </c>
      <c r="AF46" s="15">
        <f t="shared" si="31"/>
        <v>1997.5</v>
      </c>
      <c r="AG46" s="15">
        <f t="shared" si="32"/>
        <v>2017</v>
      </c>
      <c r="AH46" s="15">
        <f t="shared" si="33"/>
        <v>-0.08333333333333333</v>
      </c>
    </row>
    <row r="47" spans="2:34" ht="12">
      <c r="B47" s="55"/>
      <c r="C47" s="55">
        <v>13320</v>
      </c>
      <c r="D47" s="36" t="s">
        <v>192</v>
      </c>
      <c r="E47" s="55">
        <v>1990</v>
      </c>
      <c r="F47" s="55">
        <v>1</v>
      </c>
      <c r="G47" s="56">
        <v>0</v>
      </c>
      <c r="H47" s="15"/>
      <c r="I47" s="12" t="s">
        <v>82</v>
      </c>
      <c r="J47" s="55">
        <v>5</v>
      </c>
      <c r="K47" s="137">
        <f t="shared" si="17"/>
        <v>1995</v>
      </c>
      <c r="N47" s="58">
        <v>1634</v>
      </c>
      <c r="P47" s="15">
        <f t="shared" si="18"/>
        <v>1634</v>
      </c>
      <c r="Q47" s="15">
        <f t="shared" si="19"/>
        <v>27.233333333333334</v>
      </c>
      <c r="R47" s="15">
        <f t="shared" si="20"/>
        <v>0</v>
      </c>
      <c r="S47" s="15">
        <f t="shared" si="21"/>
        <v>0</v>
      </c>
      <c r="T47" s="15">
        <f t="shared" si="22"/>
        <v>0</v>
      </c>
      <c r="U47" s="15">
        <v>1</v>
      </c>
      <c r="V47" s="15">
        <f t="shared" si="23"/>
        <v>0</v>
      </c>
      <c r="W47" s="15"/>
      <c r="X47" s="15">
        <f t="shared" si="24"/>
        <v>1634</v>
      </c>
      <c r="Y47" s="15">
        <f t="shared" si="25"/>
        <v>1634</v>
      </c>
      <c r="Z47" s="15">
        <v>1</v>
      </c>
      <c r="AA47" s="15">
        <f t="shared" si="26"/>
        <v>1634</v>
      </c>
      <c r="AB47" s="15">
        <f t="shared" si="27"/>
        <v>1634</v>
      </c>
      <c r="AC47" s="15">
        <f t="shared" si="28"/>
        <v>0</v>
      </c>
      <c r="AD47" s="15">
        <f t="shared" si="29"/>
        <v>1990</v>
      </c>
      <c r="AE47" s="15">
        <f t="shared" si="30"/>
        <v>2018</v>
      </c>
      <c r="AF47" s="15">
        <f t="shared" si="31"/>
        <v>1995</v>
      </c>
      <c r="AG47" s="15">
        <f t="shared" si="32"/>
        <v>2017</v>
      </c>
      <c r="AH47" s="15">
        <f t="shared" si="33"/>
        <v>-0.08333333333333333</v>
      </c>
    </row>
    <row r="48" spans="2:34" ht="12">
      <c r="B48" s="55"/>
      <c r="C48" s="55">
        <v>13321</v>
      </c>
      <c r="D48" s="36" t="s">
        <v>195</v>
      </c>
      <c r="E48" s="55">
        <v>1990</v>
      </c>
      <c r="F48" s="55">
        <v>2</v>
      </c>
      <c r="G48" s="56">
        <v>0</v>
      </c>
      <c r="H48" s="15"/>
      <c r="I48" s="12" t="s">
        <v>82</v>
      </c>
      <c r="J48" s="55">
        <v>5</v>
      </c>
      <c r="K48" s="137">
        <f t="shared" si="17"/>
        <v>1995</v>
      </c>
      <c r="N48" s="58">
        <v>3584</v>
      </c>
      <c r="P48" s="15">
        <f t="shared" si="18"/>
        <v>3584</v>
      </c>
      <c r="Q48" s="15">
        <f t="shared" si="19"/>
        <v>59.73333333333333</v>
      </c>
      <c r="R48" s="15">
        <f t="shared" si="20"/>
        <v>0</v>
      </c>
      <c r="S48" s="15">
        <f t="shared" si="21"/>
        <v>0</v>
      </c>
      <c r="T48" s="15">
        <f t="shared" si="22"/>
        <v>0</v>
      </c>
      <c r="U48" s="15">
        <v>1</v>
      </c>
      <c r="V48" s="15">
        <f t="shared" si="23"/>
        <v>0</v>
      </c>
      <c r="W48" s="15"/>
      <c r="X48" s="15">
        <f t="shared" si="24"/>
        <v>3584</v>
      </c>
      <c r="Y48" s="15">
        <f t="shared" si="25"/>
        <v>3584</v>
      </c>
      <c r="Z48" s="15">
        <v>1</v>
      </c>
      <c r="AA48" s="15">
        <f t="shared" si="26"/>
        <v>3584</v>
      </c>
      <c r="AB48" s="15">
        <f t="shared" si="27"/>
        <v>3584</v>
      </c>
      <c r="AC48" s="15">
        <f t="shared" si="28"/>
        <v>0</v>
      </c>
      <c r="AD48" s="15">
        <f t="shared" si="29"/>
        <v>1990.0833333333333</v>
      </c>
      <c r="AE48" s="15">
        <f t="shared" si="30"/>
        <v>2018</v>
      </c>
      <c r="AF48" s="15">
        <f t="shared" si="31"/>
        <v>1995.0833333333333</v>
      </c>
      <c r="AG48" s="15">
        <f t="shared" si="32"/>
        <v>2017</v>
      </c>
      <c r="AH48" s="15">
        <f t="shared" si="33"/>
        <v>-0.08333333333333333</v>
      </c>
    </row>
    <row r="49" spans="2:34" ht="12">
      <c r="B49" s="55"/>
      <c r="C49" s="55">
        <v>13322</v>
      </c>
      <c r="D49" s="36" t="s">
        <v>196</v>
      </c>
      <c r="E49" s="55">
        <v>1994</v>
      </c>
      <c r="F49" s="55">
        <v>6</v>
      </c>
      <c r="G49" s="56">
        <v>0</v>
      </c>
      <c r="H49" s="15"/>
      <c r="I49" s="12" t="s">
        <v>82</v>
      </c>
      <c r="J49" s="55">
        <v>10</v>
      </c>
      <c r="K49" s="137">
        <f t="shared" si="17"/>
        <v>2004</v>
      </c>
      <c r="N49" s="58">
        <v>17570</v>
      </c>
      <c r="P49" s="15">
        <f t="shared" si="18"/>
        <v>17570</v>
      </c>
      <c r="Q49" s="15">
        <f t="shared" si="19"/>
        <v>146.41666666666666</v>
      </c>
      <c r="R49" s="15">
        <f t="shared" si="20"/>
        <v>0</v>
      </c>
      <c r="S49" s="15">
        <f t="shared" si="21"/>
        <v>0</v>
      </c>
      <c r="T49" s="15">
        <f t="shared" si="22"/>
        <v>0</v>
      </c>
      <c r="U49" s="15">
        <v>1</v>
      </c>
      <c r="V49" s="15">
        <f t="shared" si="23"/>
        <v>0</v>
      </c>
      <c r="W49" s="15"/>
      <c r="X49" s="15">
        <f t="shared" si="24"/>
        <v>17570</v>
      </c>
      <c r="Y49" s="15">
        <f t="shared" si="25"/>
        <v>17570</v>
      </c>
      <c r="Z49" s="15">
        <v>1</v>
      </c>
      <c r="AA49" s="15">
        <f t="shared" si="26"/>
        <v>17570</v>
      </c>
      <c r="AB49" s="15">
        <f t="shared" si="27"/>
        <v>17570</v>
      </c>
      <c r="AC49" s="15">
        <f t="shared" si="28"/>
        <v>0</v>
      </c>
      <c r="AD49" s="15">
        <f t="shared" si="29"/>
        <v>1994.4166666666667</v>
      </c>
      <c r="AE49" s="15">
        <f t="shared" si="30"/>
        <v>2018</v>
      </c>
      <c r="AF49" s="15">
        <f t="shared" si="31"/>
        <v>2004.4166666666667</v>
      </c>
      <c r="AG49" s="15">
        <f t="shared" si="32"/>
        <v>2017</v>
      </c>
      <c r="AH49" s="15">
        <f t="shared" si="33"/>
        <v>-0.08333333333333333</v>
      </c>
    </row>
    <row r="50" spans="2:34" ht="12">
      <c r="B50" s="55"/>
      <c r="C50" s="55">
        <v>13323</v>
      </c>
      <c r="D50" s="36" t="s">
        <v>197</v>
      </c>
      <c r="E50" s="55">
        <v>1997</v>
      </c>
      <c r="F50" s="55">
        <v>12</v>
      </c>
      <c r="G50" s="56">
        <v>0</v>
      </c>
      <c r="H50" s="15"/>
      <c r="I50" s="12" t="s">
        <v>82</v>
      </c>
      <c r="J50" s="55">
        <v>5</v>
      </c>
      <c r="K50" s="137">
        <f t="shared" si="17"/>
        <v>2002</v>
      </c>
      <c r="N50" s="58">
        <v>7102</v>
      </c>
      <c r="P50" s="15">
        <f t="shared" si="18"/>
        <v>7102</v>
      </c>
      <c r="Q50" s="15">
        <f t="shared" si="19"/>
        <v>118.36666666666667</v>
      </c>
      <c r="R50" s="15">
        <f t="shared" si="20"/>
        <v>0</v>
      </c>
      <c r="S50" s="15">
        <f t="shared" si="21"/>
        <v>0</v>
      </c>
      <c r="T50" s="15">
        <f t="shared" si="22"/>
        <v>0</v>
      </c>
      <c r="U50" s="15">
        <v>1</v>
      </c>
      <c r="V50" s="15">
        <f t="shared" si="23"/>
        <v>0</v>
      </c>
      <c r="W50" s="15"/>
      <c r="X50" s="15">
        <f t="shared" si="24"/>
        <v>7102</v>
      </c>
      <c r="Y50" s="15">
        <f t="shared" si="25"/>
        <v>7102</v>
      </c>
      <c r="Z50" s="15">
        <v>1</v>
      </c>
      <c r="AA50" s="15">
        <f t="shared" si="26"/>
        <v>7102</v>
      </c>
      <c r="AB50" s="15">
        <f t="shared" si="27"/>
        <v>7102</v>
      </c>
      <c r="AC50" s="15">
        <f t="shared" si="28"/>
        <v>0</v>
      </c>
      <c r="AD50" s="15">
        <f t="shared" si="29"/>
        <v>1997.9166666666667</v>
      </c>
      <c r="AE50" s="15">
        <f t="shared" si="30"/>
        <v>2018</v>
      </c>
      <c r="AF50" s="15">
        <f t="shared" si="31"/>
        <v>2002.9166666666667</v>
      </c>
      <c r="AG50" s="15">
        <f t="shared" si="32"/>
        <v>2017</v>
      </c>
      <c r="AH50" s="15">
        <f t="shared" si="33"/>
        <v>-0.08333333333333333</v>
      </c>
    </row>
    <row r="51" spans="2:34" ht="12">
      <c r="B51" s="55"/>
      <c r="C51" s="177" t="s">
        <v>198</v>
      </c>
      <c r="D51" s="36" t="s">
        <v>199</v>
      </c>
      <c r="E51" s="55">
        <v>2005</v>
      </c>
      <c r="F51" s="55">
        <v>1</v>
      </c>
      <c r="G51" s="56">
        <v>0</v>
      </c>
      <c r="H51" s="15"/>
      <c r="I51" s="12" t="s">
        <v>82</v>
      </c>
      <c r="J51" s="55">
        <v>15</v>
      </c>
      <c r="K51" s="137">
        <f t="shared" si="17"/>
        <v>2020</v>
      </c>
      <c r="N51" s="58">
        <f>10700+18000+244+13700+4304+1552</f>
        <v>48500</v>
      </c>
      <c r="P51" s="15">
        <f t="shared" si="18"/>
        <v>48500</v>
      </c>
      <c r="Q51" s="15">
        <f t="shared" si="19"/>
        <v>269.44444444444446</v>
      </c>
      <c r="R51" s="15">
        <f t="shared" si="20"/>
        <v>3233.3333333333335</v>
      </c>
      <c r="S51" s="15">
        <f t="shared" si="21"/>
        <v>0</v>
      </c>
      <c r="T51" s="15">
        <f t="shared" si="22"/>
        <v>3233.3333333333335</v>
      </c>
      <c r="U51" s="15">
        <v>1</v>
      </c>
      <c r="V51" s="15">
        <f t="shared" si="23"/>
        <v>3233.3333333333335</v>
      </c>
      <c r="W51" s="15"/>
      <c r="X51" s="15">
        <f t="shared" si="24"/>
        <v>38800</v>
      </c>
      <c r="Y51" s="15">
        <f t="shared" si="25"/>
        <v>38800</v>
      </c>
      <c r="Z51" s="15">
        <v>1</v>
      </c>
      <c r="AA51" s="15">
        <f t="shared" si="26"/>
        <v>38800</v>
      </c>
      <c r="AB51" s="15">
        <f t="shared" si="27"/>
        <v>42033.333333333336</v>
      </c>
      <c r="AC51" s="15">
        <f t="shared" si="28"/>
        <v>8083.333333333332</v>
      </c>
      <c r="AD51" s="15">
        <f t="shared" si="29"/>
        <v>2005</v>
      </c>
      <c r="AE51" s="15">
        <f t="shared" si="30"/>
        <v>2018</v>
      </c>
      <c r="AF51" s="15">
        <f t="shared" si="31"/>
        <v>2020</v>
      </c>
      <c r="AG51" s="15">
        <f t="shared" si="32"/>
        <v>2017</v>
      </c>
      <c r="AH51" s="15">
        <f t="shared" si="33"/>
        <v>-0.08333333333333333</v>
      </c>
    </row>
    <row r="52" spans="2:34" ht="12">
      <c r="B52" s="55"/>
      <c r="C52" s="55">
        <v>54748</v>
      </c>
      <c r="D52" s="36" t="s">
        <v>200</v>
      </c>
      <c r="E52" s="55">
        <v>2007</v>
      </c>
      <c r="F52" s="55">
        <v>12</v>
      </c>
      <c r="G52" s="56">
        <v>0</v>
      </c>
      <c r="H52" s="15"/>
      <c r="I52" s="12" t="s">
        <v>82</v>
      </c>
      <c r="J52" s="55">
        <v>15</v>
      </c>
      <c r="K52" s="137">
        <f t="shared" si="17"/>
        <v>2022</v>
      </c>
      <c r="N52" s="58">
        <v>26533.5</v>
      </c>
      <c r="P52" s="15">
        <f t="shared" si="18"/>
        <v>26533.5</v>
      </c>
      <c r="Q52" s="15">
        <f t="shared" si="19"/>
        <v>147.40833333333333</v>
      </c>
      <c r="R52" s="15">
        <f t="shared" si="20"/>
        <v>1768.9</v>
      </c>
      <c r="S52" s="15">
        <f t="shared" si="21"/>
        <v>0</v>
      </c>
      <c r="T52" s="15">
        <f t="shared" si="22"/>
        <v>1768.9</v>
      </c>
      <c r="U52" s="15">
        <v>1</v>
      </c>
      <c r="V52" s="15">
        <f t="shared" si="23"/>
        <v>1768.9</v>
      </c>
      <c r="W52" s="15"/>
      <c r="X52" s="15">
        <f t="shared" si="24"/>
        <v>16067.508333333199</v>
      </c>
      <c r="Y52" s="15">
        <f t="shared" si="25"/>
        <v>16067.508333333199</v>
      </c>
      <c r="Z52" s="15">
        <v>1</v>
      </c>
      <c r="AA52" s="15">
        <f t="shared" si="26"/>
        <v>16067.508333333199</v>
      </c>
      <c r="AB52" s="15">
        <f t="shared" si="27"/>
        <v>17836.4083333332</v>
      </c>
      <c r="AC52" s="15">
        <f t="shared" si="28"/>
        <v>9581.541666666802</v>
      </c>
      <c r="AD52" s="15">
        <f t="shared" si="29"/>
        <v>2007.9166666666667</v>
      </c>
      <c r="AE52" s="15">
        <f t="shared" si="30"/>
        <v>2018</v>
      </c>
      <c r="AF52" s="15">
        <f t="shared" si="31"/>
        <v>2022.9166666666667</v>
      </c>
      <c r="AG52" s="15">
        <f t="shared" si="32"/>
        <v>2017</v>
      </c>
      <c r="AH52" s="15">
        <f t="shared" si="33"/>
        <v>-0.08333333333333333</v>
      </c>
    </row>
    <row r="53" spans="2:34" ht="12">
      <c r="B53" s="55"/>
      <c r="C53" s="55">
        <v>54747</v>
      </c>
      <c r="D53" s="36" t="s">
        <v>201</v>
      </c>
      <c r="E53" s="55">
        <v>2007</v>
      </c>
      <c r="F53" s="55">
        <v>12</v>
      </c>
      <c r="G53" s="56">
        <v>0</v>
      </c>
      <c r="H53" s="15"/>
      <c r="I53" s="12" t="s">
        <v>82</v>
      </c>
      <c r="J53" s="55">
        <v>15</v>
      </c>
      <c r="K53" s="137">
        <f t="shared" si="17"/>
        <v>2022</v>
      </c>
      <c r="N53" s="58">
        <v>75539.25</v>
      </c>
      <c r="P53" s="15">
        <f t="shared" si="18"/>
        <v>75539.25</v>
      </c>
      <c r="Q53" s="15">
        <f t="shared" si="19"/>
        <v>419.66249999999997</v>
      </c>
      <c r="R53" s="15">
        <f t="shared" si="20"/>
        <v>5035.95</v>
      </c>
      <c r="S53" s="15">
        <f t="shared" si="21"/>
        <v>0</v>
      </c>
      <c r="T53" s="15">
        <f t="shared" si="22"/>
        <v>5035.95</v>
      </c>
      <c r="U53" s="15">
        <v>1</v>
      </c>
      <c r="V53" s="15">
        <f t="shared" si="23"/>
        <v>5035.95</v>
      </c>
      <c r="W53" s="15"/>
      <c r="X53" s="15">
        <f t="shared" si="24"/>
        <v>45743.212499999616</v>
      </c>
      <c r="Y53" s="15">
        <f t="shared" si="25"/>
        <v>45743.212499999616</v>
      </c>
      <c r="Z53" s="15">
        <v>1</v>
      </c>
      <c r="AA53" s="15">
        <f t="shared" si="26"/>
        <v>45743.212499999616</v>
      </c>
      <c r="AB53" s="15">
        <f t="shared" si="27"/>
        <v>50779.16249999961</v>
      </c>
      <c r="AC53" s="15">
        <f t="shared" si="28"/>
        <v>27278.062500000386</v>
      </c>
      <c r="AD53" s="15">
        <f t="shared" si="29"/>
        <v>2007.9166666666667</v>
      </c>
      <c r="AE53" s="15">
        <f t="shared" si="30"/>
        <v>2018</v>
      </c>
      <c r="AF53" s="15">
        <f t="shared" si="31"/>
        <v>2022.9166666666667</v>
      </c>
      <c r="AG53" s="15">
        <f t="shared" si="32"/>
        <v>2017</v>
      </c>
      <c r="AH53" s="15">
        <f t="shared" si="33"/>
        <v>-0.08333333333333333</v>
      </c>
    </row>
    <row r="54" spans="2:34" ht="12">
      <c r="B54" s="55"/>
      <c r="C54" s="55" t="s">
        <v>216</v>
      </c>
      <c r="D54" s="36" t="s">
        <v>209</v>
      </c>
      <c r="E54" s="55">
        <v>2013</v>
      </c>
      <c r="F54" s="55">
        <v>12</v>
      </c>
      <c r="G54" s="56">
        <v>0</v>
      </c>
      <c r="H54" s="15"/>
      <c r="I54" s="12" t="s">
        <v>82</v>
      </c>
      <c r="J54" s="55">
        <v>10</v>
      </c>
      <c r="K54" s="137">
        <f t="shared" si="17"/>
        <v>2023</v>
      </c>
      <c r="N54" s="58">
        <f>15453.67+8687.3</f>
        <v>24140.97</v>
      </c>
      <c r="P54" s="15">
        <f>N54-N54*G54</f>
        <v>24140.97</v>
      </c>
      <c r="Q54" s="15">
        <f>P54/J54/12</f>
        <v>201.17475000000002</v>
      </c>
      <c r="R54" s="15">
        <f>IF(O54&gt;0,0,IF(OR(AD54&gt;AE54,AF54&lt;AG54),0,IF(AND(AF54&gt;=AG54,AF54&lt;=AE54),Q54*((AF54-AG54)*12),IF(AND(AG54&lt;=AD54,AE54&gt;=AD54),((AE54-AD54)*12)*Q54,IF(AF54&gt;AE54,12*Q54,0)))))</f>
        <v>2414.097</v>
      </c>
      <c r="S54" s="15">
        <f>IF(O54=0,0,IF(AND(AH54&gt;=AG54,AH54&lt;=AF54),((AH54-AG54)*12)*Q54,0))</f>
        <v>0</v>
      </c>
      <c r="T54" s="15">
        <f>IF(S54&gt;0,S54,R54)</f>
        <v>2414.097</v>
      </c>
      <c r="U54" s="15">
        <v>1</v>
      </c>
      <c r="V54" s="15">
        <f>U54*SUM(R54:S54)</f>
        <v>2414.097</v>
      </c>
      <c r="W54" s="15"/>
      <c r="X54" s="15">
        <f>IF(AD54&gt;AE54,0,IF(AF54&lt;AG54,P54,IF(AND(AF54&gt;=AG54,AF54&lt;=AE54),(P54-T54),IF(AND(AG54&lt;=AD54,AE54&gt;=AD54),0,IF(AF54&gt;AE54,((AG54-AD54)*12)*Q54,0)))))</f>
        <v>7443.4657499998175</v>
      </c>
      <c r="Y54" s="15">
        <f>X54*U54</f>
        <v>7443.4657499998175</v>
      </c>
      <c r="Z54" s="15">
        <v>1</v>
      </c>
      <c r="AA54" s="15">
        <f>Y54*Z54</f>
        <v>7443.4657499998175</v>
      </c>
      <c r="AB54" s="15">
        <f>IF(O54&gt;0,0,AA54+V54*Z54)*Z54</f>
        <v>9857.562749999817</v>
      </c>
      <c r="AC54" s="15">
        <f>IF(O54&gt;0,(N54-AA54)/2,IF(AD54&gt;=AG54,(((N54*U54)*Z54)-AB54)/2,((((N54*U54)*Z54)-AA54)+(((N54*U54)*Z54)-AB54))/2))</f>
        <v>15490.455750000183</v>
      </c>
      <c r="AD54" s="15">
        <f t="shared" si="29"/>
        <v>2013.9166666666667</v>
      </c>
      <c r="AE54" s="15">
        <f t="shared" si="30"/>
        <v>2018</v>
      </c>
      <c r="AF54" s="15">
        <f t="shared" si="31"/>
        <v>2023.9166666666667</v>
      </c>
      <c r="AG54" s="15">
        <f t="shared" si="32"/>
        <v>2017</v>
      </c>
      <c r="AH54" s="15">
        <f t="shared" si="33"/>
        <v>-0.08333333333333333</v>
      </c>
    </row>
    <row r="55" spans="2:6" ht="12">
      <c r="B55" s="55"/>
      <c r="C55" s="55"/>
      <c r="D55" s="55"/>
      <c r="E55" s="55"/>
      <c r="F55" s="55"/>
    </row>
    <row r="56" spans="2:29" ht="12">
      <c r="B56" s="1"/>
      <c r="C56" s="1"/>
      <c r="D56" s="178" t="s">
        <v>202</v>
      </c>
      <c r="E56" s="1"/>
      <c r="F56" s="1"/>
      <c r="N56" s="135">
        <f>SUM(N34:N55)</f>
        <v>226726.72</v>
      </c>
      <c r="P56" s="135">
        <f>SUM(P34:P55)</f>
        <v>226726.72</v>
      </c>
      <c r="Q56" s="135">
        <f>SUM(Q34:Q55)</f>
        <v>1688.0566944444445</v>
      </c>
      <c r="R56" s="135">
        <f>SUM(R34:R55)</f>
        <v>12452.280333333334</v>
      </c>
      <c r="V56" s="135">
        <f>SUM(V34:V55)</f>
        <v>12452.280333333334</v>
      </c>
      <c r="AA56" s="135">
        <f>SUM(AA34:AA55)</f>
        <v>160067.18658333263</v>
      </c>
      <c r="AB56" s="135">
        <f>SUM(AB34:AB55)</f>
        <v>172519.46691666596</v>
      </c>
      <c r="AC56" s="135">
        <f>SUM(AC34:AC55)</f>
        <v>60433.39325000071</v>
      </c>
    </row>
    <row r="60" ht="12">
      <c r="AC60" s="231"/>
    </row>
    <row r="61" spans="14:29" ht="12">
      <c r="N61" s="180"/>
      <c r="AC61" s="11"/>
    </row>
    <row r="62" spans="2:11" s="7" customFormat="1" ht="12">
      <c r="B62" s="101" t="s">
        <v>261</v>
      </c>
      <c r="J62" s="35"/>
      <c r="K62" s="44"/>
    </row>
    <row r="63" spans="1:34" s="7" customFormat="1" ht="12">
      <c r="A63" s="181"/>
      <c r="D63" s="44"/>
      <c r="E63" s="45"/>
      <c r="F63" s="45"/>
      <c r="G63" s="85"/>
      <c r="H63" s="41"/>
      <c r="I63" s="35"/>
      <c r="J63" s="44"/>
      <c r="K63" s="94"/>
      <c r="L63" s="181"/>
      <c r="N63" s="45"/>
      <c r="O63" s="42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</row>
    <row r="64" spans="1:34" ht="12">
      <c r="A64" s="169"/>
      <c r="C64" s="3">
        <v>13317</v>
      </c>
      <c r="D64" s="36" t="s">
        <v>176</v>
      </c>
      <c r="E64" s="55">
        <v>1999</v>
      </c>
      <c r="F64" s="55">
        <v>3</v>
      </c>
      <c r="G64" s="56">
        <v>0</v>
      </c>
      <c r="H64" s="15"/>
      <c r="I64" s="12" t="s">
        <v>82</v>
      </c>
      <c r="J64" s="55">
        <v>3</v>
      </c>
      <c r="K64" s="137">
        <f>E64+J64</f>
        <v>2002</v>
      </c>
      <c r="N64" s="58">
        <v>3195</v>
      </c>
      <c r="P64" s="15">
        <f>N64-N64*G64</f>
        <v>3195</v>
      </c>
      <c r="Q64" s="15">
        <f>P64/J64/12</f>
        <v>88.75</v>
      </c>
      <c r="R64" s="15">
        <f>IF(O64&gt;0,0,IF(OR(AD64&gt;AE64,AF64&lt;AG64),0,IF(AND(AF64&gt;=AG64,AF64&lt;=AE64),Q64*((AF64-AG64)*12),IF(AND(AG64&lt;=AD64,AE64&gt;=AD64),((AE64-AD64)*12)*Q64,IF(AF64&gt;AE64,12*Q64,0)))))</f>
        <v>0</v>
      </c>
      <c r="S64" s="15">
        <f>IF(O64=0,0,IF(AND(AH64&gt;=AG64,AH64&lt;=AF64),((AH64-AG64)*12)*Q64,0))</f>
        <v>0</v>
      </c>
      <c r="T64" s="15">
        <f>IF(S64&gt;0,S64,R64)</f>
        <v>0</v>
      </c>
      <c r="U64" s="15">
        <v>1</v>
      </c>
      <c r="V64" s="15">
        <f>U64*SUM(R64:S64)</f>
        <v>0</v>
      </c>
      <c r="W64" s="15"/>
      <c r="X64" s="15">
        <f>IF(AD64&gt;AE64,0,IF(AF64&lt;AG64,P64,IF(AND(AF64&gt;=AG64,AF64&lt;=AE64),(P64-T64),IF(AND(AG64&lt;=AD64,AE64&gt;=AD64),0,IF(AF64&gt;AE64,((AG64-AD64)*12)*Q64,0)))))</f>
        <v>3195</v>
      </c>
      <c r="Y64" s="15">
        <f>X64*U64</f>
        <v>3195</v>
      </c>
      <c r="Z64" s="15">
        <v>1</v>
      </c>
      <c r="AA64" s="15">
        <f>Y64*Z64</f>
        <v>3195</v>
      </c>
      <c r="AB64" s="15">
        <f>IF(O64&gt;0,0,AA64+V64*Z64)*Z64</f>
        <v>3195</v>
      </c>
      <c r="AC64" s="15">
        <f>IF(O64&gt;0,(N64-AA64)/2,IF(AD64&gt;=AG64,(((N64*U64)*Z64)-AB64)/2,((((N64*U64)*Z64)-AA64)+(((N64*U64)*Z64)-AB64))/2))</f>
        <v>0</v>
      </c>
      <c r="AD64" s="15">
        <f>$E64+(($F64-1)/12)</f>
        <v>1999.1666666666667</v>
      </c>
      <c r="AE64" s="15">
        <f>($P$5+1)-($P$2/12)</f>
        <v>2018</v>
      </c>
      <c r="AF64" s="15">
        <f>$K64+(($F64-1)/12)</f>
        <v>2002.1666666666667</v>
      </c>
      <c r="AG64" s="15">
        <f>$P$4+($P$3/12)</f>
        <v>2017</v>
      </c>
      <c r="AH64" s="15">
        <f>$L64+(($M64-1)/12)</f>
        <v>-0.08333333333333333</v>
      </c>
    </row>
    <row r="65" spans="1:34" s="7" customFormat="1" ht="12">
      <c r="A65" s="181"/>
      <c r="D65" s="44"/>
      <c r="E65" s="36"/>
      <c r="F65" s="36"/>
      <c r="G65" s="85"/>
      <c r="H65" s="41"/>
      <c r="I65" s="35"/>
      <c r="J65" s="36"/>
      <c r="K65" s="94"/>
      <c r="L65" s="181"/>
      <c r="N65" s="40"/>
      <c r="O65" s="42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</row>
    <row r="66" spans="1:34" s="7" customFormat="1" ht="12">
      <c r="A66" s="181"/>
      <c r="D66" s="36"/>
      <c r="E66" s="36"/>
      <c r="F66" s="36"/>
      <c r="G66" s="85"/>
      <c r="H66" s="41"/>
      <c r="I66" s="35"/>
      <c r="J66" s="36"/>
      <c r="K66" s="94"/>
      <c r="L66" s="181"/>
      <c r="N66" s="40"/>
      <c r="O66" s="42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</row>
    <row r="67" spans="1:34" s="7" customFormat="1" ht="12">
      <c r="A67" s="181"/>
      <c r="D67" s="36"/>
      <c r="E67" s="36"/>
      <c r="F67" s="36"/>
      <c r="G67" s="85"/>
      <c r="H67" s="41"/>
      <c r="I67" s="35"/>
      <c r="J67" s="36"/>
      <c r="K67" s="94"/>
      <c r="L67" s="181"/>
      <c r="N67" s="40"/>
      <c r="O67" s="42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</row>
    <row r="68" spans="1:34" s="60" customFormat="1" ht="12">
      <c r="A68" s="182"/>
      <c r="D68" s="36"/>
      <c r="E68" s="36"/>
      <c r="F68" s="36"/>
      <c r="G68" s="85"/>
      <c r="H68" s="41"/>
      <c r="I68" s="35"/>
      <c r="J68" s="36"/>
      <c r="K68" s="94"/>
      <c r="N68" s="40"/>
      <c r="O68" s="183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</row>
    <row r="69" spans="1:34" s="7" customFormat="1" ht="12">
      <c r="A69" s="181"/>
      <c r="D69" s="36"/>
      <c r="E69" s="36"/>
      <c r="F69" s="36"/>
      <c r="G69" s="85"/>
      <c r="H69" s="41"/>
      <c r="I69" s="35"/>
      <c r="J69" s="36"/>
      <c r="K69" s="94"/>
      <c r="N69" s="40"/>
      <c r="O69" s="42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</row>
    <row r="70" spans="10:11" s="7" customFormat="1" ht="12">
      <c r="J70" s="35"/>
      <c r="K70" s="44"/>
    </row>
  </sheetData>
  <sheetProtection/>
  <printOptions/>
  <pageMargins left="0.75" right="0.75" top="1" bottom="1" header="0.5" footer="0.5"/>
  <pageSetup horizontalDpi="300" verticalDpi="300" orientation="landscape" scale="64" r:id="rId1"/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7" tint="0.5999900102615356"/>
  </sheetPr>
  <dimension ref="A1:BD423"/>
  <sheetViews>
    <sheetView showGridLines="0" view="pageBreakPreview" zoomScale="85" zoomScaleSheetLayoutView="85" zoomScalePageLayoutView="0" workbookViewId="0" topLeftCell="A1">
      <pane ySplit="11" topLeftCell="A12" activePane="bottomLeft" state="frozen"/>
      <selection pane="topLeft" activeCell="K12" sqref="K12"/>
      <selection pane="bottomLeft" activeCell="K12" sqref="K12"/>
    </sheetView>
  </sheetViews>
  <sheetFormatPr defaultColWidth="12.57421875" defaultRowHeight="15" outlineLevelRow="1"/>
  <cols>
    <col min="1" max="1" width="8.00390625" style="281" bestFit="1" customWidth="1"/>
    <col min="2" max="2" width="7.00390625" style="12" customWidth="1"/>
    <col min="3" max="3" width="8.00390625" style="3" customWidth="1"/>
    <col min="4" max="4" width="38.7109375" style="3" bestFit="1" customWidth="1"/>
    <col min="5" max="5" width="8.140625" style="3" customWidth="1"/>
    <col min="6" max="6" width="6.140625" style="3" customWidth="1"/>
    <col min="7" max="7" width="10.00390625" style="12" customWidth="1"/>
    <col min="8" max="8" width="1.1484375" style="3" customWidth="1"/>
    <col min="9" max="9" width="8.7109375" style="3" customWidth="1"/>
    <col min="10" max="10" width="6.140625" style="12" customWidth="1"/>
    <col min="11" max="11" width="8.28125" style="23" customWidth="1"/>
    <col min="12" max="12" width="9.28125" style="3" bestFit="1" customWidth="1"/>
    <col min="13" max="14" width="11.421875" style="3" bestFit="1" customWidth="1"/>
    <col min="15" max="15" width="10.140625" style="3" customWidth="1"/>
    <col min="16" max="16" width="9.8515625" style="3" bestFit="1" customWidth="1"/>
    <col min="17" max="17" width="10.00390625" style="3" bestFit="1" customWidth="1"/>
    <col min="18" max="18" width="2.28125" style="3" customWidth="1"/>
    <col min="19" max="20" width="11.28125" style="3" bestFit="1" customWidth="1"/>
    <col min="21" max="21" width="11.00390625" style="3" bestFit="1" customWidth="1"/>
    <col min="22" max="22" width="12.57421875" style="7" customWidth="1"/>
    <col min="23" max="23" width="10.00390625" style="3" bestFit="1" customWidth="1"/>
    <col min="24" max="24" width="11.00390625" style="3" bestFit="1" customWidth="1"/>
    <col min="25" max="16384" width="12.57421875" style="7" customWidth="1"/>
  </cols>
  <sheetData>
    <row r="1" spans="4:15" ht="12">
      <c r="D1" s="13" t="s">
        <v>23</v>
      </c>
      <c r="N1" s="15"/>
      <c r="O1" s="15"/>
    </row>
    <row r="2" spans="4:52" ht="12">
      <c r="D2" s="13" t="s">
        <v>24</v>
      </c>
      <c r="N2" s="21">
        <v>6</v>
      </c>
      <c r="O2" s="18" t="s">
        <v>296</v>
      </c>
      <c r="AZ2" s="7" t="s">
        <v>26</v>
      </c>
    </row>
    <row r="3" spans="4:23" ht="12">
      <c r="D3" s="19">
        <f>'Depr Summary'!H5</f>
        <v>43830</v>
      </c>
      <c r="N3" s="280">
        <v>2018</v>
      </c>
      <c r="O3" s="18" t="s">
        <v>297</v>
      </c>
      <c r="Q3" s="20"/>
      <c r="W3" s="20"/>
    </row>
    <row r="4" spans="14:56" ht="12">
      <c r="N4" s="21">
        <v>2019</v>
      </c>
      <c r="O4" s="18" t="s">
        <v>35</v>
      </c>
      <c r="AY4" s="7">
        <v>1</v>
      </c>
      <c r="AZ4" s="7" t="s">
        <v>33</v>
      </c>
      <c r="BC4" s="7">
        <v>12</v>
      </c>
      <c r="BD4" s="7" t="s">
        <v>34</v>
      </c>
    </row>
    <row r="5" spans="14:56" ht="12" customHeight="1">
      <c r="N5" s="262">
        <f>2020+(N2/12)</f>
        <v>2020.5</v>
      </c>
      <c r="O5" s="18" t="s">
        <v>298</v>
      </c>
      <c r="AZ5" s="7">
        <v>1993</v>
      </c>
      <c r="BC5" s="7">
        <v>0</v>
      </c>
      <c r="BD5" s="7" t="s">
        <v>38</v>
      </c>
    </row>
    <row r="6" spans="55:56" ht="12" customHeight="1">
      <c r="BC6" s="7">
        <v>93</v>
      </c>
      <c r="BD6" s="7" t="s">
        <v>30</v>
      </c>
    </row>
    <row r="7" spans="21:56" ht="12">
      <c r="U7" s="4"/>
      <c r="X7" s="4"/>
      <c r="BC7" s="7">
        <v>94</v>
      </c>
      <c r="BD7" s="7" t="s">
        <v>43</v>
      </c>
    </row>
    <row r="8" spans="3:24" ht="12">
      <c r="C8" s="15"/>
      <c r="D8" s="15"/>
      <c r="E8" s="15"/>
      <c r="F8" s="15"/>
      <c r="G8" s="22"/>
      <c r="H8" s="15"/>
      <c r="I8" s="15"/>
      <c r="J8" s="22"/>
      <c r="S8" s="4" t="s">
        <v>0</v>
      </c>
      <c r="T8" s="4" t="s">
        <v>46</v>
      </c>
      <c r="U8" s="4"/>
      <c r="X8" s="4" t="s">
        <v>358</v>
      </c>
    </row>
    <row r="9" spans="2:24" ht="12">
      <c r="B9" s="4"/>
      <c r="C9" s="4" t="s">
        <v>13</v>
      </c>
      <c r="D9" s="28" t="s">
        <v>360</v>
      </c>
      <c r="E9" s="4" t="s">
        <v>48</v>
      </c>
      <c r="F9" s="4"/>
      <c r="G9" s="25" t="s">
        <v>5</v>
      </c>
      <c r="H9" s="15"/>
      <c r="I9" s="4" t="s">
        <v>13</v>
      </c>
      <c r="J9" s="4"/>
      <c r="K9" s="21" t="s">
        <v>49</v>
      </c>
      <c r="L9" s="1" t="s">
        <v>293</v>
      </c>
      <c r="M9" s="4" t="s">
        <v>13</v>
      </c>
      <c r="N9" s="24" t="s">
        <v>13</v>
      </c>
      <c r="O9" s="24"/>
      <c r="P9" s="4"/>
      <c r="Q9" s="4"/>
      <c r="S9" s="4" t="s">
        <v>53</v>
      </c>
      <c r="T9" s="4" t="s">
        <v>53</v>
      </c>
      <c r="U9" s="4" t="s">
        <v>2</v>
      </c>
      <c r="W9" s="4" t="s">
        <v>358</v>
      </c>
      <c r="X9" s="4" t="s">
        <v>2</v>
      </c>
    </row>
    <row r="10" spans="2:52" ht="12">
      <c r="B10" s="4"/>
      <c r="C10" s="4" t="s">
        <v>56</v>
      </c>
      <c r="D10" s="24"/>
      <c r="E10" s="4" t="s">
        <v>57</v>
      </c>
      <c r="F10" s="4"/>
      <c r="G10" s="25" t="s">
        <v>58</v>
      </c>
      <c r="H10" s="15"/>
      <c r="I10" s="4" t="s">
        <v>59</v>
      </c>
      <c r="J10" s="4" t="s">
        <v>60</v>
      </c>
      <c r="K10" s="21" t="s">
        <v>61</v>
      </c>
      <c r="L10" s="1" t="s">
        <v>294</v>
      </c>
      <c r="M10" s="4" t="s">
        <v>50</v>
      </c>
      <c r="N10" s="4" t="s">
        <v>6</v>
      </c>
      <c r="O10" s="4" t="s">
        <v>63</v>
      </c>
      <c r="P10" s="4" t="s">
        <v>295</v>
      </c>
      <c r="Q10" s="4" t="s">
        <v>65</v>
      </c>
      <c r="R10" s="4"/>
      <c r="S10" s="4" t="s">
        <v>68</v>
      </c>
      <c r="T10" s="4" t="s">
        <v>68</v>
      </c>
      <c r="U10" s="4" t="s">
        <v>9</v>
      </c>
      <c r="W10" s="4" t="s">
        <v>65</v>
      </c>
      <c r="X10" s="4" t="s">
        <v>9</v>
      </c>
      <c r="AY10" s="7">
        <v>2</v>
      </c>
      <c r="AZ10" s="7" t="s">
        <v>72</v>
      </c>
    </row>
    <row r="11" spans="1:24" ht="12">
      <c r="A11" s="285" t="s">
        <v>212</v>
      </c>
      <c r="B11" s="27" t="s">
        <v>73</v>
      </c>
      <c r="C11" s="27" t="s">
        <v>74</v>
      </c>
      <c r="D11" s="28" t="s">
        <v>75</v>
      </c>
      <c r="E11" s="27" t="s">
        <v>49</v>
      </c>
      <c r="F11" s="27" t="s">
        <v>76</v>
      </c>
      <c r="G11" s="29" t="s">
        <v>52</v>
      </c>
      <c r="H11" s="15" t="s">
        <v>77</v>
      </c>
      <c r="I11" s="27" t="s">
        <v>78</v>
      </c>
      <c r="J11" s="27" t="s">
        <v>79</v>
      </c>
      <c r="K11" s="375" t="s">
        <v>6</v>
      </c>
      <c r="L11" s="208" t="s">
        <v>6</v>
      </c>
      <c r="M11" s="27" t="s">
        <v>4</v>
      </c>
      <c r="N11" s="27" t="s">
        <v>4</v>
      </c>
      <c r="O11" s="27" t="s">
        <v>6</v>
      </c>
      <c r="P11" s="27" t="s">
        <v>6</v>
      </c>
      <c r="Q11" s="4" t="s">
        <v>80</v>
      </c>
      <c r="R11" s="4"/>
      <c r="S11" s="32">
        <f>'Depr Summary'!F5</f>
        <v>43466</v>
      </c>
      <c r="T11" s="32">
        <f>+D3</f>
        <v>43830</v>
      </c>
      <c r="U11" s="34">
        <f>D3</f>
        <v>43830</v>
      </c>
      <c r="V11" s="61" t="s">
        <v>345</v>
      </c>
      <c r="W11" s="4" t="s">
        <v>80</v>
      </c>
      <c r="X11" s="34">
        <f>U11</f>
        <v>43830</v>
      </c>
    </row>
    <row r="12" spans="1:24" ht="12">
      <c r="A12" s="289"/>
      <c r="B12" s="35" t="s">
        <v>84</v>
      </c>
      <c r="C12" s="43">
        <v>5016</v>
      </c>
      <c r="D12" s="44" t="s">
        <v>94</v>
      </c>
      <c r="E12" s="44">
        <v>2007</v>
      </c>
      <c r="F12" s="44">
        <v>9</v>
      </c>
      <c r="G12" s="37">
        <v>0</v>
      </c>
      <c r="H12" s="7"/>
      <c r="I12" s="35" t="s">
        <v>82</v>
      </c>
      <c r="J12" s="38">
        <v>7</v>
      </c>
      <c r="K12" s="39">
        <f aca="true" t="shared" si="0" ref="K12:K27">E12+J12</f>
        <v>2014</v>
      </c>
      <c r="L12" s="209">
        <f aca="true" t="shared" si="1" ref="L12:L33">+K12+(F12/12)</f>
        <v>2014.75</v>
      </c>
      <c r="M12" s="45">
        <f>+'2144 Trks Orig'!P18</f>
        <v>109360.696</v>
      </c>
      <c r="N12" s="41">
        <f aca="true" t="shared" si="2" ref="N12:N33">M12-M12*G12</f>
        <v>109360.696</v>
      </c>
      <c r="O12" s="41">
        <f aca="true" t="shared" si="3" ref="O12:O33">N12/J12/12</f>
        <v>1301.9130476190476</v>
      </c>
      <c r="P12" s="41">
        <f aca="true" t="shared" si="4" ref="P12:P33">+O12*12</f>
        <v>15622.95657142857</v>
      </c>
      <c r="Q12" s="210">
        <f aca="true" t="shared" si="5" ref="Q12:Q33">+IF(L12&lt;=$N$5,0,IF(K12&gt;$N$4,P12,(O12*F12)))</f>
        <v>0</v>
      </c>
      <c r="R12" s="41"/>
      <c r="S12" s="210">
        <f aca="true" t="shared" si="6" ref="S12:S33">+IF(Q12=0,M12,IF($N$3-E12&lt;1,0,(($N$3-E12)*P12)))</f>
        <v>109360.696</v>
      </c>
      <c r="T12" s="41">
        <f aca="true" t="shared" si="7" ref="T12:T33">+IF(Q12=0,S12,S12+Q12)</f>
        <v>109360.696</v>
      </c>
      <c r="U12" s="210">
        <f aca="true" t="shared" si="8" ref="U12:U33">+M12-T12</f>
        <v>0</v>
      </c>
      <c r="V12" s="307">
        <f>'Truck Allocation'!$N$15</f>
        <v>1</v>
      </c>
      <c r="W12" s="261">
        <f>Q12*V12</f>
        <v>0</v>
      </c>
      <c r="X12" s="261">
        <f>U12*V12</f>
        <v>0</v>
      </c>
    </row>
    <row r="13" spans="1:24" ht="12">
      <c r="A13" s="351"/>
      <c r="B13" s="214"/>
      <c r="C13" s="213">
        <v>5016</v>
      </c>
      <c r="D13" s="215" t="s">
        <v>303</v>
      </c>
      <c r="E13" s="213">
        <v>2018</v>
      </c>
      <c r="F13" s="213">
        <v>1</v>
      </c>
      <c r="G13" s="216">
        <v>0</v>
      </c>
      <c r="H13" s="213"/>
      <c r="I13" s="214" t="s">
        <v>82</v>
      </c>
      <c r="J13" s="217">
        <f>+IF(K12-$N$3&gt;=3,K12-$N$3,3)</f>
        <v>3</v>
      </c>
      <c r="K13" s="211">
        <f t="shared" si="0"/>
        <v>2021</v>
      </c>
      <c r="L13" s="212">
        <f t="shared" si="1"/>
        <v>2021.0833333333333</v>
      </c>
      <c r="M13" s="219">
        <f>+'2144 Trks Orig'!N18-'2144 Trks'!M12</f>
        <v>27340.174</v>
      </c>
      <c r="N13" s="220">
        <f t="shared" si="2"/>
        <v>27340.174</v>
      </c>
      <c r="O13" s="220">
        <f t="shared" si="3"/>
        <v>759.4492777777778</v>
      </c>
      <c r="P13" s="220">
        <f t="shared" si="4"/>
        <v>9113.391333333333</v>
      </c>
      <c r="Q13" s="221">
        <f t="shared" si="5"/>
        <v>9113.391333333333</v>
      </c>
      <c r="R13" s="220"/>
      <c r="S13" s="221">
        <f t="shared" si="6"/>
        <v>0</v>
      </c>
      <c r="T13" s="220">
        <f t="shared" si="7"/>
        <v>9113.391333333333</v>
      </c>
      <c r="U13" s="221">
        <f t="shared" si="8"/>
        <v>18226.782666666666</v>
      </c>
      <c r="V13" s="307">
        <f>'Truck Allocation'!$N$15</f>
        <v>1</v>
      </c>
      <c r="W13" s="257">
        <f aca="true" t="shared" si="9" ref="W13:W33">Q13*V13</f>
        <v>9113.391333333333</v>
      </c>
      <c r="X13" s="257">
        <f aca="true" t="shared" si="10" ref="X13:X33">U13*V13</f>
        <v>18226.782666666666</v>
      </c>
    </row>
    <row r="14" spans="1:24" ht="12">
      <c r="A14" s="289"/>
      <c r="B14" s="35" t="s">
        <v>84</v>
      </c>
      <c r="C14" s="43">
        <v>5010</v>
      </c>
      <c r="D14" s="46" t="s">
        <v>95</v>
      </c>
      <c r="E14" s="47">
        <v>2008</v>
      </c>
      <c r="F14" s="47">
        <f>2+6</f>
        <v>8</v>
      </c>
      <c r="G14" s="48">
        <v>0</v>
      </c>
      <c r="H14" s="47"/>
      <c r="I14" s="49" t="s">
        <v>82</v>
      </c>
      <c r="J14" s="50">
        <v>5</v>
      </c>
      <c r="K14" s="51">
        <f t="shared" si="0"/>
        <v>2013</v>
      </c>
      <c r="L14" s="209">
        <f t="shared" si="1"/>
        <v>2013.6666666666667</v>
      </c>
      <c r="M14" s="52">
        <f>+'2144 Trks Orig'!P19</f>
        <v>44791.31570000001</v>
      </c>
      <c r="N14" s="53">
        <f t="shared" si="2"/>
        <v>44791.31570000001</v>
      </c>
      <c r="O14" s="41">
        <f t="shared" si="3"/>
        <v>746.5219283333334</v>
      </c>
      <c r="P14" s="41">
        <f t="shared" si="4"/>
        <v>8958.263140000001</v>
      </c>
      <c r="Q14" s="210">
        <f t="shared" si="5"/>
        <v>0</v>
      </c>
      <c r="R14" s="41"/>
      <c r="S14" s="210">
        <f t="shared" si="6"/>
        <v>44791.31570000001</v>
      </c>
      <c r="T14" s="41">
        <f t="shared" si="7"/>
        <v>44791.31570000001</v>
      </c>
      <c r="U14" s="210">
        <f t="shared" si="8"/>
        <v>0</v>
      </c>
      <c r="V14" s="307">
        <f>'Truck Allocation'!$N$16</f>
        <v>1</v>
      </c>
      <c r="W14" s="261">
        <f t="shared" si="9"/>
        <v>0</v>
      </c>
      <c r="X14" s="261">
        <f t="shared" si="10"/>
        <v>0</v>
      </c>
    </row>
    <row r="15" spans="1:24" ht="12">
      <c r="A15" s="351"/>
      <c r="B15" s="214"/>
      <c r="C15" s="213">
        <v>5010</v>
      </c>
      <c r="D15" s="215" t="s">
        <v>304</v>
      </c>
      <c r="E15" s="213">
        <v>2018</v>
      </c>
      <c r="F15" s="213">
        <v>1</v>
      </c>
      <c r="G15" s="216">
        <v>0</v>
      </c>
      <c r="H15" s="213"/>
      <c r="I15" s="214" t="s">
        <v>82</v>
      </c>
      <c r="J15" s="217">
        <f>+IF(K14-$N$3&gt;=3,K14-$N$3,3)</f>
        <v>3</v>
      </c>
      <c r="K15" s="211">
        <f t="shared" si="0"/>
        <v>2021</v>
      </c>
      <c r="L15" s="212">
        <f t="shared" si="1"/>
        <v>2021.0833333333333</v>
      </c>
      <c r="M15" s="219">
        <f>+'2144 Trks Orig'!N19-'2144 Trks'!M14</f>
        <v>22061.3943</v>
      </c>
      <c r="N15" s="220">
        <f t="shared" si="2"/>
        <v>22061.3943</v>
      </c>
      <c r="O15" s="220">
        <f t="shared" si="3"/>
        <v>612.8165083333333</v>
      </c>
      <c r="P15" s="220">
        <f t="shared" si="4"/>
        <v>7353.7981</v>
      </c>
      <c r="Q15" s="221">
        <f t="shared" si="5"/>
        <v>7353.7981</v>
      </c>
      <c r="R15" s="220"/>
      <c r="S15" s="221">
        <f t="shared" si="6"/>
        <v>0</v>
      </c>
      <c r="T15" s="220">
        <f t="shared" si="7"/>
        <v>7353.7981</v>
      </c>
      <c r="U15" s="221">
        <f t="shared" si="8"/>
        <v>14707.5962</v>
      </c>
      <c r="V15" s="307">
        <f>'Truck Allocation'!$N$16</f>
        <v>1</v>
      </c>
      <c r="W15" s="257">
        <f t="shared" si="9"/>
        <v>7353.7981</v>
      </c>
      <c r="X15" s="257">
        <f t="shared" si="10"/>
        <v>14707.5962</v>
      </c>
    </row>
    <row r="16" spans="1:24" ht="12">
      <c r="A16" s="289"/>
      <c r="B16" s="35" t="s">
        <v>84</v>
      </c>
      <c r="C16" s="7">
        <v>5039</v>
      </c>
      <c r="D16" s="36" t="s">
        <v>96</v>
      </c>
      <c r="E16" s="7">
        <v>2009</v>
      </c>
      <c r="F16" s="7">
        <v>12</v>
      </c>
      <c r="G16" s="37">
        <v>0</v>
      </c>
      <c r="H16" s="7"/>
      <c r="I16" s="35" t="s">
        <v>82</v>
      </c>
      <c r="J16" s="38">
        <v>7</v>
      </c>
      <c r="K16" s="39">
        <f t="shared" si="0"/>
        <v>2016</v>
      </c>
      <c r="L16" s="209">
        <f t="shared" si="1"/>
        <v>2017</v>
      </c>
      <c r="M16" s="40">
        <f>+'2144 Trks Orig'!P20</f>
        <v>148199.472</v>
      </c>
      <c r="N16" s="41">
        <f t="shared" si="2"/>
        <v>148199.472</v>
      </c>
      <c r="O16" s="41">
        <f t="shared" si="3"/>
        <v>1764.2794285714288</v>
      </c>
      <c r="P16" s="41">
        <f t="shared" si="4"/>
        <v>21171.353142857144</v>
      </c>
      <c r="Q16" s="210">
        <f t="shared" si="5"/>
        <v>0</v>
      </c>
      <c r="R16" s="41"/>
      <c r="S16" s="210">
        <f t="shared" si="6"/>
        <v>148199.472</v>
      </c>
      <c r="T16" s="41">
        <f t="shared" si="7"/>
        <v>148199.472</v>
      </c>
      <c r="U16" s="210">
        <f t="shared" si="8"/>
        <v>0</v>
      </c>
      <c r="V16" s="307">
        <f>'Truck Allocation'!$N$17</f>
        <v>0.4</v>
      </c>
      <c r="W16" s="261">
        <f t="shared" si="9"/>
        <v>0</v>
      </c>
      <c r="X16" s="261">
        <f t="shared" si="10"/>
        <v>0</v>
      </c>
    </row>
    <row r="17" spans="1:24" ht="12">
      <c r="A17" s="351"/>
      <c r="B17" s="214"/>
      <c r="C17" s="213">
        <v>5039</v>
      </c>
      <c r="D17" s="215" t="s">
        <v>305</v>
      </c>
      <c r="E17" s="213">
        <v>2018</v>
      </c>
      <c r="F17" s="213">
        <v>1</v>
      </c>
      <c r="G17" s="216">
        <v>0</v>
      </c>
      <c r="H17" s="213"/>
      <c r="I17" s="214" t="s">
        <v>82</v>
      </c>
      <c r="J17" s="217">
        <f>+IF(K16-$N$3&gt;=3,K16-$N$3,3)</f>
        <v>3</v>
      </c>
      <c r="K17" s="211">
        <f t="shared" si="0"/>
        <v>2021</v>
      </c>
      <c r="L17" s="212">
        <f t="shared" si="1"/>
        <v>2021.0833333333333</v>
      </c>
      <c r="M17" s="219">
        <f>+'2144 Trks Orig'!N20-'2144 Trks'!M16</f>
        <v>37049.86799999999</v>
      </c>
      <c r="N17" s="220">
        <f t="shared" si="2"/>
        <v>37049.86799999999</v>
      </c>
      <c r="O17" s="220">
        <f t="shared" si="3"/>
        <v>1029.1629999999998</v>
      </c>
      <c r="P17" s="220">
        <f t="shared" si="4"/>
        <v>12349.955999999998</v>
      </c>
      <c r="Q17" s="221">
        <f t="shared" si="5"/>
        <v>12349.955999999998</v>
      </c>
      <c r="R17" s="220"/>
      <c r="S17" s="221">
        <f t="shared" si="6"/>
        <v>0</v>
      </c>
      <c r="T17" s="220">
        <f t="shared" si="7"/>
        <v>12349.955999999998</v>
      </c>
      <c r="U17" s="221">
        <f t="shared" si="8"/>
        <v>24699.91199999999</v>
      </c>
      <c r="V17" s="307">
        <f>'Truck Allocation'!$N$17</f>
        <v>0.4</v>
      </c>
      <c r="W17" s="257">
        <f t="shared" si="9"/>
        <v>4939.9824</v>
      </c>
      <c r="X17" s="257">
        <f t="shared" si="10"/>
        <v>9879.964799999996</v>
      </c>
    </row>
    <row r="18" spans="1:24" ht="12">
      <c r="A18" s="289"/>
      <c r="B18" s="35" t="s">
        <v>84</v>
      </c>
      <c r="C18" s="7">
        <v>5040</v>
      </c>
      <c r="D18" s="36" t="s">
        <v>96</v>
      </c>
      <c r="E18" s="7">
        <v>2009</v>
      </c>
      <c r="F18" s="7">
        <v>12</v>
      </c>
      <c r="G18" s="37">
        <v>0</v>
      </c>
      <c r="H18" s="7"/>
      <c r="I18" s="35" t="s">
        <v>82</v>
      </c>
      <c r="J18" s="38">
        <v>7</v>
      </c>
      <c r="K18" s="39">
        <f t="shared" si="0"/>
        <v>2016</v>
      </c>
      <c r="L18" s="209">
        <f t="shared" si="1"/>
        <v>2017</v>
      </c>
      <c r="M18" s="40">
        <f>+'2144 Trks Orig'!P21</f>
        <v>147465.856</v>
      </c>
      <c r="N18" s="41">
        <f t="shared" si="2"/>
        <v>147465.856</v>
      </c>
      <c r="O18" s="41">
        <f t="shared" si="3"/>
        <v>1755.545904761905</v>
      </c>
      <c r="P18" s="41">
        <f t="shared" si="4"/>
        <v>21066.550857142858</v>
      </c>
      <c r="Q18" s="210">
        <f t="shared" si="5"/>
        <v>0</v>
      </c>
      <c r="R18" s="41"/>
      <c r="S18" s="210">
        <f t="shared" si="6"/>
        <v>147465.856</v>
      </c>
      <c r="T18" s="41">
        <f t="shared" si="7"/>
        <v>147465.856</v>
      </c>
      <c r="U18" s="210">
        <f t="shared" si="8"/>
        <v>0</v>
      </c>
      <c r="V18" s="307">
        <f>'Truck Allocation'!$N$18</f>
        <v>0.9</v>
      </c>
      <c r="W18" s="261">
        <f t="shared" si="9"/>
        <v>0</v>
      </c>
      <c r="X18" s="261">
        <f t="shared" si="10"/>
        <v>0</v>
      </c>
    </row>
    <row r="19" spans="1:24" ht="12">
      <c r="A19" s="351"/>
      <c r="B19" s="214"/>
      <c r="C19" s="213">
        <v>5040</v>
      </c>
      <c r="D19" s="215" t="s">
        <v>306</v>
      </c>
      <c r="E19" s="213">
        <v>2018</v>
      </c>
      <c r="F19" s="213">
        <v>1</v>
      </c>
      <c r="G19" s="216">
        <v>0</v>
      </c>
      <c r="H19" s="213"/>
      <c r="I19" s="214" t="s">
        <v>82</v>
      </c>
      <c r="J19" s="217">
        <f>+IF(K18-$N$3&gt;=3,K18-$N$3,3)</f>
        <v>3</v>
      </c>
      <c r="K19" s="211">
        <f t="shared" si="0"/>
        <v>2021</v>
      </c>
      <c r="L19" s="212">
        <f t="shared" si="1"/>
        <v>2021.0833333333333</v>
      </c>
      <c r="M19" s="219">
        <f>+'2144 Trks Orig'!N21-'2144 Trks'!M18</f>
        <v>36866.46400000001</v>
      </c>
      <c r="N19" s="220">
        <f t="shared" si="2"/>
        <v>36866.46400000001</v>
      </c>
      <c r="O19" s="220">
        <f t="shared" si="3"/>
        <v>1024.0684444444446</v>
      </c>
      <c r="P19" s="220">
        <f t="shared" si="4"/>
        <v>12288.821333333335</v>
      </c>
      <c r="Q19" s="221">
        <f t="shared" si="5"/>
        <v>12288.821333333335</v>
      </c>
      <c r="R19" s="220"/>
      <c r="S19" s="221">
        <f t="shared" si="6"/>
        <v>0</v>
      </c>
      <c r="T19" s="220">
        <f t="shared" si="7"/>
        <v>12288.821333333335</v>
      </c>
      <c r="U19" s="221">
        <f t="shared" si="8"/>
        <v>24577.642666666674</v>
      </c>
      <c r="V19" s="307">
        <f>'Truck Allocation'!$N$18</f>
        <v>0.9</v>
      </c>
      <c r="W19" s="257">
        <f t="shared" si="9"/>
        <v>11059.939200000003</v>
      </c>
      <c r="X19" s="257">
        <f t="shared" si="10"/>
        <v>22119.87840000001</v>
      </c>
    </row>
    <row r="20" spans="1:24" ht="12">
      <c r="A20" s="289"/>
      <c r="B20" s="35" t="s">
        <v>84</v>
      </c>
      <c r="C20" s="7">
        <v>5041</v>
      </c>
      <c r="D20" s="36" t="s">
        <v>96</v>
      </c>
      <c r="E20" s="7">
        <v>2009</v>
      </c>
      <c r="F20" s="7">
        <v>12</v>
      </c>
      <c r="G20" s="37">
        <v>0</v>
      </c>
      <c r="H20" s="7"/>
      <c r="I20" s="35" t="s">
        <v>82</v>
      </c>
      <c r="J20" s="38">
        <v>7</v>
      </c>
      <c r="K20" s="39">
        <f t="shared" si="0"/>
        <v>2016</v>
      </c>
      <c r="L20" s="209">
        <f t="shared" si="1"/>
        <v>2017</v>
      </c>
      <c r="M20" s="40">
        <f>+'2144 Trks Orig'!P22</f>
        <v>147465.856</v>
      </c>
      <c r="N20" s="41">
        <f t="shared" si="2"/>
        <v>147465.856</v>
      </c>
      <c r="O20" s="41">
        <f t="shared" si="3"/>
        <v>1755.545904761905</v>
      </c>
      <c r="P20" s="41">
        <f t="shared" si="4"/>
        <v>21066.550857142858</v>
      </c>
      <c r="Q20" s="210">
        <f t="shared" si="5"/>
        <v>0</v>
      </c>
      <c r="R20" s="41"/>
      <c r="S20" s="210">
        <f t="shared" si="6"/>
        <v>147465.856</v>
      </c>
      <c r="T20" s="41">
        <f t="shared" si="7"/>
        <v>147465.856</v>
      </c>
      <c r="U20" s="210">
        <f t="shared" si="8"/>
        <v>0</v>
      </c>
      <c r="V20" s="307">
        <f>'Truck Allocation'!$N$19</f>
        <v>0.9</v>
      </c>
      <c r="W20" s="261">
        <f t="shared" si="9"/>
        <v>0</v>
      </c>
      <c r="X20" s="261">
        <f t="shared" si="10"/>
        <v>0</v>
      </c>
    </row>
    <row r="21" spans="1:24" ht="12">
      <c r="A21" s="351"/>
      <c r="B21" s="214"/>
      <c r="C21" s="213">
        <v>5041</v>
      </c>
      <c r="D21" s="215" t="s">
        <v>307</v>
      </c>
      <c r="E21" s="213">
        <v>2018</v>
      </c>
      <c r="F21" s="213">
        <v>1</v>
      </c>
      <c r="G21" s="216">
        <v>0</v>
      </c>
      <c r="H21" s="213"/>
      <c r="I21" s="214" t="s">
        <v>82</v>
      </c>
      <c r="J21" s="217">
        <f>+IF(K20-$N$3&gt;=3,K20-$N$3,3)</f>
        <v>3</v>
      </c>
      <c r="K21" s="211">
        <f t="shared" si="0"/>
        <v>2021</v>
      </c>
      <c r="L21" s="212">
        <f t="shared" si="1"/>
        <v>2021.0833333333333</v>
      </c>
      <c r="M21" s="219">
        <f>+'2144 Trks Orig'!N22-'2144 Trks'!M20</f>
        <v>36866.46400000001</v>
      </c>
      <c r="N21" s="220">
        <f t="shared" si="2"/>
        <v>36866.46400000001</v>
      </c>
      <c r="O21" s="220">
        <f t="shared" si="3"/>
        <v>1024.0684444444446</v>
      </c>
      <c r="P21" s="220">
        <f t="shared" si="4"/>
        <v>12288.821333333335</v>
      </c>
      <c r="Q21" s="221">
        <f t="shared" si="5"/>
        <v>12288.821333333335</v>
      </c>
      <c r="R21" s="220"/>
      <c r="S21" s="221">
        <f t="shared" si="6"/>
        <v>0</v>
      </c>
      <c r="T21" s="220">
        <f t="shared" si="7"/>
        <v>12288.821333333335</v>
      </c>
      <c r="U21" s="221">
        <f t="shared" si="8"/>
        <v>24577.642666666674</v>
      </c>
      <c r="V21" s="307">
        <f>'Truck Allocation'!$N$19</f>
        <v>0.9</v>
      </c>
      <c r="W21" s="257">
        <f t="shared" si="9"/>
        <v>11059.939200000003</v>
      </c>
      <c r="X21" s="257">
        <f t="shared" si="10"/>
        <v>22119.87840000001</v>
      </c>
    </row>
    <row r="22" spans="1:24" ht="12">
      <c r="A22" s="289"/>
      <c r="B22" s="35" t="s">
        <v>84</v>
      </c>
      <c r="C22" s="7"/>
      <c r="D22" s="36" t="s">
        <v>97</v>
      </c>
      <c r="E22" s="7">
        <v>2010</v>
      </c>
      <c r="F22" s="7">
        <v>4</v>
      </c>
      <c r="G22" s="37">
        <v>0</v>
      </c>
      <c r="H22" s="7"/>
      <c r="I22" s="35" t="s">
        <v>82</v>
      </c>
      <c r="J22" s="38">
        <v>7</v>
      </c>
      <c r="K22" s="39">
        <f t="shared" si="0"/>
        <v>2017</v>
      </c>
      <c r="L22" s="209">
        <f t="shared" si="1"/>
        <v>2017.3333333333333</v>
      </c>
      <c r="M22" s="40">
        <f>+'2144 Trks Orig'!P23</f>
        <v>11295.952000000001</v>
      </c>
      <c r="N22" s="41">
        <f t="shared" si="2"/>
        <v>11295.952000000001</v>
      </c>
      <c r="O22" s="41">
        <f t="shared" si="3"/>
        <v>134.47561904761906</v>
      </c>
      <c r="P22" s="41">
        <f t="shared" si="4"/>
        <v>1613.7074285714289</v>
      </c>
      <c r="Q22" s="210">
        <f t="shared" si="5"/>
        <v>0</v>
      </c>
      <c r="R22" s="41"/>
      <c r="S22" s="210">
        <f t="shared" si="6"/>
        <v>11295.952000000001</v>
      </c>
      <c r="T22" s="41">
        <f t="shared" si="7"/>
        <v>11295.952000000001</v>
      </c>
      <c r="U22" s="210">
        <f t="shared" si="8"/>
        <v>0</v>
      </c>
      <c r="V22" s="307">
        <f>AVERAGE($V$12:$V$21,$V$26:$V$28,$V$30:$V$33)</f>
        <v>0.8374646942749914</v>
      </c>
      <c r="W22" s="261">
        <f t="shared" si="9"/>
        <v>0</v>
      </c>
      <c r="X22" s="261">
        <f t="shared" si="10"/>
        <v>0</v>
      </c>
    </row>
    <row r="23" spans="1:24" ht="12">
      <c r="A23" s="351"/>
      <c r="B23" s="214"/>
      <c r="C23" s="213"/>
      <c r="D23" s="215" t="s">
        <v>308</v>
      </c>
      <c r="E23" s="213">
        <v>2018</v>
      </c>
      <c r="F23" s="213">
        <v>1</v>
      </c>
      <c r="G23" s="216">
        <v>0</v>
      </c>
      <c r="H23" s="213"/>
      <c r="I23" s="214" t="s">
        <v>82</v>
      </c>
      <c r="J23" s="217">
        <f>+IF(K22-$N$3&gt;=3,K22-$N$3,3)</f>
        <v>3</v>
      </c>
      <c r="K23" s="211">
        <f t="shared" si="0"/>
        <v>2021</v>
      </c>
      <c r="L23" s="212">
        <f t="shared" si="1"/>
        <v>2021.0833333333333</v>
      </c>
      <c r="M23" s="219">
        <f>+'2144 Trks Orig'!N23-'2144 Trks'!M22</f>
        <v>2823.9879999999994</v>
      </c>
      <c r="N23" s="220">
        <f t="shared" si="2"/>
        <v>2823.9879999999994</v>
      </c>
      <c r="O23" s="220">
        <f t="shared" si="3"/>
        <v>78.4441111111111</v>
      </c>
      <c r="P23" s="220">
        <f t="shared" si="4"/>
        <v>941.3293333333331</v>
      </c>
      <c r="Q23" s="221">
        <f t="shared" si="5"/>
        <v>941.3293333333331</v>
      </c>
      <c r="R23" s="220"/>
      <c r="S23" s="221">
        <f t="shared" si="6"/>
        <v>0</v>
      </c>
      <c r="T23" s="220">
        <f t="shared" si="7"/>
        <v>941.3293333333331</v>
      </c>
      <c r="U23" s="221">
        <f t="shared" si="8"/>
        <v>1882.6586666666662</v>
      </c>
      <c r="V23" s="307">
        <f>AVERAGE($V$12:$V$21,$V$26:$V$28,$V$30:$V$33)</f>
        <v>0.8374646942749914</v>
      </c>
      <c r="W23" s="257">
        <f t="shared" si="9"/>
        <v>788.3300823520813</v>
      </c>
      <c r="X23" s="257">
        <f t="shared" si="10"/>
        <v>1576.6601647041625</v>
      </c>
    </row>
    <row r="24" spans="1:24" ht="12">
      <c r="A24" s="289">
        <v>109830</v>
      </c>
      <c r="B24" s="35"/>
      <c r="C24" s="7"/>
      <c r="D24" s="36" t="s">
        <v>211</v>
      </c>
      <c r="E24" s="7">
        <v>2013</v>
      </c>
      <c r="F24" s="7">
        <v>12</v>
      </c>
      <c r="G24" s="37">
        <v>0</v>
      </c>
      <c r="H24" s="7"/>
      <c r="I24" s="35" t="s">
        <v>82</v>
      </c>
      <c r="J24" s="38">
        <v>5</v>
      </c>
      <c r="K24" s="39">
        <f t="shared" si="0"/>
        <v>2018</v>
      </c>
      <c r="L24" s="209">
        <f t="shared" si="1"/>
        <v>2019</v>
      </c>
      <c r="M24" s="40">
        <f>1101.59*12</f>
        <v>13219.079999999998</v>
      </c>
      <c r="N24" s="41">
        <f t="shared" si="2"/>
        <v>13219.079999999998</v>
      </c>
      <c r="O24" s="41">
        <f t="shared" si="3"/>
        <v>220.31799999999998</v>
      </c>
      <c r="P24" s="41">
        <f t="shared" si="4"/>
        <v>2643.816</v>
      </c>
      <c r="Q24" s="210">
        <f t="shared" si="5"/>
        <v>0</v>
      </c>
      <c r="R24" s="41"/>
      <c r="S24" s="210">
        <f t="shared" si="6"/>
        <v>13219.079999999998</v>
      </c>
      <c r="T24" s="41">
        <f t="shared" si="7"/>
        <v>13219.079999999998</v>
      </c>
      <c r="U24" s="210">
        <f t="shared" si="8"/>
        <v>0</v>
      </c>
      <c r="V24" s="307">
        <f>AVERAGE($V$12:$V$21,$V$26:$V$28,$V$30:$V$33)</f>
        <v>0.8374646942749914</v>
      </c>
      <c r="W24" s="261">
        <f t="shared" si="9"/>
        <v>0</v>
      </c>
      <c r="X24" s="261">
        <f t="shared" si="10"/>
        <v>0</v>
      </c>
    </row>
    <row r="25" spans="1:24" ht="12">
      <c r="A25" s="289">
        <v>118075</v>
      </c>
      <c r="B25" s="35" t="s">
        <v>220</v>
      </c>
      <c r="C25" s="7">
        <v>5011</v>
      </c>
      <c r="D25" s="36" t="s">
        <v>221</v>
      </c>
      <c r="E25" s="7">
        <v>2014</v>
      </c>
      <c r="F25" s="7">
        <v>12</v>
      </c>
      <c r="G25" s="37">
        <v>0</v>
      </c>
      <c r="H25" s="7"/>
      <c r="I25" s="35" t="s">
        <v>82</v>
      </c>
      <c r="J25" s="38">
        <v>5</v>
      </c>
      <c r="K25" s="39">
        <f t="shared" si="0"/>
        <v>2019</v>
      </c>
      <c r="L25" s="209">
        <f t="shared" si="1"/>
        <v>2020</v>
      </c>
      <c r="M25" s="40">
        <v>172742.39</v>
      </c>
      <c r="N25" s="41">
        <f t="shared" si="2"/>
        <v>172742.39</v>
      </c>
      <c r="O25" s="41">
        <f t="shared" si="3"/>
        <v>2879.0398333333337</v>
      </c>
      <c r="P25" s="41">
        <f t="shared" si="4"/>
        <v>34548.478</v>
      </c>
      <c r="Q25" s="210">
        <f t="shared" si="5"/>
        <v>0</v>
      </c>
      <c r="R25" s="41"/>
      <c r="S25" s="210">
        <f t="shared" si="6"/>
        <v>172742.39</v>
      </c>
      <c r="T25" s="41">
        <f t="shared" si="7"/>
        <v>172742.39</v>
      </c>
      <c r="U25" s="210">
        <f t="shared" si="8"/>
        <v>0</v>
      </c>
      <c r="V25" s="307">
        <f>'Truck Allocation'!N30</f>
        <v>0.8</v>
      </c>
      <c r="W25" s="261">
        <f>Q25*V25</f>
        <v>0</v>
      </c>
      <c r="X25" s="261">
        <f>U25*V25</f>
        <v>0</v>
      </c>
    </row>
    <row r="26" spans="1:24" ht="12">
      <c r="A26" s="289">
        <v>126399</v>
      </c>
      <c r="B26" s="35" t="s">
        <v>84</v>
      </c>
      <c r="C26" s="7">
        <v>5012</v>
      </c>
      <c r="D26" s="36" t="s">
        <v>227</v>
      </c>
      <c r="E26" s="7">
        <v>2015</v>
      </c>
      <c r="F26" s="7">
        <v>10</v>
      </c>
      <c r="G26" s="37">
        <v>0</v>
      </c>
      <c r="H26" s="7"/>
      <c r="I26" s="35" t="s">
        <v>82</v>
      </c>
      <c r="J26" s="38">
        <v>10</v>
      </c>
      <c r="K26" s="39">
        <f t="shared" si="0"/>
        <v>2025</v>
      </c>
      <c r="L26" s="209">
        <f t="shared" si="1"/>
        <v>2025.8333333333333</v>
      </c>
      <c r="M26" s="40">
        <f>218205.58+9591.24</f>
        <v>227796.81999999998</v>
      </c>
      <c r="N26" s="41">
        <f t="shared" si="2"/>
        <v>227796.81999999998</v>
      </c>
      <c r="O26" s="41">
        <f t="shared" si="3"/>
        <v>1898.306833333333</v>
      </c>
      <c r="P26" s="41">
        <f t="shared" si="4"/>
        <v>22779.681999999997</v>
      </c>
      <c r="Q26" s="210">
        <f t="shared" si="5"/>
        <v>22779.681999999997</v>
      </c>
      <c r="R26" s="41"/>
      <c r="S26" s="210">
        <f t="shared" si="6"/>
        <v>68339.04599999999</v>
      </c>
      <c r="T26" s="41">
        <f t="shared" si="7"/>
        <v>91118.72799999999</v>
      </c>
      <c r="U26" s="210">
        <f t="shared" si="8"/>
        <v>136678.092</v>
      </c>
      <c r="V26" s="307">
        <f>'Truck Allocation'!$N$20</f>
        <v>0.95</v>
      </c>
      <c r="W26" s="261">
        <f t="shared" si="9"/>
        <v>21640.697899999996</v>
      </c>
      <c r="X26" s="261">
        <f t="shared" si="10"/>
        <v>129844.1874</v>
      </c>
    </row>
    <row r="27" spans="1:24" ht="12">
      <c r="A27" s="289">
        <v>126583</v>
      </c>
      <c r="B27" s="35"/>
      <c r="C27" s="7">
        <v>5012</v>
      </c>
      <c r="D27" s="36" t="s">
        <v>226</v>
      </c>
      <c r="E27" s="7">
        <v>2015</v>
      </c>
      <c r="F27" s="7">
        <v>10</v>
      </c>
      <c r="G27" s="37">
        <v>0</v>
      </c>
      <c r="H27" s="7"/>
      <c r="I27" s="35" t="s">
        <v>82</v>
      </c>
      <c r="J27" s="38">
        <v>10</v>
      </c>
      <c r="K27" s="39">
        <f t="shared" si="0"/>
        <v>2025</v>
      </c>
      <c r="L27" s="209">
        <f t="shared" si="1"/>
        <v>2025.8333333333333</v>
      </c>
      <c r="M27" s="40">
        <v>639.85</v>
      </c>
      <c r="N27" s="41">
        <f t="shared" si="2"/>
        <v>639.85</v>
      </c>
      <c r="O27" s="41">
        <f t="shared" si="3"/>
        <v>5.332083333333333</v>
      </c>
      <c r="P27" s="41">
        <f t="shared" si="4"/>
        <v>63.985</v>
      </c>
      <c r="Q27" s="210">
        <f t="shared" si="5"/>
        <v>63.985</v>
      </c>
      <c r="R27" s="41"/>
      <c r="S27" s="210">
        <f t="shared" si="6"/>
        <v>191.95499999999998</v>
      </c>
      <c r="T27" s="41">
        <f t="shared" si="7"/>
        <v>255.94</v>
      </c>
      <c r="U27" s="210">
        <f t="shared" si="8"/>
        <v>383.91</v>
      </c>
      <c r="V27" s="307">
        <f>'Truck Allocation'!$N$20</f>
        <v>0.95</v>
      </c>
      <c r="W27" s="261">
        <f t="shared" si="9"/>
        <v>60.78574999999999</v>
      </c>
      <c r="X27" s="261">
        <f t="shared" si="10"/>
        <v>364.7145</v>
      </c>
    </row>
    <row r="28" spans="1:24" ht="24">
      <c r="A28" s="289" t="s">
        <v>237</v>
      </c>
      <c r="B28" s="35" t="s">
        <v>84</v>
      </c>
      <c r="C28" s="7">
        <v>5014</v>
      </c>
      <c r="D28" s="36" t="s">
        <v>230</v>
      </c>
      <c r="E28" s="7">
        <v>2016</v>
      </c>
      <c r="F28" s="7">
        <v>3</v>
      </c>
      <c r="G28" s="37">
        <v>0</v>
      </c>
      <c r="H28" s="7"/>
      <c r="I28" s="35" t="s">
        <v>82</v>
      </c>
      <c r="J28" s="38">
        <v>10</v>
      </c>
      <c r="K28" s="39">
        <f aca="true" t="shared" si="11" ref="K28:K33">E28+J28</f>
        <v>2026</v>
      </c>
      <c r="L28" s="209">
        <f t="shared" si="1"/>
        <v>2026.25</v>
      </c>
      <c r="M28" s="40">
        <f>276355.27+605.92</f>
        <v>276961.19</v>
      </c>
      <c r="N28" s="54">
        <f t="shared" si="2"/>
        <v>276961.19</v>
      </c>
      <c r="O28" s="54">
        <f t="shared" si="3"/>
        <v>2308.0099166666664</v>
      </c>
      <c r="P28" s="41">
        <f t="shared" si="4"/>
        <v>27696.119</v>
      </c>
      <c r="Q28" s="210">
        <f t="shared" si="5"/>
        <v>27696.119</v>
      </c>
      <c r="R28" s="41"/>
      <c r="S28" s="210">
        <f t="shared" si="6"/>
        <v>55392.238</v>
      </c>
      <c r="T28" s="41">
        <f t="shared" si="7"/>
        <v>83088.35699999999</v>
      </c>
      <c r="U28" s="210">
        <f t="shared" si="8"/>
        <v>193872.833</v>
      </c>
      <c r="V28" s="307">
        <f>'Truck Allocation'!N21</f>
        <v>1</v>
      </c>
      <c r="W28" s="261">
        <f t="shared" si="9"/>
        <v>27696.119</v>
      </c>
      <c r="X28" s="261">
        <f t="shared" si="10"/>
        <v>193872.833</v>
      </c>
    </row>
    <row r="29" spans="1:24" ht="36">
      <c r="A29" s="289" t="s">
        <v>239</v>
      </c>
      <c r="B29" s="3"/>
      <c r="C29" s="7"/>
      <c r="D29" s="44" t="s">
        <v>238</v>
      </c>
      <c r="E29" s="55">
        <v>2016</v>
      </c>
      <c r="F29" s="55">
        <v>3</v>
      </c>
      <c r="G29" s="56">
        <v>0</v>
      </c>
      <c r="H29" s="15"/>
      <c r="I29" s="12" t="s">
        <v>82</v>
      </c>
      <c r="J29" s="57">
        <v>1</v>
      </c>
      <c r="K29" s="23">
        <f t="shared" si="11"/>
        <v>2017</v>
      </c>
      <c r="L29" s="209">
        <f t="shared" si="1"/>
        <v>2017.25</v>
      </c>
      <c r="M29" s="58">
        <f>2164.89+2769.44+671.24</f>
        <v>5605.57</v>
      </c>
      <c r="N29" s="15">
        <f t="shared" si="2"/>
        <v>5605.57</v>
      </c>
      <c r="O29" s="15">
        <f t="shared" si="3"/>
        <v>467.1308333333333</v>
      </c>
      <c r="P29" s="41">
        <f t="shared" si="4"/>
        <v>5605.57</v>
      </c>
      <c r="Q29" s="210">
        <f t="shared" si="5"/>
        <v>0</v>
      </c>
      <c r="R29" s="15"/>
      <c r="S29" s="210">
        <f t="shared" si="6"/>
        <v>5605.57</v>
      </c>
      <c r="T29" s="41">
        <f t="shared" si="7"/>
        <v>5605.57</v>
      </c>
      <c r="U29" s="210">
        <f t="shared" si="8"/>
        <v>0</v>
      </c>
      <c r="V29" s="307">
        <f>AVERAGE($V$12:$V$21,$V$26:$V$28,$V$30:$V$33)</f>
        <v>0.8374646942749914</v>
      </c>
      <c r="W29" s="261">
        <f t="shared" si="9"/>
        <v>0</v>
      </c>
      <c r="X29" s="261">
        <f t="shared" si="10"/>
        <v>0</v>
      </c>
    </row>
    <row r="30" spans="1:24" ht="12">
      <c r="A30" s="289">
        <v>170969</v>
      </c>
      <c r="B30" s="35"/>
      <c r="C30" s="7">
        <v>5022</v>
      </c>
      <c r="D30" s="36" t="s">
        <v>234</v>
      </c>
      <c r="E30" s="7">
        <v>2016</v>
      </c>
      <c r="F30" s="7">
        <v>12</v>
      </c>
      <c r="G30" s="37">
        <v>0</v>
      </c>
      <c r="H30" s="7"/>
      <c r="I30" s="35" t="s">
        <v>82</v>
      </c>
      <c r="J30" s="38">
        <v>9</v>
      </c>
      <c r="K30" s="39">
        <f t="shared" si="11"/>
        <v>2025</v>
      </c>
      <c r="L30" s="209">
        <f t="shared" si="1"/>
        <v>2026</v>
      </c>
      <c r="M30" s="40">
        <v>59020.72</v>
      </c>
      <c r="N30" s="41">
        <f t="shared" si="2"/>
        <v>59020.72</v>
      </c>
      <c r="O30" s="41">
        <f t="shared" si="3"/>
        <v>546.4881481481482</v>
      </c>
      <c r="P30" s="41">
        <f t="shared" si="4"/>
        <v>6557.857777777778</v>
      </c>
      <c r="Q30" s="210">
        <f t="shared" si="5"/>
        <v>6557.857777777778</v>
      </c>
      <c r="R30" s="41"/>
      <c r="S30" s="210">
        <f t="shared" si="6"/>
        <v>13115.715555555556</v>
      </c>
      <c r="T30" s="41">
        <f t="shared" si="7"/>
        <v>19673.573333333334</v>
      </c>
      <c r="U30" s="210">
        <f t="shared" si="8"/>
        <v>39347.14666666667</v>
      </c>
      <c r="V30" s="307">
        <f>'[11]Allocators'!$C$65</f>
        <v>0.8684499013374261</v>
      </c>
      <c r="W30" s="261">
        <f t="shared" si="9"/>
        <v>5695.1709400959835</v>
      </c>
      <c r="X30" s="261">
        <f t="shared" si="10"/>
        <v>34171.0256405759</v>
      </c>
    </row>
    <row r="31" spans="1:24" ht="12">
      <c r="A31" s="289">
        <v>172661</v>
      </c>
      <c r="B31" s="35"/>
      <c r="C31" s="7">
        <v>5022</v>
      </c>
      <c r="D31" s="36" t="s">
        <v>241</v>
      </c>
      <c r="E31" s="7">
        <v>2017</v>
      </c>
      <c r="F31" s="7">
        <v>1</v>
      </c>
      <c r="G31" s="37">
        <v>0</v>
      </c>
      <c r="H31" s="7"/>
      <c r="I31" s="35" t="s">
        <v>82</v>
      </c>
      <c r="J31" s="38">
        <v>5</v>
      </c>
      <c r="K31" s="39">
        <f t="shared" si="11"/>
        <v>2022</v>
      </c>
      <c r="L31" s="209">
        <f t="shared" si="1"/>
        <v>2022.0833333333333</v>
      </c>
      <c r="M31" s="40">
        <v>1113.7</v>
      </c>
      <c r="N31" s="41">
        <f t="shared" si="2"/>
        <v>1113.7</v>
      </c>
      <c r="O31" s="41">
        <f t="shared" si="3"/>
        <v>18.561666666666667</v>
      </c>
      <c r="P31" s="41">
        <f t="shared" si="4"/>
        <v>222.74</v>
      </c>
      <c r="Q31" s="210">
        <f t="shared" si="5"/>
        <v>222.74</v>
      </c>
      <c r="R31" s="41"/>
      <c r="S31" s="210">
        <f t="shared" si="6"/>
        <v>222.74</v>
      </c>
      <c r="T31" s="41">
        <f t="shared" si="7"/>
        <v>445.48</v>
      </c>
      <c r="U31" s="210">
        <f t="shared" si="8"/>
        <v>668.22</v>
      </c>
      <c r="V31" s="307">
        <f>'[11]Allocators'!$C$65</f>
        <v>0.8684499013374261</v>
      </c>
      <c r="W31" s="261">
        <f t="shared" si="9"/>
        <v>193.4385310238983</v>
      </c>
      <c r="X31" s="261">
        <f t="shared" si="10"/>
        <v>580.3155930716948</v>
      </c>
    </row>
    <row r="32" spans="1:24" ht="36">
      <c r="A32" s="289" t="s">
        <v>267</v>
      </c>
      <c r="B32" s="35"/>
      <c r="C32" s="7">
        <v>5013</v>
      </c>
      <c r="D32" s="7" t="s">
        <v>359</v>
      </c>
      <c r="E32" s="7">
        <v>2009</v>
      </c>
      <c r="F32" s="7">
        <v>3</v>
      </c>
      <c r="G32" s="37">
        <v>0</v>
      </c>
      <c r="H32" s="7"/>
      <c r="I32" s="35" t="s">
        <v>82</v>
      </c>
      <c r="J32" s="38">
        <v>10</v>
      </c>
      <c r="K32" s="39">
        <f t="shared" si="11"/>
        <v>2019</v>
      </c>
      <c r="L32" s="209">
        <f t="shared" si="1"/>
        <v>2019.25</v>
      </c>
      <c r="M32" s="40">
        <v>175471.9</v>
      </c>
      <c r="N32" s="41">
        <f t="shared" si="2"/>
        <v>175471.9</v>
      </c>
      <c r="O32" s="41">
        <f t="shared" si="3"/>
        <v>1462.2658333333331</v>
      </c>
      <c r="P32" s="41">
        <f t="shared" si="4"/>
        <v>17547.19</v>
      </c>
      <c r="Q32" s="210">
        <f t="shared" si="5"/>
        <v>0</v>
      </c>
      <c r="R32" s="41"/>
      <c r="S32" s="210">
        <f t="shared" si="6"/>
        <v>175471.9</v>
      </c>
      <c r="T32" s="41">
        <f t="shared" si="7"/>
        <v>175471.9</v>
      </c>
      <c r="U32" s="210">
        <f t="shared" si="8"/>
        <v>0</v>
      </c>
      <c r="V32" s="307">
        <f>'Truck Allocation'!N23</f>
        <v>0.8</v>
      </c>
      <c r="W32" s="261">
        <f t="shared" si="9"/>
        <v>0</v>
      </c>
      <c r="X32" s="261">
        <f t="shared" si="10"/>
        <v>0</v>
      </c>
    </row>
    <row r="33" spans="1:24" ht="12">
      <c r="A33" s="289">
        <v>212943</v>
      </c>
      <c r="B33" s="35"/>
      <c r="C33" s="35">
        <v>5039</v>
      </c>
      <c r="D33" s="7" t="s">
        <v>323</v>
      </c>
      <c r="E33" s="7">
        <v>2019</v>
      </c>
      <c r="F33" s="7">
        <v>3</v>
      </c>
      <c r="G33" s="37">
        <v>0</v>
      </c>
      <c r="H33" s="7"/>
      <c r="I33" s="35" t="s">
        <v>82</v>
      </c>
      <c r="J33" s="38">
        <v>3</v>
      </c>
      <c r="K33" s="39">
        <f t="shared" si="11"/>
        <v>2022</v>
      </c>
      <c r="L33" s="209">
        <f t="shared" si="1"/>
        <v>2022.25</v>
      </c>
      <c r="M33" s="40">
        <v>25477.01</v>
      </c>
      <c r="N33" s="41">
        <f t="shared" si="2"/>
        <v>25477.01</v>
      </c>
      <c r="O33" s="41">
        <f t="shared" si="3"/>
        <v>707.6947222222221</v>
      </c>
      <c r="P33" s="41">
        <f t="shared" si="4"/>
        <v>8492.336666666666</v>
      </c>
      <c r="Q33" s="210">
        <f t="shared" si="5"/>
        <v>8492.336666666666</v>
      </c>
      <c r="R33" s="41"/>
      <c r="S33" s="210">
        <f t="shared" si="6"/>
        <v>0</v>
      </c>
      <c r="T33" s="41">
        <f t="shared" si="7"/>
        <v>8492.336666666666</v>
      </c>
      <c r="U33" s="210">
        <f t="shared" si="8"/>
        <v>16984.673333333332</v>
      </c>
      <c r="V33" s="307">
        <f>V16</f>
        <v>0.4</v>
      </c>
      <c r="W33" s="261">
        <f t="shared" si="9"/>
        <v>3396.9346666666665</v>
      </c>
      <c r="X33" s="261">
        <f t="shared" si="10"/>
        <v>6793.869333333333</v>
      </c>
    </row>
    <row r="34" spans="1:24" s="213" customFormat="1" ht="12">
      <c r="A34" s="351"/>
      <c r="B34" s="214"/>
      <c r="C34" s="214"/>
      <c r="D34" s="213" t="s">
        <v>370</v>
      </c>
      <c r="G34" s="216"/>
      <c r="I34" s="214"/>
      <c r="J34" s="217"/>
      <c r="K34" s="376"/>
      <c r="L34" s="218"/>
      <c r="M34" s="219"/>
      <c r="N34" s="220"/>
      <c r="O34" s="220"/>
      <c r="P34" s="220"/>
      <c r="Q34" s="221">
        <f>+Q120+Q122+Q116</f>
        <v>25696.309999999998</v>
      </c>
      <c r="R34" s="220"/>
      <c r="S34" s="221"/>
      <c r="T34" s="220"/>
      <c r="U34" s="221"/>
      <c r="V34" s="307">
        <f>AVERAGE($V$12:$V$21,$V$26:$V$28,$V$30:$V$33)</f>
        <v>0.8374646942749914</v>
      </c>
      <c r="W34" s="257">
        <f>Q34*V34</f>
        <v>21519.752398145403</v>
      </c>
      <c r="X34" s="257">
        <f>U34*V34</f>
        <v>0</v>
      </c>
    </row>
    <row r="35" spans="1:24" ht="12">
      <c r="A35" s="289"/>
      <c r="B35" s="35"/>
      <c r="C35" s="35"/>
      <c r="D35" s="7"/>
      <c r="E35" s="7"/>
      <c r="F35" s="7"/>
      <c r="G35" s="37"/>
      <c r="H35" s="7"/>
      <c r="I35" s="35"/>
      <c r="J35" s="38"/>
      <c r="K35" s="39"/>
      <c r="L35" s="209"/>
      <c r="M35" s="40"/>
      <c r="N35" s="41"/>
      <c r="O35" s="41"/>
      <c r="P35" s="41"/>
      <c r="Q35" s="210"/>
      <c r="R35" s="41"/>
      <c r="S35" s="210"/>
      <c r="T35" s="41"/>
      <c r="U35" s="210"/>
      <c r="V35" s="307"/>
      <c r="W35" s="261"/>
      <c r="X35" s="261"/>
    </row>
    <row r="36" spans="1:24" ht="12">
      <c r="A36" s="289"/>
      <c r="B36" s="35"/>
      <c r="C36" s="7"/>
      <c r="D36" s="36"/>
      <c r="E36" s="7"/>
      <c r="F36" s="7"/>
      <c r="G36" s="37"/>
      <c r="H36" s="7"/>
      <c r="I36" s="35"/>
      <c r="J36" s="38"/>
      <c r="K36" s="39"/>
      <c r="L36" s="7"/>
      <c r="M36" s="40"/>
      <c r="N36" s="41"/>
      <c r="O36" s="41"/>
      <c r="P36" s="41"/>
      <c r="Q36" s="41"/>
      <c r="R36" s="41"/>
      <c r="S36" s="41"/>
      <c r="T36" s="41"/>
      <c r="U36" s="41"/>
      <c r="W36" s="41"/>
      <c r="X36" s="41"/>
    </row>
    <row r="37" spans="1:24" s="60" customFormat="1" ht="12">
      <c r="A37" s="352"/>
      <c r="B37" s="61"/>
      <c r="D37" s="62" t="s">
        <v>45</v>
      </c>
      <c r="G37" s="63"/>
      <c r="I37" s="64"/>
      <c r="J37" s="65"/>
      <c r="K37" s="66"/>
      <c r="M37" s="236">
        <f>SUM(M12:M36)</f>
        <v>1729635.7300000002</v>
      </c>
      <c r="N37" s="236">
        <f>SUM(N12:N36)</f>
        <v>1729635.7300000002</v>
      </c>
      <c r="O37" s="236">
        <f>SUM(O12:O36)</f>
        <v>22499.439489576725</v>
      </c>
      <c r="P37" s="236">
        <f>SUM(P12:P36)</f>
        <v>269993.27387492056</v>
      </c>
      <c r="Q37" s="236">
        <f>SUM(Q12:Q36)</f>
        <v>145845.14787777778</v>
      </c>
      <c r="R37" s="236"/>
      <c r="S37" s="236">
        <f>SUM(S12:S36)</f>
        <v>1112879.7822555555</v>
      </c>
      <c r="T37" s="236">
        <f>SUM(T12:T36)</f>
        <v>1233028.6201333331</v>
      </c>
      <c r="U37" s="236">
        <f>SUM(U12:U36)</f>
        <v>496607.10986666667</v>
      </c>
      <c r="W37" s="236">
        <f>SUM(W12:W36)</f>
        <v>124518.27950161735</v>
      </c>
      <c r="X37" s="236">
        <f>SUM(X12:X36)</f>
        <v>454257.7060983518</v>
      </c>
    </row>
    <row r="38" spans="1:24" s="60" customFormat="1" ht="12">
      <c r="A38" s="352"/>
      <c r="B38" s="61"/>
      <c r="D38" s="62"/>
      <c r="G38" s="63"/>
      <c r="I38" s="64"/>
      <c r="J38" s="65"/>
      <c r="K38" s="66"/>
      <c r="M38" s="67"/>
      <c r="N38" s="67"/>
      <c r="O38" s="67"/>
      <c r="P38" s="67"/>
      <c r="U38" s="67"/>
      <c r="X38" s="67"/>
    </row>
    <row r="39" spans="1:24" s="60" customFormat="1" ht="12">
      <c r="A39" s="352"/>
      <c r="B39" s="61"/>
      <c r="D39" s="308" t="s">
        <v>361</v>
      </c>
      <c r="G39" s="63"/>
      <c r="I39" s="64"/>
      <c r="J39" s="65"/>
      <c r="K39" s="66"/>
      <c r="M39" s="67"/>
      <c r="N39" s="67"/>
      <c r="O39" s="67"/>
      <c r="P39" s="67"/>
      <c r="U39" s="67"/>
      <c r="X39" s="67"/>
    </row>
    <row r="40" spans="1:24" ht="12">
      <c r="A40" s="289">
        <v>186154</v>
      </c>
      <c r="B40" s="35"/>
      <c r="C40" s="43">
        <v>5007</v>
      </c>
      <c r="D40" s="7" t="s">
        <v>270</v>
      </c>
      <c r="E40" s="7">
        <v>2017</v>
      </c>
      <c r="F40" s="7">
        <v>9</v>
      </c>
      <c r="G40" s="37">
        <v>0</v>
      </c>
      <c r="H40" s="7"/>
      <c r="I40" s="35" t="s">
        <v>82</v>
      </c>
      <c r="J40" s="38">
        <v>10</v>
      </c>
      <c r="K40" s="39">
        <f>E40+J40</f>
        <v>2027</v>
      </c>
      <c r="L40" s="209">
        <f>+K40+(F40/12)</f>
        <v>2027.75</v>
      </c>
      <c r="M40" s="40">
        <v>341677.84</v>
      </c>
      <c r="N40" s="41">
        <f>M40-M40*G40</f>
        <v>341677.84</v>
      </c>
      <c r="O40" s="41">
        <f>N40/J40/12</f>
        <v>2847.3153333333335</v>
      </c>
      <c r="P40" s="41">
        <f>+O40*12</f>
        <v>34167.784</v>
      </c>
      <c r="Q40" s="210">
        <f>+IF(L40&lt;=$N$5,0,IF(K40&gt;$N$4,P40,(O40*F40)))</f>
        <v>34167.784</v>
      </c>
      <c r="R40" s="41"/>
      <c r="S40" s="210">
        <f>+IF(Q40=0,M40,IF($N$3-E40&lt;1,0,(($N$3-E40)*P40)))</f>
        <v>34167.784</v>
      </c>
      <c r="T40" s="41">
        <f>+IF(Q40=0,S40,S40+Q40)</f>
        <v>68335.568</v>
      </c>
      <c r="U40" s="210">
        <f>+M40-T40</f>
        <v>273342.272</v>
      </c>
      <c r="V40" s="307">
        <f>'Truck Allocation'!N34</f>
        <v>0.7</v>
      </c>
      <c r="W40" s="261">
        <f>Q40*V40</f>
        <v>23917.4488</v>
      </c>
      <c r="X40" s="261">
        <f>U40*V40</f>
        <v>191339.5904</v>
      </c>
    </row>
    <row r="41" spans="1:24" ht="36">
      <c r="A41" s="289" t="s">
        <v>271</v>
      </c>
      <c r="B41" s="35"/>
      <c r="C41" s="7"/>
      <c r="D41" s="7" t="s">
        <v>272</v>
      </c>
      <c r="E41" s="7">
        <v>2017</v>
      </c>
      <c r="F41" s="7">
        <v>10</v>
      </c>
      <c r="G41" s="37">
        <v>0</v>
      </c>
      <c r="H41" s="7"/>
      <c r="I41" s="35" t="s">
        <v>82</v>
      </c>
      <c r="J41" s="38">
        <v>5</v>
      </c>
      <c r="K41" s="39">
        <f>E41+J41</f>
        <v>2022</v>
      </c>
      <c r="L41" s="209">
        <f>+K41+(F41/12)</f>
        <v>2022.8333333333333</v>
      </c>
      <c r="M41" s="40">
        <v>1002.38</v>
      </c>
      <c r="N41" s="41">
        <f>M41-M41*G41</f>
        <v>1002.38</v>
      </c>
      <c r="O41" s="41">
        <f>N41/J41/12</f>
        <v>16.706333333333333</v>
      </c>
      <c r="P41" s="41">
        <f>+O41*12</f>
        <v>200.476</v>
      </c>
      <c r="Q41" s="210">
        <f>+IF(L41&lt;=$N$5,0,IF(K41&gt;$N$4,P41,(O41*F41)))</f>
        <v>200.476</v>
      </c>
      <c r="R41" s="41"/>
      <c r="S41" s="210">
        <f>+IF(Q41=0,M41,IF($N$3-E41&lt;1,0,(($N$3-E41)*P41)))</f>
        <v>200.476</v>
      </c>
      <c r="T41" s="41">
        <f>+IF(Q41=0,S41,S41+Q41)</f>
        <v>400.952</v>
      </c>
      <c r="U41" s="210">
        <f>+M41-T41</f>
        <v>601.428</v>
      </c>
      <c r="V41" s="307">
        <f>V40</f>
        <v>0.7</v>
      </c>
      <c r="W41" s="261">
        <f>Q41*V41</f>
        <v>140.33319999999998</v>
      </c>
      <c r="X41" s="261">
        <f>U41*V41</f>
        <v>420.9996</v>
      </c>
    </row>
    <row r="42" spans="1:24" ht="12">
      <c r="A42" s="289">
        <v>203844</v>
      </c>
      <c r="B42" s="35"/>
      <c r="C42" s="7">
        <v>5009</v>
      </c>
      <c r="D42" s="7" t="s">
        <v>274</v>
      </c>
      <c r="E42" s="7">
        <v>2018</v>
      </c>
      <c r="F42" s="7">
        <v>10</v>
      </c>
      <c r="G42" s="37">
        <v>0</v>
      </c>
      <c r="H42" s="7"/>
      <c r="I42" s="35" t="s">
        <v>82</v>
      </c>
      <c r="J42" s="38">
        <v>10</v>
      </c>
      <c r="K42" s="39">
        <f>E42+J42</f>
        <v>2028</v>
      </c>
      <c r="L42" s="209">
        <f>+K42+(F42/12)</f>
        <v>2028.8333333333333</v>
      </c>
      <c r="M42" s="40">
        <v>339628.44</v>
      </c>
      <c r="N42" s="41">
        <f>M42-M42*G42</f>
        <v>339628.44</v>
      </c>
      <c r="O42" s="41">
        <f>N42/J42/12</f>
        <v>2830.2369999999996</v>
      </c>
      <c r="P42" s="41">
        <f>+O42*12</f>
        <v>33962.844</v>
      </c>
      <c r="Q42" s="210">
        <f>+IF(L42&lt;=$N$5,0,IF(K42&gt;$N$4,P42,(O42*F42)))</f>
        <v>33962.844</v>
      </c>
      <c r="R42" s="41"/>
      <c r="S42" s="210">
        <f>+IF(Q42=0,M42,IF($N$3-E42&lt;1,0,(($N$3-E42)*P42)))</f>
        <v>0</v>
      </c>
      <c r="T42" s="41">
        <f>+IF(Q42=0,S42,S42+Q42)</f>
        <v>33962.844</v>
      </c>
      <c r="U42" s="210">
        <f>+M42-T42</f>
        <v>305665.596</v>
      </c>
      <c r="V42" s="307">
        <f>'Truck Allocation'!N24</f>
        <v>1</v>
      </c>
      <c r="W42" s="261">
        <f>Q42*V42</f>
        <v>33962.844</v>
      </c>
      <c r="X42" s="261">
        <f>U42*V42</f>
        <v>305665.596</v>
      </c>
    </row>
    <row r="43" spans="1:24" ht="12">
      <c r="A43" s="289">
        <v>218618</v>
      </c>
      <c r="B43" s="35"/>
      <c r="C43" s="35">
        <v>5015</v>
      </c>
      <c r="D43" s="7" t="s">
        <v>322</v>
      </c>
      <c r="E43" s="7">
        <v>2019</v>
      </c>
      <c r="F43" s="7">
        <v>9</v>
      </c>
      <c r="G43" s="37">
        <v>0</v>
      </c>
      <c r="H43" s="7"/>
      <c r="I43" s="35" t="s">
        <v>82</v>
      </c>
      <c r="J43" s="38">
        <v>10</v>
      </c>
      <c r="K43" s="39">
        <f>E43+J43</f>
        <v>2029</v>
      </c>
      <c r="L43" s="209">
        <f>+K43+(F43/12)</f>
        <v>2029.75</v>
      </c>
      <c r="M43" s="40">
        <v>359143.82</v>
      </c>
      <c r="N43" s="41">
        <f>M43-M43*G43</f>
        <v>359143.82</v>
      </c>
      <c r="O43" s="41">
        <f>N43/J43/12</f>
        <v>2992.8651666666665</v>
      </c>
      <c r="P43" s="41">
        <f>+O43*12</f>
        <v>35914.382</v>
      </c>
      <c r="Q43" s="210">
        <f>+IF(L43&lt;=$N$5,0,IF(K43&gt;$N$4,P43,(O43*F43)))</f>
        <v>35914.382</v>
      </c>
      <c r="R43" s="41"/>
      <c r="S43" s="210">
        <f>+IF(Q43=0,M43,IF($N$3-E43&lt;1,0,(($N$3-E43)*P43)))</f>
        <v>0</v>
      </c>
      <c r="T43" s="41">
        <f>+IF(Q43=0,S43,S43+Q43)</f>
        <v>35914.382</v>
      </c>
      <c r="U43" s="210">
        <f>+M43-T43</f>
        <v>323229.438</v>
      </c>
      <c r="V43" s="307">
        <f>'Truck Allocation'!N25</f>
        <v>0.6</v>
      </c>
      <c r="W43" s="261">
        <f>Q43*V43</f>
        <v>21548.6292</v>
      </c>
      <c r="X43" s="261">
        <f>U43*V43</f>
        <v>193937.66280000002</v>
      </c>
    </row>
    <row r="44" spans="1:24" ht="36">
      <c r="A44" s="289" t="s">
        <v>335</v>
      </c>
      <c r="B44" s="35"/>
      <c r="C44" s="35">
        <v>5015</v>
      </c>
      <c r="D44" s="7" t="s">
        <v>336</v>
      </c>
      <c r="E44" s="7">
        <v>2019</v>
      </c>
      <c r="F44" s="7">
        <v>11</v>
      </c>
      <c r="G44" s="37">
        <v>0</v>
      </c>
      <c r="H44" s="7"/>
      <c r="I44" s="35" t="s">
        <v>82</v>
      </c>
      <c r="J44" s="38">
        <v>10</v>
      </c>
      <c r="K44" s="39">
        <f>E44+J44</f>
        <v>2029</v>
      </c>
      <c r="L44" s="209">
        <f>+K44+(F44/12)</f>
        <v>2029.9166666666667</v>
      </c>
      <c r="M44" s="40">
        <v>1502.23</v>
      </c>
      <c r="N44" s="41">
        <f>M44-M44*G44</f>
        <v>1502.23</v>
      </c>
      <c r="O44" s="41">
        <f>N44/J44/12</f>
        <v>12.518583333333334</v>
      </c>
      <c r="P44" s="41">
        <f>+O44*12</f>
        <v>150.223</v>
      </c>
      <c r="Q44" s="210">
        <f>+IF(L44&lt;=$N$5,0,IF(K44&gt;$N$4,P44,(O44*F44)))</f>
        <v>150.223</v>
      </c>
      <c r="R44" s="41"/>
      <c r="S44" s="210">
        <f>+IF(Q44=0,M44,IF($N$3-E44&lt;1,0,(($N$3-E44)*P44)))</f>
        <v>0</v>
      </c>
      <c r="T44" s="41">
        <f>+IF(Q44=0,S44,S44+Q44)</f>
        <v>150.223</v>
      </c>
      <c r="U44" s="210">
        <f>+M44-T44</f>
        <v>1352.007</v>
      </c>
      <c r="V44" s="307">
        <f>V43</f>
        <v>0.6</v>
      </c>
      <c r="W44" s="261">
        <f>Q44*V44</f>
        <v>90.13380000000001</v>
      </c>
      <c r="X44" s="261">
        <f>U44*V44</f>
        <v>811.2042</v>
      </c>
    </row>
    <row r="45" spans="1:24" ht="12">
      <c r="A45" s="289"/>
      <c r="B45" s="35"/>
      <c r="C45" s="35"/>
      <c r="D45" s="7"/>
      <c r="E45" s="7"/>
      <c r="F45" s="7"/>
      <c r="G45" s="37"/>
      <c r="H45" s="7"/>
      <c r="I45" s="35"/>
      <c r="J45" s="38"/>
      <c r="K45" s="39"/>
      <c r="L45" s="209"/>
      <c r="M45" s="40"/>
      <c r="N45" s="41"/>
      <c r="O45" s="41"/>
      <c r="P45" s="41"/>
      <c r="Q45" s="210"/>
      <c r="R45" s="41"/>
      <c r="S45" s="210"/>
      <c r="T45" s="41"/>
      <c r="U45" s="210"/>
      <c r="W45" s="210"/>
      <c r="X45" s="210"/>
    </row>
    <row r="46" spans="1:24" ht="12">
      <c r="A46" s="289"/>
      <c r="B46" s="35"/>
      <c r="C46" s="35"/>
      <c r="D46" s="7"/>
      <c r="E46" s="7"/>
      <c r="F46" s="7"/>
      <c r="G46" s="37"/>
      <c r="H46" s="7"/>
      <c r="I46" s="35"/>
      <c r="J46" s="38"/>
      <c r="K46" s="39"/>
      <c r="L46" s="209"/>
      <c r="M46" s="236">
        <f>SUM(M40:M45)</f>
        <v>1042954.71</v>
      </c>
      <c r="N46" s="236">
        <f aca="true" t="shared" si="12" ref="N46:U46">SUM(N40:N45)</f>
        <v>1042954.71</v>
      </c>
      <c r="O46" s="236">
        <f t="shared" si="12"/>
        <v>8699.642416666666</v>
      </c>
      <c r="P46" s="236">
        <f t="shared" si="12"/>
        <v>104395.70899999999</v>
      </c>
      <c r="Q46" s="236">
        <f t="shared" si="12"/>
        <v>104395.70899999999</v>
      </c>
      <c r="R46" s="236">
        <f t="shared" si="12"/>
        <v>0</v>
      </c>
      <c r="S46" s="236">
        <f t="shared" si="12"/>
        <v>34368.26</v>
      </c>
      <c r="T46" s="236">
        <f t="shared" si="12"/>
        <v>138763.96899999998</v>
      </c>
      <c r="U46" s="236">
        <f t="shared" si="12"/>
        <v>904190.7410000002</v>
      </c>
      <c r="W46" s="236">
        <f>SUM(W40:W45)</f>
        <v>79659.389</v>
      </c>
      <c r="X46" s="236">
        <f>SUM(X40:X45)</f>
        <v>692175.0530000001</v>
      </c>
    </row>
    <row r="47" spans="1:24" s="60" customFormat="1" ht="12">
      <c r="A47" s="352"/>
      <c r="B47" s="61"/>
      <c r="D47" s="62"/>
      <c r="G47" s="63"/>
      <c r="I47" s="64"/>
      <c r="J47" s="65"/>
      <c r="K47" s="66"/>
      <c r="M47" s="67"/>
      <c r="N47" s="67"/>
      <c r="O47" s="67"/>
      <c r="P47" s="67"/>
      <c r="U47" s="67"/>
      <c r="X47" s="67"/>
    </row>
    <row r="48" spans="1:24" s="60" customFormat="1" ht="12">
      <c r="A48" s="352"/>
      <c r="B48" s="61"/>
      <c r="D48" s="309" t="s">
        <v>362</v>
      </c>
      <c r="G48" s="63"/>
      <c r="I48" s="64"/>
      <c r="J48" s="65"/>
      <c r="K48" s="66"/>
      <c r="M48" s="67"/>
      <c r="N48" s="67"/>
      <c r="O48" s="67"/>
      <c r="P48" s="67"/>
      <c r="U48" s="67"/>
      <c r="X48" s="67"/>
    </row>
    <row r="49" spans="1:24" ht="12">
      <c r="A49" s="289"/>
      <c r="B49" s="35" t="s">
        <v>98</v>
      </c>
      <c r="C49" s="43">
        <v>5036</v>
      </c>
      <c r="D49" s="36" t="s">
        <v>101</v>
      </c>
      <c r="E49" s="36">
        <v>2007</v>
      </c>
      <c r="F49" s="36">
        <v>2</v>
      </c>
      <c r="G49" s="37">
        <v>0</v>
      </c>
      <c r="H49" s="7"/>
      <c r="I49" s="35" t="s">
        <v>82</v>
      </c>
      <c r="J49" s="38">
        <v>7</v>
      </c>
      <c r="K49" s="39">
        <f aca="true" t="shared" si="13" ref="K49:K61">E49+J49</f>
        <v>2014</v>
      </c>
      <c r="L49" s="209">
        <f aca="true" t="shared" si="14" ref="L49:L61">+K49+(F49/12)</f>
        <v>2014.1666666666667</v>
      </c>
      <c r="M49" s="40">
        <f>+'2144 Trks Orig'!P39</f>
        <v>110918.24799999999</v>
      </c>
      <c r="N49" s="41">
        <f aca="true" t="shared" si="15" ref="N49:N61">M49-M49*G49</f>
        <v>110918.24799999999</v>
      </c>
      <c r="O49" s="41">
        <f aca="true" t="shared" si="16" ref="O49:O61">N49/J49/12</f>
        <v>1320.455333333333</v>
      </c>
      <c r="P49" s="41">
        <f aca="true" t="shared" si="17" ref="P49:P61">+O49*12</f>
        <v>15845.463999999996</v>
      </c>
      <c r="Q49" s="210">
        <f aca="true" t="shared" si="18" ref="Q49:Q61">+IF(L49&lt;=$N$5,0,IF(K49&gt;$N$4,P49,(O49*F49)))</f>
        <v>0</v>
      </c>
      <c r="R49" s="41"/>
      <c r="S49" s="210">
        <f aca="true" t="shared" si="19" ref="S49:S61">+IF(Q49=0,M49,IF($N$3-E49&lt;1,0,(($N$3-E49)*P49)))</f>
        <v>110918.24799999999</v>
      </c>
      <c r="T49" s="41">
        <f aca="true" t="shared" si="20" ref="T49:T61">+IF(Q49=0,S49,S49+Q49)</f>
        <v>110918.24799999999</v>
      </c>
      <c r="U49" s="210">
        <f aca="true" t="shared" si="21" ref="U49:U61">+M49-T49</f>
        <v>0</v>
      </c>
      <c r="V49" s="307">
        <f>'Truck Allocation'!$N$29</f>
        <v>0.91</v>
      </c>
      <c r="W49" s="261">
        <f aca="true" t="shared" si="22" ref="W49:W61">Q49*V49</f>
        <v>0</v>
      </c>
      <c r="X49" s="261">
        <f aca="true" t="shared" si="23" ref="X49:X61">U49*V49</f>
        <v>0</v>
      </c>
    </row>
    <row r="50" spans="1:24" ht="12">
      <c r="A50" s="351"/>
      <c r="B50" s="310"/>
      <c r="C50" s="213">
        <v>5036</v>
      </c>
      <c r="D50" s="215" t="s">
        <v>309</v>
      </c>
      <c r="E50" s="213">
        <v>2018</v>
      </c>
      <c r="F50" s="213">
        <v>1</v>
      </c>
      <c r="G50" s="216">
        <v>0</v>
      </c>
      <c r="H50" s="213"/>
      <c r="I50" s="214" t="s">
        <v>82</v>
      </c>
      <c r="J50" s="217">
        <f>+IF(K49-$N$3&gt;=3,K49-$N$3,3)</f>
        <v>3</v>
      </c>
      <c r="K50" s="211">
        <f t="shared" si="13"/>
        <v>2021</v>
      </c>
      <c r="L50" s="212">
        <f t="shared" si="14"/>
        <v>2021.0833333333333</v>
      </c>
      <c r="M50" s="219">
        <f>+'2144 Trks Orig'!N39-'2144 Trks'!M49</f>
        <v>27729.562000000005</v>
      </c>
      <c r="N50" s="220">
        <f t="shared" si="15"/>
        <v>27729.562000000005</v>
      </c>
      <c r="O50" s="220">
        <f t="shared" si="16"/>
        <v>770.2656111111113</v>
      </c>
      <c r="P50" s="220">
        <f t="shared" si="17"/>
        <v>9243.187333333335</v>
      </c>
      <c r="Q50" s="221">
        <f t="shared" si="18"/>
        <v>9243.187333333335</v>
      </c>
      <c r="R50" s="220"/>
      <c r="S50" s="221">
        <f t="shared" si="19"/>
        <v>0</v>
      </c>
      <c r="T50" s="220">
        <f t="shared" si="20"/>
        <v>9243.187333333335</v>
      </c>
      <c r="U50" s="221">
        <f t="shared" si="21"/>
        <v>18486.37466666667</v>
      </c>
      <c r="V50" s="307">
        <f>'Truck Allocation'!$N$29</f>
        <v>0.91</v>
      </c>
      <c r="W50" s="257">
        <f t="shared" si="22"/>
        <v>8411.300473333335</v>
      </c>
      <c r="X50" s="257">
        <f t="shared" si="23"/>
        <v>16822.60094666667</v>
      </c>
    </row>
    <row r="51" spans="1:24" ht="12">
      <c r="A51" s="289"/>
      <c r="B51" s="35" t="s">
        <v>98</v>
      </c>
      <c r="C51" s="43">
        <v>5037</v>
      </c>
      <c r="D51" s="36" t="s">
        <v>101</v>
      </c>
      <c r="E51" s="36">
        <v>2007</v>
      </c>
      <c r="F51" s="36">
        <v>6</v>
      </c>
      <c r="G51" s="37">
        <v>0</v>
      </c>
      <c r="H51" s="7"/>
      <c r="I51" s="35" t="s">
        <v>82</v>
      </c>
      <c r="J51" s="38">
        <v>7</v>
      </c>
      <c r="K51" s="39">
        <f t="shared" si="13"/>
        <v>2014</v>
      </c>
      <c r="L51" s="209">
        <f t="shared" si="14"/>
        <v>2014.5</v>
      </c>
      <c r="M51" s="40">
        <f>+'2144 Trks Orig'!P40</f>
        <v>108651.856</v>
      </c>
      <c r="N51" s="41">
        <f t="shared" si="15"/>
        <v>108651.856</v>
      </c>
      <c r="O51" s="41">
        <f t="shared" si="16"/>
        <v>1293.4744761904763</v>
      </c>
      <c r="P51" s="41">
        <f t="shared" si="17"/>
        <v>15521.693714285715</v>
      </c>
      <c r="Q51" s="210">
        <f t="shared" si="18"/>
        <v>0</v>
      </c>
      <c r="R51" s="41"/>
      <c r="S51" s="210">
        <f t="shared" si="19"/>
        <v>108651.856</v>
      </c>
      <c r="T51" s="41">
        <f t="shared" si="20"/>
        <v>108651.856</v>
      </c>
      <c r="U51" s="210">
        <f t="shared" si="21"/>
        <v>0</v>
      </c>
      <c r="V51" s="307">
        <f>'Truck Allocation'!$N$27</f>
        <v>0.91</v>
      </c>
      <c r="W51" s="261">
        <f t="shared" si="22"/>
        <v>0</v>
      </c>
      <c r="X51" s="261">
        <f t="shared" si="23"/>
        <v>0</v>
      </c>
    </row>
    <row r="52" spans="1:24" ht="12">
      <c r="A52" s="351"/>
      <c r="B52" s="310"/>
      <c r="C52" s="213">
        <v>5037</v>
      </c>
      <c r="D52" s="215" t="s">
        <v>310</v>
      </c>
      <c r="E52" s="213">
        <v>2018</v>
      </c>
      <c r="F52" s="213">
        <v>1</v>
      </c>
      <c r="G52" s="216">
        <v>0</v>
      </c>
      <c r="H52" s="213"/>
      <c r="I52" s="214" t="s">
        <v>82</v>
      </c>
      <c r="J52" s="217">
        <f>+IF(K51-$N$3&gt;=3,K51-$N$3,3)</f>
        <v>3</v>
      </c>
      <c r="K52" s="211">
        <f>E52+J52</f>
        <v>2021</v>
      </c>
      <c r="L52" s="212">
        <f>+K52+(F52/12)</f>
        <v>2021.0833333333333</v>
      </c>
      <c r="M52" s="219">
        <f>+'2144 Trks Orig'!N40-'2144 Trks'!M51</f>
        <v>27162.964000000007</v>
      </c>
      <c r="N52" s="220">
        <f t="shared" si="15"/>
        <v>27162.964000000007</v>
      </c>
      <c r="O52" s="220">
        <f t="shared" si="16"/>
        <v>754.526777777778</v>
      </c>
      <c r="P52" s="220">
        <f t="shared" si="17"/>
        <v>9054.321333333335</v>
      </c>
      <c r="Q52" s="221">
        <f>+IF(L52&lt;=$N$5,0,IF(K52&gt;$N$4,P52,(O52*F52)))</f>
        <v>9054.321333333335</v>
      </c>
      <c r="R52" s="220"/>
      <c r="S52" s="221">
        <f>+IF(Q52=0,M52,IF($N$3-E52&lt;1,0,(($N$3-E52)*P52)))</f>
        <v>0</v>
      </c>
      <c r="T52" s="220">
        <f>+IF(Q52=0,S52,S52+Q52)</f>
        <v>9054.321333333335</v>
      </c>
      <c r="U52" s="221">
        <f>+M52-T52</f>
        <v>18108.642666666674</v>
      </c>
      <c r="V52" s="307">
        <f>'Truck Allocation'!$N$27</f>
        <v>0.91</v>
      </c>
      <c r="W52" s="257">
        <f t="shared" si="22"/>
        <v>8239.432413333336</v>
      </c>
      <c r="X52" s="257">
        <f t="shared" si="23"/>
        <v>16478.864826666675</v>
      </c>
    </row>
    <row r="53" spans="1:24" ht="12">
      <c r="A53" s="289"/>
      <c r="B53" s="35" t="s">
        <v>98</v>
      </c>
      <c r="C53" s="7"/>
      <c r="D53" s="36" t="s">
        <v>102</v>
      </c>
      <c r="E53" s="7">
        <v>2010</v>
      </c>
      <c r="F53" s="7">
        <v>5</v>
      </c>
      <c r="G53" s="37">
        <v>0</v>
      </c>
      <c r="H53" s="7"/>
      <c r="I53" s="35" t="s">
        <v>82</v>
      </c>
      <c r="J53" s="38">
        <v>7</v>
      </c>
      <c r="K53" s="39">
        <f t="shared" si="13"/>
        <v>2017</v>
      </c>
      <c r="L53" s="209">
        <f t="shared" si="14"/>
        <v>2017.4166666666667</v>
      </c>
      <c r="M53" s="40">
        <f>+'2144 Trks Orig'!P41</f>
        <v>3478.4</v>
      </c>
      <c r="N53" s="41">
        <f t="shared" si="15"/>
        <v>3478.4</v>
      </c>
      <c r="O53" s="41">
        <f t="shared" si="16"/>
        <v>41.40952380952381</v>
      </c>
      <c r="P53" s="41">
        <f t="shared" si="17"/>
        <v>496.9142857142857</v>
      </c>
      <c r="Q53" s="210">
        <f t="shared" si="18"/>
        <v>0</v>
      </c>
      <c r="R53" s="41"/>
      <c r="S53" s="210">
        <f t="shared" si="19"/>
        <v>3478.4</v>
      </c>
      <c r="T53" s="41">
        <f t="shared" si="20"/>
        <v>3478.4</v>
      </c>
      <c r="U53" s="210">
        <f t="shared" si="21"/>
        <v>0</v>
      </c>
      <c r="V53" s="307">
        <f>AVERAGE($V$49:$V$52,$V$56:$V$61)</f>
        <v>0.9099999999999999</v>
      </c>
      <c r="W53" s="261">
        <f t="shared" si="22"/>
        <v>0</v>
      </c>
      <c r="X53" s="261">
        <f t="shared" si="23"/>
        <v>0</v>
      </c>
    </row>
    <row r="54" spans="1:24" ht="12">
      <c r="A54" s="351"/>
      <c r="B54" s="310"/>
      <c r="C54" s="213"/>
      <c r="D54" s="215" t="s">
        <v>311</v>
      </c>
      <c r="E54" s="213">
        <v>2018</v>
      </c>
      <c r="F54" s="213">
        <v>1</v>
      </c>
      <c r="G54" s="216">
        <v>0</v>
      </c>
      <c r="H54" s="213"/>
      <c r="I54" s="214" t="s">
        <v>82</v>
      </c>
      <c r="J54" s="217">
        <f>+IF(K53-$N$3&gt;=3,K53-$N$3,3)</f>
        <v>3</v>
      </c>
      <c r="K54" s="211">
        <f t="shared" si="13"/>
        <v>2021</v>
      </c>
      <c r="L54" s="212">
        <f t="shared" si="14"/>
        <v>2021.0833333333333</v>
      </c>
      <c r="M54" s="219">
        <f>+'2144 Trks Orig'!N41-'2144 Trks'!M53</f>
        <v>869.5999999999999</v>
      </c>
      <c r="N54" s="220">
        <f t="shared" si="15"/>
        <v>869.5999999999999</v>
      </c>
      <c r="O54" s="220">
        <f t="shared" si="16"/>
        <v>24.15555555555555</v>
      </c>
      <c r="P54" s="220">
        <f t="shared" si="17"/>
        <v>289.8666666666666</v>
      </c>
      <c r="Q54" s="221">
        <f t="shared" si="18"/>
        <v>289.8666666666666</v>
      </c>
      <c r="R54" s="220"/>
      <c r="S54" s="221">
        <f t="shared" si="19"/>
        <v>0</v>
      </c>
      <c r="T54" s="220">
        <f t="shared" si="20"/>
        <v>289.8666666666666</v>
      </c>
      <c r="U54" s="221">
        <f t="shared" si="21"/>
        <v>579.7333333333333</v>
      </c>
      <c r="V54" s="307">
        <f>AVERAGE($V$49:$V$52,$V$56:$V$61)</f>
        <v>0.9099999999999999</v>
      </c>
      <c r="W54" s="257">
        <f t="shared" si="22"/>
        <v>263.7786666666666</v>
      </c>
      <c r="X54" s="257">
        <f t="shared" si="23"/>
        <v>527.5573333333333</v>
      </c>
    </row>
    <row r="55" spans="1:24" ht="12">
      <c r="A55" s="289">
        <v>109830</v>
      </c>
      <c r="B55" s="35"/>
      <c r="C55" s="7"/>
      <c r="D55" s="36" t="s">
        <v>213</v>
      </c>
      <c r="E55" s="7">
        <v>2013</v>
      </c>
      <c r="F55" s="7">
        <v>12</v>
      </c>
      <c r="G55" s="37">
        <v>0</v>
      </c>
      <c r="H55" s="7"/>
      <c r="I55" s="35" t="s">
        <v>82</v>
      </c>
      <c r="J55" s="38">
        <v>5</v>
      </c>
      <c r="K55" s="39">
        <f t="shared" si="13"/>
        <v>2018</v>
      </c>
      <c r="L55" s="209">
        <f t="shared" si="14"/>
        <v>2019</v>
      </c>
      <c r="M55" s="40">
        <f>1101.59*3</f>
        <v>3304.7699999999995</v>
      </c>
      <c r="N55" s="41">
        <f t="shared" si="15"/>
        <v>3304.7699999999995</v>
      </c>
      <c r="O55" s="41">
        <f t="shared" si="16"/>
        <v>55.079499999999996</v>
      </c>
      <c r="P55" s="41">
        <f t="shared" si="17"/>
        <v>660.954</v>
      </c>
      <c r="Q55" s="210">
        <f t="shared" si="18"/>
        <v>0</v>
      </c>
      <c r="R55" s="41"/>
      <c r="S55" s="210">
        <f t="shared" si="19"/>
        <v>3304.7699999999995</v>
      </c>
      <c r="T55" s="41">
        <f t="shared" si="20"/>
        <v>3304.7699999999995</v>
      </c>
      <c r="U55" s="210">
        <f t="shared" si="21"/>
        <v>0</v>
      </c>
      <c r="V55" s="307">
        <f>AVERAGE($V$49:$V$52,$V$56:$V$61)</f>
        <v>0.9099999999999999</v>
      </c>
      <c r="W55" s="261">
        <f t="shared" si="22"/>
        <v>0</v>
      </c>
      <c r="X55" s="261">
        <f t="shared" si="23"/>
        <v>0</v>
      </c>
    </row>
    <row r="56" spans="1:24" ht="11.25" customHeight="1">
      <c r="A56" s="289">
        <v>115085</v>
      </c>
      <c r="B56" s="35" t="s">
        <v>98</v>
      </c>
      <c r="C56" s="7">
        <v>5036</v>
      </c>
      <c r="D56" s="36" t="s">
        <v>218</v>
      </c>
      <c r="E56" s="7">
        <v>2014</v>
      </c>
      <c r="F56" s="7">
        <v>8</v>
      </c>
      <c r="G56" s="37">
        <v>0</v>
      </c>
      <c r="H56" s="7"/>
      <c r="I56" s="35" t="s">
        <v>82</v>
      </c>
      <c r="J56" s="38">
        <v>3</v>
      </c>
      <c r="K56" s="39">
        <f t="shared" si="13"/>
        <v>2017</v>
      </c>
      <c r="L56" s="209">
        <f t="shared" si="14"/>
        <v>2017.6666666666667</v>
      </c>
      <c r="M56" s="40">
        <v>6532.56</v>
      </c>
      <c r="N56" s="41">
        <f t="shared" si="15"/>
        <v>6532.56</v>
      </c>
      <c r="O56" s="41">
        <f t="shared" si="16"/>
        <v>181.46</v>
      </c>
      <c r="P56" s="41">
        <f t="shared" si="17"/>
        <v>2177.52</v>
      </c>
      <c r="Q56" s="210">
        <f t="shared" si="18"/>
        <v>0</v>
      </c>
      <c r="R56" s="41"/>
      <c r="S56" s="210">
        <f t="shared" si="19"/>
        <v>6532.56</v>
      </c>
      <c r="T56" s="41">
        <f t="shared" si="20"/>
        <v>6532.56</v>
      </c>
      <c r="U56" s="210">
        <f t="shared" si="21"/>
        <v>0</v>
      </c>
      <c r="V56" s="307">
        <f>V49</f>
        <v>0.91</v>
      </c>
      <c r="W56" s="261">
        <f t="shared" si="22"/>
        <v>0</v>
      </c>
      <c r="X56" s="261">
        <f t="shared" si="23"/>
        <v>0</v>
      </c>
    </row>
    <row r="57" spans="1:24" ht="12">
      <c r="A57" s="289">
        <v>119113</v>
      </c>
      <c r="B57" s="35" t="s">
        <v>98</v>
      </c>
      <c r="C57" s="7">
        <v>5037</v>
      </c>
      <c r="D57" s="36" t="s">
        <v>223</v>
      </c>
      <c r="E57" s="7">
        <v>2015</v>
      </c>
      <c r="F57" s="7">
        <v>1</v>
      </c>
      <c r="G57" s="37">
        <v>0</v>
      </c>
      <c r="H57" s="7"/>
      <c r="I57" s="35" t="s">
        <v>82</v>
      </c>
      <c r="J57" s="38">
        <v>3</v>
      </c>
      <c r="K57" s="39">
        <f t="shared" si="13"/>
        <v>2018</v>
      </c>
      <c r="L57" s="209">
        <f t="shared" si="14"/>
        <v>2018.0833333333333</v>
      </c>
      <c r="M57" s="40">
        <v>5014.96</v>
      </c>
      <c r="N57" s="41">
        <f t="shared" si="15"/>
        <v>5014.96</v>
      </c>
      <c r="O57" s="41">
        <f t="shared" si="16"/>
        <v>139.30444444444444</v>
      </c>
      <c r="P57" s="41">
        <f t="shared" si="17"/>
        <v>1671.6533333333332</v>
      </c>
      <c r="Q57" s="210">
        <f t="shared" si="18"/>
        <v>0</v>
      </c>
      <c r="R57" s="41"/>
      <c r="S57" s="210">
        <f t="shared" si="19"/>
        <v>5014.96</v>
      </c>
      <c r="T57" s="41">
        <f t="shared" si="20"/>
        <v>5014.96</v>
      </c>
      <c r="U57" s="210">
        <f t="shared" si="21"/>
        <v>0</v>
      </c>
      <c r="V57" s="307">
        <f>$V$51</f>
        <v>0.91</v>
      </c>
      <c r="W57" s="261">
        <f t="shared" si="22"/>
        <v>0</v>
      </c>
      <c r="X57" s="261">
        <f t="shared" si="23"/>
        <v>0</v>
      </c>
    </row>
    <row r="58" spans="1:24" ht="12">
      <c r="A58" s="289">
        <v>124719</v>
      </c>
      <c r="B58" s="35" t="s">
        <v>98</v>
      </c>
      <c r="C58" s="7">
        <v>5037</v>
      </c>
      <c r="D58" s="36" t="s">
        <v>225</v>
      </c>
      <c r="E58" s="7">
        <v>2015</v>
      </c>
      <c r="F58" s="7">
        <v>8</v>
      </c>
      <c r="G58" s="37">
        <v>0</v>
      </c>
      <c r="H58" s="7"/>
      <c r="I58" s="35" t="s">
        <v>82</v>
      </c>
      <c r="J58" s="38">
        <v>3</v>
      </c>
      <c r="K58" s="39">
        <f t="shared" si="13"/>
        <v>2018</v>
      </c>
      <c r="L58" s="209">
        <f t="shared" si="14"/>
        <v>2018.6666666666667</v>
      </c>
      <c r="M58" s="40">
        <v>9352.18</v>
      </c>
      <c r="N58" s="41">
        <f t="shared" si="15"/>
        <v>9352.18</v>
      </c>
      <c r="O58" s="41">
        <f t="shared" si="16"/>
        <v>259.78277777777777</v>
      </c>
      <c r="P58" s="41">
        <f t="shared" si="17"/>
        <v>3117.3933333333334</v>
      </c>
      <c r="Q58" s="210">
        <f t="shared" si="18"/>
        <v>0</v>
      </c>
      <c r="R58" s="41"/>
      <c r="S58" s="210">
        <f t="shared" si="19"/>
        <v>9352.18</v>
      </c>
      <c r="T58" s="41">
        <f t="shared" si="20"/>
        <v>9352.18</v>
      </c>
      <c r="U58" s="210">
        <f t="shared" si="21"/>
        <v>0</v>
      </c>
      <c r="V58" s="307">
        <f>$V$51</f>
        <v>0.91</v>
      </c>
      <c r="W58" s="261">
        <f t="shared" si="22"/>
        <v>0</v>
      </c>
      <c r="X58" s="261">
        <f t="shared" si="23"/>
        <v>0</v>
      </c>
    </row>
    <row r="59" spans="1:24" ht="36">
      <c r="A59" s="289" t="s">
        <v>280</v>
      </c>
      <c r="B59" s="35" t="s">
        <v>98</v>
      </c>
      <c r="C59" s="7">
        <v>5026</v>
      </c>
      <c r="D59" s="36" t="s">
        <v>279</v>
      </c>
      <c r="E59" s="7">
        <v>2018</v>
      </c>
      <c r="F59" s="7">
        <v>5</v>
      </c>
      <c r="G59" s="37">
        <v>0</v>
      </c>
      <c r="H59" s="7"/>
      <c r="I59" s="35" t="s">
        <v>82</v>
      </c>
      <c r="J59" s="38">
        <v>10</v>
      </c>
      <c r="K59" s="39">
        <f t="shared" si="13"/>
        <v>2028</v>
      </c>
      <c r="L59" s="209">
        <f t="shared" si="14"/>
        <v>2028.4166666666667</v>
      </c>
      <c r="M59" s="40">
        <f>164086.09+66654.84</f>
        <v>230740.93</v>
      </c>
      <c r="N59" s="41">
        <f t="shared" si="15"/>
        <v>230740.93</v>
      </c>
      <c r="O59" s="41">
        <f t="shared" si="16"/>
        <v>1922.8410833333335</v>
      </c>
      <c r="P59" s="41">
        <f t="shared" si="17"/>
        <v>23074.093</v>
      </c>
      <c r="Q59" s="210">
        <f t="shared" si="18"/>
        <v>23074.093</v>
      </c>
      <c r="R59" s="41"/>
      <c r="S59" s="210">
        <f t="shared" si="19"/>
        <v>0</v>
      </c>
      <c r="T59" s="41">
        <f t="shared" si="20"/>
        <v>23074.093</v>
      </c>
      <c r="U59" s="210">
        <f t="shared" si="21"/>
        <v>207666.837</v>
      </c>
      <c r="V59" s="307">
        <f>'Truck Allocation'!$N$28</f>
        <v>0.91</v>
      </c>
      <c r="W59" s="261">
        <f t="shared" si="22"/>
        <v>20997.42463</v>
      </c>
      <c r="X59" s="261">
        <f t="shared" si="23"/>
        <v>188976.82167</v>
      </c>
    </row>
    <row r="60" spans="1:24" ht="24">
      <c r="A60" s="289" t="s">
        <v>281</v>
      </c>
      <c r="B60" s="35"/>
      <c r="C60" s="7">
        <v>5026</v>
      </c>
      <c r="D60" s="36" t="s">
        <v>282</v>
      </c>
      <c r="E60" s="7">
        <v>2018</v>
      </c>
      <c r="F60" s="7">
        <v>5</v>
      </c>
      <c r="G60" s="37">
        <v>0</v>
      </c>
      <c r="H60" s="7"/>
      <c r="I60" s="35" t="s">
        <v>82</v>
      </c>
      <c r="J60" s="38">
        <v>5</v>
      </c>
      <c r="K60" s="39">
        <f t="shared" si="13"/>
        <v>2023</v>
      </c>
      <c r="L60" s="209">
        <f t="shared" si="14"/>
        <v>2023.4166666666667</v>
      </c>
      <c r="M60" s="40">
        <v>1510.87</v>
      </c>
      <c r="N60" s="41">
        <f t="shared" si="15"/>
        <v>1510.87</v>
      </c>
      <c r="O60" s="41">
        <f t="shared" si="16"/>
        <v>25.181166666666666</v>
      </c>
      <c r="P60" s="41">
        <f t="shared" si="17"/>
        <v>302.174</v>
      </c>
      <c r="Q60" s="210">
        <f t="shared" si="18"/>
        <v>302.174</v>
      </c>
      <c r="R60" s="41"/>
      <c r="S60" s="210">
        <f t="shared" si="19"/>
        <v>0</v>
      </c>
      <c r="T60" s="41">
        <f t="shared" si="20"/>
        <v>302.174</v>
      </c>
      <c r="U60" s="210">
        <f t="shared" si="21"/>
        <v>1208.696</v>
      </c>
      <c r="V60" s="307">
        <f>V59</f>
        <v>0.91</v>
      </c>
      <c r="W60" s="261">
        <f t="shared" si="22"/>
        <v>274.97834</v>
      </c>
      <c r="X60" s="261">
        <f t="shared" si="23"/>
        <v>1099.91336</v>
      </c>
    </row>
    <row r="61" spans="1:24" ht="12">
      <c r="A61" s="289">
        <v>212191</v>
      </c>
      <c r="B61" s="35" t="s">
        <v>98</v>
      </c>
      <c r="C61" s="7">
        <v>5036</v>
      </c>
      <c r="D61" s="36" t="s">
        <v>327</v>
      </c>
      <c r="E61" s="7">
        <v>2019</v>
      </c>
      <c r="F61" s="7">
        <v>2</v>
      </c>
      <c r="G61" s="37">
        <v>0</v>
      </c>
      <c r="H61" s="7"/>
      <c r="I61" s="35" t="s">
        <v>82</v>
      </c>
      <c r="J61" s="38">
        <v>3</v>
      </c>
      <c r="K61" s="39">
        <f t="shared" si="13"/>
        <v>2022</v>
      </c>
      <c r="L61" s="209">
        <f t="shared" si="14"/>
        <v>2022.1666666666667</v>
      </c>
      <c r="M61" s="40">
        <v>12907.95</v>
      </c>
      <c r="N61" s="41">
        <f t="shared" si="15"/>
        <v>12907.95</v>
      </c>
      <c r="O61" s="41">
        <f t="shared" si="16"/>
        <v>358.55416666666673</v>
      </c>
      <c r="P61" s="41">
        <f t="shared" si="17"/>
        <v>4302.650000000001</v>
      </c>
      <c r="Q61" s="210">
        <f t="shared" si="18"/>
        <v>4302.650000000001</v>
      </c>
      <c r="R61" s="41"/>
      <c r="S61" s="210">
        <f t="shared" si="19"/>
        <v>0</v>
      </c>
      <c r="T61" s="41">
        <f t="shared" si="20"/>
        <v>4302.650000000001</v>
      </c>
      <c r="U61" s="210">
        <f t="shared" si="21"/>
        <v>8605.3</v>
      </c>
      <c r="V61" s="307">
        <f>V49</f>
        <v>0.91</v>
      </c>
      <c r="W61" s="261">
        <f t="shared" si="22"/>
        <v>3915.4115000000006</v>
      </c>
      <c r="X61" s="261">
        <f t="shared" si="23"/>
        <v>7830.822999999999</v>
      </c>
    </row>
    <row r="62" spans="1:24" s="60" customFormat="1" ht="12">
      <c r="A62" s="352"/>
      <c r="B62" s="61"/>
      <c r="D62" s="62"/>
      <c r="G62" s="63"/>
      <c r="I62" s="64"/>
      <c r="J62" s="65"/>
      <c r="K62" s="66"/>
      <c r="M62" s="67"/>
      <c r="N62" s="67"/>
      <c r="O62" s="67"/>
      <c r="P62" s="67"/>
      <c r="U62" s="67"/>
      <c r="X62" s="67"/>
    </row>
    <row r="63" spans="1:24" s="60" customFormat="1" ht="12">
      <c r="A63" s="352"/>
      <c r="B63" s="61"/>
      <c r="D63" s="62"/>
      <c r="G63" s="63"/>
      <c r="I63" s="64"/>
      <c r="J63" s="65"/>
      <c r="K63" s="66"/>
      <c r="M63" s="236">
        <f>SUM(M49:M62)</f>
        <v>548174.85</v>
      </c>
      <c r="N63" s="236">
        <f>SUM(N49:N62)</f>
        <v>548174.85</v>
      </c>
      <c r="O63" s="236">
        <f>SUM(O49:O62)</f>
        <v>7146.490416666666</v>
      </c>
      <c r="P63" s="236">
        <f>SUM(P49:P62)</f>
        <v>85757.885</v>
      </c>
      <c r="Q63" s="236">
        <f>SUM(Q49:Q62)</f>
        <v>46266.29233333334</v>
      </c>
      <c r="R63" s="236"/>
      <c r="S63" s="236">
        <f>SUM(S49:S62)</f>
        <v>247252.97399999996</v>
      </c>
      <c r="T63" s="236">
        <f>SUM(T49:T62)</f>
        <v>293519.26633333333</v>
      </c>
      <c r="U63" s="236">
        <f>SUM(U49:U62)</f>
        <v>254655.58366666664</v>
      </c>
      <c r="W63" s="236">
        <f>SUM(W49:W62)</f>
        <v>42102.32602333334</v>
      </c>
      <c r="X63" s="236">
        <f>SUM(X49:X62)</f>
        <v>231736.58113666667</v>
      </c>
    </row>
    <row r="64" spans="1:24" ht="12">
      <c r="A64" s="289"/>
      <c r="B64" s="35"/>
      <c r="C64" s="7"/>
      <c r="D64" s="7"/>
      <c r="E64" s="7"/>
      <c r="F64" s="7"/>
      <c r="G64" s="35"/>
      <c r="H64" s="7"/>
      <c r="I64" s="35"/>
      <c r="J64" s="35"/>
      <c r="K64" s="39"/>
      <c r="L64" s="7"/>
      <c r="M64" s="72"/>
      <c r="N64" s="7"/>
      <c r="O64" s="7"/>
      <c r="P64" s="7"/>
      <c r="Q64" s="7"/>
      <c r="R64" s="7"/>
      <c r="S64" s="7"/>
      <c r="T64" s="7"/>
      <c r="U64" s="7"/>
      <c r="W64" s="7"/>
      <c r="X64" s="7"/>
    </row>
    <row r="65" spans="1:24" ht="12">
      <c r="A65" s="289"/>
      <c r="B65" s="75"/>
      <c r="C65" s="7"/>
      <c r="D65" s="309" t="s">
        <v>363</v>
      </c>
      <c r="E65" s="7"/>
      <c r="F65" s="7"/>
      <c r="G65" s="35"/>
      <c r="H65" s="7"/>
      <c r="I65" s="35"/>
      <c r="J65" s="35"/>
      <c r="K65" s="39"/>
      <c r="L65" s="7"/>
      <c r="M65" s="72"/>
      <c r="N65" s="7"/>
      <c r="O65" s="7"/>
      <c r="P65" s="7"/>
      <c r="Q65" s="7"/>
      <c r="R65" s="7"/>
      <c r="S65" s="7"/>
      <c r="T65" s="7"/>
      <c r="U65" s="7"/>
      <c r="W65" s="7"/>
      <c r="X65" s="7"/>
    </row>
    <row r="66" spans="1:24" ht="12">
      <c r="A66" s="289">
        <v>109830</v>
      </c>
      <c r="B66" s="35"/>
      <c r="C66" s="7"/>
      <c r="D66" s="36" t="s">
        <v>214</v>
      </c>
      <c r="E66" s="7">
        <v>2013</v>
      </c>
      <c r="F66" s="7">
        <v>12</v>
      </c>
      <c r="G66" s="37">
        <v>0</v>
      </c>
      <c r="H66" s="7"/>
      <c r="I66" s="35" t="s">
        <v>82</v>
      </c>
      <c r="J66" s="38">
        <v>7</v>
      </c>
      <c r="K66" s="39">
        <f>E66+J66</f>
        <v>2020</v>
      </c>
      <c r="L66" s="209">
        <f>+K66+(F66/12)</f>
        <v>2021</v>
      </c>
      <c r="M66" s="40">
        <f>1101.59*4</f>
        <v>4406.36</v>
      </c>
      <c r="N66" s="41">
        <f>M66-M66*G66</f>
        <v>4406.36</v>
      </c>
      <c r="O66" s="41">
        <f>N66/J66/12</f>
        <v>52.456666666666656</v>
      </c>
      <c r="P66" s="41">
        <f>+O66*12</f>
        <v>629.4799999999999</v>
      </c>
      <c r="Q66" s="210">
        <f>+IF(L66&lt;=$N$5,0,IF(K66&gt;$N$4,P66,(O66*F66)))</f>
        <v>629.4799999999999</v>
      </c>
      <c r="R66" s="41"/>
      <c r="S66" s="210">
        <f>+IF(Q66=0,M66,IF($N$3-E66&lt;1,0,(($N$3-E66)*P66)))</f>
        <v>3147.3999999999996</v>
      </c>
      <c r="T66" s="41">
        <f>+IF(Q66=0,S66,S66+Q66)</f>
        <v>3776.8799999999997</v>
      </c>
      <c r="U66" s="210">
        <f>+M66-T66</f>
        <v>629.48</v>
      </c>
      <c r="V66" s="311">
        <v>0</v>
      </c>
      <c r="W66" s="261">
        <f>Q66*V66</f>
        <v>0</v>
      </c>
      <c r="X66" s="261">
        <f>U66*V66</f>
        <v>0</v>
      </c>
    </row>
    <row r="67" spans="1:24" ht="12">
      <c r="A67" s="289"/>
      <c r="B67" s="35"/>
      <c r="C67" s="267" t="s">
        <v>240</v>
      </c>
      <c r="D67" s="36" t="s">
        <v>229</v>
      </c>
      <c r="E67" s="36">
        <v>2016</v>
      </c>
      <c r="F67" s="36">
        <v>3</v>
      </c>
      <c r="G67" s="37">
        <v>0</v>
      </c>
      <c r="H67" s="7"/>
      <c r="I67" s="35" t="s">
        <v>82</v>
      </c>
      <c r="J67" s="38">
        <v>3</v>
      </c>
      <c r="K67" s="39">
        <f>E67+J67</f>
        <v>2019</v>
      </c>
      <c r="L67" s="209">
        <f>+K67+(F67/12)</f>
        <v>2019.25</v>
      </c>
      <c r="M67" s="40">
        <v>25087.2</v>
      </c>
      <c r="N67" s="41">
        <f>M67-M67*G67</f>
        <v>25087.2</v>
      </c>
      <c r="O67" s="41">
        <f>N67/J67/12</f>
        <v>696.8666666666667</v>
      </c>
      <c r="P67" s="41">
        <f>+O67*12</f>
        <v>8362.4</v>
      </c>
      <c r="Q67" s="210">
        <f>+IF(L67&lt;=$N$5,0,IF(K67&gt;$N$4,P67,(O67*F67)))</f>
        <v>0</v>
      </c>
      <c r="R67" s="41"/>
      <c r="S67" s="210">
        <f>+IF(Q67=0,M67,IF($N$3-E67&lt;1,0,(($N$3-E67)*P67)))</f>
        <v>25087.2</v>
      </c>
      <c r="T67" s="41">
        <f>+IF(Q67=0,S67,S67+Q67)</f>
        <v>25087.2</v>
      </c>
      <c r="U67" s="210">
        <f>+M67-T67</f>
        <v>0</v>
      </c>
      <c r="V67" s="311">
        <v>0</v>
      </c>
      <c r="W67" s="261">
        <f>Q67*V67</f>
        <v>0</v>
      </c>
      <c r="X67" s="261">
        <f>U67*V67</f>
        <v>0</v>
      </c>
    </row>
    <row r="68" spans="1:24" ht="36">
      <c r="A68" s="289" t="s">
        <v>273</v>
      </c>
      <c r="B68" s="35"/>
      <c r="C68" s="7"/>
      <c r="D68" s="7" t="s">
        <v>269</v>
      </c>
      <c r="E68" s="7">
        <v>2017</v>
      </c>
      <c r="F68" s="7">
        <v>10</v>
      </c>
      <c r="G68" s="37">
        <v>0</v>
      </c>
      <c r="H68" s="7"/>
      <c r="I68" s="35" t="s">
        <v>82</v>
      </c>
      <c r="J68" s="38">
        <v>6</v>
      </c>
      <c r="K68" s="39">
        <f>E68+J68</f>
        <v>2023</v>
      </c>
      <c r="L68" s="209">
        <f>+K68+(F68/12)</f>
        <v>2023.8333333333333</v>
      </c>
      <c r="M68" s="40">
        <f>95178+864.17</f>
        <v>96042.17</v>
      </c>
      <c r="N68" s="41">
        <f>M68-M68*G68</f>
        <v>96042.17</v>
      </c>
      <c r="O68" s="41">
        <f>N68/J68/12</f>
        <v>1333.9190277777777</v>
      </c>
      <c r="P68" s="41">
        <f>+O68*12</f>
        <v>16007.028333333332</v>
      </c>
      <c r="Q68" s="210">
        <f>+IF(L68&lt;=$N$5,0,IF(K68&gt;$N$4,P68,(O68*F68)))</f>
        <v>16007.028333333332</v>
      </c>
      <c r="R68" s="41"/>
      <c r="S68" s="210">
        <f>+IF(Q68=0,M68,IF($N$3-E68&lt;1,0,(($N$3-E68)*P68)))</f>
        <v>16007.028333333332</v>
      </c>
      <c r="T68" s="41">
        <f>+IF(Q68=0,S68,S68+Q68)</f>
        <v>32014.056666666664</v>
      </c>
      <c r="U68" s="210">
        <f>+M68-T68</f>
        <v>64028.113333333335</v>
      </c>
      <c r="V68" s="311">
        <v>0</v>
      </c>
      <c r="W68" s="261">
        <f>Q68*V68</f>
        <v>0</v>
      </c>
      <c r="X68" s="261">
        <f>U68*V68</f>
        <v>0</v>
      </c>
    </row>
    <row r="69" spans="1:24" ht="12">
      <c r="A69" s="352"/>
      <c r="B69" s="35"/>
      <c r="C69" s="7"/>
      <c r="D69" s="7"/>
      <c r="E69" s="7"/>
      <c r="F69" s="7"/>
      <c r="G69" s="37"/>
      <c r="H69" s="7"/>
      <c r="I69" s="35"/>
      <c r="J69" s="38"/>
      <c r="K69" s="39"/>
      <c r="L69" s="7"/>
      <c r="M69" s="40"/>
      <c r="N69" s="41"/>
      <c r="O69" s="41"/>
      <c r="P69" s="41"/>
      <c r="Q69" s="41"/>
      <c r="R69" s="41"/>
      <c r="S69" s="41"/>
      <c r="T69" s="41"/>
      <c r="U69" s="41"/>
      <c r="W69" s="41"/>
      <c r="X69" s="41"/>
    </row>
    <row r="70" spans="1:24" s="60" customFormat="1" ht="12">
      <c r="A70" s="352"/>
      <c r="B70" s="61"/>
      <c r="D70" s="60" t="s">
        <v>12</v>
      </c>
      <c r="G70" s="61"/>
      <c r="I70" s="95"/>
      <c r="J70" s="95"/>
      <c r="K70" s="66"/>
      <c r="M70" s="238">
        <f>SUM(M66:M69)</f>
        <v>125535.73</v>
      </c>
      <c r="N70" s="238">
        <f aca="true" t="shared" si="24" ref="N70:U70">SUM(N66:N69)</f>
        <v>125535.73</v>
      </c>
      <c r="O70" s="238">
        <f t="shared" si="24"/>
        <v>2083.242361111111</v>
      </c>
      <c r="P70" s="238">
        <f t="shared" si="24"/>
        <v>24998.908333333333</v>
      </c>
      <c r="Q70" s="238">
        <f t="shared" si="24"/>
        <v>16636.50833333333</v>
      </c>
      <c r="R70" s="238">
        <f t="shared" si="24"/>
        <v>0</v>
      </c>
      <c r="S70" s="238">
        <f t="shared" si="24"/>
        <v>44241.62833333333</v>
      </c>
      <c r="T70" s="238">
        <f t="shared" si="24"/>
        <v>60878.136666666665</v>
      </c>
      <c r="U70" s="238">
        <f t="shared" si="24"/>
        <v>64657.59333333334</v>
      </c>
      <c r="W70" s="238">
        <f>SUM(W66:W69)</f>
        <v>0</v>
      </c>
      <c r="X70" s="238">
        <f>SUM(X66:X69)</f>
        <v>0</v>
      </c>
    </row>
    <row r="71" spans="1:24" ht="12">
      <c r="A71" s="289"/>
      <c r="B71" s="35"/>
      <c r="C71" s="7"/>
      <c r="D71" s="7"/>
      <c r="E71" s="7"/>
      <c r="F71" s="7"/>
      <c r="G71" s="35"/>
      <c r="H71" s="7"/>
      <c r="I71" s="85"/>
      <c r="J71" s="85"/>
      <c r="K71" s="39"/>
      <c r="L71" s="7"/>
      <c r="M71" s="7"/>
      <c r="N71" s="7"/>
      <c r="O71" s="7"/>
      <c r="P71" s="7"/>
      <c r="Q71" s="7"/>
      <c r="R71" s="7"/>
      <c r="S71" s="7"/>
      <c r="T71" s="7"/>
      <c r="U71" s="7"/>
      <c r="W71" s="7"/>
      <c r="X71" s="7"/>
    </row>
    <row r="72" spans="1:24" ht="12">
      <c r="A72" s="289"/>
      <c r="B72" s="35"/>
      <c r="C72" s="7"/>
      <c r="D72" s="7"/>
      <c r="E72" s="7"/>
      <c r="F72" s="7"/>
      <c r="G72" s="35"/>
      <c r="H72" s="7"/>
      <c r="I72" s="85"/>
      <c r="J72" s="85"/>
      <c r="K72" s="39"/>
      <c r="L72" s="7"/>
      <c r="M72" s="7"/>
      <c r="N72" s="7"/>
      <c r="O72" s="7"/>
      <c r="P72" s="7"/>
      <c r="Q72" s="7"/>
      <c r="R72" s="7"/>
      <c r="S72" s="7"/>
      <c r="T72" s="7"/>
      <c r="U72" s="7"/>
      <c r="W72" s="7"/>
      <c r="X72" s="7"/>
    </row>
    <row r="73" spans="1:24" s="60" customFormat="1" ht="12.75" thickBot="1">
      <c r="A73" s="352"/>
      <c r="B73" s="61"/>
      <c r="D73" s="62"/>
      <c r="G73" s="63"/>
      <c r="I73" s="64"/>
      <c r="J73" s="65"/>
      <c r="K73" s="66"/>
      <c r="M73" s="237">
        <f>M37+M63+M46+M70</f>
        <v>3446301.02</v>
      </c>
      <c r="N73" s="237">
        <f aca="true" t="shared" si="25" ref="N73:U73">N37+N63+N46+N70</f>
        <v>3446301.02</v>
      </c>
      <c r="O73" s="237">
        <f t="shared" si="25"/>
        <v>40428.81468402116</v>
      </c>
      <c r="P73" s="237">
        <f t="shared" si="25"/>
        <v>485145.77620825387</v>
      </c>
      <c r="Q73" s="237">
        <f t="shared" si="25"/>
        <v>313143.65754444443</v>
      </c>
      <c r="R73" s="237">
        <f t="shared" si="25"/>
        <v>0</v>
      </c>
      <c r="S73" s="237">
        <f t="shared" si="25"/>
        <v>1438742.6445888889</v>
      </c>
      <c r="T73" s="237">
        <f t="shared" si="25"/>
        <v>1726189.9921333333</v>
      </c>
      <c r="U73" s="237">
        <f t="shared" si="25"/>
        <v>1720111.0278666667</v>
      </c>
      <c r="W73" s="237">
        <f>W37+W63+W46+W70</f>
        <v>246279.99452495069</v>
      </c>
      <c r="X73" s="237">
        <f>X37+X63+X46+X70</f>
        <v>1378169.3402350186</v>
      </c>
    </row>
    <row r="74" spans="1:24" ht="12.75" thickTop="1">
      <c r="A74" s="289"/>
      <c r="B74" s="35"/>
      <c r="C74" s="7"/>
      <c r="D74" s="7"/>
      <c r="E74" s="7"/>
      <c r="F74" s="7"/>
      <c r="G74" s="35"/>
      <c r="H74" s="7"/>
      <c r="I74" s="7"/>
      <c r="J74" s="7"/>
      <c r="K74" s="43"/>
      <c r="L74" s="7"/>
      <c r="M74" s="7"/>
      <c r="N74" s="7"/>
      <c r="O74" s="7"/>
      <c r="P74" s="7"/>
      <c r="Q74" s="7"/>
      <c r="R74" s="7"/>
      <c r="S74" s="7"/>
      <c r="T74" s="7"/>
      <c r="U74" s="7"/>
      <c r="W74" s="7"/>
      <c r="X74" s="7"/>
    </row>
    <row r="75" spans="1:24" ht="12">
      <c r="A75" s="289"/>
      <c r="B75" s="35"/>
      <c r="C75" s="7"/>
      <c r="D75" s="7"/>
      <c r="E75" s="7"/>
      <c r="F75" s="7"/>
      <c r="G75" s="35"/>
      <c r="H75" s="7"/>
      <c r="I75" s="85"/>
      <c r="J75" s="85"/>
      <c r="K75" s="39"/>
      <c r="L75" s="7"/>
      <c r="M75" s="7"/>
      <c r="N75" s="7"/>
      <c r="O75" s="7"/>
      <c r="P75" s="7"/>
      <c r="Q75" s="7"/>
      <c r="R75" s="7"/>
      <c r="S75" s="7"/>
      <c r="T75" s="7"/>
      <c r="U75" s="7"/>
      <c r="W75" s="7"/>
      <c r="X75" s="7"/>
    </row>
    <row r="76" spans="1:24" ht="12">
      <c r="A76" s="353"/>
      <c r="B76" s="98"/>
      <c r="C76" s="9"/>
      <c r="D76" s="9"/>
      <c r="E76" s="9"/>
      <c r="F76" s="9"/>
      <c r="G76" s="98"/>
      <c r="H76" s="9"/>
      <c r="I76" s="99"/>
      <c r="J76" s="99"/>
      <c r="K76" s="377"/>
      <c r="L76" s="9"/>
      <c r="M76" s="9"/>
      <c r="N76" s="9"/>
      <c r="O76" s="9"/>
      <c r="P76" s="9"/>
      <c r="Q76" s="9"/>
      <c r="R76" s="9"/>
      <c r="S76" s="9"/>
      <c r="T76" s="9"/>
      <c r="U76" s="9"/>
      <c r="W76" s="9"/>
      <c r="X76" s="9"/>
    </row>
    <row r="77" spans="1:24" ht="12">
      <c r="A77" s="289"/>
      <c r="B77" s="35"/>
      <c r="C77" s="7"/>
      <c r="D77" s="7"/>
      <c r="E77" s="7"/>
      <c r="F77" s="7"/>
      <c r="G77" s="35"/>
      <c r="H77" s="7"/>
      <c r="I77" s="85"/>
      <c r="J77" s="85"/>
      <c r="K77" s="39"/>
      <c r="L77" s="7"/>
      <c r="M77" s="7"/>
      <c r="N77" s="7"/>
      <c r="O77" s="7"/>
      <c r="P77" s="7"/>
      <c r="Q77" s="7"/>
      <c r="R77" s="7"/>
      <c r="S77" s="7"/>
      <c r="T77" s="7"/>
      <c r="U77" s="7"/>
      <c r="W77" s="7"/>
      <c r="X77" s="7"/>
    </row>
    <row r="78" spans="1:24" ht="12">
      <c r="A78" s="289"/>
      <c r="B78" s="35"/>
      <c r="C78" s="7"/>
      <c r="D78" s="7"/>
      <c r="E78" s="7"/>
      <c r="F78" s="7"/>
      <c r="G78" s="35"/>
      <c r="H78" s="7"/>
      <c r="I78" s="35"/>
      <c r="J78" s="35"/>
      <c r="K78" s="39"/>
      <c r="L78" s="7"/>
      <c r="M78" s="7"/>
      <c r="N78" s="7"/>
      <c r="O78" s="7"/>
      <c r="P78" s="7"/>
      <c r="Q78" s="7"/>
      <c r="R78" s="7"/>
      <c r="S78" s="7"/>
      <c r="T78" s="7"/>
      <c r="U78" s="7"/>
      <c r="W78" s="7"/>
      <c r="X78" s="7"/>
    </row>
    <row r="79" spans="1:24" ht="12" hidden="1" outlineLevel="1">
      <c r="A79" s="289"/>
      <c r="B79" s="35"/>
      <c r="C79" s="7"/>
      <c r="D79" s="101" t="s">
        <v>217</v>
      </c>
      <c r="E79" s="7"/>
      <c r="F79" s="7"/>
      <c r="G79" s="35"/>
      <c r="H79" s="7"/>
      <c r="I79" s="35"/>
      <c r="J79" s="35"/>
      <c r="K79" s="39"/>
      <c r="L79" s="7"/>
      <c r="M79" s="7"/>
      <c r="N79" s="7"/>
      <c r="O79" s="7"/>
      <c r="P79" s="7"/>
      <c r="Q79" s="7"/>
      <c r="R79" s="7"/>
      <c r="S79" s="7"/>
      <c r="T79" s="7"/>
      <c r="U79" s="7"/>
      <c r="W79" s="7"/>
      <c r="X79" s="7"/>
    </row>
    <row r="80" spans="1:24" ht="12" hidden="1" outlineLevel="1">
      <c r="A80" s="289"/>
      <c r="B80" s="94" t="s">
        <v>84</v>
      </c>
      <c r="C80" s="44">
        <v>5004</v>
      </c>
      <c r="D80" s="44" t="s">
        <v>87</v>
      </c>
      <c r="E80" s="36">
        <v>1999</v>
      </c>
      <c r="F80" s="36">
        <v>11</v>
      </c>
      <c r="G80" s="37">
        <v>0</v>
      </c>
      <c r="H80" s="7"/>
      <c r="I80" s="35" t="s">
        <v>82</v>
      </c>
      <c r="J80" s="38">
        <v>7</v>
      </c>
      <c r="K80" s="39">
        <f aca="true" t="shared" si="26" ref="K80:K93">E80+J80</f>
        <v>2006</v>
      </c>
      <c r="L80" s="209">
        <f aca="true" t="shared" si="27" ref="L80:L93">+K80+(F80/12)</f>
        <v>2006.9166666666667</v>
      </c>
      <c r="M80" s="40">
        <f>+'2144 Trks Orig'!P82</f>
        <v>53934.4</v>
      </c>
      <c r="N80" s="41">
        <f aca="true" t="shared" si="28" ref="N80:N93">M80-M80*G80</f>
        <v>53934.4</v>
      </c>
      <c r="O80" s="41">
        <f aca="true" t="shared" si="29" ref="O80:O93">N80/J80/12</f>
        <v>642.0761904761905</v>
      </c>
      <c r="P80" s="41">
        <f aca="true" t="shared" si="30" ref="P80:P93">+O80*12</f>
        <v>7704.914285714286</v>
      </c>
      <c r="Q80" s="210">
        <f aca="true" t="shared" si="31" ref="Q80:Q93">+IF(L80&lt;=$N$5,0,IF(K80&gt;$N$4,P80,(O80*F80)))</f>
        <v>0</v>
      </c>
      <c r="R80" s="41"/>
      <c r="S80" s="210">
        <f aca="true" t="shared" si="32" ref="S80:S93">+IF(Q80=0,M80,IF($N$3-E80&lt;1,0,(($N$3-E80)*P80)))</f>
        <v>53934.4</v>
      </c>
      <c r="T80" s="41">
        <f aca="true" t="shared" si="33" ref="T80:T93">+IF(Q80=0,S80,S80+Q80)</f>
        <v>53934.4</v>
      </c>
      <c r="U80" s="210">
        <f aca="true" t="shared" si="34" ref="U80:U93">+M80-T80</f>
        <v>0</v>
      </c>
      <c r="W80" s="210">
        <f aca="true" t="shared" si="35" ref="W80:W93">+IF(R80&lt;=$N$5,0,IF(Q80&gt;$N$4,V80,(U80*L80)))</f>
        <v>0</v>
      </c>
      <c r="X80" s="210">
        <f aca="true" t="shared" si="36" ref="X80:X93">+P80-W80</f>
        <v>7704.914285714286</v>
      </c>
    </row>
    <row r="81" spans="1:24" ht="12" hidden="1" outlineLevel="1">
      <c r="A81" s="351"/>
      <c r="B81" s="214"/>
      <c r="C81" s="213">
        <v>5004</v>
      </c>
      <c r="D81" s="215" t="s">
        <v>314</v>
      </c>
      <c r="E81" s="213">
        <v>2018</v>
      </c>
      <c r="F81" s="213">
        <v>1</v>
      </c>
      <c r="G81" s="216">
        <v>0</v>
      </c>
      <c r="H81" s="213"/>
      <c r="I81" s="214" t="s">
        <v>82</v>
      </c>
      <c r="J81" s="217">
        <f>+IF(K80-$N$3&gt;=3,K80-$N$3,3)</f>
        <v>3</v>
      </c>
      <c r="K81" s="211">
        <f t="shared" si="26"/>
        <v>2021</v>
      </c>
      <c r="L81" s="212">
        <f t="shared" si="27"/>
        <v>2021.0833333333333</v>
      </c>
      <c r="M81" s="219">
        <f>+'2144 Trks Orig'!N82-'2144 Trks'!M80</f>
        <v>13483.599999999999</v>
      </c>
      <c r="N81" s="220">
        <f t="shared" si="28"/>
        <v>13483.599999999999</v>
      </c>
      <c r="O81" s="220">
        <f t="shared" si="29"/>
        <v>374.5444444444444</v>
      </c>
      <c r="P81" s="220">
        <f t="shared" si="30"/>
        <v>4494.533333333333</v>
      </c>
      <c r="Q81" s="221">
        <f t="shared" si="31"/>
        <v>4494.533333333333</v>
      </c>
      <c r="R81" s="220"/>
      <c r="S81" s="221">
        <f t="shared" si="32"/>
        <v>0</v>
      </c>
      <c r="T81" s="220">
        <f t="shared" si="33"/>
        <v>4494.533333333333</v>
      </c>
      <c r="U81" s="221">
        <f t="shared" si="34"/>
        <v>8989.066666666666</v>
      </c>
      <c r="V81" s="7" t="s">
        <v>319</v>
      </c>
      <c r="W81" s="221">
        <f t="shared" si="35"/>
        <v>0</v>
      </c>
      <c r="X81" s="221">
        <f t="shared" si="36"/>
        <v>4494.533333333333</v>
      </c>
    </row>
    <row r="82" spans="1:24" ht="12" hidden="1" outlineLevel="1">
      <c r="A82" s="289"/>
      <c r="B82" s="94" t="s">
        <v>84</v>
      </c>
      <c r="C82" s="7">
        <v>5004</v>
      </c>
      <c r="D82" s="36" t="s">
        <v>86</v>
      </c>
      <c r="E82" s="36">
        <v>1999</v>
      </c>
      <c r="F82" s="36">
        <v>5</v>
      </c>
      <c r="G82" s="37">
        <v>0</v>
      </c>
      <c r="H82" s="7"/>
      <c r="I82" s="35" t="s">
        <v>82</v>
      </c>
      <c r="J82" s="38">
        <v>7</v>
      </c>
      <c r="K82" s="39">
        <f t="shared" si="26"/>
        <v>2006</v>
      </c>
      <c r="L82" s="209">
        <f t="shared" si="27"/>
        <v>2006.4166666666667</v>
      </c>
      <c r="M82" s="40">
        <f>+'2144 Trks Orig'!P83</f>
        <v>24574.4</v>
      </c>
      <c r="N82" s="41">
        <f t="shared" si="28"/>
        <v>24574.4</v>
      </c>
      <c r="O82" s="41">
        <f t="shared" si="29"/>
        <v>292.552380952381</v>
      </c>
      <c r="P82" s="41">
        <f t="shared" si="30"/>
        <v>3510.628571428572</v>
      </c>
      <c r="Q82" s="210">
        <f t="shared" si="31"/>
        <v>0</v>
      </c>
      <c r="R82" s="41"/>
      <c r="S82" s="210">
        <f t="shared" si="32"/>
        <v>24574.4</v>
      </c>
      <c r="T82" s="41">
        <f t="shared" si="33"/>
        <v>24574.4</v>
      </c>
      <c r="U82" s="210">
        <f t="shared" si="34"/>
        <v>0</v>
      </c>
      <c r="W82" s="210">
        <f t="shared" si="35"/>
        <v>0</v>
      </c>
      <c r="X82" s="210">
        <f t="shared" si="36"/>
        <v>3510.628571428572</v>
      </c>
    </row>
    <row r="83" spans="1:24" ht="12" hidden="1" outlineLevel="1">
      <c r="A83" s="351"/>
      <c r="B83" s="214"/>
      <c r="C83" s="213">
        <v>5004</v>
      </c>
      <c r="D83" s="215" t="s">
        <v>314</v>
      </c>
      <c r="E83" s="213">
        <v>2018</v>
      </c>
      <c r="F83" s="213">
        <v>1</v>
      </c>
      <c r="G83" s="216">
        <v>0</v>
      </c>
      <c r="H83" s="213"/>
      <c r="I83" s="214" t="s">
        <v>82</v>
      </c>
      <c r="J83" s="217">
        <f>+IF(K82-$N$3&gt;=3,K82-$N$3,3)</f>
        <v>3</v>
      </c>
      <c r="K83" s="211">
        <f>E83+J83</f>
        <v>2021</v>
      </c>
      <c r="L83" s="212">
        <f>+K83+(F83/12)</f>
        <v>2021.0833333333333</v>
      </c>
      <c r="M83" s="219">
        <f>+'2144 Trks Orig'!N83-'2144 Trks'!M82</f>
        <v>6143.5999999999985</v>
      </c>
      <c r="N83" s="220">
        <f t="shared" si="28"/>
        <v>6143.5999999999985</v>
      </c>
      <c r="O83" s="220">
        <f t="shared" si="29"/>
        <v>170.6555555555555</v>
      </c>
      <c r="P83" s="220">
        <f t="shared" si="30"/>
        <v>2047.866666666666</v>
      </c>
      <c r="Q83" s="221">
        <f>+IF(L83&lt;=$N$5,0,IF(K83&gt;$N$4,P83,(O83*F83)))</f>
        <v>2047.866666666666</v>
      </c>
      <c r="R83" s="220"/>
      <c r="S83" s="221">
        <f>+IF(Q83=0,M83,IF($N$3-E83&lt;1,0,(($N$3-E83)*P83)))</f>
        <v>0</v>
      </c>
      <c r="T83" s="220">
        <f>+IF(Q83=0,S83,S83+Q83)</f>
        <v>2047.866666666666</v>
      </c>
      <c r="U83" s="221">
        <f>+M83-T83</f>
        <v>4095.7333333333327</v>
      </c>
      <c r="V83" s="7" t="s">
        <v>319</v>
      </c>
      <c r="W83" s="221">
        <f>+IF(R83&lt;=$N$5,0,IF(Q83&gt;$N$4,V83,(U83*L83)))</f>
        <v>0</v>
      </c>
      <c r="X83" s="221">
        <f>+P83-W83</f>
        <v>2047.866666666666</v>
      </c>
    </row>
    <row r="84" spans="1:24" ht="12" hidden="1" outlineLevel="1">
      <c r="A84" s="289"/>
      <c r="B84" s="94"/>
      <c r="C84" s="44">
        <v>5018</v>
      </c>
      <c r="D84" s="36" t="s">
        <v>81</v>
      </c>
      <c r="E84" s="36">
        <v>1994</v>
      </c>
      <c r="F84" s="36">
        <v>4</v>
      </c>
      <c r="G84" s="37">
        <v>0</v>
      </c>
      <c r="H84" s="7"/>
      <c r="I84" s="35" t="s">
        <v>82</v>
      </c>
      <c r="J84" s="38">
        <v>7</v>
      </c>
      <c r="K84" s="39">
        <f t="shared" si="26"/>
        <v>2001</v>
      </c>
      <c r="L84" s="209">
        <f t="shared" si="27"/>
        <v>2001.3333333333333</v>
      </c>
      <c r="M84" s="45">
        <f>+'2144 Trks Orig'!P84</f>
        <v>55044</v>
      </c>
      <c r="N84" s="41">
        <f t="shared" si="28"/>
        <v>55044</v>
      </c>
      <c r="O84" s="41">
        <f t="shared" si="29"/>
        <v>655.2857142857143</v>
      </c>
      <c r="P84" s="41">
        <f t="shared" si="30"/>
        <v>7863.4285714285725</v>
      </c>
      <c r="Q84" s="210">
        <f t="shared" si="31"/>
        <v>0</v>
      </c>
      <c r="R84" s="41"/>
      <c r="S84" s="210">
        <f t="shared" si="32"/>
        <v>55044</v>
      </c>
      <c r="T84" s="41">
        <f t="shared" si="33"/>
        <v>55044</v>
      </c>
      <c r="U84" s="210">
        <f t="shared" si="34"/>
        <v>0</v>
      </c>
      <c r="W84" s="210">
        <f t="shared" si="35"/>
        <v>0</v>
      </c>
      <c r="X84" s="210">
        <f t="shared" si="36"/>
        <v>7863.4285714285725</v>
      </c>
    </row>
    <row r="85" spans="1:24" ht="12" hidden="1" outlineLevel="1">
      <c r="A85" s="351"/>
      <c r="B85" s="214"/>
      <c r="C85" s="213">
        <v>5018</v>
      </c>
      <c r="D85" s="215" t="s">
        <v>315</v>
      </c>
      <c r="E85" s="213">
        <v>2018</v>
      </c>
      <c r="F85" s="213">
        <v>1</v>
      </c>
      <c r="G85" s="216">
        <v>0</v>
      </c>
      <c r="H85" s="213"/>
      <c r="I85" s="214" t="s">
        <v>82</v>
      </c>
      <c r="J85" s="217">
        <f>+IF(K84-$N$3&gt;=3,K84-$N$3,3)</f>
        <v>3</v>
      </c>
      <c r="K85" s="211">
        <f t="shared" si="26"/>
        <v>2021</v>
      </c>
      <c r="L85" s="212">
        <f t="shared" si="27"/>
        <v>2021.0833333333333</v>
      </c>
      <c r="M85" s="219">
        <f>+'2144 Trks Orig'!N84-'2144 Trks'!M84</f>
        <v>13761</v>
      </c>
      <c r="N85" s="220">
        <f t="shared" si="28"/>
        <v>13761</v>
      </c>
      <c r="O85" s="220">
        <f t="shared" si="29"/>
        <v>382.25</v>
      </c>
      <c r="P85" s="220">
        <f t="shared" si="30"/>
        <v>4587</v>
      </c>
      <c r="Q85" s="221">
        <f t="shared" si="31"/>
        <v>4587</v>
      </c>
      <c r="R85" s="220"/>
      <c r="S85" s="221">
        <f t="shared" si="32"/>
        <v>0</v>
      </c>
      <c r="T85" s="220">
        <f t="shared" si="33"/>
        <v>4587</v>
      </c>
      <c r="U85" s="221">
        <f t="shared" si="34"/>
        <v>9174</v>
      </c>
      <c r="V85" s="7" t="s">
        <v>319</v>
      </c>
      <c r="W85" s="221">
        <f t="shared" si="35"/>
        <v>0</v>
      </c>
      <c r="X85" s="221">
        <f t="shared" si="36"/>
        <v>4587</v>
      </c>
    </row>
    <row r="86" spans="1:24" ht="12" hidden="1" outlineLevel="1">
      <c r="A86" s="289"/>
      <c r="B86" s="103" t="s">
        <v>98</v>
      </c>
      <c r="C86" s="44">
        <v>5021</v>
      </c>
      <c r="D86" s="44" t="s">
        <v>99</v>
      </c>
      <c r="E86" s="44">
        <v>1995</v>
      </c>
      <c r="F86" s="44">
        <v>4</v>
      </c>
      <c r="G86" s="104">
        <v>0</v>
      </c>
      <c r="H86" s="7"/>
      <c r="I86" s="35" t="s">
        <v>82</v>
      </c>
      <c r="J86" s="94">
        <v>5</v>
      </c>
      <c r="K86" s="39">
        <f t="shared" si="26"/>
        <v>2000</v>
      </c>
      <c r="L86" s="209">
        <f t="shared" si="27"/>
        <v>2000.3333333333333</v>
      </c>
      <c r="M86" s="45">
        <f>+'2144 Trks Orig'!P85</f>
        <v>21693.93</v>
      </c>
      <c r="N86" s="41">
        <f t="shared" si="28"/>
        <v>21693.93</v>
      </c>
      <c r="O86" s="41">
        <f t="shared" si="29"/>
        <v>361.5655</v>
      </c>
      <c r="P86" s="41">
        <f t="shared" si="30"/>
        <v>4338.786</v>
      </c>
      <c r="Q86" s="210">
        <f t="shared" si="31"/>
        <v>0</v>
      </c>
      <c r="R86" s="41"/>
      <c r="S86" s="210">
        <f t="shared" si="32"/>
        <v>21693.93</v>
      </c>
      <c r="T86" s="41">
        <f t="shared" si="33"/>
        <v>21693.93</v>
      </c>
      <c r="U86" s="210">
        <f t="shared" si="34"/>
        <v>0</v>
      </c>
      <c r="W86" s="210">
        <f t="shared" si="35"/>
        <v>0</v>
      </c>
      <c r="X86" s="210">
        <f t="shared" si="36"/>
        <v>4338.786</v>
      </c>
    </row>
    <row r="87" spans="1:24" ht="12" hidden="1" outlineLevel="1">
      <c r="A87" s="351"/>
      <c r="B87" s="214"/>
      <c r="C87" s="213">
        <v>5021</v>
      </c>
      <c r="D87" s="215" t="s">
        <v>316</v>
      </c>
      <c r="E87" s="213">
        <v>2018</v>
      </c>
      <c r="F87" s="213">
        <v>1</v>
      </c>
      <c r="G87" s="216">
        <v>0</v>
      </c>
      <c r="H87" s="213"/>
      <c r="I87" s="214" t="s">
        <v>82</v>
      </c>
      <c r="J87" s="217">
        <f>+IF(K86-$N$3&gt;=3,K86-$N$3,3)</f>
        <v>3</v>
      </c>
      <c r="K87" s="211">
        <f>E87+J87</f>
        <v>2021</v>
      </c>
      <c r="L87" s="212">
        <f>+K87+(F87/12)</f>
        <v>2021.0833333333333</v>
      </c>
      <c r="M87" s="219">
        <f>+'2144 Trks Orig'!N85-'2144 Trks'!M86</f>
        <v>10685.07</v>
      </c>
      <c r="N87" s="220">
        <f t="shared" si="28"/>
        <v>10685.07</v>
      </c>
      <c r="O87" s="220">
        <f t="shared" si="29"/>
        <v>296.8075</v>
      </c>
      <c r="P87" s="220">
        <f t="shared" si="30"/>
        <v>3561.69</v>
      </c>
      <c r="Q87" s="221">
        <f>+IF(L87&lt;=$N$5,0,IF(K87&gt;$N$4,P87,(O87*F87)))</f>
        <v>3561.69</v>
      </c>
      <c r="R87" s="220"/>
      <c r="S87" s="221">
        <f>+IF(Q87=0,M87,IF($N$3-E87&lt;1,0,(($N$3-E87)*P87)))</f>
        <v>0</v>
      </c>
      <c r="T87" s="220">
        <f>+IF(Q87=0,S87,S87+Q87)</f>
        <v>3561.69</v>
      </c>
      <c r="U87" s="221">
        <f>+M87-T87</f>
        <v>7123.379999999999</v>
      </c>
      <c r="V87" s="7" t="s">
        <v>98</v>
      </c>
      <c r="W87" s="221">
        <f>+IF(R87&lt;=$N$5,0,IF(Q87&gt;$N$4,V87,(U87*L87)))</f>
        <v>0</v>
      </c>
      <c r="X87" s="221">
        <f>+P87-W87</f>
        <v>3561.69</v>
      </c>
    </row>
    <row r="88" spans="1:24" ht="12" hidden="1" outlineLevel="1">
      <c r="A88" s="289"/>
      <c r="B88" s="94"/>
      <c r="C88" s="44">
        <v>5020</v>
      </c>
      <c r="D88" s="36" t="s">
        <v>83</v>
      </c>
      <c r="E88" s="36">
        <v>1997</v>
      </c>
      <c r="F88" s="36">
        <v>4</v>
      </c>
      <c r="G88" s="37">
        <v>0</v>
      </c>
      <c r="H88" s="7"/>
      <c r="I88" s="35" t="s">
        <v>82</v>
      </c>
      <c r="J88" s="38">
        <v>5</v>
      </c>
      <c r="K88" s="39">
        <f t="shared" si="26"/>
        <v>2002</v>
      </c>
      <c r="L88" s="209">
        <f t="shared" si="27"/>
        <v>2002.3333333333333</v>
      </c>
      <c r="M88" s="40">
        <f>+'2144 Trks Orig'!P86</f>
        <v>7735.15</v>
      </c>
      <c r="N88" s="41">
        <f t="shared" si="28"/>
        <v>7735.15</v>
      </c>
      <c r="O88" s="41">
        <f t="shared" si="29"/>
        <v>128.91916666666665</v>
      </c>
      <c r="P88" s="41">
        <f t="shared" si="30"/>
        <v>1547.0299999999997</v>
      </c>
      <c r="Q88" s="210">
        <f t="shared" si="31"/>
        <v>0</v>
      </c>
      <c r="R88" s="41"/>
      <c r="S88" s="210">
        <f t="shared" si="32"/>
        <v>7735.15</v>
      </c>
      <c r="T88" s="41">
        <f t="shared" si="33"/>
        <v>7735.15</v>
      </c>
      <c r="U88" s="210">
        <f t="shared" si="34"/>
        <v>0</v>
      </c>
      <c r="W88" s="210">
        <f t="shared" si="35"/>
        <v>0</v>
      </c>
      <c r="X88" s="210">
        <f t="shared" si="36"/>
        <v>1547.0299999999997</v>
      </c>
    </row>
    <row r="89" spans="1:24" ht="12" hidden="1" outlineLevel="1">
      <c r="A89" s="351"/>
      <c r="B89" s="214"/>
      <c r="C89" s="213">
        <v>5020</v>
      </c>
      <c r="D89" s="215" t="s">
        <v>317</v>
      </c>
      <c r="E89" s="213">
        <v>2018</v>
      </c>
      <c r="F89" s="213">
        <v>1</v>
      </c>
      <c r="G89" s="216">
        <v>0</v>
      </c>
      <c r="H89" s="213"/>
      <c r="I89" s="214" t="s">
        <v>82</v>
      </c>
      <c r="J89" s="217">
        <f>+IF(K88-$N$3&gt;=3,K88-$N$3,3)</f>
        <v>3</v>
      </c>
      <c r="K89" s="211">
        <f t="shared" si="26"/>
        <v>2021</v>
      </c>
      <c r="L89" s="212">
        <f t="shared" si="27"/>
        <v>2021.0833333333333</v>
      </c>
      <c r="M89" s="219">
        <f>+'2144 Trks Orig'!N86-'2144 Trks'!M88</f>
        <v>3809.8500000000004</v>
      </c>
      <c r="N89" s="220">
        <f t="shared" si="28"/>
        <v>3809.8500000000004</v>
      </c>
      <c r="O89" s="220">
        <f t="shared" si="29"/>
        <v>105.82916666666667</v>
      </c>
      <c r="P89" s="220">
        <f t="shared" si="30"/>
        <v>1269.95</v>
      </c>
      <c r="Q89" s="221">
        <f t="shared" si="31"/>
        <v>1269.95</v>
      </c>
      <c r="R89" s="220"/>
      <c r="S89" s="221">
        <f t="shared" si="32"/>
        <v>0</v>
      </c>
      <c r="T89" s="220">
        <f t="shared" si="33"/>
        <v>1269.95</v>
      </c>
      <c r="U89" s="221">
        <f t="shared" si="34"/>
        <v>2539.9000000000005</v>
      </c>
      <c r="V89" s="7" t="s">
        <v>319</v>
      </c>
      <c r="W89" s="221">
        <f t="shared" si="35"/>
        <v>0</v>
      </c>
      <c r="X89" s="221">
        <f t="shared" si="36"/>
        <v>1269.95</v>
      </c>
    </row>
    <row r="90" spans="1:24" ht="12" hidden="1" outlineLevel="1">
      <c r="A90" s="289"/>
      <c r="B90" s="103" t="s">
        <v>98</v>
      </c>
      <c r="C90" s="44">
        <v>5021</v>
      </c>
      <c r="D90" s="105" t="s">
        <v>100</v>
      </c>
      <c r="E90" s="44">
        <v>1996</v>
      </c>
      <c r="F90" s="44">
        <v>7</v>
      </c>
      <c r="G90" s="104">
        <v>0</v>
      </c>
      <c r="H90" s="7"/>
      <c r="I90" s="35" t="s">
        <v>82</v>
      </c>
      <c r="J90" s="94">
        <v>7</v>
      </c>
      <c r="K90" s="39">
        <f t="shared" si="26"/>
        <v>2003</v>
      </c>
      <c r="L90" s="209">
        <f t="shared" si="27"/>
        <v>2003.5833333333333</v>
      </c>
      <c r="M90" s="45">
        <f>+'2144 Trks Orig'!P87</f>
        <v>20017.6</v>
      </c>
      <c r="N90" s="41">
        <f t="shared" si="28"/>
        <v>20017.6</v>
      </c>
      <c r="O90" s="41">
        <f t="shared" si="29"/>
        <v>238.3047619047619</v>
      </c>
      <c r="P90" s="41">
        <f t="shared" si="30"/>
        <v>2859.657142857143</v>
      </c>
      <c r="Q90" s="210">
        <f t="shared" si="31"/>
        <v>0</v>
      </c>
      <c r="R90" s="41"/>
      <c r="S90" s="210">
        <f t="shared" si="32"/>
        <v>20017.6</v>
      </c>
      <c r="T90" s="41">
        <f t="shared" si="33"/>
        <v>20017.6</v>
      </c>
      <c r="U90" s="210">
        <f t="shared" si="34"/>
        <v>0</v>
      </c>
      <c r="W90" s="210">
        <f t="shared" si="35"/>
        <v>0</v>
      </c>
      <c r="X90" s="210">
        <f t="shared" si="36"/>
        <v>2859.657142857143</v>
      </c>
    </row>
    <row r="91" spans="1:24" ht="12" hidden="1" outlineLevel="1">
      <c r="A91" s="351"/>
      <c r="B91" s="214"/>
      <c r="C91" s="213">
        <v>5021</v>
      </c>
      <c r="D91" s="215" t="s">
        <v>316</v>
      </c>
      <c r="E91" s="213">
        <v>2018</v>
      </c>
      <c r="F91" s="213">
        <v>1</v>
      </c>
      <c r="G91" s="216">
        <v>0</v>
      </c>
      <c r="H91" s="213"/>
      <c r="I91" s="214" t="s">
        <v>82</v>
      </c>
      <c r="J91" s="217">
        <f>+IF(K90-$N$3&gt;=3,K90-$N$3,3)</f>
        <v>3</v>
      </c>
      <c r="K91" s="211">
        <f>E91+J91</f>
        <v>2021</v>
      </c>
      <c r="L91" s="212">
        <f>+K91+(F91/12)</f>
        <v>2021.0833333333333</v>
      </c>
      <c r="M91" s="219">
        <f>+'2144 Trks Orig'!N87-'2144 Trks'!M90</f>
        <v>5004.4000000000015</v>
      </c>
      <c r="N91" s="220">
        <f t="shared" si="28"/>
        <v>5004.4000000000015</v>
      </c>
      <c r="O91" s="220">
        <f t="shared" si="29"/>
        <v>139.01111111111115</v>
      </c>
      <c r="P91" s="220">
        <f t="shared" si="30"/>
        <v>1668.1333333333337</v>
      </c>
      <c r="Q91" s="221">
        <f>+IF(L91&lt;=$N$5,0,IF(K91&gt;$N$4,P91,(O91*F91)))</f>
        <v>1668.1333333333337</v>
      </c>
      <c r="R91" s="220"/>
      <c r="S91" s="221">
        <f>+IF(Q91=0,M91,IF($N$3-E91&lt;1,0,(($N$3-E91)*P91)))</f>
        <v>0</v>
      </c>
      <c r="T91" s="220">
        <f>+IF(Q91=0,S91,S91+Q91)</f>
        <v>1668.1333333333337</v>
      </c>
      <c r="U91" s="221">
        <f>+M91-T91</f>
        <v>3336.266666666668</v>
      </c>
      <c r="V91" s="7" t="s">
        <v>98</v>
      </c>
      <c r="W91" s="221">
        <f>+IF(R91&lt;=$N$5,0,IF(Q91&gt;$N$4,V91,(U91*L91)))</f>
        <v>0</v>
      </c>
      <c r="X91" s="221">
        <f>+P91-W91</f>
        <v>1668.1333333333337</v>
      </c>
    </row>
    <row r="92" spans="1:24" ht="12" hidden="1" outlineLevel="1">
      <c r="A92" s="289"/>
      <c r="B92" s="35" t="s">
        <v>106</v>
      </c>
      <c r="C92" s="7">
        <v>5001</v>
      </c>
      <c r="D92" s="7" t="s">
        <v>107</v>
      </c>
      <c r="E92" s="7">
        <v>2001</v>
      </c>
      <c r="F92" s="7">
        <v>11</v>
      </c>
      <c r="G92" s="37">
        <v>0</v>
      </c>
      <c r="H92" s="7"/>
      <c r="I92" s="35" t="s">
        <v>82</v>
      </c>
      <c r="J92" s="38">
        <v>5</v>
      </c>
      <c r="K92" s="39">
        <f t="shared" si="26"/>
        <v>2006</v>
      </c>
      <c r="L92" s="209">
        <f t="shared" si="27"/>
        <v>2006.9166666666667</v>
      </c>
      <c r="M92" s="40">
        <v>25000</v>
      </c>
      <c r="N92" s="41">
        <f t="shared" si="28"/>
        <v>25000</v>
      </c>
      <c r="O92" s="41">
        <f t="shared" si="29"/>
        <v>416.6666666666667</v>
      </c>
      <c r="P92" s="41">
        <f t="shared" si="30"/>
        <v>5000</v>
      </c>
      <c r="Q92" s="210">
        <f t="shared" si="31"/>
        <v>0</v>
      </c>
      <c r="R92" s="41"/>
      <c r="S92" s="210">
        <f t="shared" si="32"/>
        <v>25000</v>
      </c>
      <c r="T92" s="41">
        <f t="shared" si="33"/>
        <v>25000</v>
      </c>
      <c r="U92" s="210">
        <f t="shared" si="34"/>
        <v>0</v>
      </c>
      <c r="W92" s="210">
        <f t="shared" si="35"/>
        <v>0</v>
      </c>
      <c r="X92" s="210">
        <f t="shared" si="36"/>
        <v>5000</v>
      </c>
    </row>
    <row r="93" spans="1:24" s="259" customFormat="1" ht="12" hidden="1" outlineLevel="1">
      <c r="A93" s="354"/>
      <c r="B93" s="35" t="s">
        <v>106</v>
      </c>
      <c r="C93" s="47">
        <v>5001</v>
      </c>
      <c r="D93" s="46" t="s">
        <v>108</v>
      </c>
      <c r="E93" s="47">
        <v>2008</v>
      </c>
      <c r="F93" s="47">
        <v>7</v>
      </c>
      <c r="G93" s="48">
        <v>0</v>
      </c>
      <c r="H93" s="47"/>
      <c r="I93" s="49" t="s">
        <v>82</v>
      </c>
      <c r="J93" s="50">
        <v>3</v>
      </c>
      <c r="K93" s="51">
        <f t="shared" si="26"/>
        <v>2011</v>
      </c>
      <c r="L93" s="209">
        <f t="shared" si="27"/>
        <v>2011.5833333333333</v>
      </c>
      <c r="M93" s="52">
        <v>17797.16</v>
      </c>
      <c r="N93" s="53">
        <f t="shared" si="28"/>
        <v>17797.16</v>
      </c>
      <c r="O93" s="53">
        <f t="shared" si="29"/>
        <v>494.36555555555555</v>
      </c>
      <c r="P93" s="41">
        <f t="shared" si="30"/>
        <v>5932.386666666666</v>
      </c>
      <c r="Q93" s="210">
        <f t="shared" si="31"/>
        <v>0</v>
      </c>
      <c r="R93" s="53"/>
      <c r="S93" s="210">
        <f t="shared" si="32"/>
        <v>17797.16</v>
      </c>
      <c r="T93" s="41">
        <f t="shared" si="33"/>
        <v>17797.16</v>
      </c>
      <c r="U93" s="210">
        <f t="shared" si="34"/>
        <v>0</v>
      </c>
      <c r="W93" s="210">
        <f t="shared" si="35"/>
        <v>0</v>
      </c>
      <c r="X93" s="210">
        <f t="shared" si="36"/>
        <v>5932.386666666666</v>
      </c>
    </row>
    <row r="94" spans="1:24" s="259" customFormat="1" ht="12" hidden="1" outlineLevel="1">
      <c r="A94" s="354"/>
      <c r="B94" s="35"/>
      <c r="C94" s="47"/>
      <c r="D94" s="46"/>
      <c r="E94" s="47"/>
      <c r="F94" s="47"/>
      <c r="G94" s="48"/>
      <c r="H94" s="47"/>
      <c r="I94" s="49"/>
      <c r="J94" s="50"/>
      <c r="K94" s="51"/>
      <c r="L94" s="47"/>
      <c r="M94" s="52"/>
      <c r="N94" s="53"/>
      <c r="O94" s="53"/>
      <c r="P94" s="53"/>
      <c r="Q94" s="53"/>
      <c r="R94" s="53"/>
      <c r="S94" s="53"/>
      <c r="T94" s="53"/>
      <c r="U94" s="53"/>
      <c r="W94" s="53"/>
      <c r="X94" s="53"/>
    </row>
    <row r="95" spans="1:24" s="259" customFormat="1" ht="12" hidden="1" outlineLevel="1">
      <c r="A95" s="354"/>
      <c r="B95" s="35"/>
      <c r="C95" s="47"/>
      <c r="D95" s="46"/>
      <c r="E95" s="47"/>
      <c r="F95" s="47"/>
      <c r="G95" s="48"/>
      <c r="H95" s="47"/>
      <c r="I95" s="49"/>
      <c r="J95" s="50"/>
      <c r="K95" s="51"/>
      <c r="L95" s="47"/>
      <c r="M95" s="52"/>
      <c r="N95" s="53"/>
      <c r="O95" s="53"/>
      <c r="P95" s="53"/>
      <c r="Q95" s="53"/>
      <c r="R95" s="53"/>
      <c r="S95" s="53"/>
      <c r="T95" s="53"/>
      <c r="U95" s="53"/>
      <c r="W95" s="53"/>
      <c r="X95" s="53"/>
    </row>
    <row r="96" spans="1:24" ht="12" hidden="1" outlineLevel="1">
      <c r="A96" s="289"/>
      <c r="B96" s="35"/>
      <c r="C96" s="7"/>
      <c r="D96" s="101" t="s">
        <v>236</v>
      </c>
      <c r="E96" s="7"/>
      <c r="F96" s="7"/>
      <c r="G96" s="35"/>
      <c r="H96" s="7"/>
      <c r="I96" s="35"/>
      <c r="J96" s="35"/>
      <c r="K96" s="39"/>
      <c r="L96" s="7"/>
      <c r="M96" s="7"/>
      <c r="N96" s="7"/>
      <c r="O96" s="7"/>
      <c r="P96" s="7"/>
      <c r="Q96" s="7"/>
      <c r="R96" s="7"/>
      <c r="S96" s="7"/>
      <c r="T96" s="7"/>
      <c r="U96" s="7"/>
      <c r="W96" s="7"/>
      <c r="X96" s="7"/>
    </row>
    <row r="97" spans="1:24" ht="12" hidden="1" outlineLevel="1">
      <c r="A97" s="289"/>
      <c r="B97" s="94" t="s">
        <v>84</v>
      </c>
      <c r="C97" s="44">
        <v>5009</v>
      </c>
      <c r="D97" s="44" t="s">
        <v>85</v>
      </c>
      <c r="E97" s="36">
        <v>1997</v>
      </c>
      <c r="F97" s="36">
        <v>11</v>
      </c>
      <c r="G97" s="37">
        <v>0</v>
      </c>
      <c r="H97" s="7"/>
      <c r="I97" s="35" t="s">
        <v>82</v>
      </c>
      <c r="J97" s="38">
        <v>7</v>
      </c>
      <c r="K97" s="39">
        <f>E97+J97</f>
        <v>2004</v>
      </c>
      <c r="L97" s="209">
        <f>+K97+(F97/12)</f>
        <v>2004.9166666666667</v>
      </c>
      <c r="M97" s="40">
        <f>+'2144 Trks Orig'!P93</f>
        <v>46828.8</v>
      </c>
      <c r="N97" s="41">
        <f>M97-M97*G97</f>
        <v>46828.8</v>
      </c>
      <c r="O97" s="41">
        <f>N97/J97/12</f>
        <v>557.4857142857144</v>
      </c>
      <c r="P97" s="41">
        <f>+O97*12</f>
        <v>6689.828571428572</v>
      </c>
      <c r="Q97" s="210">
        <f>+IF(L97&lt;=$N$5,0,IF(K97&gt;$N$4,P97,(O97*F97)))</f>
        <v>0</v>
      </c>
      <c r="R97" s="41"/>
      <c r="S97" s="210">
        <f>+IF(Q97=0,M97,IF($N$3-E97&lt;1,0,(($N$3-E97)*P97)))</f>
        <v>46828.8</v>
      </c>
      <c r="T97" s="41">
        <f>+IF(Q97=0,S97,S97+Q97)</f>
        <v>46828.8</v>
      </c>
      <c r="U97" s="210">
        <f>+M97-T97</f>
        <v>0</v>
      </c>
      <c r="W97" s="210">
        <f>+IF(R97&lt;=$N$5,0,IF(Q97&gt;$N$4,V97,(U97*L97)))</f>
        <v>0</v>
      </c>
      <c r="X97" s="210">
        <f>+P97-W97</f>
        <v>6689.828571428572</v>
      </c>
    </row>
    <row r="98" spans="1:24" ht="12" hidden="1" outlineLevel="1">
      <c r="A98" s="351"/>
      <c r="B98" s="214"/>
      <c r="C98" s="213">
        <v>5009</v>
      </c>
      <c r="D98" s="215" t="s">
        <v>318</v>
      </c>
      <c r="E98" s="213">
        <v>2018</v>
      </c>
      <c r="F98" s="213">
        <v>1</v>
      </c>
      <c r="G98" s="216">
        <v>0</v>
      </c>
      <c r="H98" s="213"/>
      <c r="I98" s="214" t="s">
        <v>82</v>
      </c>
      <c r="J98" s="217">
        <f>+IF(K97-$N$3&gt;=3,K97-$N$3,3)</f>
        <v>3</v>
      </c>
      <c r="K98" s="211">
        <f>E98+J98</f>
        <v>2021</v>
      </c>
      <c r="L98" s="212">
        <f>+K98+(F98/12)</f>
        <v>2021.0833333333333</v>
      </c>
      <c r="M98" s="219">
        <f>+'2144 Trks Orig'!N93-'2144 Trks'!M97</f>
        <v>11707.199999999997</v>
      </c>
      <c r="N98" s="220">
        <f>M98-M98*G98</f>
        <v>11707.199999999997</v>
      </c>
      <c r="O98" s="220">
        <f>N98/J98/12</f>
        <v>325.19999999999993</v>
      </c>
      <c r="P98" s="220">
        <f>+O98*12</f>
        <v>3902.399999999999</v>
      </c>
      <c r="Q98" s="221">
        <f>+IF(L98&lt;=$N$5,0,IF(K98&gt;$N$4,P98,(O98*F98)))</f>
        <v>3902.399999999999</v>
      </c>
      <c r="R98" s="220"/>
      <c r="S98" s="221">
        <f>+IF(Q98=0,M98,IF($N$3-E98&lt;1,0,(($N$3-E98)*P98)))</f>
        <v>0</v>
      </c>
      <c r="T98" s="220">
        <f>+IF(Q98=0,S98,S98+Q98)</f>
        <v>3902.399999999999</v>
      </c>
      <c r="U98" s="221">
        <f>+M98-T98</f>
        <v>7804.799999999997</v>
      </c>
      <c r="V98" s="7" t="s">
        <v>319</v>
      </c>
      <c r="W98" s="221">
        <f>+IF(R98&lt;=$N$5,0,IF(Q98&gt;$N$4,V98,(U98*L98)))</f>
        <v>0</v>
      </c>
      <c r="X98" s="221">
        <f>+P98-W98</f>
        <v>3902.399999999999</v>
      </c>
    </row>
    <row r="99" spans="1:24" ht="12" hidden="1" outlineLevel="1">
      <c r="A99" s="289"/>
      <c r="B99" s="94" t="s">
        <v>84</v>
      </c>
      <c r="C99" s="7">
        <v>5009</v>
      </c>
      <c r="D99" s="36" t="s">
        <v>86</v>
      </c>
      <c r="E99" s="36">
        <v>1998</v>
      </c>
      <c r="F99" s="36">
        <v>1</v>
      </c>
      <c r="G99" s="37">
        <v>0</v>
      </c>
      <c r="H99" s="7"/>
      <c r="I99" s="35" t="s">
        <v>82</v>
      </c>
      <c r="J99" s="38">
        <v>7</v>
      </c>
      <c r="K99" s="39">
        <f>E99+J99</f>
        <v>2005</v>
      </c>
      <c r="L99" s="209">
        <f>+K99+(F99/12)</f>
        <v>2005.0833333333333</v>
      </c>
      <c r="M99" s="40">
        <f>+'2144 Trks Orig'!P94</f>
        <v>23148.8</v>
      </c>
      <c r="N99" s="41">
        <f>M99-M99*G99</f>
        <v>23148.8</v>
      </c>
      <c r="O99" s="41">
        <f>N99/J99/12</f>
        <v>275.5809523809524</v>
      </c>
      <c r="P99" s="41">
        <f>+O99*12</f>
        <v>3306.971428571429</v>
      </c>
      <c r="Q99" s="210">
        <f>+IF(L99&lt;=$N$5,0,IF(K99&gt;$N$4,P99,(O99*F99)))</f>
        <v>0</v>
      </c>
      <c r="R99" s="41"/>
      <c r="S99" s="210">
        <f>+IF(Q99=0,M99,IF($N$3-E99&lt;1,0,(($N$3-E99)*P99)))</f>
        <v>23148.8</v>
      </c>
      <c r="T99" s="41">
        <f>+IF(Q99=0,S99,S99+Q99)</f>
        <v>23148.8</v>
      </c>
      <c r="U99" s="210">
        <f>+M99-T99</f>
        <v>0</v>
      </c>
      <c r="W99" s="210">
        <f>+IF(R99&lt;=$N$5,0,IF(Q99&gt;$N$4,V99,(U99*L99)))</f>
        <v>0</v>
      </c>
      <c r="X99" s="210">
        <f>+P99-W99</f>
        <v>3306.971428571429</v>
      </c>
    </row>
    <row r="100" spans="1:24" ht="12" hidden="1" outlineLevel="1">
      <c r="A100" s="351"/>
      <c r="B100" s="214"/>
      <c r="C100" s="213">
        <v>5009</v>
      </c>
      <c r="D100" s="215" t="s">
        <v>318</v>
      </c>
      <c r="E100" s="213">
        <v>2018</v>
      </c>
      <c r="F100" s="213">
        <v>1</v>
      </c>
      <c r="G100" s="216">
        <v>0</v>
      </c>
      <c r="H100" s="213"/>
      <c r="I100" s="214" t="s">
        <v>82</v>
      </c>
      <c r="J100" s="217">
        <f>+IF(K99-$N$3&gt;=3,K99-$N$3,3)</f>
        <v>3</v>
      </c>
      <c r="K100" s="211">
        <f>E100+J100</f>
        <v>2021</v>
      </c>
      <c r="L100" s="212">
        <f>+K100+(F100/12)</f>
        <v>2021.0833333333333</v>
      </c>
      <c r="M100" s="219">
        <f>+'2144 Trks Orig'!N94-'2144 Trks'!M99</f>
        <v>5787.200000000001</v>
      </c>
      <c r="N100" s="220">
        <f>M100-M100*G100</f>
        <v>5787.200000000001</v>
      </c>
      <c r="O100" s="220">
        <f>N100/J100/12</f>
        <v>160.75555555555556</v>
      </c>
      <c r="P100" s="220">
        <f>+O100*12</f>
        <v>1929.0666666666666</v>
      </c>
      <c r="Q100" s="221">
        <f>+IF(L100&lt;=$N$5,0,IF(K100&gt;$N$4,P100,(O100*F100)))</f>
        <v>1929.0666666666666</v>
      </c>
      <c r="R100" s="220"/>
      <c r="S100" s="221">
        <f>+IF(Q100=0,M100,IF($N$3-E100&lt;1,0,(($N$3-E100)*P100)))</f>
        <v>0</v>
      </c>
      <c r="T100" s="220">
        <f>+IF(Q100=0,S100,S100+Q100)</f>
        <v>1929.0666666666666</v>
      </c>
      <c r="U100" s="221">
        <f>+M100-T100</f>
        <v>3858.133333333334</v>
      </c>
      <c r="V100" s="7" t="s">
        <v>319</v>
      </c>
      <c r="W100" s="221">
        <f>+IF(R100&lt;=$N$5,0,IF(Q100&gt;$N$4,V100,(U100*L100)))</f>
        <v>0</v>
      </c>
      <c r="X100" s="221">
        <f>+P100-W100</f>
        <v>1929.0666666666666</v>
      </c>
    </row>
    <row r="101" spans="1:24" ht="12" hidden="1" outlineLevel="1">
      <c r="A101" s="289"/>
      <c r="B101" s="35"/>
      <c r="C101" s="7"/>
      <c r="D101" s="36"/>
      <c r="E101" s="7"/>
      <c r="F101" s="7"/>
      <c r="G101" s="37"/>
      <c r="H101" s="7"/>
      <c r="I101" s="35"/>
      <c r="J101" s="38"/>
      <c r="K101" s="39"/>
      <c r="L101" s="7"/>
      <c r="M101" s="40"/>
      <c r="N101" s="41"/>
      <c r="O101" s="41"/>
      <c r="P101" s="41"/>
      <c r="Q101" s="41"/>
      <c r="R101" s="41"/>
      <c r="S101" s="41"/>
      <c r="T101" s="41"/>
      <c r="U101" s="41"/>
      <c r="W101" s="41"/>
      <c r="X101" s="41"/>
    </row>
    <row r="102" spans="1:24" ht="12" hidden="1" outlineLevel="1">
      <c r="A102" s="289"/>
      <c r="B102" s="35"/>
      <c r="C102" s="7"/>
      <c r="D102" s="101" t="s">
        <v>262</v>
      </c>
      <c r="E102" s="7"/>
      <c r="F102" s="7"/>
      <c r="G102" s="35"/>
      <c r="H102" s="7"/>
      <c r="I102" s="35"/>
      <c r="J102" s="35"/>
      <c r="K102" s="39"/>
      <c r="L102" s="7"/>
      <c r="M102" s="7"/>
      <c r="N102" s="7"/>
      <c r="O102" s="7"/>
      <c r="P102" s="7"/>
      <c r="Q102" s="7"/>
      <c r="R102" s="7"/>
      <c r="S102" s="7"/>
      <c r="T102" s="7"/>
      <c r="U102" s="7"/>
      <c r="W102" s="7"/>
      <c r="X102" s="7"/>
    </row>
    <row r="103" spans="1:24" ht="12" hidden="1" outlineLevel="1">
      <c r="A103" s="355"/>
      <c r="B103" s="35" t="s">
        <v>106</v>
      </c>
      <c r="C103" s="86">
        <v>355</v>
      </c>
      <c r="D103" s="87" t="s">
        <v>205</v>
      </c>
      <c r="E103" s="86">
        <v>2012</v>
      </c>
      <c r="F103" s="86">
        <v>9</v>
      </c>
      <c r="G103" s="88">
        <v>0</v>
      </c>
      <c r="H103" s="86"/>
      <c r="I103" s="89" t="s">
        <v>82</v>
      </c>
      <c r="J103" s="90">
        <v>3</v>
      </c>
      <c r="K103" s="91">
        <f>E103+J103</f>
        <v>2015</v>
      </c>
      <c r="L103" s="209">
        <f>+K103+(F103/12)</f>
        <v>2015.75</v>
      </c>
      <c r="M103" s="92">
        <f>10263.47+25500</f>
        <v>35763.47</v>
      </c>
      <c r="N103" s="93">
        <f>M103-M103*G103</f>
        <v>35763.47</v>
      </c>
      <c r="O103" s="93">
        <f>N103/J103/12</f>
        <v>993.4297222222223</v>
      </c>
      <c r="P103" s="41">
        <f>+O103*12</f>
        <v>11921.156666666668</v>
      </c>
      <c r="Q103" s="210">
        <f>+IF(L103&lt;=$N$5,0,IF(K103&gt;$N$4,P103,(O103*F103)))</f>
        <v>0</v>
      </c>
      <c r="R103" s="93"/>
      <c r="S103" s="210">
        <f>+IF(Q103=0,M103,IF($N$3-E103&lt;1,0,(($N$3-E103)*P103)))</f>
        <v>35763.47</v>
      </c>
      <c r="T103" s="41">
        <f>+IF(Q103=0,S103,S103+Q103)</f>
        <v>35763.47</v>
      </c>
      <c r="U103" s="210">
        <f>+M103-T103</f>
        <v>0</v>
      </c>
      <c r="W103" s="210">
        <f>+IF(R103&lt;=$N$5,0,IF(Q103&gt;$N$4,V103,(U103*L103)))</f>
        <v>0</v>
      </c>
      <c r="X103" s="210">
        <f>+P103-W103</f>
        <v>11921.156666666668</v>
      </c>
    </row>
    <row r="104" spans="1:24" s="259" customFormat="1" ht="12" hidden="1" outlineLevel="1">
      <c r="A104" s="354">
        <v>109711</v>
      </c>
      <c r="B104" s="35" t="s">
        <v>106</v>
      </c>
      <c r="C104" s="47">
        <v>5002</v>
      </c>
      <c r="D104" s="46" t="s">
        <v>210</v>
      </c>
      <c r="E104" s="47">
        <v>2010</v>
      </c>
      <c r="F104" s="47">
        <v>6</v>
      </c>
      <c r="G104" s="48">
        <v>0</v>
      </c>
      <c r="H104" s="47"/>
      <c r="I104" s="35" t="s">
        <v>82</v>
      </c>
      <c r="J104" s="38">
        <v>5</v>
      </c>
      <c r="K104" s="39">
        <f>E104+J104</f>
        <v>2015</v>
      </c>
      <c r="L104" s="209">
        <f>+K104+(F104/12)</f>
        <v>2015.5</v>
      </c>
      <c r="M104" s="52">
        <f>+'2144 Trks Orig'!P99</f>
        <v>49605.8486</v>
      </c>
      <c r="N104" s="41">
        <f>M104-M104*G104</f>
        <v>49605.8486</v>
      </c>
      <c r="O104" s="41">
        <f>N104/J104/12</f>
        <v>826.7641433333333</v>
      </c>
      <c r="P104" s="41">
        <f>+O104*12</f>
        <v>9921.16972</v>
      </c>
      <c r="Q104" s="210">
        <f>+IF(L104&lt;=$N$5,0,IF(K104&gt;$N$4,P104,(O104*F104)))</f>
        <v>0</v>
      </c>
      <c r="R104" s="41"/>
      <c r="S104" s="210">
        <f>+IF(Q104=0,M104,IF($N$3-E104&lt;1,0,(($N$3-E104)*P104)))</f>
        <v>49605.8486</v>
      </c>
      <c r="T104" s="41">
        <f>+IF(Q104=0,S104,S104+Q104)</f>
        <v>49605.8486</v>
      </c>
      <c r="U104" s="210">
        <f>+M104-T104</f>
        <v>0</v>
      </c>
      <c r="W104" s="210">
        <f>+IF(R104&lt;=$N$5,0,IF(Q104&gt;$N$4,V104,(U104*L104)))</f>
        <v>0</v>
      </c>
      <c r="X104" s="210">
        <f>+P104-W104</f>
        <v>9921.16972</v>
      </c>
    </row>
    <row r="105" spans="1:24" ht="12" hidden="1" outlineLevel="1">
      <c r="A105" s="351"/>
      <c r="B105" s="214"/>
      <c r="C105" s="213">
        <v>5002</v>
      </c>
      <c r="D105" s="215" t="s">
        <v>331</v>
      </c>
      <c r="E105" s="213">
        <v>2018</v>
      </c>
      <c r="F105" s="213">
        <v>1</v>
      </c>
      <c r="G105" s="216">
        <v>0</v>
      </c>
      <c r="H105" s="213"/>
      <c r="I105" s="214" t="s">
        <v>82</v>
      </c>
      <c r="J105" s="217">
        <f>+IF(K104-$N$3&gt;=3,K104-$N$3,3)</f>
        <v>3</v>
      </c>
      <c r="K105" s="211">
        <f>E105+J105</f>
        <v>2021</v>
      </c>
      <c r="L105" s="212">
        <f>+K105+(F105/12)</f>
        <v>2021.0833333333333</v>
      </c>
      <c r="M105" s="219">
        <f>+'2144 Trks Orig'!N99-'2144 Trks'!M104</f>
        <v>24432.731400000004</v>
      </c>
      <c r="N105" s="220">
        <f>M105-M105*G105</f>
        <v>24432.731400000004</v>
      </c>
      <c r="O105" s="220">
        <f>N105/J105/12</f>
        <v>678.6869833333334</v>
      </c>
      <c r="P105" s="220">
        <f>+O105*12</f>
        <v>8144.2438</v>
      </c>
      <c r="Q105" s="221">
        <f>+IF(L105&lt;=$N$5,0,IF(K105&gt;$N$4,P105,(O105*F105)))</f>
        <v>8144.2438</v>
      </c>
      <c r="R105" s="220"/>
      <c r="S105" s="221">
        <f>+IF(Q105=0,M105,IF($N$3-E105&lt;1,0,(($N$3-E105)*P105)))</f>
        <v>0</v>
      </c>
      <c r="T105" s="220">
        <f>+IF(Q105=0,S105,S105+Q105)</f>
        <v>8144.2438</v>
      </c>
      <c r="U105" s="221">
        <f>+M105-T105</f>
        <v>16288.487600000004</v>
      </c>
      <c r="V105" s="7" t="s">
        <v>319</v>
      </c>
      <c r="W105" s="221">
        <f>+IF(R105&lt;=$N$5,0,IF(Q105&gt;$N$4,V105,(U105*L105)))</f>
        <v>0</v>
      </c>
      <c r="X105" s="221">
        <f>+P105-W105</f>
        <v>8144.2438</v>
      </c>
    </row>
    <row r="106" spans="1:24" ht="24" hidden="1" outlineLevel="1">
      <c r="A106" s="356" t="s">
        <v>243</v>
      </c>
      <c r="B106" s="35" t="s">
        <v>106</v>
      </c>
      <c r="C106" s="7">
        <v>5002</v>
      </c>
      <c r="D106" s="7" t="s">
        <v>244</v>
      </c>
      <c r="E106" s="7">
        <v>2009</v>
      </c>
      <c r="F106" s="7">
        <v>10</v>
      </c>
      <c r="G106" s="37">
        <v>0</v>
      </c>
      <c r="H106" s="7"/>
      <c r="I106" s="35" t="s">
        <v>82</v>
      </c>
      <c r="J106" s="38">
        <v>3</v>
      </c>
      <c r="K106" s="39">
        <f>E106+J106</f>
        <v>2012</v>
      </c>
      <c r="L106" s="209">
        <f>+K106+(F106/12)</f>
        <v>2012.8333333333333</v>
      </c>
      <c r="M106" s="40">
        <f>13302.3+13879.68</f>
        <v>27181.98</v>
      </c>
      <c r="N106" s="41">
        <f>M106-M106*G106</f>
        <v>27181.98</v>
      </c>
      <c r="O106" s="41">
        <f>N106/J106/12</f>
        <v>755.055</v>
      </c>
      <c r="P106" s="41">
        <f>+O106*12</f>
        <v>9060.66</v>
      </c>
      <c r="Q106" s="210">
        <f>+IF(L106&lt;=$N$5,0,IF(K106&gt;$N$4,P106,(O106*F106)))</f>
        <v>0</v>
      </c>
      <c r="R106" s="41"/>
      <c r="S106" s="210">
        <f>+IF(Q106=0,M106,IF($N$3-E106&lt;1,0,(($N$3-E106)*P106)))</f>
        <v>27181.98</v>
      </c>
      <c r="T106" s="41">
        <f>+IF(Q106=0,S106,S106+Q106)</f>
        <v>27181.98</v>
      </c>
      <c r="U106" s="210">
        <f>+M106-T106</f>
        <v>0</v>
      </c>
      <c r="W106" s="210">
        <f>+IF(R106&lt;=$N$5,0,IF(Q106&gt;$N$4,V106,(U106*L106)))</f>
        <v>0</v>
      </c>
      <c r="X106" s="210">
        <f>+P106-W106</f>
        <v>9060.66</v>
      </c>
    </row>
    <row r="107" spans="1:24" ht="12" hidden="1" outlineLevel="1">
      <c r="A107" s="289"/>
      <c r="B107" s="35"/>
      <c r="C107" s="7"/>
      <c r="D107" s="7"/>
      <c r="E107" s="7"/>
      <c r="F107" s="7"/>
      <c r="G107" s="35"/>
      <c r="H107" s="7"/>
      <c r="I107" s="35"/>
      <c r="J107" s="35"/>
      <c r="K107" s="39"/>
      <c r="L107" s="7"/>
      <c r="M107" s="7"/>
      <c r="N107" s="7"/>
      <c r="O107" s="7"/>
      <c r="P107" s="7"/>
      <c r="Q107" s="7"/>
      <c r="R107" s="7"/>
      <c r="S107" s="7"/>
      <c r="T107" s="7"/>
      <c r="U107" s="7"/>
      <c r="W107" s="7"/>
      <c r="X107" s="7"/>
    </row>
    <row r="108" spans="1:24" ht="12" hidden="1" outlineLevel="1">
      <c r="A108" s="289"/>
      <c r="B108" s="35"/>
      <c r="C108" s="7"/>
      <c r="D108" s="7"/>
      <c r="E108" s="7"/>
      <c r="F108" s="7"/>
      <c r="G108" s="35"/>
      <c r="H108" s="7"/>
      <c r="I108" s="35"/>
      <c r="J108" s="35"/>
      <c r="K108" s="39"/>
      <c r="L108" s="7"/>
      <c r="M108" s="7"/>
      <c r="N108" s="7"/>
      <c r="O108" s="7"/>
      <c r="P108" s="7"/>
      <c r="Q108" s="7"/>
      <c r="R108" s="7"/>
      <c r="S108" s="7"/>
      <c r="T108" s="7"/>
      <c r="U108" s="7"/>
      <c r="W108" s="7"/>
      <c r="X108" s="7"/>
    </row>
    <row r="109" spans="1:24" ht="12" hidden="1" outlineLevel="1">
      <c r="A109" s="289"/>
      <c r="B109" s="35"/>
      <c r="C109" s="7"/>
      <c r="D109" s="101" t="s">
        <v>320</v>
      </c>
      <c r="E109" s="7"/>
      <c r="F109" s="7"/>
      <c r="G109" s="35"/>
      <c r="H109" s="7"/>
      <c r="I109" s="35"/>
      <c r="J109" s="35"/>
      <c r="K109" s="39"/>
      <c r="L109" s="7"/>
      <c r="M109" s="7"/>
      <c r="N109" s="7"/>
      <c r="O109" s="7"/>
      <c r="P109" s="7"/>
      <c r="Q109" s="7"/>
      <c r="R109" s="7"/>
      <c r="S109" s="7"/>
      <c r="T109" s="7"/>
      <c r="U109" s="7"/>
      <c r="W109" s="7"/>
      <c r="X109" s="7"/>
    </row>
    <row r="110" spans="1:24" ht="12" hidden="1" outlineLevel="1">
      <c r="A110" s="289"/>
      <c r="B110" s="35" t="s">
        <v>103</v>
      </c>
      <c r="C110" s="7">
        <v>3545</v>
      </c>
      <c r="D110" s="36" t="s">
        <v>104</v>
      </c>
      <c r="E110" s="7">
        <v>2008</v>
      </c>
      <c r="F110" s="7">
        <v>11</v>
      </c>
      <c r="G110" s="37">
        <v>0.33</v>
      </c>
      <c r="H110" s="7"/>
      <c r="I110" s="35" t="s">
        <v>82</v>
      </c>
      <c r="J110" s="38">
        <v>5</v>
      </c>
      <c r="K110" s="39">
        <f>E110+J110</f>
        <v>2013</v>
      </c>
      <c r="L110" s="209">
        <f>+K110+(F110/12)</f>
        <v>2013.9166666666667</v>
      </c>
      <c r="M110" s="40">
        <v>18500</v>
      </c>
      <c r="N110" s="41">
        <f>M110-M110*G110</f>
        <v>12395</v>
      </c>
      <c r="O110" s="41">
        <f>N110/J110/12</f>
        <v>206.58333333333334</v>
      </c>
      <c r="P110" s="41">
        <f>+O110*12</f>
        <v>2479</v>
      </c>
      <c r="Q110" s="210">
        <f>+IF(L110&lt;=$N$5,0,IF(K110&gt;$N$4,P110,(O110*F110)))</f>
        <v>0</v>
      </c>
      <c r="R110" s="41"/>
      <c r="S110" s="210">
        <f>+IF(Q110=0,M110,IF($N$3-E110&lt;1,0,(($N$3-E110)*P110)))</f>
        <v>18500</v>
      </c>
      <c r="T110" s="41">
        <f>+IF(Q110=0,S110,S110+Q110)</f>
        <v>18500</v>
      </c>
      <c r="U110" s="210">
        <f>+M110-T110</f>
        <v>0</v>
      </c>
      <c r="W110" s="210">
        <f>+IF(R110&lt;=$N$5,0,IF(Q110&gt;$N$4,V110,(U110*L110)))</f>
        <v>0</v>
      </c>
      <c r="X110" s="210">
        <f>+P110-W110</f>
        <v>2479</v>
      </c>
    </row>
    <row r="111" spans="1:24" ht="12" hidden="1" outlineLevel="1">
      <c r="A111" s="357"/>
      <c r="B111" s="78" t="s">
        <v>103</v>
      </c>
      <c r="C111" s="77">
        <v>3547</v>
      </c>
      <c r="D111" s="79" t="s">
        <v>105</v>
      </c>
      <c r="E111" s="77">
        <v>2008</v>
      </c>
      <c r="F111" s="77">
        <v>11</v>
      </c>
      <c r="G111" s="80">
        <v>0.33</v>
      </c>
      <c r="H111" s="77"/>
      <c r="I111" s="78" t="s">
        <v>82</v>
      </c>
      <c r="J111" s="81">
        <v>5</v>
      </c>
      <c r="K111" s="82">
        <f>E111+J111</f>
        <v>2013</v>
      </c>
      <c r="L111" s="209">
        <f>+K111+(F111/12)</f>
        <v>2013.9166666666667</v>
      </c>
      <c r="M111" s="83">
        <v>18500</v>
      </c>
      <c r="N111" s="84">
        <f>M111-M111*G111</f>
        <v>12395</v>
      </c>
      <c r="O111" s="84">
        <f>N111/J111/12</f>
        <v>206.58333333333334</v>
      </c>
      <c r="P111" s="41">
        <f>+O111*12</f>
        <v>2479</v>
      </c>
      <c r="Q111" s="210">
        <f>+IF(L111&lt;=$N$5,0,IF(K111&gt;$N$4,P111,(O111*F111)))</f>
        <v>0</v>
      </c>
      <c r="R111" s="84"/>
      <c r="S111" s="210">
        <f>+IF(Q111=0,M111,IF($N$3-E111&lt;1,0,(($N$3-E111)*P111)))</f>
        <v>18500</v>
      </c>
      <c r="T111" s="41">
        <f>+IF(Q111=0,S111,S111+Q111)</f>
        <v>18500</v>
      </c>
      <c r="U111" s="210">
        <f>+M111-T111</f>
        <v>0</v>
      </c>
      <c r="W111" s="210">
        <f>+IF(R111&lt;=$N$5,0,IF(Q111&gt;$N$4,V111,(U111*L111)))</f>
        <v>0</v>
      </c>
      <c r="X111" s="210">
        <f>+P111-W111</f>
        <v>2479</v>
      </c>
    </row>
    <row r="112" spans="1:24" ht="12" hidden="1" outlineLevel="1">
      <c r="A112" s="289"/>
      <c r="B112" s="35"/>
      <c r="C112" s="7"/>
      <c r="D112" s="36"/>
      <c r="E112" s="7"/>
      <c r="F112" s="7"/>
      <c r="G112" s="35"/>
      <c r="H112" s="7"/>
      <c r="I112" s="35"/>
      <c r="J112" s="35"/>
      <c r="K112" s="39"/>
      <c r="L112" s="7"/>
      <c r="M112" s="7"/>
      <c r="N112" s="7"/>
      <c r="O112" s="7"/>
      <c r="P112" s="7"/>
      <c r="Q112" s="7"/>
      <c r="R112" s="7"/>
      <c r="S112" s="7"/>
      <c r="T112" s="7"/>
      <c r="U112" s="7"/>
      <c r="W112" s="7"/>
      <c r="X112" s="7"/>
    </row>
    <row r="113" spans="1:24" ht="12" hidden="1" outlineLevel="1">
      <c r="A113" s="289"/>
      <c r="B113" s="35"/>
      <c r="C113" s="7"/>
      <c r="D113" s="36"/>
      <c r="E113" s="7"/>
      <c r="F113" s="7"/>
      <c r="G113" s="35"/>
      <c r="H113" s="7"/>
      <c r="I113" s="35"/>
      <c r="J113" s="35"/>
      <c r="K113" s="39"/>
      <c r="L113" s="7"/>
      <c r="M113" s="7"/>
      <c r="N113" s="7"/>
      <c r="O113" s="7"/>
      <c r="P113" s="7"/>
      <c r="Q113" s="7"/>
      <c r="R113" s="7"/>
      <c r="S113" s="7"/>
      <c r="T113" s="7"/>
      <c r="U113" s="7"/>
      <c r="W113" s="7"/>
      <c r="X113" s="7"/>
    </row>
    <row r="114" spans="1:24" ht="12" hidden="1" outlineLevel="1">
      <c r="A114" s="289"/>
      <c r="B114" s="35"/>
      <c r="C114" s="7"/>
      <c r="D114" s="101" t="s">
        <v>330</v>
      </c>
      <c r="E114" s="7"/>
      <c r="F114" s="7"/>
      <c r="G114" s="35"/>
      <c r="H114" s="7"/>
      <c r="I114" s="35"/>
      <c r="J114" s="35"/>
      <c r="K114" s="39"/>
      <c r="L114" s="7"/>
      <c r="M114" s="7"/>
      <c r="N114" s="7"/>
      <c r="O114" s="7"/>
      <c r="P114" s="7"/>
      <c r="Q114" s="7"/>
      <c r="R114" s="7"/>
      <c r="S114" s="7"/>
      <c r="T114" s="7"/>
      <c r="U114" s="7"/>
      <c r="W114" s="7"/>
      <c r="X114" s="7"/>
    </row>
    <row r="115" spans="1:24" ht="12" hidden="1" outlineLevel="1">
      <c r="A115" s="289"/>
      <c r="B115" s="35" t="s">
        <v>84</v>
      </c>
      <c r="C115" s="7">
        <v>5008</v>
      </c>
      <c r="D115" s="36" t="s">
        <v>89</v>
      </c>
      <c r="E115" s="7">
        <v>2004</v>
      </c>
      <c r="F115" s="7">
        <v>5</v>
      </c>
      <c r="G115" s="37">
        <v>0</v>
      </c>
      <c r="H115" s="7"/>
      <c r="I115" s="35" t="s">
        <v>82</v>
      </c>
      <c r="J115" s="38">
        <v>7</v>
      </c>
      <c r="K115" s="39">
        <f aca="true" t="shared" si="37" ref="K115:K123">E115+J115</f>
        <v>2011</v>
      </c>
      <c r="L115" s="209">
        <f aca="true" t="shared" si="38" ref="L115:L123">+K115+(F115/12)</f>
        <v>2011.4166666666667</v>
      </c>
      <c r="M115" s="40">
        <f>+'2144 Trks Orig'!P14</f>
        <v>96061.6</v>
      </c>
      <c r="N115" s="41">
        <f aca="true" t="shared" si="39" ref="N115:N123">M115-M115*G115</f>
        <v>96061.6</v>
      </c>
      <c r="O115" s="41">
        <f aca="true" t="shared" si="40" ref="O115:O123">N115/J115/12</f>
        <v>1143.5904761904762</v>
      </c>
      <c r="P115" s="41">
        <f aca="true" t="shared" si="41" ref="P115:P123">+O115*12</f>
        <v>13723.085714285715</v>
      </c>
      <c r="Q115" s="210">
        <f aca="true" t="shared" si="42" ref="Q115:Q123">+IF(L115&lt;=$N$5,0,IF(K115&gt;$N$4,P115,(O115*F115)))</f>
        <v>0</v>
      </c>
      <c r="R115" s="41"/>
      <c r="S115" s="210">
        <f aca="true" t="shared" si="43" ref="S115:S123">+IF(Q115=0,M115,IF($N$3-E115&lt;1,0,(($N$3-E115)*P115)))</f>
        <v>96061.6</v>
      </c>
      <c r="T115" s="41">
        <f aca="true" t="shared" si="44" ref="T115:T123">+IF(Q115=0,S115,S115+Q115)</f>
        <v>96061.6</v>
      </c>
      <c r="U115" s="210">
        <f aca="true" t="shared" si="45" ref="U115:U123">+M115-T115</f>
        <v>0</v>
      </c>
      <c r="W115" s="210">
        <f aca="true" t="shared" si="46" ref="W115:W123">+IF(R115&lt;=$N$5,0,IF(Q115&gt;$N$4,V115,(U115*L115)))</f>
        <v>0</v>
      </c>
      <c r="X115" s="210">
        <f aca="true" t="shared" si="47" ref="X115:X123">+P115-W115</f>
        <v>13723.085714285715</v>
      </c>
    </row>
    <row r="116" spans="1:24" ht="12" hidden="1" outlineLevel="1">
      <c r="A116" s="351"/>
      <c r="B116" s="214"/>
      <c r="C116" s="213">
        <v>5008</v>
      </c>
      <c r="D116" s="215" t="s">
        <v>299</v>
      </c>
      <c r="E116" s="213">
        <v>2018</v>
      </c>
      <c r="F116" s="213">
        <v>1</v>
      </c>
      <c r="G116" s="216">
        <v>0</v>
      </c>
      <c r="H116" s="213"/>
      <c r="I116" s="214" t="s">
        <v>82</v>
      </c>
      <c r="J116" s="217">
        <f>+IF(K115-$N$3&gt;=3,K115-$N$3,3)</f>
        <v>3</v>
      </c>
      <c r="K116" s="211">
        <f t="shared" si="37"/>
        <v>2021</v>
      </c>
      <c r="L116" s="212">
        <f t="shared" si="38"/>
        <v>2021.0833333333333</v>
      </c>
      <c r="M116" s="219">
        <f>+'2144 Trks Orig'!N14-'2144 Trks'!M115</f>
        <v>24015.399999999994</v>
      </c>
      <c r="N116" s="220">
        <f t="shared" si="39"/>
        <v>24015.399999999994</v>
      </c>
      <c r="O116" s="220">
        <f t="shared" si="40"/>
        <v>667.0944444444443</v>
      </c>
      <c r="P116" s="220">
        <f t="shared" si="41"/>
        <v>8005.133333333331</v>
      </c>
      <c r="Q116" s="221">
        <f t="shared" si="42"/>
        <v>8005.133333333331</v>
      </c>
      <c r="R116" s="220"/>
      <c r="S116" s="221">
        <f t="shared" si="43"/>
        <v>0</v>
      </c>
      <c r="T116" s="220">
        <f t="shared" si="44"/>
        <v>8005.133333333331</v>
      </c>
      <c r="U116" s="221">
        <f t="shared" si="45"/>
        <v>16010.266666666663</v>
      </c>
      <c r="W116" s="221">
        <f t="shared" si="46"/>
        <v>0</v>
      </c>
      <c r="X116" s="221">
        <f t="shared" si="47"/>
        <v>8005.133333333331</v>
      </c>
    </row>
    <row r="117" spans="1:24" ht="12" hidden="1" outlineLevel="1">
      <c r="A117" s="289"/>
      <c r="B117" s="35"/>
      <c r="C117" s="7"/>
      <c r="D117" s="36" t="s">
        <v>88</v>
      </c>
      <c r="E117" s="7">
        <v>2002</v>
      </c>
      <c r="F117" s="7">
        <v>2</v>
      </c>
      <c r="G117" s="37">
        <v>0</v>
      </c>
      <c r="H117" s="7"/>
      <c r="I117" s="35" t="s">
        <v>82</v>
      </c>
      <c r="J117" s="38">
        <v>3</v>
      </c>
      <c r="K117" s="39">
        <f t="shared" si="37"/>
        <v>2005</v>
      </c>
      <c r="L117" s="209">
        <f t="shared" si="38"/>
        <v>2005.1666666666667</v>
      </c>
      <c r="M117" s="40">
        <v>4465</v>
      </c>
      <c r="N117" s="41">
        <f t="shared" si="39"/>
        <v>4465</v>
      </c>
      <c r="O117" s="41">
        <f t="shared" si="40"/>
        <v>124.02777777777777</v>
      </c>
      <c r="P117" s="41">
        <f t="shared" si="41"/>
        <v>1488.3333333333333</v>
      </c>
      <c r="Q117" s="210">
        <f t="shared" si="42"/>
        <v>0</v>
      </c>
      <c r="R117" s="41"/>
      <c r="S117" s="41">
        <f t="shared" si="43"/>
        <v>4465</v>
      </c>
      <c r="T117" s="41">
        <f t="shared" si="44"/>
        <v>4465</v>
      </c>
      <c r="U117" s="210">
        <f t="shared" si="45"/>
        <v>0</v>
      </c>
      <c r="W117" s="210">
        <f t="shared" si="46"/>
        <v>0</v>
      </c>
      <c r="X117" s="210">
        <f t="shared" si="47"/>
        <v>1488.3333333333333</v>
      </c>
    </row>
    <row r="118" spans="1:24" ht="12" hidden="1" outlineLevel="1">
      <c r="A118" s="289"/>
      <c r="B118" s="35"/>
      <c r="C118" s="7"/>
      <c r="D118" s="36" t="s">
        <v>88</v>
      </c>
      <c r="E118" s="7">
        <v>2002</v>
      </c>
      <c r="F118" s="7">
        <v>5</v>
      </c>
      <c r="G118" s="37">
        <v>0</v>
      </c>
      <c r="H118" s="7"/>
      <c r="I118" s="35" t="s">
        <v>82</v>
      </c>
      <c r="J118" s="38">
        <v>3</v>
      </c>
      <c r="K118" s="39">
        <f t="shared" si="37"/>
        <v>2005</v>
      </c>
      <c r="L118" s="209">
        <f t="shared" si="38"/>
        <v>2005.4166666666667</v>
      </c>
      <c r="M118" s="40">
        <v>4525</v>
      </c>
      <c r="N118" s="41">
        <f t="shared" si="39"/>
        <v>4525</v>
      </c>
      <c r="O118" s="41">
        <f t="shared" si="40"/>
        <v>125.69444444444444</v>
      </c>
      <c r="P118" s="41">
        <f t="shared" si="41"/>
        <v>1508.3333333333333</v>
      </c>
      <c r="Q118" s="210">
        <f t="shared" si="42"/>
        <v>0</v>
      </c>
      <c r="R118" s="41"/>
      <c r="S118" s="210">
        <f t="shared" si="43"/>
        <v>4525</v>
      </c>
      <c r="T118" s="41">
        <f t="shared" si="44"/>
        <v>4525</v>
      </c>
      <c r="U118" s="210">
        <f t="shared" si="45"/>
        <v>0</v>
      </c>
      <c r="W118" s="210">
        <f t="shared" si="46"/>
        <v>0</v>
      </c>
      <c r="X118" s="210">
        <f t="shared" si="47"/>
        <v>1508.3333333333333</v>
      </c>
    </row>
    <row r="119" spans="1:24" ht="12" hidden="1" outlineLevel="1">
      <c r="A119" s="289"/>
      <c r="B119" s="35" t="s">
        <v>84</v>
      </c>
      <c r="C119" s="7">
        <v>5003</v>
      </c>
      <c r="D119" s="36" t="s">
        <v>90</v>
      </c>
      <c r="E119" s="7">
        <v>2004</v>
      </c>
      <c r="F119" s="7">
        <v>12</v>
      </c>
      <c r="G119" s="37">
        <v>0</v>
      </c>
      <c r="H119" s="7"/>
      <c r="I119" s="35" t="s">
        <v>82</v>
      </c>
      <c r="J119" s="38">
        <v>7</v>
      </c>
      <c r="K119" s="39">
        <f t="shared" si="37"/>
        <v>2011</v>
      </c>
      <c r="L119" s="209">
        <f t="shared" si="38"/>
        <v>2012</v>
      </c>
      <c r="M119" s="40">
        <f>+'2144 Trks Orig'!P15</f>
        <v>101661.6</v>
      </c>
      <c r="N119" s="41">
        <f t="shared" si="39"/>
        <v>101661.6</v>
      </c>
      <c r="O119" s="41">
        <f t="shared" si="40"/>
        <v>1210.257142857143</v>
      </c>
      <c r="P119" s="41">
        <f t="shared" si="41"/>
        <v>14523.085714285717</v>
      </c>
      <c r="Q119" s="210">
        <f t="shared" si="42"/>
        <v>0</v>
      </c>
      <c r="R119" s="41"/>
      <c r="S119" s="210">
        <f t="shared" si="43"/>
        <v>101661.6</v>
      </c>
      <c r="T119" s="41">
        <f t="shared" si="44"/>
        <v>101661.6</v>
      </c>
      <c r="U119" s="210">
        <f t="shared" si="45"/>
        <v>0</v>
      </c>
      <c r="V119" s="7" t="s">
        <v>343</v>
      </c>
      <c r="W119" s="210">
        <f t="shared" si="46"/>
        <v>0</v>
      </c>
      <c r="X119" s="210">
        <f t="shared" si="47"/>
        <v>14523.085714285717</v>
      </c>
    </row>
    <row r="120" spans="1:24" ht="12" hidden="1" outlineLevel="1">
      <c r="A120" s="351"/>
      <c r="B120" s="214"/>
      <c r="C120" s="213">
        <v>5003</v>
      </c>
      <c r="D120" s="215" t="s">
        <v>300</v>
      </c>
      <c r="E120" s="213">
        <v>2018</v>
      </c>
      <c r="F120" s="213">
        <v>1</v>
      </c>
      <c r="G120" s="216">
        <v>0</v>
      </c>
      <c r="H120" s="213"/>
      <c r="I120" s="214" t="s">
        <v>82</v>
      </c>
      <c r="J120" s="217">
        <f>+IF(K119-$N$3&gt;=3,K119-$N$3,3)</f>
        <v>3</v>
      </c>
      <c r="K120" s="211">
        <f t="shared" si="37"/>
        <v>2021</v>
      </c>
      <c r="L120" s="212">
        <f t="shared" si="38"/>
        <v>2021.0833333333333</v>
      </c>
      <c r="M120" s="219">
        <f>+'2144 Trks Orig'!N15-'2144 Trks'!M119</f>
        <v>25415.399999999994</v>
      </c>
      <c r="N120" s="220">
        <f t="shared" si="39"/>
        <v>25415.399999999994</v>
      </c>
      <c r="O120" s="220">
        <f t="shared" si="40"/>
        <v>705.9833333333331</v>
      </c>
      <c r="P120" s="220">
        <f t="shared" si="41"/>
        <v>8471.799999999997</v>
      </c>
      <c r="Q120" s="221">
        <f t="shared" si="42"/>
        <v>8471.799999999997</v>
      </c>
      <c r="R120" s="220"/>
      <c r="S120" s="221">
        <f t="shared" si="43"/>
        <v>0</v>
      </c>
      <c r="T120" s="220">
        <f t="shared" si="44"/>
        <v>8471.799999999997</v>
      </c>
      <c r="U120" s="221">
        <f t="shared" si="45"/>
        <v>16943.6</v>
      </c>
      <c r="W120" s="221">
        <f t="shared" si="46"/>
        <v>0</v>
      </c>
      <c r="X120" s="221">
        <f t="shared" si="47"/>
        <v>8471.799999999997</v>
      </c>
    </row>
    <row r="121" spans="1:24" ht="12" hidden="1" outlineLevel="1">
      <c r="A121" s="289"/>
      <c r="B121" s="35" t="s">
        <v>84</v>
      </c>
      <c r="C121" s="7">
        <v>5006</v>
      </c>
      <c r="D121" s="36" t="s">
        <v>91</v>
      </c>
      <c r="E121" s="7">
        <v>2006</v>
      </c>
      <c r="F121" s="7">
        <v>11</v>
      </c>
      <c r="G121" s="37">
        <v>0</v>
      </c>
      <c r="H121" s="7"/>
      <c r="I121" s="35" t="s">
        <v>82</v>
      </c>
      <c r="J121" s="38">
        <v>7</v>
      </c>
      <c r="K121" s="39">
        <f t="shared" si="37"/>
        <v>2013</v>
      </c>
      <c r="L121" s="209">
        <f t="shared" si="38"/>
        <v>2013.9166666666667</v>
      </c>
      <c r="M121" s="40">
        <f>+'2144 Trks Orig'!P16</f>
        <v>110632.51999999999</v>
      </c>
      <c r="N121" s="41">
        <f t="shared" si="39"/>
        <v>110632.51999999999</v>
      </c>
      <c r="O121" s="41">
        <f t="shared" si="40"/>
        <v>1317.0538095238094</v>
      </c>
      <c r="P121" s="41">
        <f t="shared" si="41"/>
        <v>15804.645714285713</v>
      </c>
      <c r="Q121" s="210">
        <f t="shared" si="42"/>
        <v>0</v>
      </c>
      <c r="R121" s="41"/>
      <c r="S121" s="210">
        <f t="shared" si="43"/>
        <v>110632.51999999999</v>
      </c>
      <c r="T121" s="41">
        <f t="shared" si="44"/>
        <v>110632.51999999999</v>
      </c>
      <c r="U121" s="210">
        <f t="shared" si="45"/>
        <v>0</v>
      </c>
      <c r="V121" s="7" t="s">
        <v>343</v>
      </c>
      <c r="W121" s="210">
        <f t="shared" si="46"/>
        <v>0</v>
      </c>
      <c r="X121" s="210">
        <f t="shared" si="47"/>
        <v>15804.645714285713</v>
      </c>
    </row>
    <row r="122" spans="1:24" ht="12" hidden="1" outlineLevel="1">
      <c r="A122" s="351"/>
      <c r="B122" s="214"/>
      <c r="C122" s="213">
        <v>5006</v>
      </c>
      <c r="D122" s="215" t="s">
        <v>301</v>
      </c>
      <c r="E122" s="213">
        <v>2018</v>
      </c>
      <c r="F122" s="213">
        <v>1</v>
      </c>
      <c r="G122" s="216">
        <v>0</v>
      </c>
      <c r="H122" s="213"/>
      <c r="I122" s="214" t="s">
        <v>82</v>
      </c>
      <c r="J122" s="217">
        <f>+IF(K121-$N$3&gt;=3,K121-$N$3,3)</f>
        <v>3</v>
      </c>
      <c r="K122" s="211">
        <f t="shared" si="37"/>
        <v>2021</v>
      </c>
      <c r="L122" s="212">
        <f t="shared" si="38"/>
        <v>2021.0833333333333</v>
      </c>
      <c r="M122" s="219">
        <f>+'2144 Trks Orig'!N16-'2144 Trks'!M121</f>
        <v>27658.130000000005</v>
      </c>
      <c r="N122" s="220">
        <f t="shared" si="39"/>
        <v>27658.130000000005</v>
      </c>
      <c r="O122" s="220">
        <f t="shared" si="40"/>
        <v>768.2813888888891</v>
      </c>
      <c r="P122" s="220">
        <f t="shared" si="41"/>
        <v>9219.376666666669</v>
      </c>
      <c r="Q122" s="221">
        <f t="shared" si="42"/>
        <v>9219.376666666669</v>
      </c>
      <c r="R122" s="220"/>
      <c r="S122" s="221">
        <f t="shared" si="43"/>
        <v>0</v>
      </c>
      <c r="T122" s="220">
        <f t="shared" si="44"/>
        <v>9219.376666666669</v>
      </c>
      <c r="U122" s="221">
        <f t="shared" si="45"/>
        <v>18438.753333333334</v>
      </c>
      <c r="W122" s="221">
        <f t="shared" si="46"/>
        <v>0</v>
      </c>
      <c r="X122" s="221">
        <f t="shared" si="47"/>
        <v>9219.376666666669</v>
      </c>
    </row>
    <row r="123" spans="1:24" ht="12" hidden="1" outlineLevel="1">
      <c r="A123" s="356">
        <v>181716</v>
      </c>
      <c r="B123" s="35" t="s">
        <v>106</v>
      </c>
      <c r="C123" s="77"/>
      <c r="D123" s="36" t="s">
        <v>242</v>
      </c>
      <c r="E123" s="7">
        <v>2002</v>
      </c>
      <c r="F123" s="7">
        <v>8</v>
      </c>
      <c r="G123" s="37">
        <v>0</v>
      </c>
      <c r="H123" s="7"/>
      <c r="I123" s="35" t="s">
        <v>82</v>
      </c>
      <c r="J123" s="38">
        <v>6</v>
      </c>
      <c r="K123" s="39">
        <f t="shared" si="37"/>
        <v>2008</v>
      </c>
      <c r="L123" s="209">
        <f t="shared" si="38"/>
        <v>2008.6666666666667</v>
      </c>
      <c r="M123" s="40">
        <v>65000</v>
      </c>
      <c r="N123" s="41">
        <f t="shared" si="39"/>
        <v>65000</v>
      </c>
      <c r="O123" s="41">
        <f t="shared" si="40"/>
        <v>902.7777777777778</v>
      </c>
      <c r="P123" s="41">
        <f t="shared" si="41"/>
        <v>10833.333333333334</v>
      </c>
      <c r="Q123" s="210">
        <f t="shared" si="42"/>
        <v>0</v>
      </c>
      <c r="R123" s="41"/>
      <c r="S123" s="210">
        <f t="shared" si="43"/>
        <v>65000</v>
      </c>
      <c r="T123" s="41">
        <f t="shared" si="44"/>
        <v>65000</v>
      </c>
      <c r="U123" s="210">
        <f t="shared" si="45"/>
        <v>0</v>
      </c>
      <c r="W123" s="210">
        <f t="shared" si="46"/>
        <v>0</v>
      </c>
      <c r="X123" s="210">
        <f t="shared" si="47"/>
        <v>10833.333333333334</v>
      </c>
    </row>
    <row r="124" spans="1:24" ht="12" hidden="1" outlineLevel="1">
      <c r="A124" s="289"/>
      <c r="B124" s="35"/>
      <c r="C124" s="7"/>
      <c r="D124" s="7"/>
      <c r="E124" s="7"/>
      <c r="F124" s="7"/>
      <c r="G124" s="35"/>
      <c r="H124" s="7"/>
      <c r="I124" s="35"/>
      <c r="J124" s="35"/>
      <c r="K124" s="39"/>
      <c r="L124" s="7"/>
      <c r="M124" s="7"/>
      <c r="N124" s="7"/>
      <c r="O124" s="7"/>
      <c r="P124" s="7"/>
      <c r="Q124" s="7"/>
      <c r="R124" s="7"/>
      <c r="S124" s="7"/>
      <c r="T124" s="7"/>
      <c r="U124" s="7"/>
      <c r="W124" s="7"/>
      <c r="X124" s="7"/>
    </row>
    <row r="125" spans="1:24" ht="12" collapsed="1">
      <c r="A125" s="289"/>
      <c r="B125" s="35"/>
      <c r="C125" s="7"/>
      <c r="D125" s="7"/>
      <c r="E125" s="7"/>
      <c r="F125" s="7"/>
      <c r="G125" s="35"/>
      <c r="H125" s="7"/>
      <c r="I125" s="35"/>
      <c r="J125" s="35"/>
      <c r="K125" s="39"/>
      <c r="L125" s="7"/>
      <c r="M125" s="7"/>
      <c r="N125" s="7"/>
      <c r="O125" s="7"/>
      <c r="P125" s="7"/>
      <c r="Q125" s="7"/>
      <c r="R125" s="7"/>
      <c r="S125" s="7"/>
      <c r="T125" s="7"/>
      <c r="U125" s="7"/>
      <c r="W125" s="7"/>
      <c r="X125" s="7"/>
    </row>
    <row r="126" spans="1:24" ht="12">
      <c r="A126" s="289"/>
      <c r="B126" s="35"/>
      <c r="C126" s="7"/>
      <c r="D126" s="7"/>
      <c r="E126" s="7"/>
      <c r="F126" s="7"/>
      <c r="G126" s="35"/>
      <c r="H126" s="7"/>
      <c r="I126" s="35"/>
      <c r="J126" s="35"/>
      <c r="K126" s="39"/>
      <c r="L126" s="7"/>
      <c r="M126" s="7"/>
      <c r="N126" s="7"/>
      <c r="O126" s="7"/>
      <c r="P126" s="7"/>
      <c r="Q126" s="7"/>
      <c r="R126" s="7"/>
      <c r="S126" s="7"/>
      <c r="T126" s="7"/>
      <c r="U126" s="7"/>
      <c r="W126" s="7"/>
      <c r="X126" s="7"/>
    </row>
    <row r="127" spans="1:24" ht="12">
      <c r="A127" s="289"/>
      <c r="B127" s="94"/>
      <c r="C127" s="44"/>
      <c r="D127" s="106"/>
      <c r="E127" s="36"/>
      <c r="F127" s="36"/>
      <c r="G127" s="37"/>
      <c r="H127" s="41"/>
      <c r="I127" s="35"/>
      <c r="J127" s="38"/>
      <c r="K127" s="39"/>
      <c r="L127" s="7"/>
      <c r="M127" s="40"/>
      <c r="N127" s="41"/>
      <c r="O127" s="41"/>
      <c r="P127" s="41"/>
      <c r="Q127" s="41"/>
      <c r="R127" s="41"/>
      <c r="S127" s="41"/>
      <c r="T127" s="41"/>
      <c r="U127" s="41"/>
      <c r="W127" s="41"/>
      <c r="X127" s="41"/>
    </row>
    <row r="128" spans="1:24" ht="12">
      <c r="A128" s="289"/>
      <c r="B128" s="94"/>
      <c r="C128" s="44"/>
      <c r="D128" s="106"/>
      <c r="E128" s="36"/>
      <c r="F128" s="36"/>
      <c r="G128" s="37"/>
      <c r="H128" s="41"/>
      <c r="I128" s="35"/>
      <c r="J128" s="38"/>
      <c r="K128" s="39"/>
      <c r="L128" s="7"/>
      <c r="M128" s="107"/>
      <c r="N128" s="41"/>
      <c r="O128" s="41"/>
      <c r="P128" s="41"/>
      <c r="Q128" s="41"/>
      <c r="R128" s="41"/>
      <c r="S128" s="41"/>
      <c r="T128" s="41"/>
      <c r="U128" s="41"/>
      <c r="W128" s="41"/>
      <c r="X128" s="41"/>
    </row>
    <row r="129" spans="1:24" ht="12">
      <c r="A129" s="289"/>
      <c r="B129" s="94"/>
      <c r="C129" s="44"/>
      <c r="D129" s="106"/>
      <c r="E129" s="36"/>
      <c r="F129" s="36"/>
      <c r="G129" s="37"/>
      <c r="H129" s="41"/>
      <c r="I129" s="108"/>
      <c r="J129" s="38"/>
      <c r="K129" s="39"/>
      <c r="L129" s="7"/>
      <c r="M129" s="40"/>
      <c r="N129" s="41"/>
      <c r="O129" s="41"/>
      <c r="P129" s="41"/>
      <c r="Q129" s="41"/>
      <c r="R129" s="41"/>
      <c r="S129" s="41"/>
      <c r="T129" s="41"/>
      <c r="U129" s="41"/>
      <c r="W129" s="41"/>
      <c r="X129" s="41"/>
    </row>
    <row r="130" spans="1:24" s="112" customFormat="1" ht="12">
      <c r="A130" s="358"/>
      <c r="B130" s="94"/>
      <c r="C130" s="44"/>
      <c r="D130" s="106"/>
      <c r="E130" s="36"/>
      <c r="F130" s="36"/>
      <c r="G130" s="37"/>
      <c r="H130" s="76"/>
      <c r="I130" s="110"/>
      <c r="J130" s="38"/>
      <c r="K130" s="111"/>
      <c r="M130" s="40"/>
      <c r="N130" s="76"/>
      <c r="O130" s="76"/>
      <c r="P130" s="76"/>
      <c r="Q130" s="76"/>
      <c r="R130" s="76"/>
      <c r="S130" s="76"/>
      <c r="T130" s="76"/>
      <c r="U130" s="76"/>
      <c r="W130" s="76"/>
      <c r="X130" s="76"/>
    </row>
    <row r="131" spans="1:24" ht="12">
      <c r="A131" s="289"/>
      <c r="B131" s="94"/>
      <c r="C131" s="44"/>
      <c r="D131" s="106"/>
      <c r="E131" s="36"/>
      <c r="F131" s="36"/>
      <c r="G131" s="37"/>
      <c r="H131" s="41"/>
      <c r="I131" s="35"/>
      <c r="J131" s="38"/>
      <c r="K131" s="39"/>
      <c r="L131" s="7"/>
      <c r="M131" s="40"/>
      <c r="N131" s="41"/>
      <c r="O131" s="41"/>
      <c r="P131" s="41"/>
      <c r="Q131" s="41"/>
      <c r="R131" s="41"/>
      <c r="S131" s="41"/>
      <c r="T131" s="41"/>
      <c r="U131" s="41"/>
      <c r="W131" s="41"/>
      <c r="X131" s="41"/>
    </row>
    <row r="132" spans="1:24" ht="12">
      <c r="A132" s="289"/>
      <c r="B132" s="94"/>
      <c r="C132" s="44"/>
      <c r="D132" s="106"/>
      <c r="E132" s="36"/>
      <c r="F132" s="36"/>
      <c r="G132" s="37"/>
      <c r="H132" s="41"/>
      <c r="I132" s="35"/>
      <c r="J132" s="38"/>
      <c r="K132" s="39"/>
      <c r="L132" s="7"/>
      <c r="M132" s="40"/>
      <c r="N132" s="41"/>
      <c r="O132" s="41"/>
      <c r="P132" s="41"/>
      <c r="Q132" s="41"/>
      <c r="R132" s="41"/>
      <c r="S132" s="41"/>
      <c r="T132" s="41"/>
      <c r="U132" s="41"/>
      <c r="W132" s="41"/>
      <c r="X132" s="41"/>
    </row>
    <row r="133" spans="1:24" ht="12">
      <c r="A133" s="289"/>
      <c r="B133" s="94"/>
      <c r="C133" s="44"/>
      <c r="D133" s="106"/>
      <c r="E133" s="36"/>
      <c r="F133" s="36"/>
      <c r="G133" s="37"/>
      <c r="H133" s="41"/>
      <c r="I133" s="35"/>
      <c r="J133" s="38"/>
      <c r="K133" s="39"/>
      <c r="L133" s="7"/>
      <c r="M133" s="40"/>
      <c r="N133" s="41"/>
      <c r="O133" s="41"/>
      <c r="P133" s="41"/>
      <c r="Q133" s="41"/>
      <c r="R133" s="41"/>
      <c r="S133" s="41"/>
      <c r="T133" s="41"/>
      <c r="U133" s="41"/>
      <c r="W133" s="41"/>
      <c r="X133" s="41"/>
    </row>
    <row r="134" spans="1:24" ht="12">
      <c r="A134" s="289"/>
      <c r="B134" s="94"/>
      <c r="C134" s="44"/>
      <c r="D134" s="106"/>
      <c r="E134" s="36"/>
      <c r="F134" s="36"/>
      <c r="G134" s="37"/>
      <c r="H134" s="41"/>
      <c r="I134" s="35"/>
      <c r="J134" s="38"/>
      <c r="K134" s="39"/>
      <c r="L134" s="7"/>
      <c r="M134" s="40"/>
      <c r="N134" s="41"/>
      <c r="O134" s="41"/>
      <c r="P134" s="41"/>
      <c r="Q134" s="41"/>
      <c r="R134" s="41"/>
      <c r="S134" s="41"/>
      <c r="T134" s="41"/>
      <c r="U134" s="41"/>
      <c r="W134" s="41"/>
      <c r="X134" s="41"/>
    </row>
    <row r="135" spans="1:24" ht="12">
      <c r="A135" s="289"/>
      <c r="B135" s="103"/>
      <c r="C135" s="44"/>
      <c r="D135" s="106"/>
      <c r="E135" s="36"/>
      <c r="F135" s="36"/>
      <c r="G135" s="37"/>
      <c r="H135" s="7"/>
      <c r="I135" s="35"/>
      <c r="J135" s="38"/>
      <c r="K135" s="39"/>
      <c r="L135" s="7"/>
      <c r="M135" s="40"/>
      <c r="N135" s="41"/>
      <c r="O135" s="41"/>
      <c r="P135" s="41"/>
      <c r="Q135" s="41"/>
      <c r="R135" s="41"/>
      <c r="S135" s="41"/>
      <c r="T135" s="41"/>
      <c r="U135" s="41"/>
      <c r="W135" s="41"/>
      <c r="X135" s="41"/>
    </row>
    <row r="136" spans="1:24" ht="12">
      <c r="A136" s="289"/>
      <c r="B136" s="94"/>
      <c r="C136" s="44"/>
      <c r="D136" s="106"/>
      <c r="E136" s="36"/>
      <c r="F136" s="36"/>
      <c r="G136" s="37"/>
      <c r="H136" s="7"/>
      <c r="I136" s="35"/>
      <c r="J136" s="38"/>
      <c r="K136" s="39"/>
      <c r="L136" s="7"/>
      <c r="M136" s="40"/>
      <c r="N136" s="41"/>
      <c r="O136" s="41"/>
      <c r="P136" s="41"/>
      <c r="Q136" s="41"/>
      <c r="R136" s="41"/>
      <c r="S136" s="41"/>
      <c r="T136" s="41"/>
      <c r="U136" s="41"/>
      <c r="W136" s="41"/>
      <c r="X136" s="41"/>
    </row>
    <row r="137" spans="1:24" ht="12">
      <c r="A137" s="289"/>
      <c r="B137" s="94"/>
      <c r="C137" s="44"/>
      <c r="D137" s="106"/>
      <c r="E137" s="36"/>
      <c r="F137" s="36"/>
      <c r="G137" s="37"/>
      <c r="H137" s="7"/>
      <c r="I137" s="35"/>
      <c r="J137" s="38"/>
      <c r="K137" s="39"/>
      <c r="L137" s="7"/>
      <c r="M137" s="40"/>
      <c r="N137" s="41"/>
      <c r="O137" s="41"/>
      <c r="P137" s="41"/>
      <c r="Q137" s="41"/>
      <c r="R137" s="41"/>
      <c r="S137" s="41"/>
      <c r="T137" s="41"/>
      <c r="U137" s="41"/>
      <c r="W137" s="41"/>
      <c r="X137" s="41"/>
    </row>
    <row r="138" spans="1:24" ht="12">
      <c r="A138" s="289"/>
      <c r="B138" s="94"/>
      <c r="C138" s="44"/>
      <c r="D138" s="106"/>
      <c r="E138" s="36"/>
      <c r="F138" s="36"/>
      <c r="G138" s="37"/>
      <c r="H138" s="7"/>
      <c r="I138" s="35"/>
      <c r="J138" s="38"/>
      <c r="K138" s="39"/>
      <c r="L138" s="7"/>
      <c r="M138" s="40"/>
      <c r="N138" s="41"/>
      <c r="O138" s="41"/>
      <c r="P138" s="41"/>
      <c r="Q138" s="41"/>
      <c r="R138" s="41"/>
      <c r="S138" s="41"/>
      <c r="T138" s="41"/>
      <c r="U138" s="41"/>
      <c r="W138" s="41"/>
      <c r="X138" s="41"/>
    </row>
    <row r="139" spans="1:24" ht="12">
      <c r="A139" s="289"/>
      <c r="B139" s="35"/>
      <c r="C139" s="7"/>
      <c r="D139" s="7"/>
      <c r="E139" s="7"/>
      <c r="F139" s="7"/>
      <c r="G139" s="35"/>
      <c r="H139" s="7"/>
      <c r="I139" s="35"/>
      <c r="J139" s="35"/>
      <c r="K139" s="39"/>
      <c r="L139" s="7"/>
      <c r="M139" s="7"/>
      <c r="N139" s="7"/>
      <c r="O139" s="7"/>
      <c r="P139" s="7"/>
      <c r="Q139" s="7"/>
      <c r="R139" s="7"/>
      <c r="S139" s="7"/>
      <c r="T139" s="7"/>
      <c r="U139" s="7"/>
      <c r="W139" s="7"/>
      <c r="X139" s="7"/>
    </row>
    <row r="140" spans="1:24" ht="12">
      <c r="A140" s="289"/>
      <c r="B140" s="94"/>
      <c r="C140" s="44"/>
      <c r="D140" s="36"/>
      <c r="E140" s="36"/>
      <c r="F140" s="36"/>
      <c r="G140" s="37"/>
      <c r="H140" s="7"/>
      <c r="I140" s="35"/>
      <c r="J140" s="38"/>
      <c r="K140" s="39"/>
      <c r="L140" s="7"/>
      <c r="M140" s="40"/>
      <c r="N140" s="41"/>
      <c r="O140" s="41"/>
      <c r="P140" s="41"/>
      <c r="Q140" s="41"/>
      <c r="R140" s="41"/>
      <c r="S140" s="41"/>
      <c r="T140" s="41"/>
      <c r="U140" s="41"/>
      <c r="W140" s="41"/>
      <c r="X140" s="41"/>
    </row>
    <row r="141" spans="1:24" ht="12">
      <c r="A141" s="289"/>
      <c r="B141" s="69"/>
      <c r="C141" s="7"/>
      <c r="D141" s="36"/>
      <c r="E141" s="7"/>
      <c r="F141" s="7"/>
      <c r="G141" s="37"/>
      <c r="H141" s="7"/>
      <c r="I141" s="35"/>
      <c r="J141" s="38"/>
      <c r="K141" s="39"/>
      <c r="L141" s="7"/>
      <c r="M141" s="40"/>
      <c r="N141" s="41"/>
      <c r="O141" s="41"/>
      <c r="P141" s="41"/>
      <c r="Q141" s="41"/>
      <c r="R141" s="41"/>
      <c r="S141" s="41"/>
      <c r="T141" s="41"/>
      <c r="U141" s="41"/>
      <c r="W141" s="41"/>
      <c r="X141" s="41"/>
    </row>
    <row r="142" spans="1:24" ht="12">
      <c r="A142" s="289"/>
      <c r="B142" s="35"/>
      <c r="C142" s="7"/>
      <c r="D142" s="36"/>
      <c r="E142" s="7"/>
      <c r="F142" s="7"/>
      <c r="G142" s="37"/>
      <c r="H142" s="7"/>
      <c r="I142" s="35"/>
      <c r="J142" s="38"/>
      <c r="K142" s="39"/>
      <c r="L142" s="7"/>
      <c r="M142" s="40"/>
      <c r="N142" s="41"/>
      <c r="O142" s="41"/>
      <c r="P142" s="41"/>
      <c r="Q142" s="41"/>
      <c r="R142" s="41"/>
      <c r="S142" s="41"/>
      <c r="T142" s="41"/>
      <c r="U142" s="41"/>
      <c r="W142" s="41"/>
      <c r="X142" s="41"/>
    </row>
    <row r="143" spans="1:24" ht="12">
      <c r="A143" s="289"/>
      <c r="B143" s="35"/>
      <c r="C143" s="7"/>
      <c r="D143" s="7"/>
      <c r="E143" s="7"/>
      <c r="F143" s="7"/>
      <c r="G143" s="35"/>
      <c r="H143" s="7"/>
      <c r="I143" s="35"/>
      <c r="J143" s="35"/>
      <c r="K143" s="39"/>
      <c r="L143" s="7"/>
      <c r="M143" s="7"/>
      <c r="N143" s="7"/>
      <c r="O143" s="7"/>
      <c r="P143" s="7"/>
      <c r="Q143" s="7"/>
      <c r="R143" s="7"/>
      <c r="S143" s="7"/>
      <c r="T143" s="7"/>
      <c r="U143" s="7"/>
      <c r="W143" s="7"/>
      <c r="X143" s="7"/>
    </row>
    <row r="144" spans="1:24" ht="12">
      <c r="A144" s="289"/>
      <c r="B144" s="35"/>
      <c r="C144" s="43"/>
      <c r="D144" s="44"/>
      <c r="E144" s="44"/>
      <c r="F144" s="44"/>
      <c r="G144" s="104"/>
      <c r="H144" s="7"/>
      <c r="I144" s="35"/>
      <c r="J144" s="94"/>
      <c r="K144" s="39"/>
      <c r="L144" s="7"/>
      <c r="M144" s="45"/>
      <c r="N144" s="41"/>
      <c r="O144" s="41"/>
      <c r="P144" s="41"/>
      <c r="Q144" s="41"/>
      <c r="R144" s="41"/>
      <c r="S144" s="41"/>
      <c r="T144" s="41"/>
      <c r="U144" s="41"/>
      <c r="W144" s="41"/>
      <c r="X144" s="41"/>
    </row>
    <row r="145" spans="1:24" ht="12">
      <c r="A145" s="289"/>
      <c r="B145" s="35"/>
      <c r="C145" s="43"/>
      <c r="D145" s="36"/>
      <c r="E145" s="36"/>
      <c r="F145" s="36"/>
      <c r="G145" s="37"/>
      <c r="H145" s="7"/>
      <c r="I145" s="35"/>
      <c r="J145" s="38"/>
      <c r="K145" s="39"/>
      <c r="L145" s="7"/>
      <c r="M145" s="40"/>
      <c r="N145" s="41"/>
      <c r="O145" s="41"/>
      <c r="P145" s="41"/>
      <c r="Q145" s="41"/>
      <c r="R145" s="41"/>
      <c r="S145" s="41"/>
      <c r="T145" s="41"/>
      <c r="U145" s="41"/>
      <c r="W145" s="41"/>
      <c r="X145" s="41"/>
    </row>
    <row r="146" spans="1:24" ht="12">
      <c r="A146" s="289"/>
      <c r="B146" s="35"/>
      <c r="C146" s="43"/>
      <c r="D146" s="36"/>
      <c r="E146" s="36"/>
      <c r="F146" s="36"/>
      <c r="G146" s="37"/>
      <c r="H146" s="7"/>
      <c r="I146" s="35"/>
      <c r="J146" s="38"/>
      <c r="K146" s="39"/>
      <c r="L146" s="7"/>
      <c r="M146" s="40"/>
      <c r="N146" s="41"/>
      <c r="O146" s="41"/>
      <c r="P146" s="41"/>
      <c r="Q146" s="41"/>
      <c r="R146" s="41"/>
      <c r="S146" s="41"/>
      <c r="T146" s="41"/>
      <c r="U146" s="41"/>
      <c r="W146" s="41"/>
      <c r="X146" s="41"/>
    </row>
    <row r="147" spans="1:24" ht="12">
      <c r="A147" s="289"/>
      <c r="B147" s="35"/>
      <c r="C147" s="7"/>
      <c r="D147" s="7"/>
      <c r="E147" s="7"/>
      <c r="F147" s="7"/>
      <c r="G147" s="35"/>
      <c r="H147" s="7"/>
      <c r="I147" s="35"/>
      <c r="J147" s="35"/>
      <c r="K147" s="39"/>
      <c r="L147" s="7"/>
      <c r="M147" s="7"/>
      <c r="N147" s="7"/>
      <c r="O147" s="7"/>
      <c r="P147" s="7"/>
      <c r="Q147" s="7"/>
      <c r="R147" s="7"/>
      <c r="S147" s="7"/>
      <c r="T147" s="7"/>
      <c r="U147" s="7"/>
      <c r="W147" s="7"/>
      <c r="X147" s="7"/>
    </row>
    <row r="148" spans="1:24" ht="12">
      <c r="A148" s="289"/>
      <c r="B148" s="103"/>
      <c r="C148" s="44"/>
      <c r="D148" s="106"/>
      <c r="E148" s="36"/>
      <c r="F148" s="36"/>
      <c r="G148" s="37"/>
      <c r="H148" s="7"/>
      <c r="I148" s="35"/>
      <c r="J148" s="38"/>
      <c r="K148" s="39"/>
      <c r="L148" s="7"/>
      <c r="M148" s="40"/>
      <c r="N148" s="41"/>
      <c r="O148" s="41"/>
      <c r="P148" s="41"/>
      <c r="Q148" s="41"/>
      <c r="R148" s="41"/>
      <c r="S148" s="41"/>
      <c r="T148" s="41"/>
      <c r="U148" s="41"/>
      <c r="W148" s="41"/>
      <c r="X148" s="41"/>
    </row>
    <row r="149" spans="1:24" ht="12">
      <c r="A149" s="289"/>
      <c r="B149" s="35"/>
      <c r="C149" s="7"/>
      <c r="D149" s="7"/>
      <c r="E149" s="7"/>
      <c r="F149" s="7"/>
      <c r="G149" s="35"/>
      <c r="H149" s="7"/>
      <c r="I149" s="35"/>
      <c r="J149" s="35"/>
      <c r="K149" s="39"/>
      <c r="L149" s="7"/>
      <c r="M149" s="7"/>
      <c r="N149" s="7"/>
      <c r="O149" s="7"/>
      <c r="P149" s="7"/>
      <c r="Q149" s="7"/>
      <c r="R149" s="7"/>
      <c r="S149" s="7"/>
      <c r="T149" s="7"/>
      <c r="U149" s="7"/>
      <c r="W149" s="7"/>
      <c r="X149" s="7"/>
    </row>
    <row r="150" spans="1:24" ht="12">
      <c r="A150" s="289"/>
      <c r="B150" s="35"/>
      <c r="C150" s="7"/>
      <c r="D150" s="7"/>
      <c r="E150" s="7"/>
      <c r="F150" s="7"/>
      <c r="G150" s="35"/>
      <c r="H150" s="7"/>
      <c r="I150" s="35"/>
      <c r="J150" s="35"/>
      <c r="K150" s="39"/>
      <c r="L150" s="7"/>
      <c r="M150" s="7"/>
      <c r="N150" s="7"/>
      <c r="O150" s="7"/>
      <c r="P150" s="7"/>
      <c r="Q150" s="7"/>
      <c r="R150" s="7"/>
      <c r="S150" s="7"/>
      <c r="T150" s="7"/>
      <c r="U150" s="7"/>
      <c r="W150" s="7"/>
      <c r="X150" s="7"/>
    </row>
    <row r="151" spans="1:24" ht="12">
      <c r="A151" s="289"/>
      <c r="B151" s="35"/>
      <c r="C151" s="7"/>
      <c r="D151" s="7"/>
      <c r="E151" s="7"/>
      <c r="F151" s="7"/>
      <c r="G151" s="35"/>
      <c r="H151" s="7"/>
      <c r="I151" s="35"/>
      <c r="J151" s="35"/>
      <c r="K151" s="39"/>
      <c r="L151" s="7"/>
      <c r="M151" s="7"/>
      <c r="N151" s="7"/>
      <c r="O151" s="7"/>
      <c r="P151" s="7"/>
      <c r="Q151" s="7"/>
      <c r="R151" s="7"/>
      <c r="S151" s="7"/>
      <c r="T151" s="7"/>
      <c r="U151" s="7"/>
      <c r="W151" s="7"/>
      <c r="X151" s="7"/>
    </row>
    <row r="152" spans="1:24" ht="12">
      <c r="A152" s="289"/>
      <c r="B152" s="35"/>
      <c r="C152" s="7"/>
      <c r="D152" s="7"/>
      <c r="E152" s="7"/>
      <c r="F152" s="7"/>
      <c r="G152" s="35"/>
      <c r="H152" s="7"/>
      <c r="I152" s="35"/>
      <c r="J152" s="35"/>
      <c r="K152" s="39"/>
      <c r="L152" s="7"/>
      <c r="M152" s="7"/>
      <c r="N152" s="7"/>
      <c r="O152" s="7"/>
      <c r="P152" s="7"/>
      <c r="Q152" s="7"/>
      <c r="R152" s="7"/>
      <c r="S152" s="7"/>
      <c r="T152" s="7"/>
      <c r="U152" s="7"/>
      <c r="W152" s="7"/>
      <c r="X152" s="7"/>
    </row>
    <row r="153" spans="1:24" ht="12">
      <c r="A153" s="289"/>
      <c r="B153" s="35"/>
      <c r="C153" s="7"/>
      <c r="D153" s="7"/>
      <c r="E153" s="7"/>
      <c r="F153" s="7"/>
      <c r="G153" s="35"/>
      <c r="H153" s="7"/>
      <c r="I153" s="35"/>
      <c r="J153" s="35"/>
      <c r="K153" s="39"/>
      <c r="L153" s="7"/>
      <c r="M153" s="7"/>
      <c r="N153" s="7"/>
      <c r="O153" s="7"/>
      <c r="P153" s="7"/>
      <c r="Q153" s="7"/>
      <c r="R153" s="7"/>
      <c r="S153" s="7"/>
      <c r="T153" s="7"/>
      <c r="U153" s="7"/>
      <c r="W153" s="7"/>
      <c r="X153" s="7"/>
    </row>
    <row r="154" spans="1:24" ht="12">
      <c r="A154" s="289"/>
      <c r="B154" s="35"/>
      <c r="C154" s="7"/>
      <c r="D154" s="7"/>
      <c r="E154" s="7"/>
      <c r="F154" s="7"/>
      <c r="G154" s="35"/>
      <c r="H154" s="7"/>
      <c r="I154" s="35"/>
      <c r="J154" s="35"/>
      <c r="K154" s="39"/>
      <c r="L154" s="7"/>
      <c r="M154" s="7"/>
      <c r="N154" s="7"/>
      <c r="O154" s="7"/>
      <c r="P154" s="7"/>
      <c r="Q154" s="7"/>
      <c r="R154" s="7"/>
      <c r="S154" s="7"/>
      <c r="T154" s="7"/>
      <c r="U154" s="7"/>
      <c r="W154" s="7"/>
      <c r="X154" s="7"/>
    </row>
    <row r="155" spans="1:24" ht="12">
      <c r="A155" s="289"/>
      <c r="B155" s="35"/>
      <c r="C155" s="7"/>
      <c r="D155" s="7"/>
      <c r="E155" s="7"/>
      <c r="F155" s="7"/>
      <c r="G155" s="35"/>
      <c r="H155" s="7"/>
      <c r="I155" s="35"/>
      <c r="J155" s="35"/>
      <c r="K155" s="39"/>
      <c r="L155" s="7"/>
      <c r="M155" s="7"/>
      <c r="N155" s="7"/>
      <c r="O155" s="7"/>
      <c r="P155" s="7"/>
      <c r="Q155" s="7"/>
      <c r="R155" s="7"/>
      <c r="S155" s="7"/>
      <c r="T155" s="7"/>
      <c r="U155" s="7"/>
      <c r="W155" s="7"/>
      <c r="X155" s="7"/>
    </row>
    <row r="156" spans="1:24" ht="12">
      <c r="A156" s="289"/>
      <c r="B156" s="35"/>
      <c r="C156" s="7"/>
      <c r="D156" s="7"/>
      <c r="E156" s="7"/>
      <c r="F156" s="7"/>
      <c r="G156" s="35"/>
      <c r="H156" s="7"/>
      <c r="I156" s="35"/>
      <c r="J156" s="35"/>
      <c r="K156" s="39"/>
      <c r="L156" s="7"/>
      <c r="M156" s="7"/>
      <c r="N156" s="7"/>
      <c r="O156" s="7"/>
      <c r="P156" s="7"/>
      <c r="Q156" s="7"/>
      <c r="R156" s="7"/>
      <c r="S156" s="7"/>
      <c r="T156" s="7"/>
      <c r="U156" s="7"/>
      <c r="W156" s="7"/>
      <c r="X156" s="7"/>
    </row>
    <row r="157" spans="1:24" ht="12">
      <c r="A157" s="289"/>
      <c r="B157" s="35"/>
      <c r="C157" s="7"/>
      <c r="D157" s="7"/>
      <c r="E157" s="7"/>
      <c r="F157" s="7"/>
      <c r="G157" s="35"/>
      <c r="H157" s="7"/>
      <c r="I157" s="35"/>
      <c r="J157" s="35"/>
      <c r="K157" s="39"/>
      <c r="L157" s="7"/>
      <c r="M157" s="7"/>
      <c r="N157" s="7"/>
      <c r="O157" s="7"/>
      <c r="P157" s="7"/>
      <c r="Q157" s="7"/>
      <c r="R157" s="7"/>
      <c r="S157" s="7"/>
      <c r="T157" s="7"/>
      <c r="U157" s="7"/>
      <c r="W157" s="7"/>
      <c r="X157" s="7"/>
    </row>
    <row r="158" spans="1:24" ht="12">
      <c r="A158" s="289"/>
      <c r="B158" s="35"/>
      <c r="C158" s="7"/>
      <c r="D158" s="7"/>
      <c r="E158" s="7"/>
      <c r="F158" s="7"/>
      <c r="G158" s="35"/>
      <c r="H158" s="7"/>
      <c r="I158" s="35"/>
      <c r="J158" s="35"/>
      <c r="K158" s="39"/>
      <c r="L158" s="7"/>
      <c r="M158" s="7"/>
      <c r="N158" s="7"/>
      <c r="O158" s="7"/>
      <c r="P158" s="7"/>
      <c r="Q158" s="7"/>
      <c r="R158" s="7"/>
      <c r="S158" s="7"/>
      <c r="T158" s="7"/>
      <c r="U158" s="7"/>
      <c r="W158" s="7"/>
      <c r="X158" s="7"/>
    </row>
    <row r="159" spans="1:24" ht="12">
      <c r="A159" s="289"/>
      <c r="B159" s="35"/>
      <c r="C159" s="7"/>
      <c r="D159" s="7"/>
      <c r="E159" s="7"/>
      <c r="F159" s="7"/>
      <c r="G159" s="35"/>
      <c r="H159" s="7"/>
      <c r="I159" s="35"/>
      <c r="J159" s="35"/>
      <c r="K159" s="39"/>
      <c r="L159" s="7"/>
      <c r="M159" s="7"/>
      <c r="N159" s="7"/>
      <c r="O159" s="7"/>
      <c r="P159" s="7"/>
      <c r="Q159" s="7"/>
      <c r="R159" s="7"/>
      <c r="S159" s="7"/>
      <c r="T159" s="7"/>
      <c r="U159" s="7"/>
      <c r="W159" s="7"/>
      <c r="X159" s="7"/>
    </row>
    <row r="160" spans="1:24" ht="12">
      <c r="A160" s="289"/>
      <c r="B160" s="35"/>
      <c r="C160" s="7"/>
      <c r="D160" s="7"/>
      <c r="E160" s="7"/>
      <c r="F160" s="7"/>
      <c r="G160" s="35"/>
      <c r="H160" s="7"/>
      <c r="I160" s="35"/>
      <c r="J160" s="35"/>
      <c r="K160" s="39"/>
      <c r="L160" s="7"/>
      <c r="M160" s="7"/>
      <c r="N160" s="7"/>
      <c r="O160" s="7"/>
      <c r="P160" s="7"/>
      <c r="Q160" s="7"/>
      <c r="R160" s="7"/>
      <c r="S160" s="7"/>
      <c r="T160" s="7"/>
      <c r="U160" s="7"/>
      <c r="W160" s="7"/>
      <c r="X160" s="7"/>
    </row>
    <row r="161" spans="1:24" ht="12">
      <c r="A161" s="289"/>
      <c r="B161" s="35"/>
      <c r="C161" s="7"/>
      <c r="D161" s="7"/>
      <c r="E161" s="7"/>
      <c r="F161" s="7"/>
      <c r="G161" s="35"/>
      <c r="H161" s="7"/>
      <c r="I161" s="35"/>
      <c r="J161" s="35"/>
      <c r="K161" s="39"/>
      <c r="L161" s="7"/>
      <c r="M161" s="7"/>
      <c r="N161" s="7"/>
      <c r="O161" s="7"/>
      <c r="P161" s="7"/>
      <c r="Q161" s="7"/>
      <c r="R161" s="7"/>
      <c r="S161" s="7"/>
      <c r="T161" s="7"/>
      <c r="U161" s="7"/>
      <c r="W161" s="7"/>
      <c r="X161" s="7"/>
    </row>
    <row r="162" spans="1:24" ht="12">
      <c r="A162" s="289"/>
      <c r="B162" s="35"/>
      <c r="C162" s="7"/>
      <c r="D162" s="7"/>
      <c r="E162" s="7"/>
      <c r="F162" s="7"/>
      <c r="G162" s="35"/>
      <c r="H162" s="7"/>
      <c r="I162" s="35"/>
      <c r="J162" s="35"/>
      <c r="K162" s="39"/>
      <c r="L162" s="7"/>
      <c r="M162" s="7"/>
      <c r="N162" s="7"/>
      <c r="O162" s="7"/>
      <c r="P162" s="7"/>
      <c r="Q162" s="7"/>
      <c r="R162" s="7"/>
      <c r="S162" s="7"/>
      <c r="T162" s="7"/>
      <c r="U162" s="7"/>
      <c r="W162" s="7"/>
      <c r="X162" s="7"/>
    </row>
    <row r="163" spans="1:24" ht="12">
      <c r="A163" s="289"/>
      <c r="B163" s="35"/>
      <c r="C163" s="7"/>
      <c r="D163" s="7"/>
      <c r="E163" s="7"/>
      <c r="F163" s="7"/>
      <c r="G163" s="35"/>
      <c r="H163" s="7"/>
      <c r="I163" s="35"/>
      <c r="J163" s="35"/>
      <c r="K163" s="39"/>
      <c r="L163" s="7"/>
      <c r="M163" s="7"/>
      <c r="N163" s="7"/>
      <c r="O163" s="7"/>
      <c r="P163" s="7"/>
      <c r="Q163" s="7"/>
      <c r="R163" s="7"/>
      <c r="S163" s="7"/>
      <c r="T163" s="7"/>
      <c r="U163" s="7"/>
      <c r="W163" s="7"/>
      <c r="X163" s="7"/>
    </row>
    <row r="164" spans="1:24" ht="12">
      <c r="A164" s="289"/>
      <c r="B164" s="35"/>
      <c r="C164" s="7"/>
      <c r="D164" s="7"/>
      <c r="E164" s="7"/>
      <c r="F164" s="7"/>
      <c r="G164" s="35"/>
      <c r="H164" s="7"/>
      <c r="I164" s="35"/>
      <c r="J164" s="35"/>
      <c r="K164" s="39"/>
      <c r="L164" s="7"/>
      <c r="M164" s="7"/>
      <c r="N164" s="7"/>
      <c r="O164" s="7"/>
      <c r="P164" s="7"/>
      <c r="Q164" s="7"/>
      <c r="R164" s="7"/>
      <c r="S164" s="7"/>
      <c r="T164" s="7"/>
      <c r="U164" s="7"/>
      <c r="W164" s="7"/>
      <c r="X164" s="7"/>
    </row>
    <row r="165" spans="1:24" ht="12">
      <c r="A165" s="289"/>
      <c r="B165" s="35"/>
      <c r="C165" s="7"/>
      <c r="D165" s="7"/>
      <c r="E165" s="7"/>
      <c r="F165" s="7"/>
      <c r="G165" s="35"/>
      <c r="H165" s="7"/>
      <c r="I165" s="35"/>
      <c r="J165" s="35"/>
      <c r="K165" s="39"/>
      <c r="L165" s="7"/>
      <c r="M165" s="7"/>
      <c r="N165" s="7"/>
      <c r="O165" s="7"/>
      <c r="P165" s="7"/>
      <c r="Q165" s="7"/>
      <c r="R165" s="7"/>
      <c r="S165" s="7"/>
      <c r="T165" s="7"/>
      <c r="U165" s="7"/>
      <c r="W165" s="7"/>
      <c r="X165" s="7"/>
    </row>
    <row r="166" spans="1:24" ht="12">
      <c r="A166" s="289"/>
      <c r="B166" s="35"/>
      <c r="C166" s="7"/>
      <c r="D166" s="7"/>
      <c r="E166" s="7"/>
      <c r="F166" s="7"/>
      <c r="G166" s="35"/>
      <c r="H166" s="7"/>
      <c r="I166" s="35"/>
      <c r="J166" s="35"/>
      <c r="K166" s="39"/>
      <c r="L166" s="7"/>
      <c r="M166" s="7"/>
      <c r="N166" s="7"/>
      <c r="O166" s="7"/>
      <c r="P166" s="7"/>
      <c r="Q166" s="7"/>
      <c r="R166" s="7"/>
      <c r="S166" s="7"/>
      <c r="T166" s="7"/>
      <c r="U166" s="7"/>
      <c r="W166" s="7"/>
      <c r="X166" s="7"/>
    </row>
    <row r="167" spans="1:24" ht="12">
      <c r="A167" s="289"/>
      <c r="B167" s="35"/>
      <c r="C167" s="7"/>
      <c r="D167" s="7"/>
      <c r="E167" s="7"/>
      <c r="F167" s="7"/>
      <c r="G167" s="35"/>
      <c r="H167" s="7"/>
      <c r="I167" s="35"/>
      <c r="J167" s="35"/>
      <c r="K167" s="39"/>
      <c r="L167" s="7"/>
      <c r="M167" s="7"/>
      <c r="N167" s="7"/>
      <c r="O167" s="7"/>
      <c r="P167" s="7"/>
      <c r="Q167" s="7"/>
      <c r="R167" s="7"/>
      <c r="S167" s="7"/>
      <c r="T167" s="7"/>
      <c r="U167" s="7"/>
      <c r="W167" s="7"/>
      <c r="X167" s="7"/>
    </row>
    <row r="168" spans="1:24" ht="12">
      <c r="A168" s="289"/>
      <c r="B168" s="35"/>
      <c r="C168" s="7"/>
      <c r="D168" s="7"/>
      <c r="E168" s="7"/>
      <c r="F168" s="7"/>
      <c r="G168" s="35"/>
      <c r="H168" s="7"/>
      <c r="I168" s="35"/>
      <c r="J168" s="35"/>
      <c r="K168" s="39"/>
      <c r="L168" s="7"/>
      <c r="M168" s="7"/>
      <c r="N168" s="7"/>
      <c r="O168" s="7"/>
      <c r="P168" s="7"/>
      <c r="Q168" s="7"/>
      <c r="R168" s="7"/>
      <c r="S168" s="7"/>
      <c r="T168" s="7"/>
      <c r="U168" s="7"/>
      <c r="W168" s="7"/>
      <c r="X168" s="7"/>
    </row>
    <row r="169" spans="1:24" ht="12">
      <c r="A169" s="289"/>
      <c r="B169" s="35"/>
      <c r="C169" s="7"/>
      <c r="D169" s="7"/>
      <c r="E169" s="7"/>
      <c r="F169" s="7"/>
      <c r="G169" s="35"/>
      <c r="H169" s="7"/>
      <c r="I169" s="35"/>
      <c r="J169" s="35"/>
      <c r="K169" s="39"/>
      <c r="L169" s="7"/>
      <c r="M169" s="7"/>
      <c r="N169" s="7"/>
      <c r="O169" s="7"/>
      <c r="P169" s="7"/>
      <c r="Q169" s="7"/>
      <c r="R169" s="7"/>
      <c r="S169" s="7"/>
      <c r="T169" s="7"/>
      <c r="U169" s="7"/>
      <c r="W169" s="7"/>
      <c r="X169" s="7"/>
    </row>
    <row r="170" spans="1:24" ht="12">
      <c r="A170" s="289"/>
      <c r="B170" s="35"/>
      <c r="C170" s="7"/>
      <c r="D170" s="7"/>
      <c r="E170" s="7"/>
      <c r="F170" s="7"/>
      <c r="G170" s="35"/>
      <c r="H170" s="7"/>
      <c r="I170" s="35"/>
      <c r="J170" s="35"/>
      <c r="K170" s="39"/>
      <c r="L170" s="7"/>
      <c r="M170" s="7"/>
      <c r="N170" s="7"/>
      <c r="O170" s="7"/>
      <c r="P170" s="7"/>
      <c r="Q170" s="7"/>
      <c r="R170" s="7"/>
      <c r="S170" s="7"/>
      <c r="T170" s="7"/>
      <c r="U170" s="7"/>
      <c r="W170" s="7"/>
      <c r="X170" s="7"/>
    </row>
    <row r="171" spans="1:24" ht="12">
      <c r="A171" s="289"/>
      <c r="B171" s="35"/>
      <c r="C171" s="7"/>
      <c r="D171" s="7"/>
      <c r="E171" s="7"/>
      <c r="F171" s="7"/>
      <c r="G171" s="35"/>
      <c r="H171" s="7"/>
      <c r="I171" s="35"/>
      <c r="J171" s="35"/>
      <c r="K171" s="39"/>
      <c r="L171" s="7"/>
      <c r="M171" s="7"/>
      <c r="N171" s="7"/>
      <c r="O171" s="7"/>
      <c r="P171" s="7"/>
      <c r="Q171" s="7"/>
      <c r="R171" s="7"/>
      <c r="S171" s="7"/>
      <c r="T171" s="7"/>
      <c r="U171" s="7"/>
      <c r="W171" s="7"/>
      <c r="X171" s="7"/>
    </row>
    <row r="172" spans="1:24" ht="12">
      <c r="A172" s="289"/>
      <c r="B172" s="35"/>
      <c r="C172" s="7"/>
      <c r="D172" s="7"/>
      <c r="E172" s="7"/>
      <c r="F172" s="7"/>
      <c r="G172" s="35"/>
      <c r="H172" s="7"/>
      <c r="I172" s="35"/>
      <c r="J172" s="35"/>
      <c r="K172" s="39"/>
      <c r="L172" s="7"/>
      <c r="M172" s="7"/>
      <c r="N172" s="7"/>
      <c r="O172" s="7"/>
      <c r="P172" s="7"/>
      <c r="Q172" s="7"/>
      <c r="R172" s="7"/>
      <c r="S172" s="7"/>
      <c r="T172" s="7"/>
      <c r="U172" s="7"/>
      <c r="W172" s="7"/>
      <c r="X172" s="7"/>
    </row>
    <row r="173" spans="1:24" ht="12">
      <c r="A173" s="289"/>
      <c r="B173" s="35"/>
      <c r="C173" s="7"/>
      <c r="D173" s="7"/>
      <c r="E173" s="7"/>
      <c r="F173" s="7"/>
      <c r="G173" s="35"/>
      <c r="H173" s="7"/>
      <c r="I173" s="35"/>
      <c r="J173" s="35"/>
      <c r="K173" s="39"/>
      <c r="L173" s="7"/>
      <c r="M173" s="7"/>
      <c r="N173" s="7"/>
      <c r="O173" s="7"/>
      <c r="P173" s="7"/>
      <c r="Q173" s="7"/>
      <c r="R173" s="7"/>
      <c r="S173" s="7"/>
      <c r="T173" s="7"/>
      <c r="U173" s="7"/>
      <c r="W173" s="7"/>
      <c r="X173" s="7"/>
    </row>
    <row r="174" spans="1:24" ht="12">
      <c r="A174" s="289"/>
      <c r="B174" s="35"/>
      <c r="C174" s="7"/>
      <c r="D174" s="7"/>
      <c r="E174" s="7"/>
      <c r="F174" s="7"/>
      <c r="G174" s="35"/>
      <c r="H174" s="7"/>
      <c r="I174" s="35"/>
      <c r="J174" s="35"/>
      <c r="K174" s="39"/>
      <c r="L174" s="7"/>
      <c r="M174" s="7"/>
      <c r="N174" s="7"/>
      <c r="O174" s="7"/>
      <c r="P174" s="7"/>
      <c r="Q174" s="7"/>
      <c r="R174" s="7"/>
      <c r="S174" s="7"/>
      <c r="T174" s="7"/>
      <c r="U174" s="7"/>
      <c r="W174" s="7"/>
      <c r="X174" s="7"/>
    </row>
    <row r="175" spans="1:24" ht="12">
      <c r="A175" s="289"/>
      <c r="B175" s="35"/>
      <c r="C175" s="7"/>
      <c r="D175" s="7"/>
      <c r="E175" s="7"/>
      <c r="F175" s="7"/>
      <c r="G175" s="35"/>
      <c r="H175" s="7"/>
      <c r="I175" s="35"/>
      <c r="J175" s="35"/>
      <c r="K175" s="39"/>
      <c r="L175" s="7"/>
      <c r="M175" s="7"/>
      <c r="N175" s="7"/>
      <c r="O175" s="7"/>
      <c r="P175" s="7"/>
      <c r="Q175" s="7"/>
      <c r="R175" s="7"/>
      <c r="S175" s="7"/>
      <c r="T175" s="7"/>
      <c r="U175" s="7"/>
      <c r="W175" s="7"/>
      <c r="X175" s="7"/>
    </row>
    <row r="176" spans="1:24" ht="12">
      <c r="A176" s="289"/>
      <c r="B176" s="35"/>
      <c r="C176" s="7"/>
      <c r="D176" s="7"/>
      <c r="E176" s="7"/>
      <c r="F176" s="7"/>
      <c r="G176" s="35"/>
      <c r="H176" s="7"/>
      <c r="I176" s="35"/>
      <c r="J176" s="35"/>
      <c r="K176" s="39"/>
      <c r="L176" s="7"/>
      <c r="M176" s="7"/>
      <c r="N176" s="7"/>
      <c r="O176" s="7"/>
      <c r="P176" s="7"/>
      <c r="Q176" s="7"/>
      <c r="R176" s="7"/>
      <c r="S176" s="7"/>
      <c r="T176" s="7"/>
      <c r="U176" s="7"/>
      <c r="W176" s="7"/>
      <c r="X176" s="7"/>
    </row>
    <row r="177" spans="1:24" ht="12">
      <c r="A177" s="289"/>
      <c r="B177" s="35"/>
      <c r="C177" s="7"/>
      <c r="D177" s="7"/>
      <c r="E177" s="7"/>
      <c r="F177" s="7"/>
      <c r="G177" s="35"/>
      <c r="H177" s="7"/>
      <c r="I177" s="35"/>
      <c r="J177" s="35"/>
      <c r="K177" s="39"/>
      <c r="L177" s="7"/>
      <c r="M177" s="7"/>
      <c r="N177" s="7"/>
      <c r="O177" s="7"/>
      <c r="P177" s="7"/>
      <c r="Q177" s="7"/>
      <c r="R177" s="7"/>
      <c r="S177" s="7"/>
      <c r="T177" s="7"/>
      <c r="U177" s="7"/>
      <c r="W177" s="7"/>
      <c r="X177" s="7"/>
    </row>
    <row r="178" spans="1:24" ht="12">
      <c r="A178" s="289"/>
      <c r="B178" s="35"/>
      <c r="C178" s="7"/>
      <c r="D178" s="7"/>
      <c r="E178" s="7"/>
      <c r="F178" s="7"/>
      <c r="G178" s="35"/>
      <c r="H178" s="7"/>
      <c r="I178" s="35"/>
      <c r="J178" s="35"/>
      <c r="K178" s="39"/>
      <c r="L178" s="7"/>
      <c r="M178" s="7"/>
      <c r="N178" s="7"/>
      <c r="O178" s="7"/>
      <c r="P178" s="7"/>
      <c r="Q178" s="7"/>
      <c r="R178" s="7"/>
      <c r="S178" s="7"/>
      <c r="T178" s="7"/>
      <c r="U178" s="7"/>
      <c r="W178" s="7"/>
      <c r="X178" s="7"/>
    </row>
    <row r="179" spans="1:24" ht="12">
      <c r="A179" s="289"/>
      <c r="B179" s="35"/>
      <c r="C179" s="7"/>
      <c r="D179" s="7"/>
      <c r="E179" s="7"/>
      <c r="F179" s="7"/>
      <c r="G179" s="35"/>
      <c r="H179" s="7"/>
      <c r="I179" s="35"/>
      <c r="J179" s="35"/>
      <c r="K179" s="39"/>
      <c r="L179" s="7"/>
      <c r="M179" s="7"/>
      <c r="N179" s="7"/>
      <c r="O179" s="7"/>
      <c r="P179" s="7"/>
      <c r="Q179" s="7"/>
      <c r="R179" s="7"/>
      <c r="S179" s="7"/>
      <c r="T179" s="7"/>
      <c r="U179" s="7"/>
      <c r="W179" s="7"/>
      <c r="X179" s="7"/>
    </row>
    <row r="180" spans="1:24" ht="12">
      <c r="A180" s="289"/>
      <c r="B180" s="35"/>
      <c r="C180" s="7"/>
      <c r="D180" s="7"/>
      <c r="E180" s="7"/>
      <c r="F180" s="7"/>
      <c r="G180" s="35"/>
      <c r="H180" s="7"/>
      <c r="I180" s="35"/>
      <c r="J180" s="35"/>
      <c r="K180" s="39"/>
      <c r="L180" s="7"/>
      <c r="M180" s="7"/>
      <c r="N180" s="7"/>
      <c r="O180" s="7"/>
      <c r="P180" s="7"/>
      <c r="Q180" s="7"/>
      <c r="R180" s="7"/>
      <c r="S180" s="7"/>
      <c r="T180" s="7"/>
      <c r="U180" s="7"/>
      <c r="W180" s="7"/>
      <c r="X180" s="7"/>
    </row>
    <row r="181" spans="1:24" ht="12">
      <c r="A181" s="289"/>
      <c r="B181" s="35"/>
      <c r="C181" s="7"/>
      <c r="D181" s="7"/>
      <c r="E181" s="7"/>
      <c r="F181" s="7"/>
      <c r="G181" s="35"/>
      <c r="H181" s="7"/>
      <c r="I181" s="35"/>
      <c r="J181" s="35"/>
      <c r="K181" s="39"/>
      <c r="L181" s="7"/>
      <c r="M181" s="7"/>
      <c r="N181" s="7"/>
      <c r="O181" s="7"/>
      <c r="P181" s="7"/>
      <c r="Q181" s="7"/>
      <c r="R181" s="7"/>
      <c r="S181" s="7"/>
      <c r="T181" s="7"/>
      <c r="U181" s="7"/>
      <c r="W181" s="7"/>
      <c r="X181" s="7"/>
    </row>
    <row r="182" spans="1:24" ht="12">
      <c r="A182" s="289"/>
      <c r="B182" s="35"/>
      <c r="C182" s="7"/>
      <c r="D182" s="7"/>
      <c r="E182" s="7"/>
      <c r="F182" s="7"/>
      <c r="G182" s="35"/>
      <c r="H182" s="7"/>
      <c r="I182" s="35"/>
      <c r="J182" s="35"/>
      <c r="K182" s="39"/>
      <c r="L182" s="7"/>
      <c r="M182" s="7"/>
      <c r="N182" s="7"/>
      <c r="O182" s="7"/>
      <c r="P182" s="7"/>
      <c r="Q182" s="7"/>
      <c r="R182" s="7"/>
      <c r="S182" s="7"/>
      <c r="T182" s="7"/>
      <c r="U182" s="7"/>
      <c r="W182" s="7"/>
      <c r="X182" s="7"/>
    </row>
    <row r="183" spans="1:24" ht="12">
      <c r="A183" s="289"/>
      <c r="B183" s="35"/>
      <c r="C183" s="7"/>
      <c r="D183" s="7"/>
      <c r="E183" s="7"/>
      <c r="F183" s="7"/>
      <c r="G183" s="35"/>
      <c r="H183" s="7"/>
      <c r="I183" s="35"/>
      <c r="J183" s="35"/>
      <c r="K183" s="39"/>
      <c r="L183" s="7"/>
      <c r="M183" s="7"/>
      <c r="N183" s="7"/>
      <c r="O183" s="7"/>
      <c r="P183" s="7"/>
      <c r="Q183" s="7"/>
      <c r="R183" s="7"/>
      <c r="S183" s="7"/>
      <c r="T183" s="7"/>
      <c r="U183" s="7"/>
      <c r="W183" s="7"/>
      <c r="X183" s="7"/>
    </row>
    <row r="184" spans="1:24" ht="12">
      <c r="A184" s="289"/>
      <c r="B184" s="35"/>
      <c r="C184" s="7"/>
      <c r="D184" s="7"/>
      <c r="E184" s="7"/>
      <c r="F184" s="7"/>
      <c r="G184" s="35"/>
      <c r="H184" s="7"/>
      <c r="I184" s="35"/>
      <c r="J184" s="35"/>
      <c r="K184" s="39"/>
      <c r="L184" s="7"/>
      <c r="M184" s="7"/>
      <c r="N184" s="7"/>
      <c r="O184" s="7"/>
      <c r="P184" s="7"/>
      <c r="Q184" s="7"/>
      <c r="R184" s="7"/>
      <c r="S184" s="7"/>
      <c r="T184" s="7"/>
      <c r="U184" s="7"/>
      <c r="W184" s="7"/>
      <c r="X184" s="7"/>
    </row>
    <row r="185" spans="1:24" ht="12">
      <c r="A185" s="289"/>
      <c r="B185" s="35"/>
      <c r="C185" s="7"/>
      <c r="D185" s="7"/>
      <c r="E185" s="7"/>
      <c r="F185" s="7"/>
      <c r="G185" s="35"/>
      <c r="H185" s="7"/>
      <c r="I185" s="35"/>
      <c r="J185" s="35"/>
      <c r="K185" s="39"/>
      <c r="L185" s="7"/>
      <c r="M185" s="7"/>
      <c r="N185" s="7"/>
      <c r="O185" s="7"/>
      <c r="P185" s="7"/>
      <c r="Q185" s="7"/>
      <c r="R185" s="7"/>
      <c r="S185" s="7"/>
      <c r="T185" s="7"/>
      <c r="U185" s="7"/>
      <c r="W185" s="7"/>
      <c r="X185" s="7"/>
    </row>
    <row r="186" spans="1:24" ht="12">
      <c r="A186" s="289"/>
      <c r="B186" s="35"/>
      <c r="C186" s="7"/>
      <c r="D186" s="7"/>
      <c r="E186" s="7"/>
      <c r="F186" s="7"/>
      <c r="G186" s="35"/>
      <c r="H186" s="7"/>
      <c r="I186" s="35"/>
      <c r="J186" s="35"/>
      <c r="K186" s="39"/>
      <c r="L186" s="7"/>
      <c r="M186" s="7"/>
      <c r="N186" s="7"/>
      <c r="O186" s="7"/>
      <c r="P186" s="7"/>
      <c r="Q186" s="7"/>
      <c r="R186" s="7"/>
      <c r="S186" s="7"/>
      <c r="T186" s="7"/>
      <c r="U186" s="7"/>
      <c r="W186" s="7"/>
      <c r="X186" s="7"/>
    </row>
    <row r="187" spans="1:24" ht="12">
      <c r="A187" s="289"/>
      <c r="B187" s="35"/>
      <c r="C187" s="7"/>
      <c r="D187" s="7"/>
      <c r="E187" s="7"/>
      <c r="F187" s="7"/>
      <c r="G187" s="35"/>
      <c r="H187" s="7"/>
      <c r="I187" s="35"/>
      <c r="J187" s="35"/>
      <c r="K187" s="39"/>
      <c r="L187" s="7"/>
      <c r="M187" s="7"/>
      <c r="N187" s="7"/>
      <c r="O187" s="7"/>
      <c r="P187" s="7"/>
      <c r="Q187" s="7"/>
      <c r="R187" s="7"/>
      <c r="S187" s="7"/>
      <c r="T187" s="7"/>
      <c r="U187" s="7"/>
      <c r="W187" s="7"/>
      <c r="X187" s="7"/>
    </row>
    <row r="188" spans="1:24" ht="12">
      <c r="A188" s="289"/>
      <c r="B188" s="35"/>
      <c r="C188" s="7"/>
      <c r="D188" s="7"/>
      <c r="E188" s="7"/>
      <c r="F188" s="7"/>
      <c r="G188" s="35"/>
      <c r="H188" s="7"/>
      <c r="I188" s="35"/>
      <c r="J188" s="35"/>
      <c r="K188" s="39"/>
      <c r="L188" s="7"/>
      <c r="M188" s="7"/>
      <c r="N188" s="7"/>
      <c r="O188" s="7"/>
      <c r="P188" s="7"/>
      <c r="Q188" s="7"/>
      <c r="R188" s="7"/>
      <c r="S188" s="7"/>
      <c r="T188" s="7"/>
      <c r="U188" s="7"/>
      <c r="W188" s="7"/>
      <c r="X188" s="7"/>
    </row>
    <row r="189" spans="1:24" ht="12">
      <c r="A189" s="289"/>
      <c r="B189" s="35"/>
      <c r="C189" s="7"/>
      <c r="D189" s="7"/>
      <c r="E189" s="7"/>
      <c r="F189" s="7"/>
      <c r="G189" s="35"/>
      <c r="H189" s="7"/>
      <c r="I189" s="35"/>
      <c r="J189" s="35"/>
      <c r="K189" s="39"/>
      <c r="L189" s="7"/>
      <c r="M189" s="7"/>
      <c r="N189" s="7"/>
      <c r="O189" s="7"/>
      <c r="P189" s="7"/>
      <c r="Q189" s="7"/>
      <c r="R189" s="7"/>
      <c r="S189" s="7"/>
      <c r="T189" s="7"/>
      <c r="U189" s="7"/>
      <c r="W189" s="7"/>
      <c r="X189" s="7"/>
    </row>
    <row r="190" spans="1:24" ht="12">
      <c r="A190" s="289"/>
      <c r="B190" s="35"/>
      <c r="C190" s="7"/>
      <c r="D190" s="7"/>
      <c r="E190" s="7"/>
      <c r="F190" s="7"/>
      <c r="G190" s="35"/>
      <c r="H190" s="7"/>
      <c r="I190" s="35"/>
      <c r="J190" s="35"/>
      <c r="K190" s="39"/>
      <c r="L190" s="7"/>
      <c r="M190" s="7"/>
      <c r="N190" s="7"/>
      <c r="O190" s="7"/>
      <c r="P190" s="7"/>
      <c r="Q190" s="7"/>
      <c r="R190" s="7"/>
      <c r="S190" s="7"/>
      <c r="T190" s="7"/>
      <c r="U190" s="7"/>
      <c r="W190" s="7"/>
      <c r="X190" s="7"/>
    </row>
    <row r="191" ht="12">
      <c r="I191" s="12"/>
    </row>
    <row r="192" ht="12">
      <c r="I192" s="12"/>
    </row>
    <row r="193" ht="12">
      <c r="I193" s="12"/>
    </row>
    <row r="194" ht="12">
      <c r="I194" s="12"/>
    </row>
    <row r="195" ht="12">
      <c r="I195" s="12"/>
    </row>
    <row r="196" ht="12">
      <c r="I196" s="12"/>
    </row>
    <row r="197" ht="12">
      <c r="I197" s="12"/>
    </row>
    <row r="198" ht="12">
      <c r="I198" s="12"/>
    </row>
    <row r="199" ht="12">
      <c r="I199" s="12"/>
    </row>
    <row r="200" ht="12">
      <c r="I200" s="12"/>
    </row>
    <row r="201" ht="12">
      <c r="I201" s="12"/>
    </row>
    <row r="202" ht="12">
      <c r="I202" s="12"/>
    </row>
    <row r="203" ht="12">
      <c r="I203" s="12"/>
    </row>
    <row r="204" ht="12">
      <c r="I204" s="12"/>
    </row>
    <row r="205" ht="12">
      <c r="I205" s="12"/>
    </row>
    <row r="206" ht="12">
      <c r="I206" s="12"/>
    </row>
    <row r="207" ht="12">
      <c r="I207" s="12"/>
    </row>
    <row r="208" ht="12">
      <c r="I208" s="12"/>
    </row>
    <row r="209" ht="12">
      <c r="I209" s="12"/>
    </row>
    <row r="210" ht="12">
      <c r="I210" s="12"/>
    </row>
    <row r="211" ht="12">
      <c r="I211" s="12"/>
    </row>
    <row r="212" ht="12">
      <c r="I212" s="12"/>
    </row>
    <row r="213" ht="12">
      <c r="I213" s="12"/>
    </row>
    <row r="214" ht="12">
      <c r="I214" s="12"/>
    </row>
    <row r="215" ht="12">
      <c r="I215" s="12"/>
    </row>
    <row r="216" ht="12">
      <c r="I216" s="12"/>
    </row>
    <row r="217" ht="12">
      <c r="I217" s="12"/>
    </row>
    <row r="218" ht="12">
      <c r="I218" s="12"/>
    </row>
    <row r="219" ht="12">
      <c r="I219" s="12"/>
    </row>
    <row r="220" ht="12">
      <c r="I220" s="12"/>
    </row>
    <row r="221" ht="12">
      <c r="I221" s="12"/>
    </row>
    <row r="222" ht="12">
      <c r="I222" s="12"/>
    </row>
    <row r="223" ht="12">
      <c r="I223" s="12"/>
    </row>
    <row r="224" ht="12">
      <c r="I224" s="12"/>
    </row>
    <row r="225" ht="12">
      <c r="I225" s="12"/>
    </row>
    <row r="226" ht="12">
      <c r="I226" s="12"/>
    </row>
    <row r="227" ht="12">
      <c r="I227" s="12"/>
    </row>
    <row r="228" ht="12">
      <c r="I228" s="12"/>
    </row>
    <row r="229" ht="12">
      <c r="I229" s="12"/>
    </row>
    <row r="230" ht="12">
      <c r="I230" s="12"/>
    </row>
    <row r="231" ht="12">
      <c r="I231" s="12"/>
    </row>
    <row r="232" ht="12">
      <c r="I232" s="12"/>
    </row>
    <row r="233" ht="12">
      <c r="I233" s="12"/>
    </row>
    <row r="234" ht="12">
      <c r="I234" s="12"/>
    </row>
    <row r="235" ht="12">
      <c r="I235" s="12"/>
    </row>
    <row r="236" ht="12">
      <c r="I236" s="12"/>
    </row>
    <row r="237" ht="12">
      <c r="I237" s="12"/>
    </row>
    <row r="238" ht="12">
      <c r="I238" s="12"/>
    </row>
    <row r="239" ht="12">
      <c r="I239" s="12"/>
    </row>
    <row r="240" ht="12">
      <c r="I240" s="12"/>
    </row>
    <row r="241" ht="12">
      <c r="I241" s="12"/>
    </row>
    <row r="242" ht="12">
      <c r="I242" s="12"/>
    </row>
    <row r="243" ht="12">
      <c r="I243" s="12"/>
    </row>
    <row r="244" ht="12">
      <c r="I244" s="12"/>
    </row>
    <row r="245" ht="12">
      <c r="I245" s="12"/>
    </row>
    <row r="246" ht="12">
      <c r="I246" s="12"/>
    </row>
    <row r="247" ht="12">
      <c r="I247" s="12"/>
    </row>
    <row r="248" ht="12">
      <c r="I248" s="12"/>
    </row>
    <row r="249" ht="12">
      <c r="I249" s="12"/>
    </row>
    <row r="250" ht="12">
      <c r="I250" s="12"/>
    </row>
    <row r="251" ht="12">
      <c r="I251" s="12"/>
    </row>
    <row r="252" ht="12">
      <c r="I252" s="12"/>
    </row>
    <row r="253" ht="12">
      <c r="I253" s="12"/>
    </row>
    <row r="254" ht="12">
      <c r="I254" s="12"/>
    </row>
    <row r="255" ht="12">
      <c r="I255" s="12"/>
    </row>
    <row r="256" ht="12">
      <c r="I256" s="12"/>
    </row>
    <row r="257" ht="12">
      <c r="I257" s="12"/>
    </row>
    <row r="258" ht="12">
      <c r="I258" s="12"/>
    </row>
    <row r="259" ht="12">
      <c r="I259" s="12"/>
    </row>
    <row r="260" ht="12">
      <c r="I260" s="12"/>
    </row>
    <row r="261" ht="12">
      <c r="I261" s="12"/>
    </row>
    <row r="262" ht="12">
      <c r="I262" s="12"/>
    </row>
    <row r="263" ht="12">
      <c r="I263" s="12"/>
    </row>
    <row r="264" ht="12">
      <c r="I264" s="12"/>
    </row>
    <row r="265" ht="12">
      <c r="I265" s="12"/>
    </row>
    <row r="266" ht="12">
      <c r="I266" s="12"/>
    </row>
    <row r="267" ht="12">
      <c r="I267" s="12"/>
    </row>
    <row r="268" ht="12">
      <c r="I268" s="12"/>
    </row>
    <row r="269" ht="12">
      <c r="I269" s="12"/>
    </row>
    <row r="270" ht="12">
      <c r="I270" s="12"/>
    </row>
    <row r="271" ht="12">
      <c r="I271" s="12"/>
    </row>
    <row r="272" ht="12">
      <c r="I272" s="12"/>
    </row>
    <row r="273" ht="12">
      <c r="I273" s="12"/>
    </row>
    <row r="274" ht="12">
      <c r="I274" s="12"/>
    </row>
    <row r="275" ht="12">
      <c r="I275" s="12"/>
    </row>
    <row r="276" ht="12">
      <c r="I276" s="12"/>
    </row>
    <row r="277" ht="12">
      <c r="I277" s="12"/>
    </row>
    <row r="278" ht="12">
      <c r="I278" s="12"/>
    </row>
    <row r="279" ht="12">
      <c r="I279" s="12"/>
    </row>
    <row r="280" ht="12">
      <c r="I280" s="12"/>
    </row>
    <row r="281" ht="12">
      <c r="I281" s="12"/>
    </row>
    <row r="282" ht="12">
      <c r="I282" s="12"/>
    </row>
    <row r="283" ht="12">
      <c r="I283" s="12"/>
    </row>
    <row r="284" ht="12">
      <c r="I284" s="12"/>
    </row>
    <row r="285" ht="12">
      <c r="I285" s="12"/>
    </row>
    <row r="286" ht="12">
      <c r="I286" s="12"/>
    </row>
    <row r="287" ht="12">
      <c r="I287" s="12"/>
    </row>
    <row r="288" ht="12">
      <c r="I288" s="12"/>
    </row>
    <row r="289" ht="12">
      <c r="I289" s="12"/>
    </row>
    <row r="290" ht="12">
      <c r="I290" s="12"/>
    </row>
    <row r="291" ht="12">
      <c r="I291" s="12"/>
    </row>
    <row r="292" ht="12">
      <c r="I292" s="12"/>
    </row>
    <row r="293" ht="12">
      <c r="I293" s="12"/>
    </row>
    <row r="294" ht="12">
      <c r="I294" s="12"/>
    </row>
    <row r="295" ht="12">
      <c r="I295" s="12"/>
    </row>
    <row r="296" ht="12">
      <c r="I296" s="12"/>
    </row>
    <row r="297" ht="12">
      <c r="I297" s="12"/>
    </row>
    <row r="298" ht="12">
      <c r="I298" s="12"/>
    </row>
    <row r="299" ht="12">
      <c r="I299" s="12"/>
    </row>
    <row r="300" ht="12">
      <c r="I300" s="12"/>
    </row>
    <row r="301" ht="12">
      <c r="I301" s="12"/>
    </row>
    <row r="302" ht="12">
      <c r="I302" s="12"/>
    </row>
    <row r="303" ht="12">
      <c r="I303" s="12"/>
    </row>
    <row r="304" ht="12">
      <c r="I304" s="12"/>
    </row>
    <row r="305" ht="12">
      <c r="I305" s="12"/>
    </row>
    <row r="306" ht="12">
      <c r="I306" s="12"/>
    </row>
    <row r="307" ht="12">
      <c r="I307" s="12"/>
    </row>
    <row r="308" ht="12">
      <c r="I308" s="12"/>
    </row>
    <row r="309" ht="12">
      <c r="I309" s="12"/>
    </row>
    <row r="310" ht="12">
      <c r="I310" s="12"/>
    </row>
    <row r="311" ht="12">
      <c r="I311" s="12"/>
    </row>
    <row r="312" ht="12">
      <c r="I312" s="12"/>
    </row>
    <row r="313" ht="12">
      <c r="I313" s="12"/>
    </row>
    <row r="314" ht="12">
      <c r="I314" s="12"/>
    </row>
    <row r="315" ht="12">
      <c r="I315" s="12"/>
    </row>
    <row r="316" ht="12">
      <c r="I316" s="12"/>
    </row>
    <row r="317" ht="12">
      <c r="I317" s="12"/>
    </row>
    <row r="318" ht="12">
      <c r="I318" s="12"/>
    </row>
    <row r="319" ht="12">
      <c r="I319" s="12"/>
    </row>
    <row r="320" ht="12">
      <c r="I320" s="12"/>
    </row>
    <row r="321" ht="12">
      <c r="I321" s="12"/>
    </row>
    <row r="322" ht="12">
      <c r="I322" s="12"/>
    </row>
    <row r="323" ht="12">
      <c r="I323" s="12"/>
    </row>
    <row r="324" ht="12">
      <c r="I324" s="12"/>
    </row>
    <row r="325" ht="12">
      <c r="I325" s="12"/>
    </row>
    <row r="326" ht="12">
      <c r="I326" s="12"/>
    </row>
    <row r="327" ht="12">
      <c r="I327" s="12"/>
    </row>
    <row r="328" ht="12">
      <c r="I328" s="12"/>
    </row>
    <row r="329" ht="12">
      <c r="I329" s="12"/>
    </row>
    <row r="330" ht="12">
      <c r="I330" s="12"/>
    </row>
    <row r="331" ht="12">
      <c r="I331" s="12"/>
    </row>
    <row r="332" ht="12">
      <c r="I332" s="12"/>
    </row>
    <row r="333" ht="12">
      <c r="I333" s="12"/>
    </row>
    <row r="334" ht="12">
      <c r="I334" s="12"/>
    </row>
    <row r="335" ht="12">
      <c r="I335" s="12"/>
    </row>
    <row r="336" ht="12">
      <c r="I336" s="12"/>
    </row>
    <row r="337" ht="12">
      <c r="I337" s="12"/>
    </row>
    <row r="338" ht="12">
      <c r="I338" s="12"/>
    </row>
    <row r="339" ht="12">
      <c r="I339" s="12"/>
    </row>
    <row r="340" ht="12">
      <c r="I340" s="12"/>
    </row>
    <row r="341" ht="12">
      <c r="I341" s="12"/>
    </row>
    <row r="342" ht="12">
      <c r="I342" s="12"/>
    </row>
    <row r="343" ht="12">
      <c r="I343" s="12"/>
    </row>
    <row r="344" ht="12">
      <c r="I344" s="12"/>
    </row>
    <row r="345" ht="12">
      <c r="I345" s="12"/>
    </row>
    <row r="346" ht="12">
      <c r="I346" s="12"/>
    </row>
    <row r="347" ht="12">
      <c r="I347" s="12"/>
    </row>
    <row r="348" ht="12">
      <c r="I348" s="12"/>
    </row>
    <row r="349" ht="12">
      <c r="I349" s="12"/>
    </row>
    <row r="350" ht="12">
      <c r="I350" s="12"/>
    </row>
    <row r="351" ht="12">
      <c r="I351" s="12"/>
    </row>
    <row r="352" ht="12">
      <c r="I352" s="12"/>
    </row>
    <row r="353" ht="12">
      <c r="I353" s="12"/>
    </row>
    <row r="354" ht="12">
      <c r="I354" s="12"/>
    </row>
    <row r="355" ht="12">
      <c r="I355" s="12"/>
    </row>
    <row r="356" ht="12">
      <c r="I356" s="12"/>
    </row>
    <row r="357" ht="12">
      <c r="I357" s="12"/>
    </row>
    <row r="358" ht="12">
      <c r="I358" s="12"/>
    </row>
    <row r="359" ht="12">
      <c r="I359" s="12"/>
    </row>
    <row r="360" ht="12">
      <c r="I360" s="12"/>
    </row>
    <row r="361" ht="12">
      <c r="I361" s="12"/>
    </row>
    <row r="362" ht="12">
      <c r="I362" s="12"/>
    </row>
    <row r="363" ht="12">
      <c r="I363" s="12"/>
    </row>
    <row r="364" ht="12">
      <c r="I364" s="12"/>
    </row>
    <row r="365" ht="12">
      <c r="I365" s="12"/>
    </row>
    <row r="366" ht="12">
      <c r="I366" s="12"/>
    </row>
    <row r="367" ht="12">
      <c r="I367" s="12"/>
    </row>
    <row r="368" ht="12">
      <c r="I368" s="12"/>
    </row>
    <row r="369" ht="12">
      <c r="I369" s="12"/>
    </row>
    <row r="370" ht="12">
      <c r="I370" s="12"/>
    </row>
    <row r="371" ht="12">
      <c r="I371" s="12"/>
    </row>
    <row r="372" ht="12">
      <c r="I372" s="12"/>
    </row>
    <row r="373" ht="12">
      <c r="I373" s="12"/>
    </row>
    <row r="374" ht="12">
      <c r="I374" s="12"/>
    </row>
    <row r="375" ht="12">
      <c r="I375" s="12"/>
    </row>
    <row r="376" ht="12">
      <c r="I376" s="12"/>
    </row>
    <row r="377" ht="12">
      <c r="I377" s="12"/>
    </row>
    <row r="378" ht="12">
      <c r="I378" s="12"/>
    </row>
    <row r="379" ht="12">
      <c r="I379" s="12"/>
    </row>
    <row r="380" ht="12">
      <c r="I380" s="12"/>
    </row>
    <row r="381" ht="12">
      <c r="I381" s="12"/>
    </row>
    <row r="382" ht="12">
      <c r="I382" s="12"/>
    </row>
    <row r="383" ht="12">
      <c r="I383" s="12"/>
    </row>
    <row r="384" ht="12">
      <c r="I384" s="12"/>
    </row>
    <row r="385" ht="12">
      <c r="I385" s="12"/>
    </row>
    <row r="386" ht="12">
      <c r="I386" s="12"/>
    </row>
    <row r="387" ht="12">
      <c r="I387" s="12"/>
    </row>
    <row r="388" ht="12">
      <c r="I388" s="12"/>
    </row>
    <row r="389" ht="12">
      <c r="I389" s="12"/>
    </row>
    <row r="390" ht="12">
      <c r="I390" s="12"/>
    </row>
    <row r="391" ht="12">
      <c r="I391" s="12"/>
    </row>
    <row r="392" ht="12">
      <c r="I392" s="12"/>
    </row>
    <row r="393" ht="12">
      <c r="I393" s="12"/>
    </row>
    <row r="394" ht="12">
      <c r="I394" s="12"/>
    </row>
    <row r="395" ht="12">
      <c r="I395" s="12"/>
    </row>
    <row r="396" ht="12">
      <c r="I396" s="12"/>
    </row>
    <row r="397" ht="12">
      <c r="I397" s="12"/>
    </row>
    <row r="398" ht="12">
      <c r="I398" s="12"/>
    </row>
    <row r="399" ht="12">
      <c r="I399" s="12"/>
    </row>
    <row r="400" ht="12">
      <c r="I400" s="12"/>
    </row>
    <row r="401" ht="12">
      <c r="I401" s="12"/>
    </row>
    <row r="402" ht="12">
      <c r="I402" s="12"/>
    </row>
    <row r="403" ht="12">
      <c r="I403" s="12"/>
    </row>
    <row r="404" ht="12">
      <c r="I404" s="12"/>
    </row>
    <row r="405" ht="12">
      <c r="I405" s="12"/>
    </row>
    <row r="406" ht="12">
      <c r="I406" s="12"/>
    </row>
    <row r="407" ht="12">
      <c r="I407" s="12"/>
    </row>
    <row r="408" ht="12">
      <c r="I408" s="12"/>
    </row>
    <row r="409" ht="12">
      <c r="I409" s="12"/>
    </row>
    <row r="410" ht="12">
      <c r="I410" s="12"/>
    </row>
    <row r="411" ht="12">
      <c r="I411" s="12"/>
    </row>
    <row r="412" ht="12">
      <c r="I412" s="12"/>
    </row>
    <row r="413" ht="12">
      <c r="I413" s="12"/>
    </row>
    <row r="414" ht="12">
      <c r="I414" s="12"/>
    </row>
    <row r="415" ht="12">
      <c r="I415" s="12"/>
    </row>
    <row r="416" ht="12">
      <c r="I416" s="12"/>
    </row>
    <row r="417" ht="12">
      <c r="I417" s="12"/>
    </row>
    <row r="418" ht="12">
      <c r="I418" s="12"/>
    </row>
    <row r="419" ht="12">
      <c r="I419" s="12"/>
    </row>
    <row r="420" ht="12">
      <c r="I420" s="12"/>
    </row>
    <row r="421" ht="12">
      <c r="I421" s="12"/>
    </row>
    <row r="422" ht="12">
      <c r="I422" s="12"/>
    </row>
    <row r="423" ht="12">
      <c r="I423" s="12"/>
    </row>
  </sheetData>
  <sheetProtection/>
  <printOptions/>
  <pageMargins left="0.5" right="0.5" top="0.5" bottom="0.55" header="0.5" footer="0.5"/>
  <pageSetup horizontalDpi="600" verticalDpi="600" orientation="landscape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92"/>
  <sheetViews>
    <sheetView view="pageBreakPreview" zoomScaleSheetLayoutView="100" zoomScalePageLayoutView="0" workbookViewId="0" topLeftCell="A1">
      <selection activeCell="K12" sqref="K12"/>
    </sheetView>
  </sheetViews>
  <sheetFormatPr defaultColWidth="12.57421875" defaultRowHeight="15"/>
  <cols>
    <col min="1" max="1" width="7.421875" style="281" bestFit="1" customWidth="1"/>
    <col min="2" max="2" width="7.00390625" style="12" customWidth="1"/>
    <col min="3" max="3" width="8.00390625" style="282" customWidth="1"/>
    <col min="4" max="4" width="38.7109375" style="3" bestFit="1" customWidth="1"/>
    <col min="5" max="5" width="8.140625" style="3" customWidth="1"/>
    <col min="6" max="6" width="6.140625" style="3" customWidth="1"/>
    <col min="7" max="7" width="10.00390625" style="12" customWidth="1"/>
    <col min="8" max="8" width="1.1484375" style="3" customWidth="1"/>
    <col min="9" max="9" width="8.7109375" style="3" customWidth="1"/>
    <col min="10" max="10" width="6.140625" style="12" customWidth="1"/>
    <col min="11" max="11" width="8.28125" style="14" customWidth="1"/>
    <col min="12" max="12" width="7.57421875" style="3" bestFit="1" customWidth="1"/>
    <col min="13" max="13" width="9.8515625" style="3" bestFit="1" customWidth="1"/>
    <col min="14" max="16" width="12.57421875" style="7" customWidth="1"/>
    <col min="17" max="17" width="14.57421875" style="7" bestFit="1" customWidth="1"/>
    <col min="18" max="18" width="27.421875" style="7" bestFit="1" customWidth="1"/>
    <col min="19" max="22" width="12.57421875" style="7" customWidth="1"/>
    <col min="23" max="23" width="14.7109375" style="7" customWidth="1"/>
    <col min="24" max="16384" width="12.57421875" style="7" customWidth="1"/>
  </cols>
  <sheetData>
    <row r="1" ht="12">
      <c r="D1" s="13" t="s">
        <v>23</v>
      </c>
    </row>
    <row r="2" spans="4:43" ht="12">
      <c r="D2" s="13" t="s">
        <v>24</v>
      </c>
      <c r="AQ2" s="7" t="s">
        <v>26</v>
      </c>
    </row>
    <row r="3" ht="12">
      <c r="D3" s="222">
        <f>'[10]Depr Summary'!H5</f>
        <v>43830</v>
      </c>
    </row>
    <row r="4" spans="42:47" ht="12">
      <c r="AP4" s="7">
        <v>1</v>
      </c>
      <c r="AQ4" s="7" t="s">
        <v>33</v>
      </c>
      <c r="AT4" s="7">
        <v>12</v>
      </c>
      <c r="AU4" s="7" t="s">
        <v>34</v>
      </c>
    </row>
    <row r="5" spans="43:47" ht="12" customHeight="1">
      <c r="AQ5" s="7">
        <v>1993</v>
      </c>
      <c r="AT5" s="7">
        <v>0</v>
      </c>
      <c r="AU5" s="7" t="s">
        <v>38</v>
      </c>
    </row>
    <row r="6" spans="46:47" ht="12" customHeight="1">
      <c r="AT6" s="7">
        <v>93</v>
      </c>
      <c r="AU6" s="7" t="s">
        <v>30</v>
      </c>
    </row>
    <row r="7" spans="46:47" ht="12">
      <c r="AT7" s="7">
        <v>94</v>
      </c>
      <c r="AU7" s="7" t="s">
        <v>43</v>
      </c>
    </row>
    <row r="8" spans="3:11" ht="12">
      <c r="C8" s="15"/>
      <c r="D8" s="15"/>
      <c r="E8" s="15"/>
      <c r="F8" s="15"/>
      <c r="G8" s="22"/>
      <c r="H8" s="15"/>
      <c r="I8" s="15"/>
      <c r="J8" s="22"/>
      <c r="K8" s="23"/>
    </row>
    <row r="9" spans="2:13" ht="12">
      <c r="B9" s="4"/>
      <c r="C9" s="283" t="s">
        <v>13</v>
      </c>
      <c r="D9" s="24" t="s">
        <v>47</v>
      </c>
      <c r="E9" s="4" t="s">
        <v>48</v>
      </c>
      <c r="F9" s="4"/>
      <c r="G9" s="25" t="s">
        <v>5</v>
      </c>
      <c r="H9" s="15"/>
      <c r="I9" s="4" t="s">
        <v>13</v>
      </c>
      <c r="J9" s="4"/>
      <c r="K9" s="26" t="s">
        <v>49</v>
      </c>
      <c r="L9" s="1" t="s">
        <v>293</v>
      </c>
      <c r="M9" s="4" t="s">
        <v>13</v>
      </c>
    </row>
    <row r="10" spans="2:43" ht="12">
      <c r="B10" s="4"/>
      <c r="C10" s="283" t="s">
        <v>56</v>
      </c>
      <c r="D10" s="24"/>
      <c r="E10" s="4" t="s">
        <v>57</v>
      </c>
      <c r="F10" s="4"/>
      <c r="G10" s="25" t="s">
        <v>58</v>
      </c>
      <c r="H10" s="15"/>
      <c r="I10" s="4" t="s">
        <v>59</v>
      </c>
      <c r="J10" s="4" t="s">
        <v>60</v>
      </c>
      <c r="K10" s="26" t="s">
        <v>61</v>
      </c>
      <c r="L10" s="1" t="s">
        <v>294</v>
      </c>
      <c r="M10" s="4" t="s">
        <v>50</v>
      </c>
      <c r="N10" s="378" t="s">
        <v>346</v>
      </c>
      <c r="O10" s="378"/>
      <c r="P10" s="378"/>
      <c r="AP10" s="7">
        <v>2</v>
      </c>
      <c r="AQ10" s="7" t="s">
        <v>72</v>
      </c>
    </row>
    <row r="11" spans="1:23" ht="12">
      <c r="A11" s="285" t="s">
        <v>212</v>
      </c>
      <c r="B11" s="27" t="s">
        <v>73</v>
      </c>
      <c r="C11" s="286" t="s">
        <v>74</v>
      </c>
      <c r="D11" s="28" t="s">
        <v>75</v>
      </c>
      <c r="E11" s="27" t="s">
        <v>49</v>
      </c>
      <c r="F11" s="27" t="s">
        <v>76</v>
      </c>
      <c r="G11" s="29" t="s">
        <v>52</v>
      </c>
      <c r="H11" s="15" t="s">
        <v>77</v>
      </c>
      <c r="I11" s="27" t="s">
        <v>78</v>
      </c>
      <c r="J11" s="27" t="s">
        <v>79</v>
      </c>
      <c r="K11" s="30" t="s">
        <v>6</v>
      </c>
      <c r="L11" s="208" t="s">
        <v>6</v>
      </c>
      <c r="M11" s="27" t="s">
        <v>4</v>
      </c>
      <c r="N11" s="287" t="s">
        <v>347</v>
      </c>
      <c r="O11" s="287" t="s">
        <v>321</v>
      </c>
      <c r="P11" s="287" t="s">
        <v>348</v>
      </c>
      <c r="Q11" s="288" t="s">
        <v>349</v>
      </c>
      <c r="T11" s="287" t="s">
        <v>347</v>
      </c>
      <c r="U11" s="287" t="s">
        <v>321</v>
      </c>
      <c r="V11" s="287" t="s">
        <v>348</v>
      </c>
      <c r="W11" s="288" t="s">
        <v>349</v>
      </c>
    </row>
    <row r="12" spans="1:27" ht="12">
      <c r="A12" s="289"/>
      <c r="B12" s="290" t="s">
        <v>84</v>
      </c>
      <c r="C12" s="291">
        <v>5003</v>
      </c>
      <c r="D12" s="292" t="s">
        <v>90</v>
      </c>
      <c r="E12" s="293">
        <v>2004</v>
      </c>
      <c r="F12" s="293">
        <v>12</v>
      </c>
      <c r="G12" s="294">
        <v>0</v>
      </c>
      <c r="H12" s="293"/>
      <c r="I12" s="290" t="s">
        <v>82</v>
      </c>
      <c r="J12" s="295">
        <v>7</v>
      </c>
      <c r="K12" s="296">
        <f aca="true" t="shared" si="0" ref="K12:K23">E12+J12</f>
        <v>2011</v>
      </c>
      <c r="L12" s="297">
        <f aca="true" t="shared" si="1" ref="L12:L23">+K12+(F12/12)</f>
        <v>2012</v>
      </c>
      <c r="M12" s="298">
        <f>+'[10]2144 Trks Orig'!P15</f>
        <v>101661.6</v>
      </c>
      <c r="N12" s="299" t="s">
        <v>350</v>
      </c>
      <c r="O12" s="299" t="s">
        <v>350</v>
      </c>
      <c r="P12" s="300" t="s">
        <v>350</v>
      </c>
      <c r="Q12" s="300" t="s">
        <v>350</v>
      </c>
      <c r="R12" s="7" t="s">
        <v>351</v>
      </c>
      <c r="S12" s="7">
        <v>5003</v>
      </c>
      <c r="T12" s="311" t="s">
        <v>350</v>
      </c>
      <c r="U12" s="311" t="s">
        <v>350</v>
      </c>
      <c r="V12" s="311" t="s">
        <v>350</v>
      </c>
      <c r="W12" s="7" t="s">
        <v>350</v>
      </c>
      <c r="X12" s="7">
        <f>+IF(N12=T12,0,"NO")</f>
        <v>0</v>
      </c>
      <c r="Y12" s="7">
        <f>+IF(O12=U12,0,"NO")</f>
        <v>0</v>
      </c>
      <c r="Z12" s="7">
        <f>+IF(P12=V12,0,"NO")</f>
        <v>0</v>
      </c>
      <c r="AA12" s="7">
        <f>+IF(Q12=W12,0,"NO")</f>
        <v>0</v>
      </c>
    </row>
    <row r="13" spans="1:27" ht="12">
      <c r="A13" s="289"/>
      <c r="B13" s="290" t="s">
        <v>84</v>
      </c>
      <c r="C13" s="291">
        <v>5006</v>
      </c>
      <c r="D13" s="292" t="s">
        <v>91</v>
      </c>
      <c r="E13" s="293">
        <v>2006</v>
      </c>
      <c r="F13" s="293">
        <v>11</v>
      </c>
      <c r="G13" s="294">
        <v>0</v>
      </c>
      <c r="H13" s="293"/>
      <c r="I13" s="290" t="s">
        <v>82</v>
      </c>
      <c r="J13" s="295">
        <v>7</v>
      </c>
      <c r="K13" s="296">
        <f t="shared" si="0"/>
        <v>2013</v>
      </c>
      <c r="L13" s="297">
        <f t="shared" si="1"/>
        <v>2013.9166666666667</v>
      </c>
      <c r="M13" s="298">
        <f>+'[10]2144 Trks Orig'!P16</f>
        <v>110632.51999999999</v>
      </c>
      <c r="N13" s="299" t="s">
        <v>350</v>
      </c>
      <c r="O13" s="299" t="s">
        <v>350</v>
      </c>
      <c r="P13" s="300" t="s">
        <v>350</v>
      </c>
      <c r="Q13" s="300" t="s">
        <v>350</v>
      </c>
      <c r="R13" s="7" t="s">
        <v>351</v>
      </c>
      <c r="S13" s="7">
        <v>5006</v>
      </c>
      <c r="T13" s="311" t="s">
        <v>350</v>
      </c>
      <c r="U13" s="311" t="s">
        <v>350</v>
      </c>
      <c r="V13" s="311" t="s">
        <v>350</v>
      </c>
      <c r="W13" s="7" t="s">
        <v>350</v>
      </c>
      <c r="X13" s="7">
        <f aca="true" t="shared" si="2" ref="X13:X34">+IF(N13=T13,0,"NO")</f>
        <v>0</v>
      </c>
      <c r="Y13" s="7">
        <f aca="true" t="shared" si="3" ref="Y13:Y34">+IF(O13=U13,0,"NO")</f>
        <v>0</v>
      </c>
      <c r="Z13" s="7">
        <f aca="true" t="shared" si="4" ref="Z13:Z34">+IF(P13=V13,0,"NO")</f>
        <v>0</v>
      </c>
      <c r="AA13" s="7">
        <f aca="true" t="shared" si="5" ref="AA13:AA34">+IF(Q13=W13,0,"NO")</f>
        <v>0</v>
      </c>
    </row>
    <row r="14" spans="1:27" ht="12">
      <c r="A14" s="289"/>
      <c r="B14" s="35" t="s">
        <v>92</v>
      </c>
      <c r="C14" s="43"/>
      <c r="D14" s="36" t="s">
        <v>93</v>
      </c>
      <c r="E14" s="36">
        <v>2006</v>
      </c>
      <c r="F14" s="36">
        <v>11</v>
      </c>
      <c r="G14" s="37">
        <v>0</v>
      </c>
      <c r="H14" s="7"/>
      <c r="I14" s="35" t="s">
        <v>82</v>
      </c>
      <c r="J14" s="38">
        <v>5</v>
      </c>
      <c r="K14" s="39">
        <f t="shared" si="0"/>
        <v>2011</v>
      </c>
      <c r="L14" s="209">
        <f t="shared" si="1"/>
        <v>2011.9166666666667</v>
      </c>
      <c r="M14" s="40">
        <f>+'[10]2144 Trks Orig'!P17</f>
        <v>9875.8</v>
      </c>
      <c r="N14" s="301">
        <v>0.8</v>
      </c>
      <c r="O14" s="301">
        <v>0.2</v>
      </c>
      <c r="P14" s="302"/>
      <c r="Q14" s="302" t="s">
        <v>352</v>
      </c>
      <c r="T14" s="311">
        <v>0.8</v>
      </c>
      <c r="U14" s="311">
        <v>0.2</v>
      </c>
      <c r="V14" s="311"/>
      <c r="W14" s="7" t="s">
        <v>352</v>
      </c>
      <c r="X14" s="7">
        <f t="shared" si="2"/>
        <v>0</v>
      </c>
      <c r="Y14" s="7">
        <f t="shared" si="3"/>
        <v>0</v>
      </c>
      <c r="Z14" s="7">
        <f t="shared" si="4"/>
        <v>0</v>
      </c>
      <c r="AA14" s="7">
        <f t="shared" si="5"/>
        <v>0</v>
      </c>
    </row>
    <row r="15" spans="1:27" ht="12">
      <c r="A15" s="289"/>
      <c r="B15" s="35" t="s">
        <v>84</v>
      </c>
      <c r="C15" s="43">
        <v>5016</v>
      </c>
      <c r="D15" s="44" t="s">
        <v>94</v>
      </c>
      <c r="E15" s="44">
        <v>2007</v>
      </c>
      <c r="F15" s="44">
        <v>9</v>
      </c>
      <c r="G15" s="37">
        <v>0</v>
      </c>
      <c r="H15" s="7"/>
      <c r="I15" s="35" t="s">
        <v>82</v>
      </c>
      <c r="J15" s="38">
        <v>7</v>
      </c>
      <c r="K15" s="39">
        <f t="shared" si="0"/>
        <v>2014</v>
      </c>
      <c r="L15" s="209">
        <f t="shared" si="1"/>
        <v>2014.75</v>
      </c>
      <c r="M15" s="45">
        <f>+'[10]2144 Trks Orig'!P18</f>
        <v>109360.696</v>
      </c>
      <c r="N15" s="301">
        <v>1</v>
      </c>
      <c r="O15" s="301"/>
      <c r="P15" s="302"/>
      <c r="Q15" s="302" t="s">
        <v>353</v>
      </c>
      <c r="S15" s="7">
        <v>5016</v>
      </c>
      <c r="T15" s="311">
        <v>1</v>
      </c>
      <c r="U15" s="311"/>
      <c r="V15" s="311"/>
      <c r="W15" s="7" t="s">
        <v>353</v>
      </c>
      <c r="X15" s="7">
        <f t="shared" si="2"/>
        <v>0</v>
      </c>
      <c r="Y15" s="7">
        <f t="shared" si="3"/>
        <v>0</v>
      </c>
      <c r="Z15" s="7">
        <f t="shared" si="4"/>
        <v>0</v>
      </c>
      <c r="AA15" s="7">
        <f t="shared" si="5"/>
        <v>0</v>
      </c>
    </row>
    <row r="16" spans="1:27" ht="12">
      <c r="A16" s="289"/>
      <c r="B16" s="35" t="s">
        <v>84</v>
      </c>
      <c r="C16" s="43">
        <v>5010</v>
      </c>
      <c r="D16" s="46" t="s">
        <v>95</v>
      </c>
      <c r="E16" s="47">
        <v>2008</v>
      </c>
      <c r="F16" s="47">
        <f>2+6</f>
        <v>8</v>
      </c>
      <c r="G16" s="48">
        <v>0</v>
      </c>
      <c r="H16" s="47"/>
      <c r="I16" s="49" t="s">
        <v>82</v>
      </c>
      <c r="J16" s="50">
        <v>5</v>
      </c>
      <c r="K16" s="51">
        <f t="shared" si="0"/>
        <v>2013</v>
      </c>
      <c r="L16" s="209">
        <f t="shared" si="1"/>
        <v>2013.6666666666667</v>
      </c>
      <c r="M16" s="52">
        <f>+'[10]2144 Trks Orig'!P19</f>
        <v>44791.31570000001</v>
      </c>
      <c r="N16" s="301">
        <v>1</v>
      </c>
      <c r="O16" s="302"/>
      <c r="P16" s="302"/>
      <c r="Q16" s="302" t="s">
        <v>353</v>
      </c>
      <c r="S16" s="7">
        <v>5010</v>
      </c>
      <c r="T16" s="311">
        <v>1</v>
      </c>
      <c r="U16" s="311"/>
      <c r="V16" s="311"/>
      <c r="W16" s="7" t="s">
        <v>353</v>
      </c>
      <c r="X16" s="7">
        <f t="shared" si="2"/>
        <v>0</v>
      </c>
      <c r="Y16" s="7">
        <f t="shared" si="3"/>
        <v>0</v>
      </c>
      <c r="Z16" s="7">
        <f t="shared" si="4"/>
        <v>0</v>
      </c>
      <c r="AA16" s="7">
        <f t="shared" si="5"/>
        <v>0</v>
      </c>
    </row>
    <row r="17" spans="1:27" ht="12">
      <c r="A17" s="289"/>
      <c r="B17" s="35" t="s">
        <v>84</v>
      </c>
      <c r="C17" s="43">
        <v>5039</v>
      </c>
      <c r="D17" s="36" t="s">
        <v>96</v>
      </c>
      <c r="E17" s="7">
        <v>2009</v>
      </c>
      <c r="F17" s="7">
        <v>12</v>
      </c>
      <c r="G17" s="37">
        <v>0</v>
      </c>
      <c r="H17" s="7"/>
      <c r="I17" s="35" t="s">
        <v>82</v>
      </c>
      <c r="J17" s="38">
        <v>7</v>
      </c>
      <c r="K17" s="39">
        <f t="shared" si="0"/>
        <v>2016</v>
      </c>
      <c r="L17" s="209">
        <f t="shared" si="1"/>
        <v>2017</v>
      </c>
      <c r="M17" s="40">
        <f>+'[10]2144 Trks Orig'!P20</f>
        <v>148199.472</v>
      </c>
      <c r="N17" s="301">
        <v>0.4</v>
      </c>
      <c r="O17" s="301">
        <v>0.6</v>
      </c>
      <c r="P17" s="302"/>
      <c r="Q17" s="302" t="s">
        <v>354</v>
      </c>
      <c r="S17" s="7">
        <v>5039</v>
      </c>
      <c r="T17" s="311">
        <v>0.4</v>
      </c>
      <c r="U17" s="311">
        <v>0.6</v>
      </c>
      <c r="V17" s="311"/>
      <c r="W17" s="7" t="s">
        <v>354</v>
      </c>
      <c r="X17" s="7">
        <f t="shared" si="2"/>
        <v>0</v>
      </c>
      <c r="Y17" s="7">
        <f t="shared" si="3"/>
        <v>0</v>
      </c>
      <c r="Z17" s="7">
        <f t="shared" si="4"/>
        <v>0</v>
      </c>
      <c r="AA17" s="7">
        <f t="shared" si="5"/>
        <v>0</v>
      </c>
    </row>
    <row r="18" spans="1:27" ht="12">
      <c r="A18" s="289"/>
      <c r="B18" s="35" t="s">
        <v>84</v>
      </c>
      <c r="C18" s="43">
        <v>5040</v>
      </c>
      <c r="D18" s="36" t="s">
        <v>96</v>
      </c>
      <c r="E18" s="7">
        <v>2009</v>
      </c>
      <c r="F18" s="7">
        <v>12</v>
      </c>
      <c r="G18" s="37">
        <v>0</v>
      </c>
      <c r="H18" s="7"/>
      <c r="I18" s="35" t="s">
        <v>82</v>
      </c>
      <c r="J18" s="38">
        <v>7</v>
      </c>
      <c r="K18" s="39">
        <f t="shared" si="0"/>
        <v>2016</v>
      </c>
      <c r="L18" s="209">
        <f t="shared" si="1"/>
        <v>2017</v>
      </c>
      <c r="M18" s="40">
        <f>+'[10]2144 Trks Orig'!P21</f>
        <v>147465.856</v>
      </c>
      <c r="N18" s="301">
        <v>0.9</v>
      </c>
      <c r="O18" s="301">
        <v>0.1</v>
      </c>
      <c r="P18" s="302"/>
      <c r="Q18" s="302" t="s">
        <v>353</v>
      </c>
      <c r="S18" s="7">
        <v>5040</v>
      </c>
      <c r="T18" s="311">
        <v>0.9</v>
      </c>
      <c r="U18" s="311">
        <v>0.1</v>
      </c>
      <c r="V18" s="311"/>
      <c r="W18" s="7" t="s">
        <v>353</v>
      </c>
      <c r="X18" s="7">
        <f t="shared" si="2"/>
        <v>0</v>
      </c>
      <c r="Y18" s="7">
        <f t="shared" si="3"/>
        <v>0</v>
      </c>
      <c r="Z18" s="7">
        <f t="shared" si="4"/>
        <v>0</v>
      </c>
      <c r="AA18" s="7">
        <f t="shared" si="5"/>
        <v>0</v>
      </c>
    </row>
    <row r="19" spans="1:27" ht="12">
      <c r="A19" s="289"/>
      <c r="B19" s="35" t="s">
        <v>84</v>
      </c>
      <c r="C19" s="43">
        <v>5041</v>
      </c>
      <c r="D19" s="36" t="s">
        <v>96</v>
      </c>
      <c r="E19" s="7">
        <v>2009</v>
      </c>
      <c r="F19" s="7">
        <v>12</v>
      </c>
      <c r="G19" s="37">
        <v>0</v>
      </c>
      <c r="H19" s="7"/>
      <c r="I19" s="35" t="s">
        <v>82</v>
      </c>
      <c r="J19" s="38">
        <v>7</v>
      </c>
      <c r="K19" s="39">
        <f t="shared" si="0"/>
        <v>2016</v>
      </c>
      <c r="L19" s="209">
        <f t="shared" si="1"/>
        <v>2017</v>
      </c>
      <c r="M19" s="40">
        <f>+'[10]2144 Trks Orig'!P22</f>
        <v>147465.856</v>
      </c>
      <c r="N19" s="301">
        <v>0.9</v>
      </c>
      <c r="O19" s="301">
        <v>0.1</v>
      </c>
      <c r="P19" s="302"/>
      <c r="Q19" s="302" t="s">
        <v>353</v>
      </c>
      <c r="S19" s="7">
        <v>5041</v>
      </c>
      <c r="T19" s="311">
        <v>0.9</v>
      </c>
      <c r="U19" s="311">
        <v>0.1</v>
      </c>
      <c r="V19" s="311"/>
      <c r="W19" s="7" t="s">
        <v>353</v>
      </c>
      <c r="X19" s="7">
        <f t="shared" si="2"/>
        <v>0</v>
      </c>
      <c r="Y19" s="7">
        <f t="shared" si="3"/>
        <v>0</v>
      </c>
      <c r="Z19" s="7">
        <f t="shared" si="4"/>
        <v>0</v>
      </c>
      <c r="AA19" s="7">
        <f t="shared" si="5"/>
        <v>0</v>
      </c>
    </row>
    <row r="20" spans="1:27" ht="12">
      <c r="A20" s="289">
        <v>126399</v>
      </c>
      <c r="B20" s="35" t="s">
        <v>84</v>
      </c>
      <c r="C20" s="43">
        <v>5012</v>
      </c>
      <c r="D20" s="36" t="s">
        <v>227</v>
      </c>
      <c r="E20" s="7">
        <v>2015</v>
      </c>
      <c r="F20" s="7">
        <v>10</v>
      </c>
      <c r="G20" s="37">
        <v>0</v>
      </c>
      <c r="H20" s="7"/>
      <c r="I20" s="35" t="s">
        <v>82</v>
      </c>
      <c r="J20" s="38">
        <v>10</v>
      </c>
      <c r="K20" s="39">
        <f t="shared" si="0"/>
        <v>2025</v>
      </c>
      <c r="L20" s="209">
        <f t="shared" si="1"/>
        <v>2025.8333333333333</v>
      </c>
      <c r="M20" s="40">
        <f>218205.58+9591.24</f>
        <v>227796.81999999998</v>
      </c>
      <c r="N20" s="301">
        <v>0.95</v>
      </c>
      <c r="O20" s="301">
        <v>0.05</v>
      </c>
      <c r="P20" s="302"/>
      <c r="Q20" s="302" t="s">
        <v>353</v>
      </c>
      <c r="S20" s="7">
        <v>5012</v>
      </c>
      <c r="T20" s="311">
        <v>0.95</v>
      </c>
      <c r="U20" s="311">
        <v>0.05</v>
      </c>
      <c r="V20" s="311"/>
      <c r="W20" s="7" t="s">
        <v>353</v>
      </c>
      <c r="X20" s="7">
        <f t="shared" si="2"/>
        <v>0</v>
      </c>
      <c r="Y20" s="7">
        <f t="shared" si="3"/>
        <v>0</v>
      </c>
      <c r="Z20" s="7">
        <f t="shared" si="4"/>
        <v>0</v>
      </c>
      <c r="AA20" s="7">
        <f t="shared" si="5"/>
        <v>0</v>
      </c>
    </row>
    <row r="21" spans="1:27" ht="36">
      <c r="A21" s="289" t="s">
        <v>237</v>
      </c>
      <c r="B21" s="35" t="s">
        <v>84</v>
      </c>
      <c r="C21" s="43">
        <v>5014</v>
      </c>
      <c r="D21" s="36" t="s">
        <v>230</v>
      </c>
      <c r="E21" s="7">
        <v>2016</v>
      </c>
      <c r="F21" s="7">
        <v>3</v>
      </c>
      <c r="G21" s="37">
        <v>0</v>
      </c>
      <c r="H21" s="7"/>
      <c r="I21" s="35" t="s">
        <v>82</v>
      </c>
      <c r="J21" s="38">
        <v>10</v>
      </c>
      <c r="K21" s="39">
        <f t="shared" si="0"/>
        <v>2026</v>
      </c>
      <c r="L21" s="209">
        <f t="shared" si="1"/>
        <v>2026.25</v>
      </c>
      <c r="M21" s="40">
        <f>276355.27+605.92</f>
        <v>276961.19</v>
      </c>
      <c r="N21" s="301">
        <v>1</v>
      </c>
      <c r="O21" s="302"/>
      <c r="P21" s="302"/>
      <c r="Q21" s="302" t="s">
        <v>353</v>
      </c>
      <c r="S21" s="7">
        <v>5014</v>
      </c>
      <c r="T21" s="311">
        <v>1</v>
      </c>
      <c r="U21" s="311"/>
      <c r="V21" s="311"/>
      <c r="W21" s="7" t="s">
        <v>353</v>
      </c>
      <c r="X21" s="7">
        <f t="shared" si="2"/>
        <v>0</v>
      </c>
      <c r="Y21" s="7">
        <f t="shared" si="3"/>
        <v>0</v>
      </c>
      <c r="Z21" s="7">
        <f t="shared" si="4"/>
        <v>0</v>
      </c>
      <c r="AA21" s="7">
        <f t="shared" si="5"/>
        <v>0</v>
      </c>
    </row>
    <row r="22" spans="1:27" ht="12">
      <c r="A22" s="289">
        <v>170969</v>
      </c>
      <c r="B22" s="35"/>
      <c r="C22" s="43">
        <v>5022</v>
      </c>
      <c r="D22" s="36" t="s">
        <v>234</v>
      </c>
      <c r="E22" s="7">
        <v>2016</v>
      </c>
      <c r="F22" s="7">
        <v>12</v>
      </c>
      <c r="G22" s="37">
        <v>0</v>
      </c>
      <c r="H22" s="7"/>
      <c r="I22" s="35" t="s">
        <v>82</v>
      </c>
      <c r="J22" s="38">
        <v>9</v>
      </c>
      <c r="K22" s="39">
        <f t="shared" si="0"/>
        <v>2025</v>
      </c>
      <c r="L22" s="209">
        <f t="shared" si="1"/>
        <v>2026</v>
      </c>
      <c r="M22" s="40">
        <v>59020.72</v>
      </c>
      <c r="N22" s="301">
        <v>0.8</v>
      </c>
      <c r="O22" s="301">
        <v>0.2</v>
      </c>
      <c r="P22" s="302"/>
      <c r="Q22" s="302" t="s">
        <v>355</v>
      </c>
      <c r="S22" s="7">
        <v>5022</v>
      </c>
      <c r="T22" s="311">
        <v>0.8</v>
      </c>
      <c r="U22" s="311">
        <v>0.2</v>
      </c>
      <c r="V22" s="311"/>
      <c r="W22" s="7" t="s">
        <v>355</v>
      </c>
      <c r="X22" s="7">
        <f t="shared" si="2"/>
        <v>0</v>
      </c>
      <c r="Y22" s="7">
        <f t="shared" si="3"/>
        <v>0</v>
      </c>
      <c r="Z22" s="7">
        <f t="shared" si="4"/>
        <v>0</v>
      </c>
      <c r="AA22" s="7">
        <f t="shared" si="5"/>
        <v>0</v>
      </c>
    </row>
    <row r="23" spans="1:27" ht="36">
      <c r="A23" s="289" t="s">
        <v>267</v>
      </c>
      <c r="B23" s="35"/>
      <c r="C23" s="43">
        <v>5013</v>
      </c>
      <c r="D23" s="7" t="s">
        <v>268</v>
      </c>
      <c r="E23" s="7">
        <v>2009</v>
      </c>
      <c r="F23" s="7">
        <v>3</v>
      </c>
      <c r="G23" s="37">
        <v>0</v>
      </c>
      <c r="H23" s="7"/>
      <c r="I23" s="35" t="s">
        <v>82</v>
      </c>
      <c r="J23" s="38">
        <v>10</v>
      </c>
      <c r="K23" s="39">
        <f t="shared" si="0"/>
        <v>2019</v>
      </c>
      <c r="L23" s="209">
        <f t="shared" si="1"/>
        <v>2019.25</v>
      </c>
      <c r="M23" s="40">
        <v>175471.9</v>
      </c>
      <c r="N23" s="301">
        <v>0.8</v>
      </c>
      <c r="O23" s="301">
        <v>0.2</v>
      </c>
      <c r="P23" s="302"/>
      <c r="Q23" s="302"/>
      <c r="S23" s="7">
        <v>5013</v>
      </c>
      <c r="T23" s="311">
        <v>0.8</v>
      </c>
      <c r="U23" s="311">
        <v>0.2</v>
      </c>
      <c r="V23" s="311"/>
      <c r="X23" s="7">
        <f t="shared" si="2"/>
        <v>0</v>
      </c>
      <c r="Y23" s="7">
        <f t="shared" si="3"/>
        <v>0</v>
      </c>
      <c r="Z23" s="7">
        <f t="shared" si="4"/>
        <v>0</v>
      </c>
      <c r="AA23" s="7">
        <f t="shared" si="5"/>
        <v>0</v>
      </c>
    </row>
    <row r="24" spans="1:27" ht="12">
      <c r="A24" s="289">
        <v>203844</v>
      </c>
      <c r="B24" s="35"/>
      <c r="C24" s="43">
        <v>5009</v>
      </c>
      <c r="D24" s="7" t="s">
        <v>274</v>
      </c>
      <c r="E24" s="7">
        <v>2018</v>
      </c>
      <c r="F24" s="7">
        <v>10</v>
      </c>
      <c r="G24" s="37">
        <v>0</v>
      </c>
      <c r="H24" s="7"/>
      <c r="I24" s="35" t="s">
        <v>82</v>
      </c>
      <c r="J24" s="38">
        <v>10</v>
      </c>
      <c r="K24" s="94">
        <f>E24+J24</f>
        <v>2028</v>
      </c>
      <c r="L24" s="209">
        <f>+K24+(F24/12)</f>
        <v>2028.8333333333333</v>
      </c>
      <c r="M24" s="40">
        <v>339628.44</v>
      </c>
      <c r="N24" s="301">
        <v>1</v>
      </c>
      <c r="O24" s="302"/>
      <c r="P24" s="302"/>
      <c r="Q24" s="302"/>
      <c r="S24" s="7">
        <v>5009</v>
      </c>
      <c r="T24" s="311">
        <v>1</v>
      </c>
      <c r="U24" s="311"/>
      <c r="V24" s="311"/>
      <c r="X24" s="7">
        <f t="shared" si="2"/>
        <v>0</v>
      </c>
      <c r="Y24" s="7">
        <f t="shared" si="3"/>
        <v>0</v>
      </c>
      <c r="Z24" s="7">
        <f t="shared" si="4"/>
        <v>0</v>
      </c>
      <c r="AA24" s="7">
        <f t="shared" si="5"/>
        <v>0</v>
      </c>
    </row>
    <row r="25" spans="1:27" ht="12">
      <c r="A25" s="289">
        <v>218618</v>
      </c>
      <c r="B25" s="35"/>
      <c r="C25" s="43">
        <v>5015</v>
      </c>
      <c r="D25" s="7" t="s">
        <v>322</v>
      </c>
      <c r="E25" s="7">
        <v>2019</v>
      </c>
      <c r="F25" s="7">
        <v>9</v>
      </c>
      <c r="G25" s="37">
        <v>0</v>
      </c>
      <c r="H25" s="7"/>
      <c r="I25" s="35" t="s">
        <v>82</v>
      </c>
      <c r="J25" s="38">
        <v>10</v>
      </c>
      <c r="K25" s="94">
        <f>E25+J25</f>
        <v>2029</v>
      </c>
      <c r="L25" s="209">
        <f>+K25+(F25/12)</f>
        <v>2029.75</v>
      </c>
      <c r="M25" s="40">
        <v>359143.82</v>
      </c>
      <c r="N25" s="301">
        <v>0.6</v>
      </c>
      <c r="O25" s="301">
        <v>0.4</v>
      </c>
      <c r="P25" s="302"/>
      <c r="Q25" s="302"/>
      <c r="S25" s="7">
        <v>5015</v>
      </c>
      <c r="T25" s="311">
        <v>0.6</v>
      </c>
      <c r="U25" s="311">
        <v>0.4</v>
      </c>
      <c r="V25" s="311"/>
      <c r="X25" s="7">
        <f t="shared" si="2"/>
        <v>0</v>
      </c>
      <c r="Y25" s="7">
        <f t="shared" si="3"/>
        <v>0</v>
      </c>
      <c r="Z25" s="7">
        <f t="shared" si="4"/>
        <v>0</v>
      </c>
      <c r="AA25" s="7">
        <f t="shared" si="5"/>
        <v>0</v>
      </c>
    </row>
    <row r="26" spans="1:27" s="364" customFormat="1" ht="12">
      <c r="A26" s="359"/>
      <c r="B26" s="360" t="s">
        <v>98</v>
      </c>
      <c r="C26" s="361">
        <v>5036</v>
      </c>
      <c r="D26" s="362" t="s">
        <v>101</v>
      </c>
      <c r="E26" s="362">
        <v>2007</v>
      </c>
      <c r="F26" s="362">
        <v>2</v>
      </c>
      <c r="G26" s="363">
        <v>0</v>
      </c>
      <c r="I26" s="360" t="s">
        <v>82</v>
      </c>
      <c r="J26" s="365">
        <v>7</v>
      </c>
      <c r="K26" s="366">
        <f aca="true" t="shared" si="6" ref="K26:K34">E26+J26</f>
        <v>2014</v>
      </c>
      <c r="L26" s="367">
        <f aca="true" t="shared" si="7" ref="L26:L34">+K26+(F26/12)</f>
        <v>2014.1666666666667</v>
      </c>
      <c r="M26" s="368">
        <f>+'[10]2144 Trks Orig'!P39</f>
        <v>110918.24799999999</v>
      </c>
      <c r="N26" s="369">
        <v>0.91</v>
      </c>
      <c r="O26" s="369">
        <v>0.09</v>
      </c>
      <c r="P26" s="370"/>
      <c r="Q26" s="370"/>
      <c r="S26" s="364">
        <v>5036</v>
      </c>
      <c r="T26" s="371">
        <v>0.91</v>
      </c>
      <c r="U26" s="371">
        <v>0.09</v>
      </c>
      <c r="V26" s="371"/>
      <c r="X26" s="364">
        <f t="shared" si="2"/>
        <v>0</v>
      </c>
      <c r="Y26" s="7">
        <f t="shared" si="3"/>
        <v>0</v>
      </c>
      <c r="Z26" s="7">
        <f t="shared" si="4"/>
        <v>0</v>
      </c>
      <c r="AA26" s="7">
        <f t="shared" si="5"/>
        <v>0</v>
      </c>
    </row>
    <row r="27" spans="1:27" s="364" customFormat="1" ht="12">
      <c r="A27" s="359"/>
      <c r="B27" s="360" t="s">
        <v>98</v>
      </c>
      <c r="C27" s="361">
        <v>5037</v>
      </c>
      <c r="D27" s="362" t="s">
        <v>101</v>
      </c>
      <c r="E27" s="362">
        <v>2007</v>
      </c>
      <c r="F27" s="362">
        <v>6</v>
      </c>
      <c r="G27" s="363">
        <v>0</v>
      </c>
      <c r="I27" s="360" t="s">
        <v>82</v>
      </c>
      <c r="J27" s="365">
        <v>7</v>
      </c>
      <c r="K27" s="366">
        <f t="shared" si="6"/>
        <v>2014</v>
      </c>
      <c r="L27" s="367">
        <f t="shared" si="7"/>
        <v>2014.5</v>
      </c>
      <c r="M27" s="368">
        <f>+'[10]2144 Trks Orig'!P40</f>
        <v>108651.856</v>
      </c>
      <c r="N27" s="369">
        <v>0.91</v>
      </c>
      <c r="O27" s="369">
        <v>0.09</v>
      </c>
      <c r="P27" s="370"/>
      <c r="Q27" s="370"/>
      <c r="S27" s="364">
        <v>5037</v>
      </c>
      <c r="T27" s="371">
        <v>0.91</v>
      </c>
      <c r="U27" s="371">
        <v>0.09</v>
      </c>
      <c r="V27" s="371"/>
      <c r="X27" s="364">
        <f t="shared" si="2"/>
        <v>0</v>
      </c>
      <c r="Y27" s="7">
        <f t="shared" si="3"/>
        <v>0</v>
      </c>
      <c r="Z27" s="7">
        <f t="shared" si="4"/>
        <v>0</v>
      </c>
      <c r="AA27" s="7">
        <f t="shared" si="5"/>
        <v>0</v>
      </c>
    </row>
    <row r="28" spans="1:27" s="364" customFormat="1" ht="36">
      <c r="A28" s="359" t="s">
        <v>280</v>
      </c>
      <c r="B28" s="360" t="s">
        <v>98</v>
      </c>
      <c r="C28" s="361">
        <v>5026</v>
      </c>
      <c r="D28" s="362" t="s">
        <v>279</v>
      </c>
      <c r="E28" s="364">
        <v>2018</v>
      </c>
      <c r="F28" s="364">
        <v>5</v>
      </c>
      <c r="G28" s="363">
        <v>0</v>
      </c>
      <c r="I28" s="360" t="s">
        <v>82</v>
      </c>
      <c r="J28" s="365">
        <v>10</v>
      </c>
      <c r="K28" s="366">
        <f t="shared" si="6"/>
        <v>2028</v>
      </c>
      <c r="L28" s="367">
        <f t="shared" si="7"/>
        <v>2028.4166666666667</v>
      </c>
      <c r="M28" s="368">
        <f>164086.09+66654.84</f>
        <v>230740.93</v>
      </c>
      <c r="N28" s="369">
        <v>0.91</v>
      </c>
      <c r="O28" s="369">
        <v>0.09</v>
      </c>
      <c r="P28" s="370"/>
      <c r="Q28" s="370"/>
      <c r="S28" s="364">
        <v>5026</v>
      </c>
      <c r="T28" s="371">
        <v>0.91</v>
      </c>
      <c r="U28" s="371">
        <v>0.09</v>
      </c>
      <c r="V28" s="371"/>
      <c r="X28" s="364">
        <f t="shared" si="2"/>
        <v>0</v>
      </c>
      <c r="Y28" s="7">
        <f t="shared" si="3"/>
        <v>0</v>
      </c>
      <c r="Z28" s="7">
        <f t="shared" si="4"/>
        <v>0</v>
      </c>
      <c r="AA28" s="7">
        <f t="shared" si="5"/>
        <v>0</v>
      </c>
    </row>
    <row r="29" spans="1:27" s="364" customFormat="1" ht="12">
      <c r="A29" s="359">
        <v>212191</v>
      </c>
      <c r="B29" s="360" t="s">
        <v>98</v>
      </c>
      <c r="C29" s="361">
        <v>5036</v>
      </c>
      <c r="D29" s="362" t="s">
        <v>327</v>
      </c>
      <c r="E29" s="364">
        <v>2019</v>
      </c>
      <c r="F29" s="364">
        <v>2</v>
      </c>
      <c r="G29" s="363">
        <v>0</v>
      </c>
      <c r="I29" s="360" t="s">
        <v>82</v>
      </c>
      <c r="J29" s="365">
        <v>3</v>
      </c>
      <c r="K29" s="366">
        <f t="shared" si="6"/>
        <v>2022</v>
      </c>
      <c r="L29" s="367">
        <f t="shared" si="7"/>
        <v>2022.1666666666667</v>
      </c>
      <c r="M29" s="368">
        <v>12907.95</v>
      </c>
      <c r="N29" s="369">
        <v>0.91</v>
      </c>
      <c r="O29" s="369">
        <v>0.09</v>
      </c>
      <c r="P29" s="370"/>
      <c r="Q29" s="370"/>
      <c r="S29" s="364">
        <v>5036</v>
      </c>
      <c r="T29" s="371">
        <v>0.91</v>
      </c>
      <c r="U29" s="371">
        <v>0.09</v>
      </c>
      <c r="V29" s="371"/>
      <c r="X29" s="364">
        <f t="shared" si="2"/>
        <v>0</v>
      </c>
      <c r="Y29" s="7">
        <f t="shared" si="3"/>
        <v>0</v>
      </c>
      <c r="Z29" s="7">
        <f t="shared" si="4"/>
        <v>0</v>
      </c>
      <c r="AA29" s="7">
        <f t="shared" si="5"/>
        <v>0</v>
      </c>
    </row>
    <row r="30" spans="1:27" ht="12">
      <c r="A30" s="289">
        <v>118075</v>
      </c>
      <c r="B30" s="35" t="s">
        <v>220</v>
      </c>
      <c r="C30" s="43">
        <v>5011</v>
      </c>
      <c r="D30" s="36" t="s">
        <v>221</v>
      </c>
      <c r="E30" s="7">
        <v>2014</v>
      </c>
      <c r="F30" s="7">
        <v>12</v>
      </c>
      <c r="G30" s="37">
        <v>0.33</v>
      </c>
      <c r="H30" s="7"/>
      <c r="I30" s="35" t="s">
        <v>82</v>
      </c>
      <c r="J30" s="38">
        <v>5</v>
      </c>
      <c r="K30" s="39">
        <f t="shared" si="6"/>
        <v>2019</v>
      </c>
      <c r="L30" s="209">
        <f t="shared" si="7"/>
        <v>2020</v>
      </c>
      <c r="M30" s="40">
        <v>172742.39</v>
      </c>
      <c r="N30" s="301">
        <v>0.8</v>
      </c>
      <c r="O30" s="301">
        <v>0.2</v>
      </c>
      <c r="P30" s="302"/>
      <c r="Q30" s="302"/>
      <c r="S30" s="7">
        <v>5011</v>
      </c>
      <c r="T30" s="311">
        <v>0.8</v>
      </c>
      <c r="U30" s="311">
        <v>0.2</v>
      </c>
      <c r="V30" s="311"/>
      <c r="X30" s="7">
        <f t="shared" si="2"/>
        <v>0</v>
      </c>
      <c r="Y30" s="7">
        <f t="shared" si="3"/>
        <v>0</v>
      </c>
      <c r="Z30" s="7">
        <f t="shared" si="4"/>
        <v>0</v>
      </c>
      <c r="AA30" s="7">
        <f t="shared" si="5"/>
        <v>0</v>
      </c>
    </row>
    <row r="31" spans="1:27" ht="12">
      <c r="A31" s="289"/>
      <c r="B31" s="35"/>
      <c r="C31" s="303" t="s">
        <v>240</v>
      </c>
      <c r="D31" s="36" t="s">
        <v>229</v>
      </c>
      <c r="E31" s="36">
        <v>2016</v>
      </c>
      <c r="F31" s="36">
        <v>3</v>
      </c>
      <c r="G31" s="37">
        <v>0</v>
      </c>
      <c r="H31" s="7"/>
      <c r="I31" s="35" t="s">
        <v>82</v>
      </c>
      <c r="J31" s="38">
        <v>3</v>
      </c>
      <c r="K31" s="94">
        <f t="shared" si="6"/>
        <v>2019</v>
      </c>
      <c r="L31" s="209">
        <f t="shared" si="7"/>
        <v>2019.25</v>
      </c>
      <c r="M31" s="40">
        <v>25087.2</v>
      </c>
      <c r="N31" s="302"/>
      <c r="O31" s="301">
        <v>1</v>
      </c>
      <c r="P31" s="302"/>
      <c r="Q31" s="302"/>
      <c r="S31" s="7" t="s">
        <v>240</v>
      </c>
      <c r="T31" s="311"/>
      <c r="U31" s="311">
        <v>1</v>
      </c>
      <c r="V31" s="311"/>
      <c r="X31" s="7">
        <f t="shared" si="2"/>
        <v>0</v>
      </c>
      <c r="Y31" s="7">
        <f t="shared" si="3"/>
        <v>0</v>
      </c>
      <c r="Z31" s="7">
        <f t="shared" si="4"/>
        <v>0</v>
      </c>
      <c r="AA31" s="7">
        <f t="shared" si="5"/>
        <v>0</v>
      </c>
    </row>
    <row r="32" spans="1:27" ht="12">
      <c r="A32" s="289">
        <v>181716</v>
      </c>
      <c r="B32" s="35" t="s">
        <v>106</v>
      </c>
      <c r="C32" s="304"/>
      <c r="D32" s="36" t="s">
        <v>242</v>
      </c>
      <c r="E32" s="7">
        <v>2002</v>
      </c>
      <c r="F32" s="7">
        <v>8</v>
      </c>
      <c r="G32" s="37">
        <v>0</v>
      </c>
      <c r="H32" s="7"/>
      <c r="I32" s="35" t="s">
        <v>82</v>
      </c>
      <c r="J32" s="38">
        <v>6</v>
      </c>
      <c r="K32" s="94">
        <f t="shared" si="6"/>
        <v>2008</v>
      </c>
      <c r="L32" s="209">
        <f t="shared" si="7"/>
        <v>2008.6666666666667</v>
      </c>
      <c r="M32" s="40">
        <v>65000</v>
      </c>
      <c r="N32" s="305" t="s">
        <v>356</v>
      </c>
      <c r="O32" s="305" t="s">
        <v>356</v>
      </c>
      <c r="P32" s="305" t="s">
        <v>356</v>
      </c>
      <c r="Q32" s="305" t="s">
        <v>356</v>
      </c>
      <c r="R32" s="7" t="s">
        <v>357</v>
      </c>
      <c r="T32" s="311" t="s">
        <v>356</v>
      </c>
      <c r="U32" s="311" t="s">
        <v>356</v>
      </c>
      <c r="V32" s="311" t="s">
        <v>356</v>
      </c>
      <c r="W32" s="7" t="s">
        <v>356</v>
      </c>
      <c r="X32" s="7">
        <f t="shared" si="2"/>
        <v>0</v>
      </c>
      <c r="Y32" s="7">
        <f t="shared" si="3"/>
        <v>0</v>
      </c>
      <c r="Z32" s="7">
        <f t="shared" si="4"/>
        <v>0</v>
      </c>
      <c r="AA32" s="7">
        <f t="shared" si="5"/>
        <v>0</v>
      </c>
    </row>
    <row r="33" spans="1:27" ht="36">
      <c r="A33" s="289" t="s">
        <v>273</v>
      </c>
      <c r="B33" s="35"/>
      <c r="C33" s="43">
        <v>5001</v>
      </c>
      <c r="D33" s="7" t="s">
        <v>269</v>
      </c>
      <c r="E33" s="7">
        <v>2017</v>
      </c>
      <c r="F33" s="7">
        <v>10</v>
      </c>
      <c r="G33" s="37">
        <v>0</v>
      </c>
      <c r="H33" s="7"/>
      <c r="I33" s="35" t="s">
        <v>82</v>
      </c>
      <c r="J33" s="38">
        <v>6</v>
      </c>
      <c r="K33" s="94">
        <f t="shared" si="6"/>
        <v>2023</v>
      </c>
      <c r="L33" s="209">
        <f t="shared" si="7"/>
        <v>2023.8333333333333</v>
      </c>
      <c r="M33" s="40">
        <f>95178+864.17</f>
        <v>96042.17</v>
      </c>
      <c r="N33" s="306"/>
      <c r="O33" s="301">
        <v>1</v>
      </c>
      <c r="P33" s="302"/>
      <c r="Q33" s="302"/>
      <c r="S33" s="7">
        <v>5001</v>
      </c>
      <c r="T33" s="311"/>
      <c r="U33" s="311">
        <v>1</v>
      </c>
      <c r="V33" s="311"/>
      <c r="X33" s="7">
        <f t="shared" si="2"/>
        <v>0</v>
      </c>
      <c r="Y33" s="7">
        <f t="shared" si="3"/>
        <v>0</v>
      </c>
      <c r="Z33" s="7">
        <f t="shared" si="4"/>
        <v>0</v>
      </c>
      <c r="AA33" s="7">
        <f t="shared" si="5"/>
        <v>0</v>
      </c>
    </row>
    <row r="34" spans="1:27" ht="12">
      <c r="A34" s="289">
        <v>186154</v>
      </c>
      <c r="B34" s="35"/>
      <c r="C34" s="43">
        <v>5007</v>
      </c>
      <c r="D34" s="7" t="s">
        <v>270</v>
      </c>
      <c r="E34" s="7">
        <v>2017</v>
      </c>
      <c r="F34" s="7">
        <v>9</v>
      </c>
      <c r="G34" s="37">
        <v>0</v>
      </c>
      <c r="H34" s="7"/>
      <c r="I34" s="35" t="s">
        <v>82</v>
      </c>
      <c r="J34" s="38">
        <v>10</v>
      </c>
      <c r="K34" s="94">
        <f t="shared" si="6"/>
        <v>2027</v>
      </c>
      <c r="L34" s="209">
        <f t="shared" si="7"/>
        <v>2027.75</v>
      </c>
      <c r="M34" s="40">
        <v>341677.84</v>
      </c>
      <c r="N34" s="301">
        <v>0.7</v>
      </c>
      <c r="O34" s="301">
        <v>0.3</v>
      </c>
      <c r="P34" s="302"/>
      <c r="Q34" s="302"/>
      <c r="S34" s="7">
        <v>5007</v>
      </c>
      <c r="T34" s="311">
        <v>0.7</v>
      </c>
      <c r="U34" s="311">
        <v>0.3</v>
      </c>
      <c r="V34" s="311"/>
      <c r="X34" s="7">
        <f t="shared" si="2"/>
        <v>0</v>
      </c>
      <c r="Y34" s="7">
        <f t="shared" si="3"/>
        <v>0</v>
      </c>
      <c r="Z34" s="7">
        <f t="shared" si="4"/>
        <v>0</v>
      </c>
      <c r="AA34" s="7">
        <f t="shared" si="5"/>
        <v>0</v>
      </c>
    </row>
    <row r="35" spans="1:22" ht="12">
      <c r="A35" s="289"/>
      <c r="B35" s="35"/>
      <c r="C35" s="43"/>
      <c r="D35" s="7"/>
      <c r="E35" s="7"/>
      <c r="F35" s="7"/>
      <c r="G35" s="35"/>
      <c r="H35" s="7"/>
      <c r="I35" s="85"/>
      <c r="J35" s="85"/>
      <c r="K35" s="44"/>
      <c r="L35" s="7"/>
      <c r="M35" s="7"/>
      <c r="N35" s="302"/>
      <c r="O35" s="302"/>
      <c r="P35" s="302"/>
      <c r="Q35" s="302"/>
      <c r="T35" s="311"/>
      <c r="U35" s="311"/>
      <c r="V35" s="311"/>
    </row>
    <row r="36" spans="1:13" ht="12">
      <c r="A36" s="289"/>
      <c r="B36" s="35"/>
      <c r="C36" s="43"/>
      <c r="D36" s="7"/>
      <c r="E36" s="7"/>
      <c r="F36" s="7"/>
      <c r="G36" s="35"/>
      <c r="H36" s="7"/>
      <c r="I36" s="7"/>
      <c r="J36" s="7"/>
      <c r="K36" s="7"/>
      <c r="L36" s="7"/>
      <c r="M36" s="7"/>
    </row>
    <row r="37" spans="1:13" ht="12">
      <c r="A37" s="289"/>
      <c r="B37" s="35"/>
      <c r="C37" s="43"/>
      <c r="D37" s="7"/>
      <c r="E37" s="7"/>
      <c r="F37" s="7"/>
      <c r="G37" s="35"/>
      <c r="H37" s="7"/>
      <c r="I37" s="7"/>
      <c r="J37" s="7"/>
      <c r="K37" s="7"/>
      <c r="L37" s="7"/>
      <c r="M37" s="7"/>
    </row>
    <row r="38" spans="1:47" s="12" customFormat="1" ht="12">
      <c r="A38" s="281"/>
      <c r="C38" s="282"/>
      <c r="D38" s="3"/>
      <c r="E38" s="3"/>
      <c r="F38" s="3"/>
      <c r="H38" s="3"/>
      <c r="K38" s="14"/>
      <c r="L38" s="3"/>
      <c r="M38" s="3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s="12" customFormat="1" ht="12">
      <c r="A39" s="281"/>
      <c r="C39" s="282"/>
      <c r="D39" s="3"/>
      <c r="E39" s="3"/>
      <c r="F39" s="3"/>
      <c r="H39" s="3"/>
      <c r="K39" s="14"/>
      <c r="L39" s="3"/>
      <c r="M39" s="3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s="12" customFormat="1" ht="12">
      <c r="A40" s="281"/>
      <c r="C40" s="282"/>
      <c r="D40" s="3"/>
      <c r="E40" s="3"/>
      <c r="F40" s="3"/>
      <c r="H40" s="3"/>
      <c r="K40" s="14"/>
      <c r="L40" s="3"/>
      <c r="M40" s="3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s="12" customFormat="1" ht="12">
      <c r="A41" s="281"/>
      <c r="C41" s="282"/>
      <c r="D41" s="3"/>
      <c r="E41" s="3"/>
      <c r="F41" s="3"/>
      <c r="H41" s="3"/>
      <c r="K41" s="14"/>
      <c r="L41" s="3"/>
      <c r="M41" s="3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 s="12" customFormat="1" ht="12">
      <c r="A42" s="281"/>
      <c r="C42" s="282"/>
      <c r="D42" s="3"/>
      <c r="E42" s="3"/>
      <c r="F42" s="3"/>
      <c r="H42" s="3"/>
      <c r="K42" s="14"/>
      <c r="L42" s="3"/>
      <c r="M42" s="3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 s="12" customFormat="1" ht="12">
      <c r="A43" s="281"/>
      <c r="C43" s="282"/>
      <c r="D43" s="3"/>
      <c r="E43" s="3"/>
      <c r="F43" s="3"/>
      <c r="H43" s="3"/>
      <c r="K43" s="14"/>
      <c r="L43" s="3"/>
      <c r="M43" s="3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s="12" customFormat="1" ht="12">
      <c r="A44" s="281"/>
      <c r="C44" s="282"/>
      <c r="D44" s="3"/>
      <c r="E44" s="3"/>
      <c r="F44" s="3"/>
      <c r="H44" s="3"/>
      <c r="K44" s="14"/>
      <c r="L44" s="3"/>
      <c r="M44" s="3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s="12" customFormat="1" ht="12">
      <c r="A45" s="281"/>
      <c r="C45" s="282"/>
      <c r="D45" s="3"/>
      <c r="E45" s="3"/>
      <c r="F45" s="3"/>
      <c r="H45" s="3"/>
      <c r="K45" s="14"/>
      <c r="L45" s="3"/>
      <c r="M45" s="3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s="12" customFormat="1" ht="12">
      <c r="A46" s="281"/>
      <c r="C46" s="282"/>
      <c r="D46" s="3"/>
      <c r="E46" s="3"/>
      <c r="F46" s="3"/>
      <c r="H46" s="3"/>
      <c r="K46" s="14"/>
      <c r="L46" s="3"/>
      <c r="M46" s="3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s="12" customFormat="1" ht="12">
      <c r="A47" s="281"/>
      <c r="C47" s="282"/>
      <c r="D47" s="3"/>
      <c r="E47" s="3"/>
      <c r="F47" s="3"/>
      <c r="H47" s="3"/>
      <c r="K47" s="14"/>
      <c r="L47" s="3"/>
      <c r="M47" s="3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s="12" customFormat="1" ht="12">
      <c r="A48" s="281"/>
      <c r="C48" s="282"/>
      <c r="D48" s="3"/>
      <c r="E48" s="3"/>
      <c r="F48" s="3"/>
      <c r="H48" s="3"/>
      <c r="K48" s="14"/>
      <c r="L48" s="3"/>
      <c r="M48" s="3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s="12" customFormat="1" ht="12">
      <c r="A49" s="281"/>
      <c r="C49" s="282"/>
      <c r="D49" s="3"/>
      <c r="E49" s="3"/>
      <c r="F49" s="3"/>
      <c r="H49" s="3"/>
      <c r="K49" s="14"/>
      <c r="L49" s="3"/>
      <c r="M49" s="3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s="12" customFormat="1" ht="12">
      <c r="A50" s="281"/>
      <c r="C50" s="282"/>
      <c r="D50" s="3"/>
      <c r="E50" s="3"/>
      <c r="F50" s="3"/>
      <c r="H50" s="3"/>
      <c r="K50" s="14"/>
      <c r="L50" s="3"/>
      <c r="M50" s="3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s="12" customFormat="1" ht="12">
      <c r="A51" s="281"/>
      <c r="C51" s="282"/>
      <c r="D51" s="3"/>
      <c r="E51" s="3"/>
      <c r="F51" s="3"/>
      <c r="H51" s="3"/>
      <c r="K51" s="14"/>
      <c r="L51" s="3"/>
      <c r="M51" s="3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1:47" s="12" customFormat="1" ht="12">
      <c r="A52" s="281"/>
      <c r="C52" s="282"/>
      <c r="D52" s="3"/>
      <c r="E52" s="3"/>
      <c r="F52" s="3"/>
      <c r="H52" s="3"/>
      <c r="K52" s="14"/>
      <c r="L52" s="3"/>
      <c r="M52" s="3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s="12" customFormat="1" ht="12">
      <c r="A53" s="281"/>
      <c r="C53" s="282"/>
      <c r="D53" s="3"/>
      <c r="E53" s="3"/>
      <c r="F53" s="3"/>
      <c r="H53" s="3"/>
      <c r="K53" s="14"/>
      <c r="L53" s="3"/>
      <c r="M53" s="3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</row>
    <row r="54" spans="1:47" s="12" customFormat="1" ht="12">
      <c r="A54" s="281"/>
      <c r="C54" s="282"/>
      <c r="D54" s="3"/>
      <c r="E54" s="3"/>
      <c r="F54" s="3"/>
      <c r="H54" s="3"/>
      <c r="K54" s="14"/>
      <c r="L54" s="3"/>
      <c r="M54" s="3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 s="12" customFormat="1" ht="12">
      <c r="A55" s="281"/>
      <c r="C55" s="282"/>
      <c r="D55" s="3"/>
      <c r="E55" s="3"/>
      <c r="F55" s="3"/>
      <c r="H55" s="3"/>
      <c r="K55" s="14"/>
      <c r="L55" s="3"/>
      <c r="M55" s="3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s="12" customFormat="1" ht="12">
      <c r="A56" s="281"/>
      <c r="C56" s="282"/>
      <c r="D56" s="3"/>
      <c r="E56" s="3"/>
      <c r="F56" s="3"/>
      <c r="H56" s="3"/>
      <c r="K56" s="14"/>
      <c r="L56" s="3"/>
      <c r="M56" s="3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s="12" customFormat="1" ht="12">
      <c r="A57" s="281"/>
      <c r="C57" s="282"/>
      <c r="D57" s="3"/>
      <c r="E57" s="3"/>
      <c r="F57" s="3"/>
      <c r="H57" s="3"/>
      <c r="K57" s="14"/>
      <c r="L57" s="3"/>
      <c r="M57" s="3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s="12" customFormat="1" ht="12">
      <c r="A58" s="281"/>
      <c r="C58" s="282"/>
      <c r="D58" s="3"/>
      <c r="E58" s="3"/>
      <c r="F58" s="3"/>
      <c r="H58" s="3"/>
      <c r="K58" s="14"/>
      <c r="L58" s="3"/>
      <c r="M58" s="3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47" s="12" customFormat="1" ht="12">
      <c r="A59" s="281"/>
      <c r="C59" s="282"/>
      <c r="D59" s="3"/>
      <c r="E59" s="3"/>
      <c r="F59" s="3"/>
      <c r="H59" s="3"/>
      <c r="K59" s="14"/>
      <c r="L59" s="3"/>
      <c r="M59" s="3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</row>
    <row r="60" spans="1:47" s="12" customFormat="1" ht="12">
      <c r="A60" s="281"/>
      <c r="C60" s="282"/>
      <c r="D60" s="3"/>
      <c r="E60" s="3"/>
      <c r="F60" s="3"/>
      <c r="H60" s="3"/>
      <c r="K60" s="14"/>
      <c r="L60" s="3"/>
      <c r="M60" s="3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</row>
    <row r="61" spans="1:47" s="12" customFormat="1" ht="12">
      <c r="A61" s="281"/>
      <c r="C61" s="282"/>
      <c r="D61" s="3"/>
      <c r="E61" s="3"/>
      <c r="F61" s="3"/>
      <c r="H61" s="3"/>
      <c r="K61" s="14"/>
      <c r="L61" s="3"/>
      <c r="M61" s="3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</row>
    <row r="62" spans="1:47" s="12" customFormat="1" ht="12">
      <c r="A62" s="281"/>
      <c r="C62" s="282"/>
      <c r="D62" s="3"/>
      <c r="E62" s="3"/>
      <c r="F62" s="3"/>
      <c r="H62" s="3"/>
      <c r="K62" s="14"/>
      <c r="L62" s="3"/>
      <c r="M62" s="3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</row>
    <row r="63" spans="1:47" s="12" customFormat="1" ht="12">
      <c r="A63" s="281"/>
      <c r="C63" s="282"/>
      <c r="D63" s="3"/>
      <c r="E63" s="3"/>
      <c r="F63" s="3"/>
      <c r="H63" s="3"/>
      <c r="K63" s="14"/>
      <c r="L63" s="3"/>
      <c r="M63" s="3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</row>
    <row r="64" spans="1:47" s="12" customFormat="1" ht="12">
      <c r="A64" s="281"/>
      <c r="C64" s="282"/>
      <c r="D64" s="3"/>
      <c r="E64" s="3"/>
      <c r="F64" s="3"/>
      <c r="H64" s="3"/>
      <c r="K64" s="14"/>
      <c r="L64" s="3"/>
      <c r="M64" s="3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</row>
    <row r="65" spans="1:47" s="12" customFormat="1" ht="12">
      <c r="A65" s="281"/>
      <c r="C65" s="282"/>
      <c r="D65" s="3"/>
      <c r="E65" s="3"/>
      <c r="F65" s="3"/>
      <c r="H65" s="3"/>
      <c r="K65" s="14"/>
      <c r="L65" s="3"/>
      <c r="M65" s="3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s="12" customFormat="1" ht="12">
      <c r="A66" s="281"/>
      <c r="C66" s="282"/>
      <c r="D66" s="3"/>
      <c r="E66" s="3"/>
      <c r="F66" s="3"/>
      <c r="H66" s="3"/>
      <c r="K66" s="14"/>
      <c r="L66" s="3"/>
      <c r="M66" s="3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</row>
    <row r="67" spans="1:47" s="12" customFormat="1" ht="12">
      <c r="A67" s="281"/>
      <c r="C67" s="282"/>
      <c r="D67" s="3"/>
      <c r="E67" s="3"/>
      <c r="F67" s="3"/>
      <c r="H67" s="3"/>
      <c r="K67" s="14"/>
      <c r="L67" s="3"/>
      <c r="M67" s="3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</row>
    <row r="68" spans="1:47" s="12" customFormat="1" ht="12">
      <c r="A68" s="281"/>
      <c r="C68" s="282"/>
      <c r="D68" s="3"/>
      <c r="E68" s="3"/>
      <c r="F68" s="3"/>
      <c r="H68" s="3"/>
      <c r="K68" s="14"/>
      <c r="L68" s="3"/>
      <c r="M68" s="3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</row>
    <row r="69" spans="1:47" s="12" customFormat="1" ht="12">
      <c r="A69" s="281"/>
      <c r="C69" s="282"/>
      <c r="D69" s="3"/>
      <c r="E69" s="3"/>
      <c r="F69" s="3"/>
      <c r="H69" s="3"/>
      <c r="K69" s="14"/>
      <c r="L69" s="3"/>
      <c r="M69" s="3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</row>
    <row r="70" spans="1:47" s="12" customFormat="1" ht="12">
      <c r="A70" s="281"/>
      <c r="C70" s="282"/>
      <c r="D70" s="3"/>
      <c r="E70" s="3"/>
      <c r="F70" s="3"/>
      <c r="H70" s="3"/>
      <c r="K70" s="14"/>
      <c r="L70" s="3"/>
      <c r="M70" s="3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</row>
    <row r="71" spans="1:47" s="12" customFormat="1" ht="12">
      <c r="A71" s="281"/>
      <c r="C71" s="282"/>
      <c r="D71" s="3"/>
      <c r="E71" s="3"/>
      <c r="F71" s="3"/>
      <c r="H71" s="3"/>
      <c r="K71" s="14"/>
      <c r="L71" s="3"/>
      <c r="M71" s="3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</row>
    <row r="72" spans="1:47" s="12" customFormat="1" ht="12">
      <c r="A72" s="281"/>
      <c r="C72" s="282"/>
      <c r="D72" s="3"/>
      <c r="E72" s="3"/>
      <c r="F72" s="3"/>
      <c r="H72" s="3"/>
      <c r="K72" s="14"/>
      <c r="L72" s="3"/>
      <c r="M72" s="3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</row>
    <row r="73" spans="1:47" s="12" customFormat="1" ht="12">
      <c r="A73" s="281"/>
      <c r="C73" s="282"/>
      <c r="D73" s="3"/>
      <c r="E73" s="3"/>
      <c r="F73" s="3"/>
      <c r="H73" s="3"/>
      <c r="K73" s="14"/>
      <c r="L73" s="3"/>
      <c r="M73" s="3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</row>
    <row r="74" spans="1:47" s="12" customFormat="1" ht="12">
      <c r="A74" s="281"/>
      <c r="C74" s="282"/>
      <c r="D74" s="3"/>
      <c r="E74" s="3"/>
      <c r="F74" s="3"/>
      <c r="H74" s="3"/>
      <c r="K74" s="14"/>
      <c r="L74" s="3"/>
      <c r="M74" s="3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</row>
    <row r="75" spans="1:47" s="12" customFormat="1" ht="12">
      <c r="A75" s="281"/>
      <c r="C75" s="282"/>
      <c r="D75" s="3"/>
      <c r="E75" s="3"/>
      <c r="F75" s="3"/>
      <c r="H75" s="3"/>
      <c r="K75" s="14"/>
      <c r="L75" s="3"/>
      <c r="M75" s="3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</row>
    <row r="76" spans="1:47" s="12" customFormat="1" ht="12">
      <c r="A76" s="281"/>
      <c r="C76" s="282"/>
      <c r="D76" s="3"/>
      <c r="E76" s="3"/>
      <c r="F76" s="3"/>
      <c r="H76" s="3"/>
      <c r="K76" s="14"/>
      <c r="L76" s="3"/>
      <c r="M76" s="3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</row>
    <row r="77" spans="1:47" s="12" customFormat="1" ht="12">
      <c r="A77" s="281"/>
      <c r="C77" s="282"/>
      <c r="D77" s="3"/>
      <c r="E77" s="3"/>
      <c r="F77" s="3"/>
      <c r="H77" s="3"/>
      <c r="K77" s="14"/>
      <c r="L77" s="3"/>
      <c r="M77" s="3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</row>
    <row r="78" spans="1:47" s="12" customFormat="1" ht="12">
      <c r="A78" s="281"/>
      <c r="C78" s="282"/>
      <c r="D78" s="3"/>
      <c r="E78" s="3"/>
      <c r="F78" s="3"/>
      <c r="H78" s="3"/>
      <c r="K78" s="14"/>
      <c r="L78" s="3"/>
      <c r="M78" s="3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</row>
    <row r="79" spans="1:47" s="12" customFormat="1" ht="12">
      <c r="A79" s="281"/>
      <c r="C79" s="282"/>
      <c r="D79" s="3"/>
      <c r="E79" s="3"/>
      <c r="F79" s="3"/>
      <c r="H79" s="3"/>
      <c r="K79" s="14"/>
      <c r="L79" s="3"/>
      <c r="M79" s="3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</row>
    <row r="80" spans="1:47" s="12" customFormat="1" ht="12">
      <c r="A80" s="281"/>
      <c r="C80" s="282"/>
      <c r="D80" s="3"/>
      <c r="E80" s="3"/>
      <c r="F80" s="3"/>
      <c r="H80" s="3"/>
      <c r="K80" s="14"/>
      <c r="L80" s="3"/>
      <c r="M80" s="3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</row>
    <row r="81" spans="1:47" s="12" customFormat="1" ht="12">
      <c r="A81" s="281"/>
      <c r="C81" s="282"/>
      <c r="D81" s="3"/>
      <c r="E81" s="3"/>
      <c r="F81" s="3"/>
      <c r="H81" s="3"/>
      <c r="K81" s="14"/>
      <c r="L81" s="3"/>
      <c r="M81" s="3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</row>
    <row r="82" spans="1:47" s="12" customFormat="1" ht="12">
      <c r="A82" s="281"/>
      <c r="C82" s="282"/>
      <c r="D82" s="3"/>
      <c r="E82" s="3"/>
      <c r="F82" s="3"/>
      <c r="H82" s="3"/>
      <c r="K82" s="14"/>
      <c r="L82" s="3"/>
      <c r="M82" s="3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</row>
    <row r="83" spans="1:47" s="12" customFormat="1" ht="12">
      <c r="A83" s="281"/>
      <c r="C83" s="282"/>
      <c r="D83" s="3"/>
      <c r="E83" s="3"/>
      <c r="F83" s="3"/>
      <c r="H83" s="3"/>
      <c r="K83" s="14"/>
      <c r="L83" s="3"/>
      <c r="M83" s="3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</row>
    <row r="84" spans="1:47" s="12" customFormat="1" ht="12">
      <c r="A84" s="281"/>
      <c r="C84" s="282"/>
      <c r="D84" s="3"/>
      <c r="E84" s="3"/>
      <c r="F84" s="3"/>
      <c r="H84" s="3"/>
      <c r="K84" s="14"/>
      <c r="L84" s="3"/>
      <c r="M84" s="3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</row>
    <row r="85" spans="1:47" s="12" customFormat="1" ht="12">
      <c r="A85" s="281"/>
      <c r="C85" s="282"/>
      <c r="D85" s="3"/>
      <c r="E85" s="3"/>
      <c r="F85" s="3"/>
      <c r="H85" s="3"/>
      <c r="K85" s="14"/>
      <c r="L85" s="3"/>
      <c r="M85" s="3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</row>
    <row r="86" spans="1:47" s="12" customFormat="1" ht="12">
      <c r="A86" s="281"/>
      <c r="C86" s="282"/>
      <c r="D86" s="3"/>
      <c r="E86" s="3"/>
      <c r="F86" s="3"/>
      <c r="H86" s="3"/>
      <c r="K86" s="14"/>
      <c r="L86" s="3"/>
      <c r="M86" s="3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</row>
    <row r="87" spans="1:47" s="12" customFormat="1" ht="12">
      <c r="A87" s="281"/>
      <c r="C87" s="282"/>
      <c r="D87" s="3"/>
      <c r="E87" s="3"/>
      <c r="F87" s="3"/>
      <c r="H87" s="3"/>
      <c r="K87" s="14"/>
      <c r="L87" s="3"/>
      <c r="M87" s="3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</row>
    <row r="88" spans="1:47" s="12" customFormat="1" ht="12">
      <c r="A88" s="281"/>
      <c r="C88" s="282"/>
      <c r="D88" s="3"/>
      <c r="E88" s="3"/>
      <c r="F88" s="3"/>
      <c r="H88" s="3"/>
      <c r="K88" s="14"/>
      <c r="L88" s="3"/>
      <c r="M88" s="3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</row>
    <row r="89" spans="1:47" s="12" customFormat="1" ht="12">
      <c r="A89" s="281"/>
      <c r="C89" s="282"/>
      <c r="D89" s="3"/>
      <c r="E89" s="3"/>
      <c r="F89" s="3"/>
      <c r="H89" s="3"/>
      <c r="K89" s="14"/>
      <c r="L89" s="3"/>
      <c r="M89" s="3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</row>
    <row r="90" spans="1:47" s="12" customFormat="1" ht="12">
      <c r="A90" s="281"/>
      <c r="C90" s="282"/>
      <c r="D90" s="3"/>
      <c r="E90" s="3"/>
      <c r="F90" s="3"/>
      <c r="H90" s="3"/>
      <c r="K90" s="14"/>
      <c r="L90" s="3"/>
      <c r="M90" s="3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</row>
    <row r="91" spans="1:47" s="12" customFormat="1" ht="12">
      <c r="A91" s="281"/>
      <c r="C91" s="282"/>
      <c r="D91" s="3"/>
      <c r="E91" s="3"/>
      <c r="F91" s="3"/>
      <c r="H91" s="3"/>
      <c r="K91" s="14"/>
      <c r="L91" s="3"/>
      <c r="M91" s="3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</row>
    <row r="92" spans="1:47" s="12" customFormat="1" ht="12">
      <c r="A92" s="281"/>
      <c r="C92" s="282"/>
      <c r="D92" s="3"/>
      <c r="E92" s="3"/>
      <c r="F92" s="3"/>
      <c r="H92" s="3"/>
      <c r="K92" s="14"/>
      <c r="L92" s="3"/>
      <c r="M92" s="3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</row>
  </sheetData>
  <sheetProtection/>
  <mergeCells count="1">
    <mergeCell ref="N10:P10"/>
  </mergeCells>
  <printOptions/>
  <pageMargins left="0.7" right="0.7" top="0.75" bottom="0.75" header="0.3" footer="0.3"/>
  <pageSetup horizontalDpi="600" verticalDpi="600" orientation="landscape" scale="59" r:id="rId3"/>
  <colBreaks count="1" manualBreakCount="1">
    <brk id="18" max="34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S157"/>
  <sheetViews>
    <sheetView showGridLines="0" view="pageBreakPreview" zoomScale="80" zoomScaleSheetLayoutView="80" zoomScalePageLayoutView="0" workbookViewId="0" topLeftCell="A1">
      <selection activeCell="K12" sqref="K12"/>
    </sheetView>
  </sheetViews>
  <sheetFormatPr defaultColWidth="11.421875" defaultRowHeight="15"/>
  <cols>
    <col min="1" max="1" width="10.57421875" style="3" bestFit="1" customWidth="1"/>
    <col min="2" max="2" width="7.421875" style="3" customWidth="1"/>
    <col min="3" max="3" width="26.28125" style="3" customWidth="1"/>
    <col min="4" max="4" width="9.00390625" style="12" customWidth="1"/>
    <col min="5" max="5" width="7.00390625" style="12" customWidth="1"/>
    <col min="6" max="6" width="8.57421875" style="3" customWidth="1"/>
    <col min="7" max="7" width="1.7109375" style="3" customWidth="1"/>
    <col min="8" max="8" width="8.421875" style="3" customWidth="1"/>
    <col min="9" max="9" width="10.00390625" style="12" bestFit="1" customWidth="1"/>
    <col min="10" max="10" width="8.8515625" style="14" customWidth="1"/>
    <col min="11" max="11" width="11.421875" style="3" customWidth="1"/>
    <col min="12" max="12" width="13.00390625" style="3" bestFit="1" customWidth="1"/>
    <col min="13" max="13" width="14.140625" style="3" bestFit="1" customWidth="1"/>
    <col min="14" max="15" width="11.421875" style="3" customWidth="1"/>
    <col min="16" max="16" width="10.00390625" style="3" bestFit="1" customWidth="1"/>
    <col min="17" max="17" width="15.57421875" style="3" bestFit="1" customWidth="1"/>
    <col min="18" max="19" width="18.00390625" style="3" bestFit="1" customWidth="1"/>
    <col min="20" max="16384" width="11.421875" style="3" customWidth="1"/>
  </cols>
  <sheetData>
    <row r="1" spans="3:14" ht="12">
      <c r="C1" s="13" t="s">
        <v>110</v>
      </c>
      <c r="M1" s="15"/>
      <c r="N1" s="15"/>
    </row>
    <row r="2" spans="3:14" ht="12">
      <c r="C2" s="13" t="s">
        <v>24</v>
      </c>
      <c r="M2" s="21">
        <f>+'2144 Trks'!N2</f>
        <v>6</v>
      </c>
      <c r="N2" s="18" t="s">
        <v>25</v>
      </c>
    </row>
    <row r="3" spans="3:14" ht="12">
      <c r="C3" s="19">
        <f>'Depr Summary'!H5</f>
        <v>43830</v>
      </c>
      <c r="M3" s="21">
        <f>+'2144 Trks'!N3</f>
        <v>2018</v>
      </c>
      <c r="N3" s="18" t="s">
        <v>297</v>
      </c>
    </row>
    <row r="4" spans="13:14" ht="12">
      <c r="M4" s="21">
        <f>'2144 Trks'!N4</f>
        <v>2019</v>
      </c>
      <c r="N4" s="18" t="s">
        <v>35</v>
      </c>
    </row>
    <row r="5" spans="13:14" ht="12">
      <c r="M5" s="262">
        <f>'2144 Trks'!N5</f>
        <v>2020.5</v>
      </c>
      <c r="N5" s="18" t="s">
        <v>298</v>
      </c>
    </row>
    <row r="6" ht="12"/>
    <row r="7" ht="12"/>
    <row r="8" spans="2:19" ht="12">
      <c r="B8" s="15"/>
      <c r="C8" s="15"/>
      <c r="D8" s="22"/>
      <c r="E8" s="22"/>
      <c r="F8" s="15"/>
      <c r="G8" s="15"/>
      <c r="H8" s="15"/>
      <c r="I8" s="22"/>
      <c r="J8" s="23"/>
      <c r="Q8" s="4" t="s">
        <v>0</v>
      </c>
      <c r="R8" s="4" t="s">
        <v>1</v>
      </c>
      <c r="S8" s="4"/>
    </row>
    <row r="9" spans="1:19" ht="12">
      <c r="A9" s="4"/>
      <c r="B9" s="4" t="s">
        <v>13</v>
      </c>
      <c r="C9" s="24" t="s">
        <v>367</v>
      </c>
      <c r="D9" s="379" t="s">
        <v>312</v>
      </c>
      <c r="E9" s="379"/>
      <c r="F9" s="25" t="s">
        <v>5</v>
      </c>
      <c r="G9" s="15"/>
      <c r="H9" s="4" t="s">
        <v>13</v>
      </c>
      <c r="I9" s="4"/>
      <c r="J9" s="26" t="s">
        <v>49</v>
      </c>
      <c r="K9" s="4" t="s">
        <v>293</v>
      </c>
      <c r="L9" s="4" t="s">
        <v>13</v>
      </c>
      <c r="M9" s="24" t="s">
        <v>13</v>
      </c>
      <c r="N9" s="24"/>
      <c r="O9" s="4"/>
      <c r="P9" s="4"/>
      <c r="Q9" s="4" t="s">
        <v>111</v>
      </c>
      <c r="R9" s="4" t="s">
        <v>111</v>
      </c>
      <c r="S9" s="4" t="s">
        <v>2</v>
      </c>
    </row>
    <row r="10" spans="1:19" ht="12">
      <c r="A10" s="4"/>
      <c r="B10" s="4" t="s">
        <v>112</v>
      </c>
      <c r="C10" s="24"/>
      <c r="D10" s="379"/>
      <c r="E10" s="379"/>
      <c r="F10" s="25" t="s">
        <v>58</v>
      </c>
      <c r="G10" s="15"/>
      <c r="H10" s="4" t="s">
        <v>59</v>
      </c>
      <c r="I10" s="4" t="s">
        <v>60</v>
      </c>
      <c r="J10" s="26" t="s">
        <v>61</v>
      </c>
      <c r="K10" s="4" t="s">
        <v>294</v>
      </c>
      <c r="L10" s="4" t="s">
        <v>50</v>
      </c>
      <c r="M10" s="4" t="s">
        <v>6</v>
      </c>
      <c r="N10" s="4" t="s">
        <v>63</v>
      </c>
      <c r="O10" s="4" t="s">
        <v>295</v>
      </c>
      <c r="P10" s="4" t="s">
        <v>65</v>
      </c>
      <c r="Q10" s="4" t="s">
        <v>6</v>
      </c>
      <c r="R10" s="4" t="s">
        <v>6</v>
      </c>
      <c r="S10" s="4" t="s">
        <v>9</v>
      </c>
    </row>
    <row r="11" spans="1:19" ht="12">
      <c r="A11" s="270" t="s">
        <v>73</v>
      </c>
      <c r="B11" s="270" t="s">
        <v>74</v>
      </c>
      <c r="C11" s="271" t="s">
        <v>75</v>
      </c>
      <c r="D11" s="270" t="s">
        <v>49</v>
      </c>
      <c r="E11" s="270" t="s">
        <v>76</v>
      </c>
      <c r="F11" s="272" t="s">
        <v>52</v>
      </c>
      <c r="G11" s="273" t="s">
        <v>77</v>
      </c>
      <c r="H11" s="270" t="s">
        <v>78</v>
      </c>
      <c r="I11" s="270" t="s">
        <v>79</v>
      </c>
      <c r="J11" s="274" t="s">
        <v>6</v>
      </c>
      <c r="K11" s="270" t="s">
        <v>6</v>
      </c>
      <c r="L11" s="270" t="s">
        <v>4</v>
      </c>
      <c r="M11" s="270" t="s">
        <v>4</v>
      </c>
      <c r="N11" s="270" t="s">
        <v>6</v>
      </c>
      <c r="O11" s="270" t="s">
        <v>6</v>
      </c>
      <c r="P11" s="275" t="s">
        <v>80</v>
      </c>
      <c r="Q11" s="276">
        <f>'Depr Summary'!F5</f>
        <v>43466</v>
      </c>
      <c r="R11" s="276">
        <f>+C3</f>
        <v>43830</v>
      </c>
      <c r="S11" s="277">
        <f>C3</f>
        <v>43830</v>
      </c>
    </row>
    <row r="12" spans="1:19" s="7" customFormat="1" ht="12">
      <c r="A12" s="35"/>
      <c r="B12" s="44"/>
      <c r="C12" s="44" t="s">
        <v>113</v>
      </c>
      <c r="D12" s="35">
        <v>1998</v>
      </c>
      <c r="E12" s="35">
        <v>5</v>
      </c>
      <c r="F12" s="85">
        <v>0</v>
      </c>
      <c r="H12" s="35" t="s">
        <v>82</v>
      </c>
      <c r="I12" s="94">
        <v>10</v>
      </c>
      <c r="J12" s="39">
        <f aca="true" t="shared" si="0" ref="J12:J32">D12+I12</f>
        <v>2008</v>
      </c>
      <c r="K12" s="209">
        <f>+J12+(E12/12)</f>
        <v>2008.4166666666667</v>
      </c>
      <c r="L12" s="45">
        <v>10093</v>
      </c>
      <c r="M12" s="41">
        <f aca="true" t="shared" si="1" ref="M12:M46">L12-L12*F12</f>
        <v>10093</v>
      </c>
      <c r="N12" s="41">
        <f aca="true" t="shared" si="2" ref="N12:N40">M12/I12/12</f>
        <v>84.10833333333333</v>
      </c>
      <c r="O12" s="41">
        <f>+N12*12</f>
        <v>1009.3</v>
      </c>
      <c r="P12" s="210">
        <f>+IF(K12&lt;=$M$5,0,IF(J12&gt;$M$4,O12,(N12*E12)))</f>
        <v>0</v>
      </c>
      <c r="Q12" s="210">
        <f>+IF(P12=0,M12,IF($M$3-D12&lt;1,0,(($M$3-D12)*O12)))</f>
        <v>10093</v>
      </c>
      <c r="R12" s="210">
        <f>+IF(P12=0,Q12,Q12+P12)</f>
        <v>10093</v>
      </c>
      <c r="S12" s="210">
        <f>+L12-R12</f>
        <v>0</v>
      </c>
    </row>
    <row r="13" spans="1:19" s="7" customFormat="1" ht="12">
      <c r="A13" s="35"/>
      <c r="B13" s="44"/>
      <c r="C13" s="44" t="s">
        <v>113</v>
      </c>
      <c r="D13" s="35">
        <v>1998</v>
      </c>
      <c r="E13" s="35">
        <v>7</v>
      </c>
      <c r="F13" s="85">
        <v>0</v>
      </c>
      <c r="H13" s="35" t="s">
        <v>82</v>
      </c>
      <c r="I13" s="94">
        <v>10</v>
      </c>
      <c r="J13" s="39">
        <f t="shared" si="0"/>
        <v>2008</v>
      </c>
      <c r="K13" s="209">
        <f aca="true" t="shared" si="3" ref="K13:K46">+J13+(E13/12)</f>
        <v>2008.5833333333333</v>
      </c>
      <c r="L13" s="45">
        <v>9888</v>
      </c>
      <c r="M13" s="41">
        <f t="shared" si="1"/>
        <v>9888</v>
      </c>
      <c r="N13" s="41">
        <f t="shared" si="2"/>
        <v>82.39999999999999</v>
      </c>
      <c r="O13" s="41">
        <f aca="true" t="shared" si="4" ref="O13:O43">+N13*12</f>
        <v>988.8</v>
      </c>
      <c r="P13" s="210">
        <f aca="true" t="shared" si="5" ref="P13:P43">+IF(K13&lt;=$M$5,0,IF(J13&gt;$M$4,O13,(N13*E13)))</f>
        <v>0</v>
      </c>
      <c r="Q13" s="210">
        <f aca="true" t="shared" si="6" ref="Q13:Q43">+IF(P13=0,M13,IF($M$3-D13&lt;1,0,(($M$3-D13)*O13)))</f>
        <v>9888</v>
      </c>
      <c r="R13" s="210">
        <f aca="true" t="shared" si="7" ref="R13:R43">+IF(P13=0,Q13,Q13+P13)</f>
        <v>9888</v>
      </c>
      <c r="S13" s="210">
        <f aca="true" t="shared" si="8" ref="S13:S46">+L13-R13</f>
        <v>0</v>
      </c>
    </row>
    <row r="14" spans="1:19" s="7" customFormat="1" ht="12">
      <c r="A14" s="35"/>
      <c r="B14" s="44"/>
      <c r="C14" s="44" t="s">
        <v>113</v>
      </c>
      <c r="D14" s="35">
        <v>1998</v>
      </c>
      <c r="E14" s="35">
        <v>9</v>
      </c>
      <c r="F14" s="85">
        <v>0</v>
      </c>
      <c r="H14" s="35" t="s">
        <v>82</v>
      </c>
      <c r="I14" s="94">
        <v>10</v>
      </c>
      <c r="J14" s="39">
        <f t="shared" si="0"/>
        <v>2008</v>
      </c>
      <c r="K14" s="209">
        <f t="shared" si="3"/>
        <v>2008.75</v>
      </c>
      <c r="L14" s="45">
        <v>9908</v>
      </c>
      <c r="M14" s="41">
        <f t="shared" si="1"/>
        <v>9908</v>
      </c>
      <c r="N14" s="41">
        <f t="shared" si="2"/>
        <v>82.56666666666666</v>
      </c>
      <c r="O14" s="41">
        <f t="shared" si="4"/>
        <v>990.8</v>
      </c>
      <c r="P14" s="210">
        <f t="shared" si="5"/>
        <v>0</v>
      </c>
      <c r="Q14" s="210">
        <f t="shared" si="6"/>
        <v>9908</v>
      </c>
      <c r="R14" s="210">
        <f t="shared" si="7"/>
        <v>9908</v>
      </c>
      <c r="S14" s="210">
        <f t="shared" si="8"/>
        <v>0</v>
      </c>
    </row>
    <row r="15" spans="1:19" s="7" customFormat="1" ht="12">
      <c r="A15" s="145"/>
      <c r="B15" s="36">
        <v>12</v>
      </c>
      <c r="C15" s="44" t="s">
        <v>114</v>
      </c>
      <c r="D15" s="35">
        <v>2000</v>
      </c>
      <c r="E15" s="35">
        <v>7</v>
      </c>
      <c r="F15" s="85">
        <v>0</v>
      </c>
      <c r="G15" s="41"/>
      <c r="H15" s="35" t="s">
        <v>82</v>
      </c>
      <c r="I15" s="38">
        <v>10</v>
      </c>
      <c r="J15" s="39">
        <f t="shared" si="0"/>
        <v>2010</v>
      </c>
      <c r="K15" s="209">
        <f t="shared" si="3"/>
        <v>2010.5833333333333</v>
      </c>
      <c r="L15" s="40">
        <v>6034</v>
      </c>
      <c r="M15" s="41">
        <f t="shared" si="1"/>
        <v>6034</v>
      </c>
      <c r="N15" s="41">
        <f t="shared" si="2"/>
        <v>50.28333333333333</v>
      </c>
      <c r="O15" s="41">
        <f t="shared" si="4"/>
        <v>603.4</v>
      </c>
      <c r="P15" s="210">
        <f t="shared" si="5"/>
        <v>0</v>
      </c>
      <c r="Q15" s="210">
        <f t="shared" si="6"/>
        <v>6034</v>
      </c>
      <c r="R15" s="210">
        <f t="shared" si="7"/>
        <v>6034</v>
      </c>
      <c r="S15" s="210">
        <f t="shared" si="8"/>
        <v>0</v>
      </c>
    </row>
    <row r="16" spans="1:19" s="7" customFormat="1" ht="12">
      <c r="A16" s="145"/>
      <c r="B16" s="36">
        <v>12</v>
      </c>
      <c r="C16" s="44" t="s">
        <v>115</v>
      </c>
      <c r="D16" s="35">
        <v>2000</v>
      </c>
      <c r="E16" s="35">
        <v>7</v>
      </c>
      <c r="F16" s="85">
        <v>0</v>
      </c>
      <c r="G16" s="41"/>
      <c r="H16" s="35" t="s">
        <v>82</v>
      </c>
      <c r="I16" s="38">
        <v>10</v>
      </c>
      <c r="J16" s="39">
        <f t="shared" si="0"/>
        <v>2010</v>
      </c>
      <c r="K16" s="209">
        <f t="shared" si="3"/>
        <v>2010.5833333333333</v>
      </c>
      <c r="L16" s="45">
        <v>6425</v>
      </c>
      <c r="M16" s="41">
        <f t="shared" si="1"/>
        <v>6425</v>
      </c>
      <c r="N16" s="41">
        <f t="shared" si="2"/>
        <v>53.541666666666664</v>
      </c>
      <c r="O16" s="41">
        <f t="shared" si="4"/>
        <v>642.5</v>
      </c>
      <c r="P16" s="210">
        <f t="shared" si="5"/>
        <v>0</v>
      </c>
      <c r="Q16" s="210">
        <f t="shared" si="6"/>
        <v>6425</v>
      </c>
      <c r="R16" s="210">
        <f t="shared" si="7"/>
        <v>6425</v>
      </c>
      <c r="S16" s="210">
        <f t="shared" si="8"/>
        <v>0</v>
      </c>
    </row>
    <row r="17" spans="1:19" s="7" customFormat="1" ht="12">
      <c r="A17" s="145"/>
      <c r="B17" s="36">
        <v>12</v>
      </c>
      <c r="C17" s="44" t="s">
        <v>114</v>
      </c>
      <c r="D17" s="35">
        <v>2003</v>
      </c>
      <c r="E17" s="35">
        <v>1</v>
      </c>
      <c r="F17" s="85">
        <v>0</v>
      </c>
      <c r="G17" s="41"/>
      <c r="H17" s="35" t="s">
        <v>82</v>
      </c>
      <c r="I17" s="38">
        <v>10</v>
      </c>
      <c r="J17" s="39">
        <f t="shared" si="0"/>
        <v>2013</v>
      </c>
      <c r="K17" s="209">
        <f t="shared" si="3"/>
        <v>2013.0833333333333</v>
      </c>
      <c r="L17" s="40">
        <v>4896</v>
      </c>
      <c r="M17" s="41">
        <f t="shared" si="1"/>
        <v>4896</v>
      </c>
      <c r="N17" s="41">
        <f t="shared" si="2"/>
        <v>40.800000000000004</v>
      </c>
      <c r="O17" s="41">
        <f t="shared" si="4"/>
        <v>489.6</v>
      </c>
      <c r="P17" s="210">
        <f t="shared" si="5"/>
        <v>0</v>
      </c>
      <c r="Q17" s="210">
        <f t="shared" si="6"/>
        <v>4896</v>
      </c>
      <c r="R17" s="210">
        <f t="shared" si="7"/>
        <v>4896</v>
      </c>
      <c r="S17" s="210">
        <f t="shared" si="8"/>
        <v>0</v>
      </c>
    </row>
    <row r="18" spans="1:19" s="7" customFormat="1" ht="12">
      <c r="A18" s="145"/>
      <c r="B18" s="36">
        <v>12</v>
      </c>
      <c r="C18" s="44" t="s">
        <v>116</v>
      </c>
      <c r="D18" s="35">
        <v>2003</v>
      </c>
      <c r="E18" s="35">
        <v>1</v>
      </c>
      <c r="F18" s="85">
        <v>0</v>
      </c>
      <c r="G18" s="41"/>
      <c r="H18" s="35" t="s">
        <v>82</v>
      </c>
      <c r="I18" s="38">
        <v>10</v>
      </c>
      <c r="J18" s="39">
        <f t="shared" si="0"/>
        <v>2013</v>
      </c>
      <c r="K18" s="209">
        <f t="shared" si="3"/>
        <v>2013.0833333333333</v>
      </c>
      <c r="L18" s="40">
        <v>5962</v>
      </c>
      <c r="M18" s="41">
        <f t="shared" si="1"/>
        <v>5962</v>
      </c>
      <c r="N18" s="41">
        <f t="shared" si="2"/>
        <v>49.68333333333334</v>
      </c>
      <c r="O18" s="41">
        <f t="shared" si="4"/>
        <v>596.2</v>
      </c>
      <c r="P18" s="210">
        <f t="shared" si="5"/>
        <v>0</v>
      </c>
      <c r="Q18" s="210">
        <f t="shared" si="6"/>
        <v>5962</v>
      </c>
      <c r="R18" s="210">
        <f t="shared" si="7"/>
        <v>5962</v>
      </c>
      <c r="S18" s="210">
        <f t="shared" si="8"/>
        <v>0</v>
      </c>
    </row>
    <row r="19" spans="1:19" s="7" customFormat="1" ht="12">
      <c r="A19" s="145"/>
      <c r="B19" s="36">
        <v>12</v>
      </c>
      <c r="C19" s="44" t="s">
        <v>116</v>
      </c>
      <c r="D19" s="35">
        <v>2005</v>
      </c>
      <c r="E19" s="35">
        <v>7</v>
      </c>
      <c r="F19" s="85">
        <v>0</v>
      </c>
      <c r="G19" s="41"/>
      <c r="H19" s="35" t="s">
        <v>82</v>
      </c>
      <c r="I19" s="38">
        <v>10</v>
      </c>
      <c r="J19" s="39">
        <f t="shared" si="0"/>
        <v>2015</v>
      </c>
      <c r="K19" s="209">
        <f t="shared" si="3"/>
        <v>2015.5833333333333</v>
      </c>
      <c r="L19" s="40">
        <v>7768.32</v>
      </c>
      <c r="M19" s="41">
        <f t="shared" si="1"/>
        <v>7768.32</v>
      </c>
      <c r="N19" s="41">
        <f t="shared" si="2"/>
        <v>64.736</v>
      </c>
      <c r="O19" s="41">
        <f t="shared" si="4"/>
        <v>776.8320000000001</v>
      </c>
      <c r="P19" s="210">
        <f t="shared" si="5"/>
        <v>0</v>
      </c>
      <c r="Q19" s="210">
        <f t="shared" si="6"/>
        <v>7768.32</v>
      </c>
      <c r="R19" s="210">
        <f t="shared" si="7"/>
        <v>7768.32</v>
      </c>
      <c r="S19" s="210">
        <f t="shared" si="8"/>
        <v>0</v>
      </c>
    </row>
    <row r="20" spans="1:19" s="7" customFormat="1" ht="12">
      <c r="A20" s="145"/>
      <c r="B20" s="36">
        <v>12</v>
      </c>
      <c r="C20" s="44" t="s">
        <v>114</v>
      </c>
      <c r="D20" s="35">
        <v>2005</v>
      </c>
      <c r="E20" s="35">
        <v>9</v>
      </c>
      <c r="F20" s="85">
        <v>0</v>
      </c>
      <c r="G20" s="41"/>
      <c r="H20" s="35" t="s">
        <v>82</v>
      </c>
      <c r="I20" s="38">
        <v>10</v>
      </c>
      <c r="J20" s="39">
        <f t="shared" si="0"/>
        <v>2015</v>
      </c>
      <c r="K20" s="209">
        <f t="shared" si="3"/>
        <v>2015.75</v>
      </c>
      <c r="L20" s="40">
        <v>6780</v>
      </c>
      <c r="M20" s="41">
        <f t="shared" si="1"/>
        <v>6780</v>
      </c>
      <c r="N20" s="41">
        <f t="shared" si="2"/>
        <v>56.5</v>
      </c>
      <c r="O20" s="41">
        <f t="shared" si="4"/>
        <v>678</v>
      </c>
      <c r="P20" s="210">
        <f t="shared" si="5"/>
        <v>0</v>
      </c>
      <c r="Q20" s="210">
        <f t="shared" si="6"/>
        <v>6780</v>
      </c>
      <c r="R20" s="210">
        <f t="shared" si="7"/>
        <v>6780</v>
      </c>
      <c r="S20" s="210">
        <f t="shared" si="8"/>
        <v>0</v>
      </c>
    </row>
    <row r="21" spans="1:19" s="7" customFormat="1" ht="12">
      <c r="A21" s="145"/>
      <c r="B21" s="36">
        <v>12</v>
      </c>
      <c r="C21" s="44" t="s">
        <v>115</v>
      </c>
      <c r="D21" s="35">
        <v>2005</v>
      </c>
      <c r="E21" s="35">
        <v>9</v>
      </c>
      <c r="F21" s="85">
        <v>0</v>
      </c>
      <c r="G21" s="41"/>
      <c r="H21" s="35" t="s">
        <v>82</v>
      </c>
      <c r="I21" s="38">
        <v>10</v>
      </c>
      <c r="J21" s="39">
        <f t="shared" si="0"/>
        <v>2015</v>
      </c>
      <c r="K21" s="209">
        <f t="shared" si="3"/>
        <v>2015.75</v>
      </c>
      <c r="L21" s="40">
        <v>7050.24</v>
      </c>
      <c r="M21" s="41">
        <f t="shared" si="1"/>
        <v>7050.24</v>
      </c>
      <c r="N21" s="41">
        <f t="shared" si="2"/>
        <v>58.752</v>
      </c>
      <c r="O21" s="41">
        <f t="shared" si="4"/>
        <v>705.024</v>
      </c>
      <c r="P21" s="210">
        <f t="shared" si="5"/>
        <v>0</v>
      </c>
      <c r="Q21" s="210">
        <f t="shared" si="6"/>
        <v>7050.24</v>
      </c>
      <c r="R21" s="210">
        <f t="shared" si="7"/>
        <v>7050.24</v>
      </c>
      <c r="S21" s="210">
        <f t="shared" si="8"/>
        <v>0</v>
      </c>
    </row>
    <row r="22" spans="1:19" s="7" customFormat="1" ht="12">
      <c r="A22" s="145"/>
      <c r="B22" s="36">
        <v>12</v>
      </c>
      <c r="C22" s="44" t="s">
        <v>117</v>
      </c>
      <c r="D22" s="35">
        <v>2006</v>
      </c>
      <c r="E22" s="35">
        <v>8</v>
      </c>
      <c r="F22" s="85">
        <v>0</v>
      </c>
      <c r="G22" s="41"/>
      <c r="H22" s="35" t="s">
        <v>82</v>
      </c>
      <c r="I22" s="38">
        <v>10</v>
      </c>
      <c r="J22" s="39">
        <f t="shared" si="0"/>
        <v>2016</v>
      </c>
      <c r="K22" s="209">
        <f t="shared" si="3"/>
        <v>2016.6666666666667</v>
      </c>
      <c r="L22" s="40">
        <v>5287.68</v>
      </c>
      <c r="M22" s="41">
        <f t="shared" si="1"/>
        <v>5287.68</v>
      </c>
      <c r="N22" s="41">
        <f t="shared" si="2"/>
        <v>44.064</v>
      </c>
      <c r="O22" s="41">
        <f t="shared" si="4"/>
        <v>528.768</v>
      </c>
      <c r="P22" s="210">
        <f t="shared" si="5"/>
        <v>0</v>
      </c>
      <c r="Q22" s="210">
        <f t="shared" si="6"/>
        <v>5287.68</v>
      </c>
      <c r="R22" s="210">
        <f t="shared" si="7"/>
        <v>5287.68</v>
      </c>
      <c r="S22" s="210">
        <f t="shared" si="8"/>
        <v>0</v>
      </c>
    </row>
    <row r="23" spans="1:19" ht="12">
      <c r="A23" s="144"/>
      <c r="B23" s="55">
        <v>12</v>
      </c>
      <c r="C23" s="143" t="s">
        <v>118</v>
      </c>
      <c r="D23" s="12">
        <v>2006</v>
      </c>
      <c r="E23" s="12">
        <v>8</v>
      </c>
      <c r="F23" s="56">
        <v>0</v>
      </c>
      <c r="G23" s="15"/>
      <c r="H23" s="12" t="s">
        <v>82</v>
      </c>
      <c r="I23" s="57">
        <v>10</v>
      </c>
      <c r="J23" s="23">
        <f t="shared" si="0"/>
        <v>2016</v>
      </c>
      <c r="K23" s="209">
        <f t="shared" si="3"/>
        <v>2016.6666666666667</v>
      </c>
      <c r="L23" s="58">
        <v>5418.24</v>
      </c>
      <c r="M23" s="15">
        <f t="shared" si="1"/>
        <v>5418.24</v>
      </c>
      <c r="N23" s="15">
        <f t="shared" si="2"/>
        <v>45.151999999999994</v>
      </c>
      <c r="O23" s="41">
        <f t="shared" si="4"/>
        <v>541.824</v>
      </c>
      <c r="P23" s="210">
        <f t="shared" si="5"/>
        <v>0</v>
      </c>
      <c r="Q23" s="210">
        <f t="shared" si="6"/>
        <v>5418.24</v>
      </c>
      <c r="R23" s="210">
        <f t="shared" si="7"/>
        <v>5418.24</v>
      </c>
      <c r="S23" s="210">
        <f t="shared" si="8"/>
        <v>0</v>
      </c>
    </row>
    <row r="24" spans="1:19" ht="12">
      <c r="A24" s="144"/>
      <c r="B24" s="55">
        <v>12</v>
      </c>
      <c r="C24" s="143" t="s">
        <v>119</v>
      </c>
      <c r="D24" s="12">
        <v>2006</v>
      </c>
      <c r="E24" s="12">
        <v>9</v>
      </c>
      <c r="F24" s="56">
        <v>0</v>
      </c>
      <c r="G24" s="15"/>
      <c r="H24" s="12" t="s">
        <v>82</v>
      </c>
      <c r="I24" s="57">
        <v>10</v>
      </c>
      <c r="J24" s="23">
        <f t="shared" si="0"/>
        <v>2016</v>
      </c>
      <c r="K24" s="209">
        <f t="shared" si="3"/>
        <v>2016.75</v>
      </c>
      <c r="L24" s="58">
        <v>5679.36</v>
      </c>
      <c r="M24" s="15">
        <f t="shared" si="1"/>
        <v>5679.36</v>
      </c>
      <c r="N24" s="15">
        <f t="shared" si="2"/>
        <v>47.327999999999996</v>
      </c>
      <c r="O24" s="41">
        <f t="shared" si="4"/>
        <v>567.9359999999999</v>
      </c>
      <c r="P24" s="210">
        <f t="shared" si="5"/>
        <v>0</v>
      </c>
      <c r="Q24" s="210">
        <f t="shared" si="6"/>
        <v>5679.36</v>
      </c>
      <c r="R24" s="210">
        <f t="shared" si="7"/>
        <v>5679.36</v>
      </c>
      <c r="S24" s="210">
        <f t="shared" si="8"/>
        <v>0</v>
      </c>
    </row>
    <row r="25" spans="1:19" ht="12">
      <c r="A25" s="144"/>
      <c r="B25" s="55">
        <v>31</v>
      </c>
      <c r="C25" s="143" t="s">
        <v>119</v>
      </c>
      <c r="D25" s="12">
        <v>2007</v>
      </c>
      <c r="E25" s="12">
        <v>8</v>
      </c>
      <c r="F25" s="56">
        <v>0</v>
      </c>
      <c r="G25" s="15"/>
      <c r="H25" s="12" t="s">
        <v>82</v>
      </c>
      <c r="I25" s="57">
        <v>10</v>
      </c>
      <c r="J25" s="23">
        <f t="shared" si="0"/>
        <v>2017</v>
      </c>
      <c r="K25" s="209">
        <f t="shared" si="3"/>
        <v>2017.6666666666667</v>
      </c>
      <c r="L25" s="58">
        <f>1894.36+1894.36+2368.58+2842.29+5684.58</f>
        <v>14684.17</v>
      </c>
      <c r="M25" s="15">
        <f t="shared" si="1"/>
        <v>14684.17</v>
      </c>
      <c r="N25" s="15">
        <f t="shared" si="2"/>
        <v>122.36808333333333</v>
      </c>
      <c r="O25" s="41">
        <f t="shared" si="4"/>
        <v>1468.417</v>
      </c>
      <c r="P25" s="210">
        <f t="shared" si="5"/>
        <v>0</v>
      </c>
      <c r="Q25" s="210">
        <f t="shared" si="6"/>
        <v>14684.17</v>
      </c>
      <c r="R25" s="210">
        <f t="shared" si="7"/>
        <v>14684.17</v>
      </c>
      <c r="S25" s="210">
        <f t="shared" si="8"/>
        <v>0</v>
      </c>
    </row>
    <row r="26" spans="1:19" ht="12">
      <c r="A26" s="144"/>
      <c r="B26" s="55">
        <v>15</v>
      </c>
      <c r="C26" s="143" t="s">
        <v>119</v>
      </c>
      <c r="D26" s="12">
        <v>2010</v>
      </c>
      <c r="E26" s="12">
        <v>8</v>
      </c>
      <c r="F26" s="56">
        <v>0</v>
      </c>
      <c r="G26" s="15"/>
      <c r="H26" s="12" t="s">
        <v>82</v>
      </c>
      <c r="I26" s="57">
        <v>10</v>
      </c>
      <c r="J26" s="23">
        <f t="shared" si="0"/>
        <v>2020</v>
      </c>
      <c r="K26" s="209">
        <f t="shared" si="3"/>
        <v>2020.6666666666667</v>
      </c>
      <c r="L26" s="58">
        <v>7314.42</v>
      </c>
      <c r="M26" s="15">
        <f t="shared" si="1"/>
        <v>7314.42</v>
      </c>
      <c r="N26" s="15">
        <f t="shared" si="2"/>
        <v>60.9535</v>
      </c>
      <c r="O26" s="41">
        <f t="shared" si="4"/>
        <v>731.442</v>
      </c>
      <c r="P26" s="210">
        <f t="shared" si="5"/>
        <v>731.442</v>
      </c>
      <c r="Q26" s="210">
        <f t="shared" si="6"/>
        <v>5851.536</v>
      </c>
      <c r="R26" s="210">
        <f t="shared" si="7"/>
        <v>6582.978</v>
      </c>
      <c r="S26" s="210">
        <f t="shared" si="8"/>
        <v>731.442</v>
      </c>
    </row>
    <row r="27" spans="1:19" ht="12">
      <c r="A27" s="144"/>
      <c r="B27" s="55">
        <v>15</v>
      </c>
      <c r="C27" s="143" t="s">
        <v>118</v>
      </c>
      <c r="D27" s="12">
        <v>2010</v>
      </c>
      <c r="E27" s="12">
        <v>8</v>
      </c>
      <c r="F27" s="56">
        <v>0</v>
      </c>
      <c r="G27" s="15"/>
      <c r="H27" s="12" t="s">
        <v>82</v>
      </c>
      <c r="I27" s="57">
        <v>10</v>
      </c>
      <c r="J27" s="23">
        <f t="shared" si="0"/>
        <v>2020</v>
      </c>
      <c r="K27" s="209">
        <f t="shared" si="3"/>
        <v>2020.6666666666667</v>
      </c>
      <c r="L27" s="58">
        <v>7102.46</v>
      </c>
      <c r="M27" s="15">
        <f t="shared" si="1"/>
        <v>7102.46</v>
      </c>
      <c r="N27" s="15">
        <f t="shared" si="2"/>
        <v>59.18716666666666</v>
      </c>
      <c r="O27" s="41">
        <f t="shared" si="4"/>
        <v>710.246</v>
      </c>
      <c r="P27" s="210">
        <f t="shared" si="5"/>
        <v>710.246</v>
      </c>
      <c r="Q27" s="210">
        <f t="shared" si="6"/>
        <v>5681.968</v>
      </c>
      <c r="R27" s="210">
        <f t="shared" si="7"/>
        <v>6392.214</v>
      </c>
      <c r="S27" s="210">
        <f t="shared" si="8"/>
        <v>710.2460000000001</v>
      </c>
    </row>
    <row r="28" spans="1:19" ht="12">
      <c r="A28" s="144"/>
      <c r="B28" s="55">
        <v>15</v>
      </c>
      <c r="C28" s="143" t="s">
        <v>119</v>
      </c>
      <c r="D28" s="12">
        <v>2011</v>
      </c>
      <c r="E28" s="12">
        <v>12</v>
      </c>
      <c r="F28" s="56">
        <v>0</v>
      </c>
      <c r="G28" s="15"/>
      <c r="H28" s="12" t="s">
        <v>82</v>
      </c>
      <c r="I28" s="57">
        <v>10</v>
      </c>
      <c r="J28" s="23">
        <f t="shared" si="0"/>
        <v>2021</v>
      </c>
      <c r="K28" s="209">
        <f t="shared" si="3"/>
        <v>2022</v>
      </c>
      <c r="L28" s="58">
        <v>7391.25</v>
      </c>
      <c r="M28" s="15">
        <f t="shared" si="1"/>
        <v>7391.25</v>
      </c>
      <c r="N28" s="15">
        <f t="shared" si="2"/>
        <v>61.59375</v>
      </c>
      <c r="O28" s="41">
        <f t="shared" si="4"/>
        <v>739.125</v>
      </c>
      <c r="P28" s="210">
        <f t="shared" si="5"/>
        <v>739.125</v>
      </c>
      <c r="Q28" s="210">
        <f t="shared" si="6"/>
        <v>5173.875</v>
      </c>
      <c r="R28" s="210">
        <f t="shared" si="7"/>
        <v>5913</v>
      </c>
      <c r="S28" s="210">
        <f t="shared" si="8"/>
        <v>1478.25</v>
      </c>
    </row>
    <row r="29" spans="1:19" ht="12">
      <c r="A29" s="144"/>
      <c r="B29" s="3">
        <v>30</v>
      </c>
      <c r="C29" s="143" t="s">
        <v>120</v>
      </c>
      <c r="D29" s="12">
        <v>2011</v>
      </c>
      <c r="E29" s="12">
        <v>8</v>
      </c>
      <c r="F29" s="56">
        <v>0</v>
      </c>
      <c r="H29" s="12" t="s">
        <v>82</v>
      </c>
      <c r="I29" s="57">
        <v>10</v>
      </c>
      <c r="J29" s="23">
        <f t="shared" si="0"/>
        <v>2021</v>
      </c>
      <c r="K29" s="209">
        <f t="shared" si="3"/>
        <v>2021.6666666666667</v>
      </c>
      <c r="L29" s="58">
        <f>9610.17+7756.83</f>
        <v>17367</v>
      </c>
      <c r="M29" s="15">
        <f t="shared" si="1"/>
        <v>17367</v>
      </c>
      <c r="N29" s="15">
        <f t="shared" si="2"/>
        <v>144.725</v>
      </c>
      <c r="O29" s="41">
        <f t="shared" si="4"/>
        <v>1736.6999999999998</v>
      </c>
      <c r="P29" s="210">
        <f t="shared" si="5"/>
        <v>1736.6999999999998</v>
      </c>
      <c r="Q29" s="210">
        <f t="shared" si="6"/>
        <v>12156.899999999998</v>
      </c>
      <c r="R29" s="210">
        <f t="shared" si="7"/>
        <v>13893.599999999999</v>
      </c>
      <c r="S29" s="210">
        <f t="shared" si="8"/>
        <v>3473.4000000000015</v>
      </c>
    </row>
    <row r="30" spans="1:19" ht="12">
      <c r="A30" s="144">
        <v>113799</v>
      </c>
      <c r="B30" s="3">
        <v>18</v>
      </c>
      <c r="C30" s="143" t="s">
        <v>118</v>
      </c>
      <c r="D30" s="12">
        <v>2014</v>
      </c>
      <c r="E30" s="12">
        <v>6</v>
      </c>
      <c r="F30" s="56">
        <v>0</v>
      </c>
      <c r="H30" s="12" t="s">
        <v>82</v>
      </c>
      <c r="I30" s="57">
        <v>10</v>
      </c>
      <c r="J30" s="23">
        <f t="shared" si="0"/>
        <v>2024</v>
      </c>
      <c r="K30" s="209">
        <f t="shared" si="3"/>
        <v>2024.5</v>
      </c>
      <c r="L30" s="58">
        <v>9276.46</v>
      </c>
      <c r="M30" s="15">
        <f t="shared" si="1"/>
        <v>9276.46</v>
      </c>
      <c r="N30" s="15">
        <f t="shared" si="2"/>
        <v>77.30383333333333</v>
      </c>
      <c r="O30" s="41">
        <f t="shared" si="4"/>
        <v>927.646</v>
      </c>
      <c r="P30" s="210">
        <f t="shared" si="5"/>
        <v>927.646</v>
      </c>
      <c r="Q30" s="210">
        <f t="shared" si="6"/>
        <v>3710.584</v>
      </c>
      <c r="R30" s="210">
        <f t="shared" si="7"/>
        <v>4638.23</v>
      </c>
      <c r="S30" s="210">
        <f t="shared" si="8"/>
        <v>4638.23</v>
      </c>
    </row>
    <row r="31" spans="1:19" ht="12">
      <c r="A31" s="144">
        <v>113798</v>
      </c>
      <c r="B31" s="3">
        <v>18</v>
      </c>
      <c r="C31" s="143" t="s">
        <v>117</v>
      </c>
      <c r="D31" s="12">
        <v>2014</v>
      </c>
      <c r="E31" s="12">
        <v>6</v>
      </c>
      <c r="F31" s="56">
        <v>0</v>
      </c>
      <c r="H31" s="12" t="s">
        <v>82</v>
      </c>
      <c r="I31" s="57">
        <v>10</v>
      </c>
      <c r="J31" s="23">
        <f t="shared" si="0"/>
        <v>2024</v>
      </c>
      <c r="K31" s="209">
        <f t="shared" si="3"/>
        <v>2024.5</v>
      </c>
      <c r="L31" s="58">
        <v>8669.91</v>
      </c>
      <c r="M31" s="15">
        <f t="shared" si="1"/>
        <v>8669.91</v>
      </c>
      <c r="N31" s="15">
        <f t="shared" si="2"/>
        <v>72.24925</v>
      </c>
      <c r="O31" s="41">
        <f t="shared" si="4"/>
        <v>866.991</v>
      </c>
      <c r="P31" s="210">
        <f t="shared" si="5"/>
        <v>866.991</v>
      </c>
      <c r="Q31" s="210">
        <f t="shared" si="6"/>
        <v>3467.964</v>
      </c>
      <c r="R31" s="210">
        <f t="shared" si="7"/>
        <v>4334.955</v>
      </c>
      <c r="S31" s="210">
        <f t="shared" si="8"/>
        <v>4334.955</v>
      </c>
    </row>
    <row r="32" spans="1:19" ht="12">
      <c r="A32" s="144">
        <v>114392</v>
      </c>
      <c r="B32" s="3">
        <v>17</v>
      </c>
      <c r="C32" s="143" t="s">
        <v>119</v>
      </c>
      <c r="D32" s="12">
        <v>2014</v>
      </c>
      <c r="E32" s="12">
        <v>7</v>
      </c>
      <c r="F32" s="56">
        <v>0</v>
      </c>
      <c r="H32" s="12" t="s">
        <v>82</v>
      </c>
      <c r="I32" s="57">
        <v>10</v>
      </c>
      <c r="J32" s="23">
        <f t="shared" si="0"/>
        <v>2024</v>
      </c>
      <c r="K32" s="209">
        <f t="shared" si="3"/>
        <v>2024.5833333333333</v>
      </c>
      <c r="L32" s="58">
        <v>9582.99</v>
      </c>
      <c r="M32" s="15">
        <f t="shared" si="1"/>
        <v>9582.99</v>
      </c>
      <c r="N32" s="15">
        <f t="shared" si="2"/>
        <v>79.85825</v>
      </c>
      <c r="O32" s="41">
        <f t="shared" si="4"/>
        <v>958.299</v>
      </c>
      <c r="P32" s="210">
        <f t="shared" si="5"/>
        <v>958.299</v>
      </c>
      <c r="Q32" s="210">
        <f t="shared" si="6"/>
        <v>3833.196</v>
      </c>
      <c r="R32" s="210">
        <f t="shared" si="7"/>
        <v>4791.495</v>
      </c>
      <c r="S32" s="210">
        <f t="shared" si="8"/>
        <v>4791.495</v>
      </c>
    </row>
    <row r="33" spans="1:19" ht="12">
      <c r="A33" s="144">
        <v>124519</v>
      </c>
      <c r="B33" s="3">
        <v>25</v>
      </c>
      <c r="C33" s="143" t="s">
        <v>117</v>
      </c>
      <c r="D33" s="12">
        <v>2015</v>
      </c>
      <c r="E33" s="12">
        <v>12</v>
      </c>
      <c r="F33" s="56">
        <v>0</v>
      </c>
      <c r="H33" s="12" t="s">
        <v>82</v>
      </c>
      <c r="I33" s="57">
        <v>10</v>
      </c>
      <c r="J33" s="23">
        <f aca="true" t="shared" si="9" ref="J33:J46">D33+I33</f>
        <v>2025</v>
      </c>
      <c r="K33" s="209">
        <f t="shared" si="3"/>
        <v>2026</v>
      </c>
      <c r="L33" s="58">
        <v>11680.91</v>
      </c>
      <c r="M33" s="15">
        <f t="shared" si="1"/>
        <v>11680.91</v>
      </c>
      <c r="N33" s="15">
        <f t="shared" si="2"/>
        <v>97.34091666666666</v>
      </c>
      <c r="O33" s="41">
        <f t="shared" si="4"/>
        <v>1168.091</v>
      </c>
      <c r="P33" s="210">
        <f t="shared" si="5"/>
        <v>1168.091</v>
      </c>
      <c r="Q33" s="210">
        <f t="shared" si="6"/>
        <v>3504.2729999999997</v>
      </c>
      <c r="R33" s="210">
        <f t="shared" si="7"/>
        <v>4672.364</v>
      </c>
      <c r="S33" s="210">
        <f t="shared" si="8"/>
        <v>7008.546</v>
      </c>
    </row>
    <row r="34" spans="1:19" ht="12">
      <c r="A34" s="144">
        <v>124520</v>
      </c>
      <c r="B34" s="3">
        <v>20</v>
      </c>
      <c r="C34" s="143" t="s">
        <v>119</v>
      </c>
      <c r="D34" s="12">
        <v>2015</v>
      </c>
      <c r="E34" s="12">
        <v>12</v>
      </c>
      <c r="F34" s="56">
        <v>0</v>
      </c>
      <c r="H34" s="12" t="s">
        <v>82</v>
      </c>
      <c r="I34" s="57">
        <v>10</v>
      </c>
      <c r="J34" s="23">
        <f t="shared" si="9"/>
        <v>2025</v>
      </c>
      <c r="K34" s="209">
        <f t="shared" si="3"/>
        <v>2026</v>
      </c>
      <c r="L34" s="58">
        <v>10745</v>
      </c>
      <c r="M34" s="15">
        <f t="shared" si="1"/>
        <v>10745</v>
      </c>
      <c r="N34" s="15">
        <f t="shared" si="2"/>
        <v>89.54166666666667</v>
      </c>
      <c r="O34" s="41">
        <f t="shared" si="4"/>
        <v>1074.5</v>
      </c>
      <c r="P34" s="210">
        <f t="shared" si="5"/>
        <v>1074.5</v>
      </c>
      <c r="Q34" s="210">
        <f t="shared" si="6"/>
        <v>3223.5</v>
      </c>
      <c r="R34" s="210">
        <f t="shared" si="7"/>
        <v>4298</v>
      </c>
      <c r="S34" s="210">
        <f t="shared" si="8"/>
        <v>6447</v>
      </c>
    </row>
    <row r="35" spans="1:19" ht="12">
      <c r="A35" s="144">
        <v>124521</v>
      </c>
      <c r="B35" s="3">
        <v>20</v>
      </c>
      <c r="C35" s="143" t="s">
        <v>118</v>
      </c>
      <c r="D35" s="12">
        <v>2015</v>
      </c>
      <c r="E35" s="12">
        <v>12</v>
      </c>
      <c r="F35" s="56">
        <v>0</v>
      </c>
      <c r="H35" s="12" t="s">
        <v>82</v>
      </c>
      <c r="I35" s="57">
        <v>10</v>
      </c>
      <c r="J35" s="23">
        <f t="shared" si="9"/>
        <v>2025</v>
      </c>
      <c r="K35" s="209">
        <f t="shared" si="3"/>
        <v>2026</v>
      </c>
      <c r="L35" s="58">
        <v>9767.24</v>
      </c>
      <c r="M35" s="15">
        <f t="shared" si="1"/>
        <v>9767.24</v>
      </c>
      <c r="N35" s="15">
        <f t="shared" si="2"/>
        <v>81.39366666666666</v>
      </c>
      <c r="O35" s="41">
        <f t="shared" si="4"/>
        <v>976.7239999999999</v>
      </c>
      <c r="P35" s="210">
        <f t="shared" si="5"/>
        <v>976.7239999999999</v>
      </c>
      <c r="Q35" s="210">
        <f t="shared" si="6"/>
        <v>2930.1719999999996</v>
      </c>
      <c r="R35" s="210">
        <f t="shared" si="7"/>
        <v>3906.8959999999997</v>
      </c>
      <c r="S35" s="210">
        <f t="shared" si="8"/>
        <v>5860.344</v>
      </c>
    </row>
    <row r="36" spans="1:19" ht="12">
      <c r="A36" s="145">
        <v>169975</v>
      </c>
      <c r="B36" s="3">
        <v>44</v>
      </c>
      <c r="C36" s="143" t="s">
        <v>118</v>
      </c>
      <c r="D36" s="12">
        <v>2016</v>
      </c>
      <c r="E36" s="12">
        <v>11</v>
      </c>
      <c r="F36" s="56">
        <v>0</v>
      </c>
      <c r="H36" s="12" t="s">
        <v>82</v>
      </c>
      <c r="I36" s="57">
        <v>12</v>
      </c>
      <c r="J36" s="23">
        <f t="shared" si="9"/>
        <v>2028</v>
      </c>
      <c r="K36" s="209">
        <f t="shared" si="3"/>
        <v>2028.9166666666667</v>
      </c>
      <c r="L36" s="58">
        <v>22819.4</v>
      </c>
      <c r="M36" s="15">
        <f t="shared" si="1"/>
        <v>22819.4</v>
      </c>
      <c r="N36" s="15">
        <f t="shared" si="2"/>
        <v>158.46805555555557</v>
      </c>
      <c r="O36" s="41">
        <f t="shared" si="4"/>
        <v>1901.6166666666668</v>
      </c>
      <c r="P36" s="210">
        <f t="shared" si="5"/>
        <v>1901.6166666666668</v>
      </c>
      <c r="Q36" s="210">
        <f t="shared" si="6"/>
        <v>3803.2333333333336</v>
      </c>
      <c r="R36" s="210">
        <f t="shared" si="7"/>
        <v>5704.85</v>
      </c>
      <c r="S36" s="210">
        <f t="shared" si="8"/>
        <v>17114.550000000003</v>
      </c>
    </row>
    <row r="37" spans="1:19" ht="12">
      <c r="A37" s="145">
        <v>169976</v>
      </c>
      <c r="B37" s="3">
        <v>22</v>
      </c>
      <c r="C37" s="143" t="s">
        <v>119</v>
      </c>
      <c r="D37" s="12">
        <v>2016</v>
      </c>
      <c r="E37" s="12">
        <v>11</v>
      </c>
      <c r="F37" s="56">
        <v>0</v>
      </c>
      <c r="H37" s="12" t="s">
        <v>82</v>
      </c>
      <c r="I37" s="57">
        <v>12</v>
      </c>
      <c r="J37" s="23">
        <f t="shared" si="9"/>
        <v>2028</v>
      </c>
      <c r="K37" s="209">
        <f t="shared" si="3"/>
        <v>2028.9166666666667</v>
      </c>
      <c r="L37" s="58">
        <v>12799.44</v>
      </c>
      <c r="M37" s="15">
        <f t="shared" si="1"/>
        <v>12799.44</v>
      </c>
      <c r="N37" s="15">
        <f t="shared" si="2"/>
        <v>88.885</v>
      </c>
      <c r="O37" s="41">
        <f t="shared" si="4"/>
        <v>1066.6200000000001</v>
      </c>
      <c r="P37" s="210">
        <f t="shared" si="5"/>
        <v>1066.6200000000001</v>
      </c>
      <c r="Q37" s="210">
        <f t="shared" si="6"/>
        <v>2133.2400000000002</v>
      </c>
      <c r="R37" s="210">
        <f t="shared" si="7"/>
        <v>3199.8600000000006</v>
      </c>
      <c r="S37" s="210">
        <f t="shared" si="8"/>
        <v>9599.58</v>
      </c>
    </row>
    <row r="38" spans="1:19" s="7" customFormat="1" ht="12">
      <c r="A38" s="145">
        <v>187316</v>
      </c>
      <c r="B38" s="7">
        <v>20</v>
      </c>
      <c r="C38" s="44" t="s">
        <v>264</v>
      </c>
      <c r="D38" s="35">
        <v>2017</v>
      </c>
      <c r="E38" s="35">
        <v>9</v>
      </c>
      <c r="F38" s="85">
        <v>0</v>
      </c>
      <c r="H38" s="35" t="s">
        <v>82</v>
      </c>
      <c r="I38" s="38">
        <v>12</v>
      </c>
      <c r="J38" s="39">
        <f t="shared" si="9"/>
        <v>2029</v>
      </c>
      <c r="K38" s="209">
        <f t="shared" si="3"/>
        <v>2029.75</v>
      </c>
      <c r="L38" s="40">
        <v>9984.1</v>
      </c>
      <c r="M38" s="41">
        <f t="shared" si="1"/>
        <v>9984.1</v>
      </c>
      <c r="N38" s="41">
        <f t="shared" si="2"/>
        <v>69.33402777777778</v>
      </c>
      <c r="O38" s="41">
        <f t="shared" si="4"/>
        <v>832.0083333333333</v>
      </c>
      <c r="P38" s="210">
        <f t="shared" si="5"/>
        <v>832.0083333333333</v>
      </c>
      <c r="Q38" s="210">
        <f t="shared" si="6"/>
        <v>832.0083333333333</v>
      </c>
      <c r="R38" s="210">
        <f t="shared" si="7"/>
        <v>1664.0166666666667</v>
      </c>
      <c r="S38" s="210">
        <f t="shared" si="8"/>
        <v>8320.083333333334</v>
      </c>
    </row>
    <row r="39" spans="1:19" s="7" customFormat="1" ht="12">
      <c r="A39" s="145">
        <v>187317</v>
      </c>
      <c r="B39" s="7">
        <v>23</v>
      </c>
      <c r="C39" s="44" t="s">
        <v>265</v>
      </c>
      <c r="D39" s="35">
        <v>2017</v>
      </c>
      <c r="E39" s="35">
        <v>9</v>
      </c>
      <c r="F39" s="85">
        <v>0</v>
      </c>
      <c r="H39" s="35" t="s">
        <v>82</v>
      </c>
      <c r="I39" s="38">
        <v>12</v>
      </c>
      <c r="J39" s="39">
        <f t="shared" si="9"/>
        <v>2029</v>
      </c>
      <c r="K39" s="209">
        <f t="shared" si="3"/>
        <v>2029.75</v>
      </c>
      <c r="L39" s="40">
        <v>11745.04</v>
      </c>
      <c r="M39" s="41">
        <f t="shared" si="1"/>
        <v>11745.04</v>
      </c>
      <c r="N39" s="41">
        <f t="shared" si="2"/>
        <v>81.56277777777778</v>
      </c>
      <c r="O39" s="41">
        <f t="shared" si="4"/>
        <v>978.7533333333333</v>
      </c>
      <c r="P39" s="210">
        <f t="shared" si="5"/>
        <v>978.7533333333333</v>
      </c>
      <c r="Q39" s="210">
        <f t="shared" si="6"/>
        <v>978.7533333333333</v>
      </c>
      <c r="R39" s="210">
        <f t="shared" si="7"/>
        <v>1957.5066666666667</v>
      </c>
      <c r="S39" s="210">
        <f t="shared" si="8"/>
        <v>9787.533333333335</v>
      </c>
    </row>
    <row r="40" spans="1:19" s="7" customFormat="1" ht="12">
      <c r="A40" s="145">
        <v>187318</v>
      </c>
      <c r="B40" s="7">
        <v>25</v>
      </c>
      <c r="C40" s="44" t="s">
        <v>266</v>
      </c>
      <c r="D40" s="35">
        <v>2017</v>
      </c>
      <c r="E40" s="35">
        <v>9</v>
      </c>
      <c r="F40" s="85">
        <v>0</v>
      </c>
      <c r="H40" s="35" t="s">
        <v>82</v>
      </c>
      <c r="I40" s="38">
        <v>12</v>
      </c>
      <c r="J40" s="39">
        <f t="shared" si="9"/>
        <v>2029</v>
      </c>
      <c r="K40" s="209">
        <f t="shared" si="3"/>
        <v>2029.75</v>
      </c>
      <c r="L40" s="40">
        <v>13859.26</v>
      </c>
      <c r="M40" s="41">
        <f t="shared" si="1"/>
        <v>13859.26</v>
      </c>
      <c r="N40" s="41">
        <f t="shared" si="2"/>
        <v>96.2448611111111</v>
      </c>
      <c r="O40" s="41">
        <f t="shared" si="4"/>
        <v>1154.9383333333333</v>
      </c>
      <c r="P40" s="210">
        <f t="shared" si="5"/>
        <v>1154.9383333333333</v>
      </c>
      <c r="Q40" s="210">
        <f t="shared" si="6"/>
        <v>1154.9383333333333</v>
      </c>
      <c r="R40" s="210">
        <f t="shared" si="7"/>
        <v>2309.8766666666666</v>
      </c>
      <c r="S40" s="210">
        <f t="shared" si="8"/>
        <v>11549.383333333333</v>
      </c>
    </row>
    <row r="41" spans="1:19" s="7" customFormat="1" ht="12">
      <c r="A41" s="145">
        <v>198002</v>
      </c>
      <c r="B41" s="7">
        <v>1</v>
      </c>
      <c r="C41" s="44" t="s">
        <v>276</v>
      </c>
      <c r="D41" s="35">
        <v>2018</v>
      </c>
      <c r="E41" s="35">
        <v>6</v>
      </c>
      <c r="F41" s="85">
        <v>0</v>
      </c>
      <c r="H41" s="35" t="s">
        <v>82</v>
      </c>
      <c r="I41" s="38">
        <v>0</v>
      </c>
      <c r="J41" s="39">
        <f t="shared" si="9"/>
        <v>2018</v>
      </c>
      <c r="K41" s="209">
        <f t="shared" si="3"/>
        <v>2018.5</v>
      </c>
      <c r="L41" s="40">
        <v>0</v>
      </c>
      <c r="M41" s="41">
        <f t="shared" si="1"/>
        <v>0</v>
      </c>
      <c r="N41" s="41">
        <f aca="true" t="shared" si="10" ref="N41:N46">_xlfn.IFERROR(M41/I41/12,0)</f>
        <v>0</v>
      </c>
      <c r="O41" s="41">
        <f t="shared" si="4"/>
        <v>0</v>
      </c>
      <c r="P41" s="210">
        <f t="shared" si="5"/>
        <v>0</v>
      </c>
      <c r="Q41" s="210">
        <f t="shared" si="6"/>
        <v>0</v>
      </c>
      <c r="R41" s="210">
        <f t="shared" si="7"/>
        <v>0</v>
      </c>
      <c r="S41" s="210">
        <f t="shared" si="8"/>
        <v>0</v>
      </c>
    </row>
    <row r="42" spans="1:19" s="7" customFormat="1" ht="12">
      <c r="A42" s="145">
        <v>198001</v>
      </c>
      <c r="B42" s="7">
        <v>6</v>
      </c>
      <c r="C42" s="44" t="s">
        <v>277</v>
      </c>
      <c r="D42" s="35">
        <v>2018</v>
      </c>
      <c r="E42" s="35">
        <v>6</v>
      </c>
      <c r="F42" s="85">
        <v>0</v>
      </c>
      <c r="H42" s="35" t="s">
        <v>82</v>
      </c>
      <c r="I42" s="38">
        <v>0</v>
      </c>
      <c r="J42" s="39">
        <f t="shared" si="9"/>
        <v>2018</v>
      </c>
      <c r="K42" s="209">
        <f t="shared" si="3"/>
        <v>2018.5</v>
      </c>
      <c r="L42" s="40">
        <v>0</v>
      </c>
      <c r="M42" s="41">
        <f t="shared" si="1"/>
        <v>0</v>
      </c>
      <c r="N42" s="41">
        <f t="shared" si="10"/>
        <v>0</v>
      </c>
      <c r="O42" s="41">
        <f t="shared" si="4"/>
        <v>0</v>
      </c>
      <c r="P42" s="210">
        <f t="shared" si="5"/>
        <v>0</v>
      </c>
      <c r="Q42" s="210">
        <f t="shared" si="6"/>
        <v>0</v>
      </c>
      <c r="R42" s="210">
        <f t="shared" si="7"/>
        <v>0</v>
      </c>
      <c r="S42" s="210">
        <f t="shared" si="8"/>
        <v>0</v>
      </c>
    </row>
    <row r="43" spans="1:19" s="7" customFormat="1" ht="12">
      <c r="A43" s="145">
        <v>198000</v>
      </c>
      <c r="B43" s="7">
        <v>18</v>
      </c>
      <c r="C43" s="44" t="s">
        <v>278</v>
      </c>
      <c r="D43" s="35">
        <v>2018</v>
      </c>
      <c r="E43" s="35">
        <v>6</v>
      </c>
      <c r="F43" s="85">
        <v>0</v>
      </c>
      <c r="H43" s="35" t="s">
        <v>82</v>
      </c>
      <c r="I43" s="38">
        <v>0</v>
      </c>
      <c r="J43" s="39">
        <f t="shared" si="9"/>
        <v>2018</v>
      </c>
      <c r="K43" s="209">
        <f t="shared" si="3"/>
        <v>2018.5</v>
      </c>
      <c r="L43" s="40">
        <v>0</v>
      </c>
      <c r="M43" s="41">
        <f t="shared" si="1"/>
        <v>0</v>
      </c>
      <c r="N43" s="41">
        <f t="shared" si="10"/>
        <v>0</v>
      </c>
      <c r="O43" s="41">
        <f t="shared" si="4"/>
        <v>0</v>
      </c>
      <c r="P43" s="210">
        <f t="shared" si="5"/>
        <v>0</v>
      </c>
      <c r="Q43" s="210">
        <f t="shared" si="6"/>
        <v>0</v>
      </c>
      <c r="R43" s="210">
        <f t="shared" si="7"/>
        <v>0</v>
      </c>
      <c r="S43" s="210">
        <f t="shared" si="8"/>
        <v>0</v>
      </c>
    </row>
    <row r="44" spans="1:19" s="7" customFormat="1" ht="12">
      <c r="A44" s="145">
        <v>222637</v>
      </c>
      <c r="B44" s="7">
        <v>20</v>
      </c>
      <c r="C44" s="44" t="s">
        <v>332</v>
      </c>
      <c r="D44" s="35">
        <v>2019</v>
      </c>
      <c r="E44" s="35">
        <v>7</v>
      </c>
      <c r="F44" s="85">
        <v>0</v>
      </c>
      <c r="H44" s="35" t="s">
        <v>82</v>
      </c>
      <c r="I44" s="38">
        <v>12</v>
      </c>
      <c r="J44" s="39">
        <f t="shared" si="9"/>
        <v>2031</v>
      </c>
      <c r="K44" s="209">
        <f t="shared" si="3"/>
        <v>2031.5833333333333</v>
      </c>
      <c r="L44" s="40">
        <v>14663.63</v>
      </c>
      <c r="M44" s="41">
        <f t="shared" si="1"/>
        <v>14663.63</v>
      </c>
      <c r="N44" s="41">
        <f t="shared" si="10"/>
        <v>101.83076388888888</v>
      </c>
      <c r="O44" s="41">
        <f>+N44*12</f>
        <v>1221.9691666666665</v>
      </c>
      <c r="P44" s="210">
        <f>+IF(K44&lt;=$M$5,0,IF(J44&gt;$M$4,O44,(N44*E44)))</f>
        <v>1221.9691666666665</v>
      </c>
      <c r="Q44" s="210">
        <f>+IF(P44=0,M44,IF($M$3-D44&lt;1,0,(($M$3-D44)*O44)))</f>
        <v>0</v>
      </c>
      <c r="R44" s="210">
        <f>+IF(P44=0,Q44,Q44+P44)</f>
        <v>1221.9691666666665</v>
      </c>
      <c r="S44" s="210">
        <f t="shared" si="8"/>
        <v>13441.660833333333</v>
      </c>
    </row>
    <row r="45" spans="1:19" s="7" customFormat="1" ht="12">
      <c r="A45" s="145">
        <v>222014</v>
      </c>
      <c r="B45" s="7">
        <v>19</v>
      </c>
      <c r="C45" s="44" t="s">
        <v>333</v>
      </c>
      <c r="D45" s="35">
        <v>2019</v>
      </c>
      <c r="E45" s="35">
        <v>7</v>
      </c>
      <c r="F45" s="85">
        <v>0</v>
      </c>
      <c r="H45" s="35" t="s">
        <v>82</v>
      </c>
      <c r="I45" s="38">
        <v>12</v>
      </c>
      <c r="J45" s="39">
        <f t="shared" si="9"/>
        <v>2031</v>
      </c>
      <c r="K45" s="209">
        <f t="shared" si="3"/>
        <v>2031.5833333333333</v>
      </c>
      <c r="L45" s="40">
        <v>11875.48</v>
      </c>
      <c r="M45" s="41">
        <f t="shared" si="1"/>
        <v>11875.48</v>
      </c>
      <c r="N45" s="41">
        <f t="shared" si="10"/>
        <v>82.46861111111112</v>
      </c>
      <c r="O45" s="41">
        <f>+N45*12</f>
        <v>989.6233333333334</v>
      </c>
      <c r="P45" s="210">
        <f>+IF(K45&lt;=$M$5,0,IF(J45&gt;$M$4,O45,(N45*E45)))</f>
        <v>989.6233333333334</v>
      </c>
      <c r="Q45" s="210">
        <f>+IF(P45=0,M45,IF($M$3-D45&lt;1,0,(($M$3-D45)*O45)))</f>
        <v>0</v>
      </c>
      <c r="R45" s="210">
        <f>+IF(P45=0,Q45,Q45+P45)</f>
        <v>989.6233333333334</v>
      </c>
      <c r="S45" s="210">
        <f t="shared" si="8"/>
        <v>10885.856666666667</v>
      </c>
    </row>
    <row r="46" spans="1:19" s="202" customFormat="1" ht="12">
      <c r="A46" s="201" t="s">
        <v>337</v>
      </c>
      <c r="B46" s="202">
        <v>48</v>
      </c>
      <c r="C46" s="268" t="s">
        <v>339</v>
      </c>
      <c r="D46" s="203">
        <v>2020</v>
      </c>
      <c r="E46" s="203">
        <v>7</v>
      </c>
      <c r="F46" s="269">
        <v>0</v>
      </c>
      <c r="H46" s="203" t="s">
        <v>82</v>
      </c>
      <c r="I46" s="204">
        <v>12</v>
      </c>
      <c r="J46" s="205">
        <f t="shared" si="9"/>
        <v>2032</v>
      </c>
      <c r="K46" s="232">
        <f t="shared" si="3"/>
        <v>2032.5833333333333</v>
      </c>
      <c r="L46" s="206">
        <v>30000</v>
      </c>
      <c r="M46" s="207">
        <f t="shared" si="1"/>
        <v>30000</v>
      </c>
      <c r="N46" s="207">
        <f t="shared" si="10"/>
        <v>208.33333333333334</v>
      </c>
      <c r="O46" s="207">
        <f>+N46*12</f>
        <v>2500</v>
      </c>
      <c r="P46" s="233">
        <f>+IF(K46&lt;=$M$5,0,IF(J46&gt;$M$4,O46,(N46*E46)))</f>
        <v>2500</v>
      </c>
      <c r="Q46" s="233">
        <f>+IF(P46=0,M46,IF($M$3-D46&lt;1,0,(($M$3-D46)*O46)))</f>
        <v>0</v>
      </c>
      <c r="R46" s="233">
        <f>+IF(P46=0,Q46,Q46+P46)</f>
        <v>2500</v>
      </c>
      <c r="S46" s="210">
        <f t="shared" si="8"/>
        <v>27500</v>
      </c>
    </row>
    <row r="47" spans="1:19" ht="12">
      <c r="A47" s="144"/>
      <c r="B47" s="55"/>
      <c r="C47" s="143"/>
      <c r="F47" s="56"/>
      <c r="G47" s="15"/>
      <c r="H47" s="12"/>
      <c r="I47" s="57"/>
      <c r="J47" s="23"/>
      <c r="L47" s="58"/>
      <c r="M47" s="15"/>
      <c r="N47" s="15"/>
      <c r="O47" s="15"/>
      <c r="P47" s="15"/>
      <c r="Q47" s="15"/>
      <c r="R47" s="15"/>
      <c r="S47" s="15"/>
    </row>
    <row r="48" spans="1:19" ht="12">
      <c r="A48" s="144"/>
      <c r="B48" s="12"/>
      <c r="C48" s="312" t="s">
        <v>367</v>
      </c>
      <c r="D48" s="313"/>
      <c r="E48" s="314"/>
      <c r="F48" s="314"/>
      <c r="G48" s="315"/>
      <c r="H48" s="316"/>
      <c r="I48" s="317"/>
      <c r="J48" s="318"/>
      <c r="K48" s="315"/>
      <c r="L48" s="234">
        <f aca="true" t="shared" si="11" ref="L48:S48">SUM(L12:L47)</f>
        <v>332518</v>
      </c>
      <c r="M48" s="234">
        <f t="shared" si="11"/>
        <v>332518</v>
      </c>
      <c r="N48" s="234">
        <f t="shared" si="11"/>
        <v>2593.557847222222</v>
      </c>
      <c r="O48" s="234">
        <f t="shared" si="11"/>
        <v>31122.694166666668</v>
      </c>
      <c r="P48" s="234">
        <f t="shared" si="11"/>
        <v>20535.293166666666</v>
      </c>
      <c r="Q48" s="234">
        <f t="shared" si="11"/>
        <v>164310.1513333333</v>
      </c>
      <c r="R48" s="234">
        <f t="shared" si="11"/>
        <v>184845.44450000004</v>
      </c>
      <c r="S48" s="234">
        <f t="shared" si="11"/>
        <v>147672.5555</v>
      </c>
    </row>
    <row r="49" spans="1:19" ht="12">
      <c r="A49" s="144"/>
      <c r="B49" s="12"/>
      <c r="C49" s="24"/>
      <c r="D49" s="4"/>
      <c r="E49" s="56"/>
      <c r="F49" s="56"/>
      <c r="H49" s="12"/>
      <c r="I49" s="57"/>
      <c r="J49" s="23"/>
      <c r="L49" s="141"/>
      <c r="M49" s="15"/>
      <c r="N49" s="15"/>
      <c r="O49" s="15" t="s">
        <v>13</v>
      </c>
      <c r="P49" s="15"/>
      <c r="Q49" s="15"/>
      <c r="R49" s="15"/>
      <c r="S49" s="15"/>
    </row>
    <row r="50" spans="1:19" ht="12">
      <c r="A50" s="144"/>
      <c r="B50" s="12"/>
      <c r="C50" s="28" t="s">
        <v>368</v>
      </c>
      <c r="D50" s="4"/>
      <c r="E50" s="56"/>
      <c r="F50" s="56"/>
      <c r="H50" s="12"/>
      <c r="I50" s="57"/>
      <c r="J50" s="23"/>
      <c r="L50" s="141"/>
      <c r="M50" s="15"/>
      <c r="N50" s="15"/>
      <c r="O50" s="15"/>
      <c r="P50" s="15"/>
      <c r="Q50" s="15"/>
      <c r="R50" s="15"/>
      <c r="S50" s="15"/>
    </row>
    <row r="51" spans="1:19" ht="12">
      <c r="A51" s="144"/>
      <c r="B51" s="3">
        <v>26026</v>
      </c>
      <c r="C51" s="14" t="s">
        <v>127</v>
      </c>
      <c r="D51" s="12">
        <v>1994</v>
      </c>
      <c r="E51" s="12">
        <v>1</v>
      </c>
      <c r="F51" s="56">
        <v>0</v>
      </c>
      <c r="H51" s="12" t="s">
        <v>82</v>
      </c>
      <c r="I51" s="57">
        <v>10</v>
      </c>
      <c r="J51" s="23">
        <f aca="true" t="shared" si="12" ref="J51:J60">D51+I51</f>
        <v>2004</v>
      </c>
      <c r="K51" s="209">
        <f aca="true" t="shared" si="13" ref="K51:K71">+J51+(E51/12)</f>
        <v>2004.0833333333333</v>
      </c>
      <c r="L51" s="58">
        <v>656</v>
      </c>
      <c r="M51" s="15">
        <f aca="true" t="shared" si="14" ref="M51:M71">L51-L51*F51</f>
        <v>656</v>
      </c>
      <c r="N51" s="15">
        <f aca="true" t="shared" si="15" ref="N51:N67">M51/I51/12</f>
        <v>5.466666666666666</v>
      </c>
      <c r="O51" s="41">
        <f aca="true" t="shared" si="16" ref="O51:O71">+N51*12</f>
        <v>65.6</v>
      </c>
      <c r="P51" s="210">
        <f aca="true" t="shared" si="17" ref="P51:P71">+IF(K51&lt;=$M$5,0,IF(J51&gt;$M$4,O51,(N51*E51)))</f>
        <v>0</v>
      </c>
      <c r="Q51" s="210">
        <f aca="true" t="shared" si="18" ref="Q51:Q71">+IF(P51=0,M51,IF($M$3-D51&lt;1,0,(($M$3-D51)*O51)))</f>
        <v>656</v>
      </c>
      <c r="R51" s="210">
        <f aca="true" t="shared" si="19" ref="R51:R71">+IF(P51=0,Q51,Q51+P51)</f>
        <v>656</v>
      </c>
      <c r="S51" s="210">
        <f aca="true" t="shared" si="20" ref="S51:S71">+L51-R51</f>
        <v>0</v>
      </c>
    </row>
    <row r="52" spans="1:19" ht="12">
      <c r="A52" s="144"/>
      <c r="B52" s="3">
        <v>2</v>
      </c>
      <c r="C52" s="143" t="s">
        <v>132</v>
      </c>
      <c r="D52" s="12">
        <v>2000</v>
      </c>
      <c r="E52" s="12">
        <v>6</v>
      </c>
      <c r="F52" s="56">
        <v>0</v>
      </c>
      <c r="H52" s="12" t="s">
        <v>82</v>
      </c>
      <c r="I52" s="57">
        <v>10</v>
      </c>
      <c r="J52" s="23">
        <f t="shared" si="12"/>
        <v>2010</v>
      </c>
      <c r="K52" s="209">
        <f t="shared" si="13"/>
        <v>2010.5</v>
      </c>
      <c r="L52" s="58">
        <v>8873</v>
      </c>
      <c r="M52" s="15">
        <f t="shared" si="14"/>
        <v>8873</v>
      </c>
      <c r="N52" s="15">
        <f t="shared" si="15"/>
        <v>73.94166666666666</v>
      </c>
      <c r="O52" s="41">
        <f t="shared" si="16"/>
        <v>887.3</v>
      </c>
      <c r="P52" s="210">
        <f t="shared" si="17"/>
        <v>0</v>
      </c>
      <c r="Q52" s="210">
        <f t="shared" si="18"/>
        <v>8873</v>
      </c>
      <c r="R52" s="210">
        <f t="shared" si="19"/>
        <v>8873</v>
      </c>
      <c r="S52" s="210">
        <f t="shared" si="20"/>
        <v>0</v>
      </c>
    </row>
    <row r="53" spans="1:19" ht="12">
      <c r="A53" s="144"/>
      <c r="B53" s="3">
        <v>20</v>
      </c>
      <c r="C53" s="143" t="s">
        <v>137</v>
      </c>
      <c r="D53" s="12">
        <v>2006</v>
      </c>
      <c r="E53" s="12">
        <v>11</v>
      </c>
      <c r="F53" s="56">
        <v>0</v>
      </c>
      <c r="H53" s="12" t="s">
        <v>82</v>
      </c>
      <c r="I53" s="57">
        <v>10</v>
      </c>
      <c r="J53" s="23">
        <f t="shared" si="12"/>
        <v>2016</v>
      </c>
      <c r="K53" s="209">
        <f t="shared" si="13"/>
        <v>2016.9166666666667</v>
      </c>
      <c r="L53" s="58">
        <v>99878.4</v>
      </c>
      <c r="M53" s="15">
        <f t="shared" si="14"/>
        <v>99878.4</v>
      </c>
      <c r="N53" s="15">
        <f t="shared" si="15"/>
        <v>832.32</v>
      </c>
      <c r="O53" s="41">
        <f t="shared" si="16"/>
        <v>9987.84</v>
      </c>
      <c r="P53" s="210">
        <f t="shared" si="17"/>
        <v>0</v>
      </c>
      <c r="Q53" s="210">
        <f t="shared" si="18"/>
        <v>99878.4</v>
      </c>
      <c r="R53" s="210">
        <f t="shared" si="19"/>
        <v>99878.4</v>
      </c>
      <c r="S53" s="210">
        <f t="shared" si="20"/>
        <v>0</v>
      </c>
    </row>
    <row r="54" spans="1:19" ht="12">
      <c r="A54" s="144"/>
      <c r="B54" s="3">
        <v>20</v>
      </c>
      <c r="C54" s="143" t="s">
        <v>137</v>
      </c>
      <c r="D54" s="12">
        <v>2007</v>
      </c>
      <c r="E54" s="12">
        <v>8</v>
      </c>
      <c r="F54" s="56">
        <v>0</v>
      </c>
      <c r="H54" s="12" t="s">
        <v>82</v>
      </c>
      <c r="I54" s="57">
        <v>10</v>
      </c>
      <c r="J54" s="23">
        <f t="shared" si="12"/>
        <v>2017</v>
      </c>
      <c r="K54" s="209">
        <f t="shared" si="13"/>
        <v>2017.6666666666667</v>
      </c>
      <c r="L54" s="58">
        <f>4998.51*20</f>
        <v>99970.20000000001</v>
      </c>
      <c r="M54" s="15">
        <f t="shared" si="14"/>
        <v>99970.20000000001</v>
      </c>
      <c r="N54" s="15">
        <f t="shared" si="15"/>
        <v>833.085</v>
      </c>
      <c r="O54" s="41">
        <f t="shared" si="16"/>
        <v>9997.02</v>
      </c>
      <c r="P54" s="210">
        <f t="shared" si="17"/>
        <v>0</v>
      </c>
      <c r="Q54" s="210">
        <f t="shared" si="18"/>
        <v>99970.20000000001</v>
      </c>
      <c r="R54" s="210">
        <f t="shared" si="19"/>
        <v>99970.20000000001</v>
      </c>
      <c r="S54" s="210">
        <f t="shared" si="20"/>
        <v>0</v>
      </c>
    </row>
    <row r="55" spans="1:19" ht="12">
      <c r="A55" s="144"/>
      <c r="B55" s="3">
        <v>2</v>
      </c>
      <c r="C55" s="143" t="s">
        <v>138</v>
      </c>
      <c r="D55" s="12">
        <v>2011</v>
      </c>
      <c r="E55" s="12">
        <v>8</v>
      </c>
      <c r="F55" s="56">
        <v>0</v>
      </c>
      <c r="H55" s="12" t="s">
        <v>82</v>
      </c>
      <c r="I55" s="57">
        <v>10</v>
      </c>
      <c r="J55" s="23">
        <f t="shared" si="12"/>
        <v>2021</v>
      </c>
      <c r="K55" s="209">
        <f t="shared" si="13"/>
        <v>2021.6666666666667</v>
      </c>
      <c r="L55" s="58">
        <v>14039.69</v>
      </c>
      <c r="M55" s="15">
        <f t="shared" si="14"/>
        <v>14039.69</v>
      </c>
      <c r="N55" s="15">
        <f t="shared" si="15"/>
        <v>116.99741666666667</v>
      </c>
      <c r="O55" s="41">
        <f t="shared" si="16"/>
        <v>1403.969</v>
      </c>
      <c r="P55" s="210">
        <f t="shared" si="17"/>
        <v>1403.969</v>
      </c>
      <c r="Q55" s="210">
        <f t="shared" si="18"/>
        <v>9827.783</v>
      </c>
      <c r="R55" s="210">
        <f t="shared" si="19"/>
        <v>11231.752</v>
      </c>
      <c r="S55" s="210">
        <f t="shared" si="20"/>
        <v>2807.938</v>
      </c>
    </row>
    <row r="56" spans="1:19" ht="12">
      <c r="A56" s="144"/>
      <c r="B56" s="3">
        <v>4</v>
      </c>
      <c r="C56" s="143" t="s">
        <v>139</v>
      </c>
      <c r="D56" s="12">
        <v>2011</v>
      </c>
      <c r="E56" s="12">
        <v>8</v>
      </c>
      <c r="F56" s="56">
        <v>0</v>
      </c>
      <c r="H56" s="12" t="s">
        <v>82</v>
      </c>
      <c r="I56" s="57">
        <v>10</v>
      </c>
      <c r="J56" s="23">
        <f t="shared" si="12"/>
        <v>2021</v>
      </c>
      <c r="K56" s="209">
        <f t="shared" si="13"/>
        <v>2021.6666666666667</v>
      </c>
      <c r="L56" s="58">
        <f>6173.07+18896.41</f>
        <v>25069.48</v>
      </c>
      <c r="M56" s="15">
        <f t="shared" si="14"/>
        <v>25069.48</v>
      </c>
      <c r="N56" s="15">
        <f t="shared" si="15"/>
        <v>208.91233333333332</v>
      </c>
      <c r="O56" s="41">
        <f t="shared" si="16"/>
        <v>2506.948</v>
      </c>
      <c r="P56" s="210">
        <f t="shared" si="17"/>
        <v>2506.948</v>
      </c>
      <c r="Q56" s="210">
        <f t="shared" si="18"/>
        <v>17548.636</v>
      </c>
      <c r="R56" s="210">
        <f t="shared" si="19"/>
        <v>20055.584</v>
      </c>
      <c r="S56" s="210">
        <f t="shared" si="20"/>
        <v>5013.896000000001</v>
      </c>
    </row>
    <row r="57" spans="1:19" ht="12">
      <c r="A57" s="144"/>
      <c r="B57" s="3">
        <v>3</v>
      </c>
      <c r="C57" s="143" t="s">
        <v>138</v>
      </c>
      <c r="D57" s="12">
        <v>2011</v>
      </c>
      <c r="E57" s="12">
        <v>9</v>
      </c>
      <c r="F57" s="56">
        <v>0</v>
      </c>
      <c r="H57" s="12" t="s">
        <v>82</v>
      </c>
      <c r="I57" s="57">
        <v>10</v>
      </c>
      <c r="J57" s="23">
        <f t="shared" si="12"/>
        <v>2021</v>
      </c>
      <c r="K57" s="209">
        <f t="shared" si="13"/>
        <v>2021.75</v>
      </c>
      <c r="L57" s="58">
        <v>20211.68</v>
      </c>
      <c r="M57" s="15">
        <f t="shared" si="14"/>
        <v>20211.68</v>
      </c>
      <c r="N57" s="15">
        <f t="shared" si="15"/>
        <v>168.43066666666667</v>
      </c>
      <c r="O57" s="41">
        <f t="shared" si="16"/>
        <v>2021.1680000000001</v>
      </c>
      <c r="P57" s="210">
        <f t="shared" si="17"/>
        <v>2021.1680000000001</v>
      </c>
      <c r="Q57" s="210">
        <f t="shared" si="18"/>
        <v>14148.176000000001</v>
      </c>
      <c r="R57" s="210">
        <f t="shared" si="19"/>
        <v>16169.344000000001</v>
      </c>
      <c r="S57" s="210">
        <f t="shared" si="20"/>
        <v>4042.3359999999993</v>
      </c>
    </row>
    <row r="58" spans="1:19" ht="12">
      <c r="A58" s="144"/>
      <c r="B58" s="3">
        <v>1</v>
      </c>
      <c r="C58" s="143" t="s">
        <v>138</v>
      </c>
      <c r="D58" s="12">
        <v>2011</v>
      </c>
      <c r="E58" s="12">
        <v>10</v>
      </c>
      <c r="F58" s="56">
        <v>0</v>
      </c>
      <c r="H58" s="12" t="s">
        <v>82</v>
      </c>
      <c r="I58" s="57">
        <v>10</v>
      </c>
      <c r="J58" s="23">
        <f t="shared" si="12"/>
        <v>2021</v>
      </c>
      <c r="K58" s="209">
        <f t="shared" si="13"/>
        <v>2021.8333333333333</v>
      </c>
      <c r="L58" s="58">
        <v>6737.23</v>
      </c>
      <c r="M58" s="15">
        <f t="shared" si="14"/>
        <v>6737.23</v>
      </c>
      <c r="N58" s="15">
        <f t="shared" si="15"/>
        <v>56.14358333333333</v>
      </c>
      <c r="O58" s="41">
        <f t="shared" si="16"/>
        <v>673.723</v>
      </c>
      <c r="P58" s="210">
        <f t="shared" si="17"/>
        <v>673.723</v>
      </c>
      <c r="Q58" s="210">
        <f t="shared" si="18"/>
        <v>4716.061</v>
      </c>
      <c r="R58" s="210">
        <f t="shared" si="19"/>
        <v>5389.784</v>
      </c>
      <c r="S58" s="210">
        <f t="shared" si="20"/>
        <v>1347.446</v>
      </c>
    </row>
    <row r="59" spans="1:19" ht="12">
      <c r="A59" s="144">
        <v>109810</v>
      </c>
      <c r="B59" s="3">
        <v>4</v>
      </c>
      <c r="C59" s="143" t="s">
        <v>208</v>
      </c>
      <c r="D59" s="12">
        <v>2013</v>
      </c>
      <c r="E59" s="12">
        <v>12</v>
      </c>
      <c r="F59" s="56">
        <v>0</v>
      </c>
      <c r="H59" s="12" t="s">
        <v>82</v>
      </c>
      <c r="I59" s="57">
        <v>10</v>
      </c>
      <c r="J59" s="23">
        <f t="shared" si="12"/>
        <v>2023</v>
      </c>
      <c r="K59" s="209">
        <f t="shared" si="13"/>
        <v>2024</v>
      </c>
      <c r="L59" s="58">
        <v>21616.08</v>
      </c>
      <c r="M59" s="15">
        <f t="shared" si="14"/>
        <v>21616.08</v>
      </c>
      <c r="N59" s="15">
        <f t="shared" si="15"/>
        <v>180.13400000000001</v>
      </c>
      <c r="O59" s="41">
        <f t="shared" si="16"/>
        <v>2161.608</v>
      </c>
      <c r="P59" s="210">
        <f t="shared" si="17"/>
        <v>2161.608</v>
      </c>
      <c r="Q59" s="210">
        <f t="shared" si="18"/>
        <v>10808.04</v>
      </c>
      <c r="R59" s="210">
        <f t="shared" si="19"/>
        <v>12969.648000000001</v>
      </c>
      <c r="S59" s="210">
        <f t="shared" si="20"/>
        <v>8646.432</v>
      </c>
    </row>
    <row r="60" spans="1:19" ht="12">
      <c r="A60" s="144">
        <v>118362</v>
      </c>
      <c r="B60" s="3">
        <v>2</v>
      </c>
      <c r="C60" s="143" t="s">
        <v>139</v>
      </c>
      <c r="D60" s="12">
        <v>2014</v>
      </c>
      <c r="E60" s="12">
        <v>12</v>
      </c>
      <c r="F60" s="56">
        <v>0</v>
      </c>
      <c r="H60" s="12" t="s">
        <v>82</v>
      </c>
      <c r="I60" s="57">
        <v>10</v>
      </c>
      <c r="J60" s="23">
        <f t="shared" si="12"/>
        <v>2024</v>
      </c>
      <c r="K60" s="209">
        <f t="shared" si="13"/>
        <v>2025</v>
      </c>
      <c r="L60" s="58">
        <v>13174.44</v>
      </c>
      <c r="M60" s="15">
        <f t="shared" si="14"/>
        <v>13174.44</v>
      </c>
      <c r="N60" s="15">
        <f t="shared" si="15"/>
        <v>109.78699999999999</v>
      </c>
      <c r="O60" s="41">
        <f t="shared" si="16"/>
        <v>1317.444</v>
      </c>
      <c r="P60" s="210">
        <f t="shared" si="17"/>
        <v>1317.444</v>
      </c>
      <c r="Q60" s="210">
        <f t="shared" si="18"/>
        <v>5269.776</v>
      </c>
      <c r="R60" s="210">
        <f t="shared" si="19"/>
        <v>6587.219999999999</v>
      </c>
      <c r="S60" s="210">
        <f t="shared" si="20"/>
        <v>6587.220000000001</v>
      </c>
    </row>
    <row r="61" spans="1:19" ht="12">
      <c r="A61" s="144">
        <v>124463</v>
      </c>
      <c r="B61" s="3">
        <v>2</v>
      </c>
      <c r="C61" s="143" t="s">
        <v>224</v>
      </c>
      <c r="D61" s="12">
        <v>2015</v>
      </c>
      <c r="E61" s="12">
        <v>8</v>
      </c>
      <c r="F61" s="56">
        <v>0</v>
      </c>
      <c r="H61" s="12" t="s">
        <v>82</v>
      </c>
      <c r="I61" s="57">
        <v>10</v>
      </c>
      <c r="J61" s="23">
        <f aca="true" t="shared" si="21" ref="J61:J71">D61+I61</f>
        <v>2025</v>
      </c>
      <c r="K61" s="209">
        <f t="shared" si="13"/>
        <v>2025.6666666666667</v>
      </c>
      <c r="L61" s="58">
        <v>0</v>
      </c>
      <c r="M61" s="15">
        <f t="shared" si="14"/>
        <v>0</v>
      </c>
      <c r="N61" s="15">
        <f t="shared" si="15"/>
        <v>0</v>
      </c>
      <c r="O61" s="41">
        <f t="shared" si="16"/>
        <v>0</v>
      </c>
      <c r="P61" s="210">
        <f t="shared" si="17"/>
        <v>0</v>
      </c>
      <c r="Q61" s="210">
        <f t="shared" si="18"/>
        <v>0</v>
      </c>
      <c r="R61" s="210">
        <f t="shared" si="19"/>
        <v>0</v>
      </c>
      <c r="S61" s="210">
        <f t="shared" si="20"/>
        <v>0</v>
      </c>
    </row>
    <row r="62" spans="1:19" ht="12">
      <c r="A62" s="145">
        <v>167136</v>
      </c>
      <c r="B62" s="3">
        <v>3</v>
      </c>
      <c r="C62" s="143" t="s">
        <v>232</v>
      </c>
      <c r="D62" s="12">
        <v>2016</v>
      </c>
      <c r="E62" s="12">
        <v>9</v>
      </c>
      <c r="F62" s="56">
        <v>0</v>
      </c>
      <c r="H62" s="12" t="s">
        <v>82</v>
      </c>
      <c r="I62" s="57">
        <v>12</v>
      </c>
      <c r="J62" s="23">
        <f t="shared" si="21"/>
        <v>2028</v>
      </c>
      <c r="K62" s="209">
        <f t="shared" si="13"/>
        <v>2028.75</v>
      </c>
      <c r="L62" s="58">
        <v>15700</v>
      </c>
      <c r="M62" s="15">
        <f t="shared" si="14"/>
        <v>15700</v>
      </c>
      <c r="N62" s="15">
        <f t="shared" si="15"/>
        <v>109.02777777777777</v>
      </c>
      <c r="O62" s="41">
        <f t="shared" si="16"/>
        <v>1308.3333333333333</v>
      </c>
      <c r="P62" s="210">
        <f t="shared" si="17"/>
        <v>1308.3333333333333</v>
      </c>
      <c r="Q62" s="210">
        <f t="shared" si="18"/>
        <v>2616.6666666666665</v>
      </c>
      <c r="R62" s="210">
        <f t="shared" si="19"/>
        <v>3925</v>
      </c>
      <c r="S62" s="210">
        <f t="shared" si="20"/>
        <v>11775</v>
      </c>
    </row>
    <row r="63" spans="1:19" ht="12">
      <c r="A63" s="145">
        <v>167137</v>
      </c>
      <c r="B63" s="3">
        <v>3</v>
      </c>
      <c r="C63" s="143" t="s">
        <v>233</v>
      </c>
      <c r="D63" s="12">
        <v>2016</v>
      </c>
      <c r="E63" s="12">
        <v>9</v>
      </c>
      <c r="F63" s="56">
        <v>0</v>
      </c>
      <c r="H63" s="12" t="s">
        <v>82</v>
      </c>
      <c r="I63" s="57">
        <v>12</v>
      </c>
      <c r="J63" s="23">
        <f t="shared" si="21"/>
        <v>2028</v>
      </c>
      <c r="K63" s="209">
        <f t="shared" si="13"/>
        <v>2028.75</v>
      </c>
      <c r="L63" s="58">
        <v>17845</v>
      </c>
      <c r="M63" s="15">
        <f t="shared" si="14"/>
        <v>17845</v>
      </c>
      <c r="N63" s="15">
        <f t="shared" si="15"/>
        <v>123.9236111111111</v>
      </c>
      <c r="O63" s="41">
        <f t="shared" si="16"/>
        <v>1487.0833333333333</v>
      </c>
      <c r="P63" s="210">
        <f t="shared" si="17"/>
        <v>1487.0833333333333</v>
      </c>
      <c r="Q63" s="210">
        <f t="shared" si="18"/>
        <v>2974.1666666666665</v>
      </c>
      <c r="R63" s="210">
        <f t="shared" si="19"/>
        <v>4461.25</v>
      </c>
      <c r="S63" s="210">
        <f t="shared" si="20"/>
        <v>13383.75</v>
      </c>
    </row>
    <row r="64" spans="1:19" ht="12">
      <c r="A64" s="145">
        <v>170769</v>
      </c>
      <c r="B64" s="3">
        <v>2</v>
      </c>
      <c r="C64" s="143" t="s">
        <v>224</v>
      </c>
      <c r="D64" s="12">
        <v>2016</v>
      </c>
      <c r="E64" s="12">
        <v>12</v>
      </c>
      <c r="F64" s="56">
        <v>0</v>
      </c>
      <c r="H64" s="12" t="s">
        <v>82</v>
      </c>
      <c r="I64" s="57">
        <v>12</v>
      </c>
      <c r="J64" s="23">
        <f t="shared" si="21"/>
        <v>2028</v>
      </c>
      <c r="K64" s="209">
        <f t="shared" si="13"/>
        <v>2029</v>
      </c>
      <c r="L64" s="58">
        <v>14636</v>
      </c>
      <c r="M64" s="15">
        <f t="shared" si="14"/>
        <v>14636</v>
      </c>
      <c r="N64" s="15">
        <f t="shared" si="15"/>
        <v>101.6388888888889</v>
      </c>
      <c r="O64" s="41">
        <f t="shared" si="16"/>
        <v>1219.6666666666667</v>
      </c>
      <c r="P64" s="210">
        <f t="shared" si="17"/>
        <v>1219.6666666666667</v>
      </c>
      <c r="Q64" s="210">
        <f t="shared" si="18"/>
        <v>2439.3333333333335</v>
      </c>
      <c r="R64" s="210">
        <f t="shared" si="19"/>
        <v>3659</v>
      </c>
      <c r="S64" s="210">
        <f t="shared" si="20"/>
        <v>10977</v>
      </c>
    </row>
    <row r="65" spans="1:19" ht="12">
      <c r="A65" s="145">
        <v>171065</v>
      </c>
      <c r="B65" s="3">
        <v>2</v>
      </c>
      <c r="C65" s="143" t="s">
        <v>224</v>
      </c>
      <c r="D65" s="12">
        <v>2016</v>
      </c>
      <c r="E65" s="12">
        <v>12</v>
      </c>
      <c r="F65" s="56">
        <v>0</v>
      </c>
      <c r="H65" s="12" t="s">
        <v>82</v>
      </c>
      <c r="I65" s="57">
        <v>12</v>
      </c>
      <c r="J65" s="23">
        <f t="shared" si="21"/>
        <v>2028</v>
      </c>
      <c r="K65" s="209">
        <f t="shared" si="13"/>
        <v>2029</v>
      </c>
      <c r="L65" s="58">
        <v>14636</v>
      </c>
      <c r="M65" s="15">
        <f t="shared" si="14"/>
        <v>14636</v>
      </c>
      <c r="N65" s="15">
        <f t="shared" si="15"/>
        <v>101.6388888888889</v>
      </c>
      <c r="O65" s="41">
        <f t="shared" si="16"/>
        <v>1219.6666666666667</v>
      </c>
      <c r="P65" s="210">
        <f t="shared" si="17"/>
        <v>1219.6666666666667</v>
      </c>
      <c r="Q65" s="210">
        <f t="shared" si="18"/>
        <v>2439.3333333333335</v>
      </c>
      <c r="R65" s="210">
        <f t="shared" si="19"/>
        <v>3659</v>
      </c>
      <c r="S65" s="210">
        <f t="shared" si="20"/>
        <v>10977</v>
      </c>
    </row>
    <row r="66" spans="1:19" s="7" customFormat="1" ht="12">
      <c r="A66" s="145">
        <v>185139</v>
      </c>
      <c r="B66" s="7">
        <v>7</v>
      </c>
      <c r="C66" s="44" t="s">
        <v>246</v>
      </c>
      <c r="D66" s="35">
        <v>2017</v>
      </c>
      <c r="E66" s="35">
        <v>8</v>
      </c>
      <c r="F66" s="85">
        <v>0</v>
      </c>
      <c r="H66" s="35" t="s">
        <v>82</v>
      </c>
      <c r="I66" s="38">
        <v>12</v>
      </c>
      <c r="J66" s="39">
        <f t="shared" si="21"/>
        <v>2029</v>
      </c>
      <c r="K66" s="209">
        <f t="shared" si="13"/>
        <v>2029.6666666666667</v>
      </c>
      <c r="L66" s="40">
        <v>40160</v>
      </c>
      <c r="M66" s="41">
        <f t="shared" si="14"/>
        <v>40160</v>
      </c>
      <c r="N66" s="41">
        <f t="shared" si="15"/>
        <v>278.88888888888886</v>
      </c>
      <c r="O66" s="41">
        <f t="shared" si="16"/>
        <v>3346.666666666666</v>
      </c>
      <c r="P66" s="210">
        <f t="shared" si="17"/>
        <v>3346.666666666666</v>
      </c>
      <c r="Q66" s="210">
        <f t="shared" si="18"/>
        <v>3346.666666666666</v>
      </c>
      <c r="R66" s="210">
        <f t="shared" si="19"/>
        <v>6693.333333333332</v>
      </c>
      <c r="S66" s="210">
        <f t="shared" si="20"/>
        <v>33466.66666666667</v>
      </c>
    </row>
    <row r="67" spans="1:19" s="7" customFormat="1" ht="12">
      <c r="A67" s="145">
        <v>185140</v>
      </c>
      <c r="B67" s="7">
        <v>2</v>
      </c>
      <c r="C67" s="44" t="s">
        <v>247</v>
      </c>
      <c r="D67" s="35">
        <v>2017</v>
      </c>
      <c r="E67" s="35">
        <v>8</v>
      </c>
      <c r="F67" s="85">
        <v>0</v>
      </c>
      <c r="H67" s="35" t="s">
        <v>82</v>
      </c>
      <c r="I67" s="38">
        <v>12</v>
      </c>
      <c r="J67" s="39">
        <f t="shared" si="21"/>
        <v>2029</v>
      </c>
      <c r="K67" s="209">
        <f t="shared" si="13"/>
        <v>2029.6666666666667</v>
      </c>
      <c r="L67" s="40">
        <v>15035</v>
      </c>
      <c r="M67" s="41">
        <f t="shared" si="14"/>
        <v>15035</v>
      </c>
      <c r="N67" s="41">
        <f t="shared" si="15"/>
        <v>104.40972222222223</v>
      </c>
      <c r="O67" s="41">
        <f t="shared" si="16"/>
        <v>1252.9166666666667</v>
      </c>
      <c r="P67" s="210">
        <f t="shared" si="17"/>
        <v>1252.9166666666667</v>
      </c>
      <c r="Q67" s="210">
        <f t="shared" si="18"/>
        <v>1252.9166666666667</v>
      </c>
      <c r="R67" s="210">
        <f t="shared" si="19"/>
        <v>2505.8333333333335</v>
      </c>
      <c r="S67" s="210">
        <f t="shared" si="20"/>
        <v>12529.166666666666</v>
      </c>
    </row>
    <row r="68" spans="1:19" s="7" customFormat="1" ht="12">
      <c r="A68" s="145">
        <v>198003</v>
      </c>
      <c r="B68" s="7">
        <v>2</v>
      </c>
      <c r="C68" s="44" t="s">
        <v>275</v>
      </c>
      <c r="D68" s="35">
        <v>2018</v>
      </c>
      <c r="E68" s="35">
        <v>6</v>
      </c>
      <c r="F68" s="85">
        <v>0</v>
      </c>
      <c r="H68" s="35" t="s">
        <v>82</v>
      </c>
      <c r="I68" s="38">
        <v>0</v>
      </c>
      <c r="J68" s="39">
        <f t="shared" si="21"/>
        <v>2018</v>
      </c>
      <c r="K68" s="209">
        <f t="shared" si="13"/>
        <v>2018.5</v>
      </c>
      <c r="L68" s="40">
        <v>0</v>
      </c>
      <c r="M68" s="41">
        <f t="shared" si="14"/>
        <v>0</v>
      </c>
      <c r="N68" s="41">
        <f>_xlfn.IFERROR(M68/I68/12,0)</f>
        <v>0</v>
      </c>
      <c r="O68" s="41">
        <f t="shared" si="16"/>
        <v>0</v>
      </c>
      <c r="P68" s="210">
        <f t="shared" si="17"/>
        <v>0</v>
      </c>
      <c r="Q68" s="210">
        <f t="shared" si="18"/>
        <v>0</v>
      </c>
      <c r="R68" s="210">
        <f t="shared" si="19"/>
        <v>0</v>
      </c>
      <c r="S68" s="210">
        <f t="shared" si="20"/>
        <v>0</v>
      </c>
    </row>
    <row r="69" spans="1:19" s="7" customFormat="1" ht="12">
      <c r="A69" s="145">
        <v>206217</v>
      </c>
      <c r="B69" s="7">
        <v>2</v>
      </c>
      <c r="C69" s="44" t="s">
        <v>284</v>
      </c>
      <c r="D69" s="35">
        <v>2018</v>
      </c>
      <c r="E69" s="35">
        <v>9</v>
      </c>
      <c r="F69" s="85">
        <v>0</v>
      </c>
      <c r="H69" s="35" t="s">
        <v>82</v>
      </c>
      <c r="I69" s="38">
        <v>12</v>
      </c>
      <c r="J69" s="39">
        <f t="shared" si="21"/>
        <v>2030</v>
      </c>
      <c r="K69" s="209">
        <f t="shared" si="13"/>
        <v>2030.75</v>
      </c>
      <c r="L69" s="40">
        <v>12967</v>
      </c>
      <c r="M69" s="41">
        <f t="shared" si="14"/>
        <v>12967</v>
      </c>
      <c r="N69" s="41">
        <f>M69/I69/12</f>
        <v>90.0486111111111</v>
      </c>
      <c r="O69" s="41">
        <f t="shared" si="16"/>
        <v>1080.5833333333333</v>
      </c>
      <c r="P69" s="210">
        <f t="shared" si="17"/>
        <v>1080.5833333333333</v>
      </c>
      <c r="Q69" s="210">
        <f t="shared" si="18"/>
        <v>0</v>
      </c>
      <c r="R69" s="210">
        <f t="shared" si="19"/>
        <v>1080.5833333333333</v>
      </c>
      <c r="S69" s="210">
        <f t="shared" si="20"/>
        <v>11886.416666666666</v>
      </c>
    </row>
    <row r="70" spans="1:19" s="7" customFormat="1" ht="12">
      <c r="A70" s="145">
        <v>206216</v>
      </c>
      <c r="B70" s="7">
        <v>4</v>
      </c>
      <c r="C70" s="44" t="s">
        <v>284</v>
      </c>
      <c r="D70" s="35">
        <v>2018</v>
      </c>
      <c r="E70" s="35">
        <v>9</v>
      </c>
      <c r="F70" s="85">
        <v>0</v>
      </c>
      <c r="H70" s="35" t="s">
        <v>82</v>
      </c>
      <c r="I70" s="38">
        <v>12</v>
      </c>
      <c r="J70" s="39">
        <f t="shared" si="21"/>
        <v>2030</v>
      </c>
      <c r="K70" s="209">
        <f t="shared" si="13"/>
        <v>2030.75</v>
      </c>
      <c r="L70" s="40">
        <v>25934</v>
      </c>
      <c r="M70" s="41">
        <f t="shared" si="14"/>
        <v>25934</v>
      </c>
      <c r="N70" s="41">
        <f>M70/I70/12</f>
        <v>180.0972222222222</v>
      </c>
      <c r="O70" s="41">
        <f t="shared" si="16"/>
        <v>2161.1666666666665</v>
      </c>
      <c r="P70" s="210">
        <f t="shared" si="17"/>
        <v>2161.1666666666665</v>
      </c>
      <c r="Q70" s="210">
        <f t="shared" si="18"/>
        <v>0</v>
      </c>
      <c r="R70" s="210">
        <f t="shared" si="19"/>
        <v>2161.1666666666665</v>
      </c>
      <c r="S70" s="210">
        <f t="shared" si="20"/>
        <v>23772.833333333332</v>
      </c>
    </row>
    <row r="71" spans="1:19" s="7" customFormat="1" ht="12">
      <c r="A71" s="145">
        <v>205008</v>
      </c>
      <c r="B71" s="7">
        <v>2</v>
      </c>
      <c r="C71" s="44" t="s">
        <v>285</v>
      </c>
      <c r="D71" s="35">
        <v>2018</v>
      </c>
      <c r="E71" s="35">
        <v>9</v>
      </c>
      <c r="F71" s="85">
        <v>0</v>
      </c>
      <c r="H71" s="35" t="s">
        <v>82</v>
      </c>
      <c r="I71" s="38">
        <v>12</v>
      </c>
      <c r="J71" s="39">
        <f t="shared" si="21"/>
        <v>2030</v>
      </c>
      <c r="K71" s="209">
        <f t="shared" si="13"/>
        <v>2030.75</v>
      </c>
      <c r="L71" s="40">
        <v>15593</v>
      </c>
      <c r="M71" s="41">
        <f t="shared" si="14"/>
        <v>15593</v>
      </c>
      <c r="N71" s="41">
        <f>M71/I71/12</f>
        <v>108.28472222222223</v>
      </c>
      <c r="O71" s="41">
        <f t="shared" si="16"/>
        <v>1299.4166666666667</v>
      </c>
      <c r="P71" s="210">
        <f t="shared" si="17"/>
        <v>1299.4166666666667</v>
      </c>
      <c r="Q71" s="210">
        <f t="shared" si="18"/>
        <v>0</v>
      </c>
      <c r="R71" s="210">
        <f t="shared" si="19"/>
        <v>1299.4166666666667</v>
      </c>
      <c r="S71" s="210">
        <f t="shared" si="20"/>
        <v>14293.583333333334</v>
      </c>
    </row>
    <row r="72" spans="1:19" ht="12">
      <c r="A72" s="144"/>
      <c r="F72" s="56"/>
      <c r="H72" s="12"/>
      <c r="I72" s="57"/>
      <c r="J72" s="23"/>
      <c r="L72" s="15"/>
      <c r="M72" s="15"/>
      <c r="N72" s="15"/>
      <c r="O72" s="15"/>
      <c r="P72" s="15"/>
      <c r="Q72" s="15"/>
      <c r="R72" s="15"/>
      <c r="S72" s="15"/>
    </row>
    <row r="73" spans="1:19" s="1" customFormat="1" ht="12">
      <c r="A73" s="319"/>
      <c r="B73" s="320"/>
      <c r="C73" s="320" t="s">
        <v>368</v>
      </c>
      <c r="D73" s="313"/>
      <c r="E73" s="313"/>
      <c r="F73" s="321"/>
      <c r="G73" s="320"/>
      <c r="H73" s="313"/>
      <c r="I73" s="313"/>
      <c r="J73" s="322"/>
      <c r="K73" s="320"/>
      <c r="L73" s="234">
        <f aca="true" t="shared" si="22" ref="L73:S73">SUM(L51:L72)</f>
        <v>482732.2</v>
      </c>
      <c r="M73" s="234">
        <f t="shared" si="22"/>
        <v>482732.2</v>
      </c>
      <c r="N73" s="234">
        <f t="shared" si="22"/>
        <v>3783.1766666666663</v>
      </c>
      <c r="O73" s="234">
        <f t="shared" si="22"/>
        <v>45398.119999999995</v>
      </c>
      <c r="P73" s="234">
        <f t="shared" si="22"/>
        <v>24460.36</v>
      </c>
      <c r="Q73" s="234">
        <f t="shared" si="22"/>
        <v>286765.15533333336</v>
      </c>
      <c r="R73" s="234">
        <f t="shared" si="22"/>
        <v>311225.5153333333</v>
      </c>
      <c r="S73" s="234">
        <f t="shared" si="22"/>
        <v>171506.6846666667</v>
      </c>
    </row>
    <row r="74" spans="1:12" ht="12">
      <c r="A74" s="144"/>
      <c r="D74" s="3"/>
      <c r="E74" s="3"/>
      <c r="I74" s="3"/>
      <c r="J74" s="137"/>
      <c r="L74" s="141"/>
    </row>
    <row r="75" spans="1:19" ht="12">
      <c r="A75" s="144"/>
      <c r="C75" s="28" t="s">
        <v>340</v>
      </c>
      <c r="D75" s="3"/>
      <c r="E75" s="3"/>
      <c r="I75" s="3"/>
      <c r="J75" s="137"/>
      <c r="L75" s="141"/>
      <c r="M75" s="141"/>
      <c r="N75" s="141"/>
      <c r="O75" s="141"/>
      <c r="P75" s="141"/>
      <c r="Q75" s="136"/>
      <c r="R75" s="136"/>
      <c r="S75" s="141"/>
    </row>
    <row r="76" spans="1:19" s="7" customFormat="1" ht="12">
      <c r="A76" s="145">
        <v>212748</v>
      </c>
      <c r="B76" s="7">
        <f>656-406</f>
        <v>250</v>
      </c>
      <c r="C76" s="126" t="s">
        <v>324</v>
      </c>
      <c r="D76" s="7">
        <v>2019</v>
      </c>
      <c r="E76" s="7">
        <v>4</v>
      </c>
      <c r="F76" s="7">
        <v>0</v>
      </c>
      <c r="H76" s="7" t="s">
        <v>82</v>
      </c>
      <c r="I76" s="7">
        <v>7</v>
      </c>
      <c r="J76" s="39">
        <f>D76+I76</f>
        <v>2026</v>
      </c>
      <c r="K76" s="209">
        <f>+J76+(E76/12)</f>
        <v>2026.3333333333333</v>
      </c>
      <c r="L76" s="40">
        <f>32752.49*(0.38109756097561)</f>
        <v>12481.89405487805</v>
      </c>
      <c r="M76" s="41">
        <f>L76-L76*F76</f>
        <v>12481.89405487805</v>
      </c>
      <c r="N76" s="41">
        <f>M76/I76/12</f>
        <v>148.5939768437863</v>
      </c>
      <c r="O76" s="41">
        <f>+N76*12</f>
        <v>1783.1277221254354</v>
      </c>
      <c r="P76" s="210">
        <f>+IF(K76&lt;=$M$5,0,IF(J76&gt;$M$4,O76,(N76*E76)))</f>
        <v>1783.1277221254354</v>
      </c>
      <c r="Q76" s="210">
        <f>+IF(P76=0,M76,IF($M$3-D76&lt;1,0,(($M$3-D76)*O76)))</f>
        <v>0</v>
      </c>
      <c r="R76" s="210">
        <f>+IF(P76=0,Q76,Q76+P76)</f>
        <v>1783.1277221254354</v>
      </c>
      <c r="S76" s="210">
        <f>+L76-R76</f>
        <v>10698.766332752615</v>
      </c>
    </row>
    <row r="77" spans="1:19" s="7" customFormat="1" ht="12">
      <c r="A77" s="145">
        <v>212747</v>
      </c>
      <c r="B77" s="7">
        <f>1728-150</f>
        <v>1578</v>
      </c>
      <c r="C77" s="126" t="s">
        <v>325</v>
      </c>
      <c r="D77" s="7">
        <v>2019</v>
      </c>
      <c r="E77" s="7">
        <v>4</v>
      </c>
      <c r="F77" s="7">
        <v>0</v>
      </c>
      <c r="H77" s="7" t="s">
        <v>82</v>
      </c>
      <c r="I77" s="7">
        <v>7</v>
      </c>
      <c r="J77" s="39">
        <f>D77+I77</f>
        <v>2026</v>
      </c>
      <c r="K77" s="209">
        <f>+J77+(E77/12)</f>
        <v>2026.3333333333333</v>
      </c>
      <c r="L77" s="40">
        <f>78763*(B77/1728)</f>
        <v>71925.93402777778</v>
      </c>
      <c r="M77" s="41">
        <f>L77-L77*F77</f>
        <v>71925.93402777778</v>
      </c>
      <c r="N77" s="41">
        <f>M77/I77/12</f>
        <v>856.261119378307</v>
      </c>
      <c r="O77" s="41">
        <f>+N77*12</f>
        <v>10275.133432539684</v>
      </c>
      <c r="P77" s="210">
        <f>+IF(K77&lt;=$M$5,0,IF(J77&gt;$M$4,O77,(N77*E77)))</f>
        <v>10275.133432539684</v>
      </c>
      <c r="Q77" s="210">
        <f>+IF(P77=0,M77,IF($M$3-D77&lt;1,0,(($M$3-D77)*O77)))</f>
        <v>0</v>
      </c>
      <c r="R77" s="210">
        <f>+IF(P77=0,Q77,Q77+P77)</f>
        <v>10275.133432539684</v>
      </c>
      <c r="S77" s="210">
        <f>+L77-R77</f>
        <v>61650.8005952381</v>
      </c>
    </row>
    <row r="78" spans="1:19" ht="12">
      <c r="A78" s="3">
        <v>212746</v>
      </c>
      <c r="B78" s="3">
        <v>400</v>
      </c>
      <c r="C78" s="126" t="s">
        <v>326</v>
      </c>
      <c r="D78" s="12">
        <v>2019</v>
      </c>
      <c r="E78" s="144">
        <v>4</v>
      </c>
      <c r="F78" s="3">
        <v>0</v>
      </c>
      <c r="H78" s="3" t="s">
        <v>82</v>
      </c>
      <c r="I78" s="12">
        <v>7</v>
      </c>
      <c r="J78" s="39">
        <f>D78+I78</f>
        <v>2026</v>
      </c>
      <c r="K78" s="209">
        <f>+J78+(E78/12)</f>
        <v>2026.3333333333333</v>
      </c>
      <c r="L78" s="6">
        <f>38451*(B78/945)</f>
        <v>16275.555555555555</v>
      </c>
      <c r="M78" s="41">
        <f>L78-L78*F78</f>
        <v>16275.555555555555</v>
      </c>
      <c r="N78" s="41">
        <f>M78/I78/12</f>
        <v>193.75661375661375</v>
      </c>
      <c r="O78" s="41">
        <f>+N78*12</f>
        <v>2325.079365079365</v>
      </c>
      <c r="P78" s="210">
        <f>+IF(K78&lt;=$M$5,0,IF(J78&gt;$M$4,O78,(N78*E78)))</f>
        <v>2325.079365079365</v>
      </c>
      <c r="Q78" s="210">
        <f>+IF(P78=0,M78,IF($M$3-D78&lt;1,0,(($M$3-D78)*O78)))</f>
        <v>0</v>
      </c>
      <c r="R78" s="210">
        <f>+IF(P78=0,Q78,Q78+P78)</f>
        <v>2325.079365079365</v>
      </c>
      <c r="S78" s="210">
        <f>+L78-R78</f>
        <v>13950.47619047619</v>
      </c>
    </row>
    <row r="79" spans="1:19" s="7" customFormat="1" ht="12">
      <c r="A79" s="145">
        <v>225970</v>
      </c>
      <c r="B79" s="7">
        <v>945</v>
      </c>
      <c r="C79" s="126" t="s">
        <v>326</v>
      </c>
      <c r="D79" s="7">
        <v>2019</v>
      </c>
      <c r="E79" s="7">
        <v>9</v>
      </c>
      <c r="F79" s="7">
        <v>0</v>
      </c>
      <c r="H79" s="7" t="s">
        <v>82</v>
      </c>
      <c r="I79" s="7">
        <v>7</v>
      </c>
      <c r="J79" s="39">
        <f>D79+I79</f>
        <v>2026</v>
      </c>
      <c r="K79" s="209">
        <f>+J79+(E79/12)</f>
        <v>2026.75</v>
      </c>
      <c r="L79" s="40">
        <v>37637.16</v>
      </c>
      <c r="M79" s="41">
        <f>L79-L79*F79</f>
        <v>37637.16</v>
      </c>
      <c r="N79" s="41">
        <f>M79/I79/12</f>
        <v>448.0614285714286</v>
      </c>
      <c r="O79" s="41">
        <f>+N79*12</f>
        <v>5376.737142857143</v>
      </c>
      <c r="P79" s="210">
        <f>+IF(K79&lt;=$M$5,0,IF(J79&gt;$M$4,O79,(N79*E79)))</f>
        <v>5376.737142857143</v>
      </c>
      <c r="Q79" s="210">
        <f>+IF(P79=0,M79,IF($M$3-D79&lt;1,0,(($M$3-D79)*O79)))</f>
        <v>0</v>
      </c>
      <c r="R79" s="210">
        <f>+IF(P79=0,Q79,Q79+P79)</f>
        <v>5376.737142857143</v>
      </c>
      <c r="S79" s="210">
        <f>+L79-R79</f>
        <v>32260.42285714286</v>
      </c>
    </row>
    <row r="80" spans="1:19" s="7" customFormat="1" ht="12">
      <c r="A80" s="145">
        <v>225969</v>
      </c>
      <c r="B80" s="7">
        <v>945</v>
      </c>
      <c r="C80" s="126" t="s">
        <v>326</v>
      </c>
      <c r="D80" s="7">
        <v>2019</v>
      </c>
      <c r="E80" s="7">
        <v>9</v>
      </c>
      <c r="F80" s="7">
        <v>0</v>
      </c>
      <c r="H80" s="7" t="s">
        <v>82</v>
      </c>
      <c r="I80" s="7">
        <v>7</v>
      </c>
      <c r="J80" s="39">
        <f>D80+I80</f>
        <v>2026</v>
      </c>
      <c r="K80" s="209">
        <f>+J80+(E80/12)</f>
        <v>2026.75</v>
      </c>
      <c r="L80" s="40">
        <v>37637.16</v>
      </c>
      <c r="M80" s="41">
        <f>L80-L80*F80</f>
        <v>37637.16</v>
      </c>
      <c r="N80" s="41">
        <f>M80/I80/12</f>
        <v>448.0614285714286</v>
      </c>
      <c r="O80" s="41">
        <f>+N80*12</f>
        <v>5376.737142857143</v>
      </c>
      <c r="P80" s="210">
        <f>+IF(K80&lt;=$M$5,0,IF(J80&gt;$M$4,O80,(N80*E80)))</f>
        <v>5376.737142857143</v>
      </c>
      <c r="Q80" s="210">
        <f>+IF(P80=0,M80,IF($M$3-D80&lt;1,0,(($M$3-D80)*O80)))</f>
        <v>0</v>
      </c>
      <c r="R80" s="210">
        <f>+IF(P80=0,Q80,Q80+P80)</f>
        <v>5376.737142857143</v>
      </c>
      <c r="S80" s="210">
        <f>+L80-R80</f>
        <v>32260.42285714286</v>
      </c>
    </row>
    <row r="81" spans="1:19" ht="12">
      <c r="A81" s="144"/>
      <c r="C81" s="24"/>
      <c r="D81" s="3"/>
      <c r="E81" s="3"/>
      <c r="I81" s="3"/>
      <c r="J81" s="137"/>
      <c r="L81" s="141"/>
      <c r="M81" s="141"/>
      <c r="N81" s="141"/>
      <c r="O81" s="141"/>
      <c r="P81" s="141"/>
      <c r="Q81" s="136"/>
      <c r="R81" s="136"/>
      <c r="S81" s="141"/>
    </row>
    <row r="82" spans="1:19" ht="12">
      <c r="A82" s="144"/>
      <c r="D82" s="3"/>
      <c r="E82" s="3"/>
      <c r="I82" s="3"/>
      <c r="J82" s="23"/>
      <c r="L82" s="235">
        <f aca="true" t="shared" si="23" ref="L82:S82">SUM(L76:L81)</f>
        <v>175957.7036382114</v>
      </c>
      <c r="M82" s="235">
        <f t="shared" si="23"/>
        <v>175957.7036382114</v>
      </c>
      <c r="N82" s="235">
        <f t="shared" si="23"/>
        <v>2094.7345671215644</v>
      </c>
      <c r="O82" s="235">
        <f t="shared" si="23"/>
        <v>25136.81480545877</v>
      </c>
      <c r="P82" s="235">
        <f t="shared" si="23"/>
        <v>25136.81480545877</v>
      </c>
      <c r="Q82" s="235">
        <f t="shared" si="23"/>
        <v>0</v>
      </c>
      <c r="R82" s="235">
        <f t="shared" si="23"/>
        <v>25136.81480545877</v>
      </c>
      <c r="S82" s="235">
        <f t="shared" si="23"/>
        <v>150820.88883275265</v>
      </c>
    </row>
    <row r="83" spans="1:19" ht="12">
      <c r="A83" s="144"/>
      <c r="D83" s="3"/>
      <c r="E83" s="3"/>
      <c r="I83" s="3"/>
      <c r="J83" s="23"/>
      <c r="L83" s="135"/>
      <c r="M83" s="135"/>
      <c r="N83" s="135"/>
      <c r="O83" s="135"/>
      <c r="P83" s="135"/>
      <c r="Q83" s="135"/>
      <c r="R83" s="135"/>
      <c r="S83" s="135"/>
    </row>
    <row r="84" spans="1:19" ht="12">
      <c r="A84" s="144"/>
      <c r="C84" s="28" t="s">
        <v>341</v>
      </c>
      <c r="D84" s="3"/>
      <c r="E84" s="3"/>
      <c r="I84" s="3"/>
      <c r="J84" s="23"/>
      <c r="L84" s="135"/>
      <c r="M84" s="135"/>
      <c r="N84" s="135"/>
      <c r="O84" s="135"/>
      <c r="P84" s="135"/>
      <c r="Q84" s="135"/>
      <c r="R84" s="135"/>
      <c r="S84" s="135"/>
    </row>
    <row r="85" spans="1:19" s="7" customFormat="1" ht="12">
      <c r="A85" s="145">
        <v>212748</v>
      </c>
      <c r="B85" s="7">
        <f>656-250</f>
        <v>406</v>
      </c>
      <c r="C85" s="126" t="s">
        <v>324</v>
      </c>
      <c r="D85" s="7">
        <v>2019</v>
      </c>
      <c r="E85" s="7">
        <v>4</v>
      </c>
      <c r="F85" s="7">
        <v>0</v>
      </c>
      <c r="H85" s="7" t="s">
        <v>82</v>
      </c>
      <c r="I85" s="7">
        <v>7</v>
      </c>
      <c r="J85" s="39">
        <f>D85+I85</f>
        <v>2026</v>
      </c>
      <c r="K85" s="209">
        <f>+J85+(E85/12)</f>
        <v>2026.3333333333333</v>
      </c>
      <c r="L85" s="40">
        <f>32752.49*(0.61890243902439)</f>
        <v>20270.595945121953</v>
      </c>
      <c r="M85" s="41">
        <f>L85-L85*F85</f>
        <v>20270.595945121953</v>
      </c>
      <c r="N85" s="41">
        <f>M85/I85/12</f>
        <v>241.31661839430896</v>
      </c>
      <c r="O85" s="41">
        <f>+N85*12</f>
        <v>2895.7994207317074</v>
      </c>
      <c r="P85" s="210">
        <f>+IF(K85&lt;=$M$5,0,IF(J85&gt;$M$4,O85,(N85*E85)))</f>
        <v>2895.7994207317074</v>
      </c>
      <c r="Q85" s="210">
        <f>+IF(P85=0,M85,IF($M$3-D85&lt;1,0,(($M$3-D85)*O85)))</f>
        <v>0</v>
      </c>
      <c r="R85" s="210">
        <f>+IF(P85=0,Q85,Q85+P85)</f>
        <v>2895.7994207317074</v>
      </c>
      <c r="S85" s="210">
        <f>+L85-R85</f>
        <v>17374.796524390247</v>
      </c>
    </row>
    <row r="86" spans="1:19" s="7" customFormat="1" ht="12">
      <c r="A86" s="145">
        <v>212747</v>
      </c>
      <c r="B86" s="7">
        <v>150</v>
      </c>
      <c r="C86" s="126" t="s">
        <v>325</v>
      </c>
      <c r="D86" s="7">
        <v>2019</v>
      </c>
      <c r="E86" s="7">
        <v>4</v>
      </c>
      <c r="F86" s="7">
        <v>0</v>
      </c>
      <c r="H86" s="7" t="s">
        <v>82</v>
      </c>
      <c r="I86" s="7">
        <v>7</v>
      </c>
      <c r="J86" s="39">
        <f>D86+I86</f>
        <v>2026</v>
      </c>
      <c r="K86" s="209">
        <f>+J86+(E86/12)</f>
        <v>2026.3333333333333</v>
      </c>
      <c r="L86" s="40">
        <f>78763*(B86/1728)</f>
        <v>6837.065972222222</v>
      </c>
      <c r="M86" s="41">
        <f>L86-L86*F86</f>
        <v>6837.065972222222</v>
      </c>
      <c r="N86" s="41">
        <f>M86/I86/12</f>
        <v>81.39364252645503</v>
      </c>
      <c r="O86" s="41">
        <f>+N86*12</f>
        <v>976.7237103174602</v>
      </c>
      <c r="P86" s="210">
        <f>+IF(K86&lt;=$M$5,0,IF(J86&gt;$M$4,O86,(N86*E86)))</f>
        <v>976.7237103174602</v>
      </c>
      <c r="Q86" s="210">
        <f>+IF(P86=0,M86,IF($M$3-D86&lt;1,0,(($M$3-D86)*O86)))</f>
        <v>0</v>
      </c>
      <c r="R86" s="210">
        <f>+IF(P86=0,Q86,Q86+P86)</f>
        <v>976.7237103174602</v>
      </c>
      <c r="S86" s="210">
        <f>+L86-R86</f>
        <v>5860.3422619047615</v>
      </c>
    </row>
    <row r="87" spans="1:19" s="7" customFormat="1" ht="12">
      <c r="A87" s="145">
        <v>212746</v>
      </c>
      <c r="B87" s="7">
        <f>945-(400)</f>
        <v>545</v>
      </c>
      <c r="C87" s="126" t="s">
        <v>326</v>
      </c>
      <c r="D87" s="7">
        <v>2019</v>
      </c>
      <c r="E87" s="7">
        <v>4</v>
      </c>
      <c r="F87" s="7">
        <v>0</v>
      </c>
      <c r="H87" s="7" t="s">
        <v>82</v>
      </c>
      <c r="I87" s="7">
        <v>7</v>
      </c>
      <c r="J87" s="39">
        <f>D87+I87</f>
        <v>2026</v>
      </c>
      <c r="K87" s="209">
        <f>+J87+(E87/12)</f>
        <v>2026.3333333333333</v>
      </c>
      <c r="L87" s="40">
        <f>38451*(B87/945)</f>
        <v>22175.444444444445</v>
      </c>
      <c r="M87" s="41">
        <f>L87-L87*F87</f>
        <v>22175.444444444445</v>
      </c>
      <c r="N87" s="41">
        <f>M87/I87/12</f>
        <v>263.9933862433863</v>
      </c>
      <c r="O87" s="41">
        <f>+N87*12</f>
        <v>3167.920634920635</v>
      </c>
      <c r="P87" s="210">
        <f>+IF(K87&lt;=$M$5,0,IF(J87&gt;$M$4,O87,(N87*E87)))</f>
        <v>3167.920634920635</v>
      </c>
      <c r="Q87" s="210">
        <f>+IF(P87=0,M87,IF($M$3-D87&lt;1,0,(($M$3-D87)*O87)))</f>
        <v>0</v>
      </c>
      <c r="R87" s="210">
        <f>+IF(P87=0,Q87,Q87+P87)</f>
        <v>3167.920634920635</v>
      </c>
      <c r="S87" s="210">
        <f>+L87-R87</f>
        <v>19007.52380952381</v>
      </c>
    </row>
    <row r="88" spans="1:19" s="202" customFormat="1" ht="12">
      <c r="A88" s="201" t="s">
        <v>337</v>
      </c>
      <c r="B88" s="202">
        <v>1560</v>
      </c>
      <c r="C88" s="263" t="s">
        <v>338</v>
      </c>
      <c r="D88" s="202">
        <v>2020</v>
      </c>
      <c r="E88" s="202">
        <v>7</v>
      </c>
      <c r="F88" s="202">
        <v>0</v>
      </c>
      <c r="H88" s="202" t="s">
        <v>82</v>
      </c>
      <c r="I88" s="202">
        <v>7</v>
      </c>
      <c r="J88" s="205">
        <f>D88+I88</f>
        <v>2027</v>
      </c>
      <c r="K88" s="232">
        <f>+J88+(E88/12)</f>
        <v>2027.5833333333333</v>
      </c>
      <c r="L88" s="206">
        <v>55000</v>
      </c>
      <c r="M88" s="207">
        <f>L88-L88*F88</f>
        <v>55000</v>
      </c>
      <c r="N88" s="207">
        <f>M88/I88/12</f>
        <v>654.7619047619047</v>
      </c>
      <c r="O88" s="207">
        <f>+N88*12</f>
        <v>7857.142857142857</v>
      </c>
      <c r="P88" s="233">
        <f>+IF(K88&lt;=$M$5,0,IF(J88&gt;$M$4,O88,(N88*E88)))</f>
        <v>7857.142857142857</v>
      </c>
      <c r="Q88" s="233">
        <f>+IF(P88=0,M88,IF($M$3-D88&lt;1,0,(($M$3-D88)*O88)))</f>
        <v>0</v>
      </c>
      <c r="R88" s="233">
        <f>+IF(P88=0,Q88,Q88+P88)</f>
        <v>7857.142857142857</v>
      </c>
      <c r="S88" s="210">
        <f>+L88-R88</f>
        <v>47142.857142857145</v>
      </c>
    </row>
    <row r="89" spans="1:19" ht="12">
      <c r="A89" s="144"/>
      <c r="D89" s="3"/>
      <c r="E89" s="3"/>
      <c r="I89" s="3"/>
      <c r="J89" s="23"/>
      <c r="L89" s="135"/>
      <c r="M89" s="135"/>
      <c r="N89" s="135"/>
      <c r="O89" s="135"/>
      <c r="P89" s="135"/>
      <c r="Q89" s="135"/>
      <c r="R89" s="135"/>
      <c r="S89" s="135"/>
    </row>
    <row r="90" spans="1:19" ht="12">
      <c r="A90" s="144"/>
      <c r="D90" s="3"/>
      <c r="E90" s="3"/>
      <c r="I90" s="3"/>
      <c r="J90" s="23"/>
      <c r="L90" s="235">
        <f>SUM(L85:L89)</f>
        <v>104283.10636178862</v>
      </c>
      <c r="M90" s="235">
        <f aca="true" t="shared" si="24" ref="M90:S90">SUM(M85:M89)</f>
        <v>104283.10636178862</v>
      </c>
      <c r="N90" s="235">
        <f t="shared" si="24"/>
        <v>1241.465551926055</v>
      </c>
      <c r="O90" s="235">
        <f t="shared" si="24"/>
        <v>14897.58662311266</v>
      </c>
      <c r="P90" s="235">
        <f t="shared" si="24"/>
        <v>14897.58662311266</v>
      </c>
      <c r="Q90" s="235">
        <f t="shared" si="24"/>
        <v>0</v>
      </c>
      <c r="R90" s="235">
        <f t="shared" si="24"/>
        <v>14897.58662311266</v>
      </c>
      <c r="S90" s="235">
        <f t="shared" si="24"/>
        <v>89385.51973867597</v>
      </c>
    </row>
    <row r="91" spans="1:19" ht="12">
      <c r="A91" s="144"/>
      <c r="D91" s="3"/>
      <c r="E91" s="3"/>
      <c r="I91" s="3"/>
      <c r="J91" s="23"/>
      <c r="L91" s="135"/>
      <c r="M91" s="135"/>
      <c r="N91" s="135"/>
      <c r="O91" s="135"/>
      <c r="P91" s="135"/>
      <c r="Q91" s="135"/>
      <c r="R91" s="135"/>
      <c r="S91" s="135"/>
    </row>
    <row r="92" spans="1:19" ht="12">
      <c r="A92" s="144"/>
      <c r="F92" s="56"/>
      <c r="H92" s="12"/>
      <c r="I92" s="57"/>
      <c r="J92" s="23"/>
      <c r="L92" s="58"/>
      <c r="M92" s="15"/>
      <c r="N92" s="15"/>
      <c r="O92" s="15"/>
      <c r="P92" s="15"/>
      <c r="Q92" s="15"/>
      <c r="R92" s="15"/>
      <c r="S92" s="15"/>
    </row>
    <row r="93" spans="1:19" ht="12">
      <c r="A93" s="144"/>
      <c r="C93" s="1" t="s">
        <v>329</v>
      </c>
      <c r="F93" s="56"/>
      <c r="H93" s="12"/>
      <c r="I93" s="57"/>
      <c r="J93" s="23"/>
      <c r="L93" s="58"/>
      <c r="M93" s="15"/>
      <c r="N93" s="15"/>
      <c r="O93" s="15"/>
      <c r="P93" s="15"/>
      <c r="Q93" s="15"/>
      <c r="R93" s="15"/>
      <c r="S93" s="15"/>
    </row>
    <row r="94" spans="1:19" ht="12">
      <c r="A94" s="144"/>
      <c r="B94" s="55">
        <v>1800</v>
      </c>
      <c r="C94" s="143" t="s">
        <v>141</v>
      </c>
      <c r="D94" s="12">
        <v>2010</v>
      </c>
      <c r="E94" s="12">
        <v>11</v>
      </c>
      <c r="F94" s="56">
        <v>0</v>
      </c>
      <c r="G94" s="15"/>
      <c r="H94" s="12" t="s">
        <v>82</v>
      </c>
      <c r="I94" s="57">
        <v>10</v>
      </c>
      <c r="J94" s="23">
        <f>D94+I94</f>
        <v>2020</v>
      </c>
      <c r="K94" s="209">
        <f>+J94+(E94/12)</f>
        <v>2020.9166666666667</v>
      </c>
      <c r="L94" s="58">
        <v>89944.88</v>
      </c>
      <c r="M94" s="15">
        <f>L94-L94*F94</f>
        <v>89944.88</v>
      </c>
      <c r="N94" s="15">
        <f>M94/I94/12</f>
        <v>749.5406666666668</v>
      </c>
      <c r="O94" s="41">
        <f>+N94*12</f>
        <v>8994.488000000001</v>
      </c>
      <c r="P94" s="210">
        <f>+IF(K94&lt;=$M$5,0,IF(J94&gt;$M$4,O94,(N94*E94)))</f>
        <v>8994.488000000001</v>
      </c>
      <c r="Q94" s="210">
        <f>+IF(P94=0,M94,IF($M$3-D94&lt;1,0,(($M$3-D94)*O94)))</f>
        <v>71955.90400000001</v>
      </c>
      <c r="R94" s="210">
        <f>+IF(P94=0,Q94,Q94+P94)</f>
        <v>80950.392</v>
      </c>
      <c r="S94" s="210">
        <f>+L94-R94</f>
        <v>8994.487999999998</v>
      </c>
    </row>
    <row r="95" spans="1:19" ht="12">
      <c r="A95" s="144"/>
      <c r="B95" s="55">
        <v>1800</v>
      </c>
      <c r="C95" s="143" t="s">
        <v>142</v>
      </c>
      <c r="D95" s="12">
        <v>2010</v>
      </c>
      <c r="E95" s="12">
        <v>11</v>
      </c>
      <c r="F95" s="56">
        <v>0</v>
      </c>
      <c r="G95" s="15"/>
      <c r="H95" s="12" t="s">
        <v>82</v>
      </c>
      <c r="I95" s="57">
        <v>10</v>
      </c>
      <c r="J95" s="23">
        <f>D95+I95</f>
        <v>2020</v>
      </c>
      <c r="K95" s="209">
        <f>+J95+(E95/12)</f>
        <v>2020.9166666666667</v>
      </c>
      <c r="L95" s="58">
        <v>76072.61</v>
      </c>
      <c r="M95" s="15">
        <f>L95-L95*F95</f>
        <v>76072.61</v>
      </c>
      <c r="N95" s="15">
        <f>M95/I95/12</f>
        <v>633.9384166666667</v>
      </c>
      <c r="O95" s="41">
        <f>+N95*12</f>
        <v>7607.261</v>
      </c>
      <c r="P95" s="210">
        <f>+IF(K95&lt;=$M$5,0,IF(J95&gt;$M$4,O95,(N95*E95)))</f>
        <v>7607.261</v>
      </c>
      <c r="Q95" s="210">
        <f>+IF(P95=0,M95,IF($M$3-D95&lt;1,0,(($M$3-D95)*O95)))</f>
        <v>60858.088</v>
      </c>
      <c r="R95" s="210">
        <f>+IF(P95=0,Q95,Q95+P95)</f>
        <v>68465.349</v>
      </c>
      <c r="S95" s="210">
        <f>+L95-R95</f>
        <v>7607.260999999999</v>
      </c>
    </row>
    <row r="96" spans="1:19" ht="12">
      <c r="A96" s="144"/>
      <c r="B96" s="55">
        <f>486+164</f>
        <v>650</v>
      </c>
      <c r="C96" s="143" t="s">
        <v>141</v>
      </c>
      <c r="D96" s="12">
        <v>2012</v>
      </c>
      <c r="E96" s="12">
        <v>12</v>
      </c>
      <c r="F96" s="56">
        <v>0</v>
      </c>
      <c r="G96" s="15"/>
      <c r="H96" s="12" t="s">
        <v>82</v>
      </c>
      <c r="I96" s="57">
        <v>10</v>
      </c>
      <c r="J96" s="23">
        <f>D96+I96</f>
        <v>2022</v>
      </c>
      <c r="K96" s="209">
        <f>+J96+(E96/12)</f>
        <v>2023</v>
      </c>
      <c r="L96" s="58">
        <f>26171.15+8889.48</f>
        <v>35060.630000000005</v>
      </c>
      <c r="M96" s="15">
        <f>L96-L96*F96</f>
        <v>35060.630000000005</v>
      </c>
      <c r="N96" s="15">
        <f>M96/I96/12</f>
        <v>292.17191666666673</v>
      </c>
      <c r="O96" s="41">
        <f>+N96*12</f>
        <v>3506.063000000001</v>
      </c>
      <c r="P96" s="210">
        <f>+IF(K96&lt;=$M$5,0,IF(J96&gt;$M$4,O96,(N96*E96)))</f>
        <v>3506.063000000001</v>
      </c>
      <c r="Q96" s="210">
        <f>+IF(P96=0,M96,IF($M$3-D96&lt;1,0,(($M$3-D96)*O96)))</f>
        <v>21036.378000000004</v>
      </c>
      <c r="R96" s="210">
        <f>+IF(P96=0,Q96,Q96+P96)</f>
        <v>24542.441000000006</v>
      </c>
      <c r="S96" s="210">
        <f>+L96-R96</f>
        <v>10518.188999999998</v>
      </c>
    </row>
    <row r="97" spans="1:19" ht="12">
      <c r="A97" s="144"/>
      <c r="B97" s="55"/>
      <c r="C97" s="143"/>
      <c r="F97" s="56"/>
      <c r="G97" s="15"/>
      <c r="H97" s="12"/>
      <c r="I97" s="57"/>
      <c r="J97" s="23"/>
      <c r="L97" s="58"/>
      <c r="M97" s="15"/>
      <c r="N97" s="15"/>
      <c r="O97" s="15"/>
      <c r="P97" s="15"/>
      <c r="Q97" s="15"/>
      <c r="R97" s="15"/>
      <c r="S97" s="15"/>
    </row>
    <row r="98" spans="12:19" ht="12">
      <c r="L98" s="235">
        <f>SUM(L94:L97)</f>
        <v>201078.12</v>
      </c>
      <c r="M98" s="235">
        <f aca="true" t="shared" si="25" ref="M98:S98">SUM(M94:M97)</f>
        <v>201078.12</v>
      </c>
      <c r="N98" s="235">
        <f t="shared" si="25"/>
        <v>1675.6510000000003</v>
      </c>
      <c r="O98" s="235">
        <f t="shared" si="25"/>
        <v>20107.812000000005</v>
      </c>
      <c r="P98" s="235">
        <f t="shared" si="25"/>
        <v>20107.812000000005</v>
      </c>
      <c r="Q98" s="235">
        <f t="shared" si="25"/>
        <v>153850.37000000002</v>
      </c>
      <c r="R98" s="235">
        <f t="shared" si="25"/>
        <v>173958.18200000003</v>
      </c>
      <c r="S98" s="235">
        <f t="shared" si="25"/>
        <v>27119.937999999995</v>
      </c>
    </row>
    <row r="99" spans="12:19" ht="12">
      <c r="L99" s="135"/>
      <c r="M99" s="135"/>
      <c r="N99" s="135"/>
      <c r="O99" s="135"/>
      <c r="P99" s="135"/>
      <c r="Q99" s="135"/>
      <c r="R99" s="135"/>
      <c r="S99" s="135"/>
    </row>
    <row r="100" spans="1:19" ht="12">
      <c r="A100" s="144"/>
      <c r="B100" s="3">
        <v>10</v>
      </c>
      <c r="C100" s="143" t="s">
        <v>137</v>
      </c>
      <c r="D100" s="12">
        <v>2007</v>
      </c>
      <c r="E100" s="12">
        <v>8</v>
      </c>
      <c r="F100" s="56">
        <v>0</v>
      </c>
      <c r="H100" s="12" t="s">
        <v>82</v>
      </c>
      <c r="I100" s="57">
        <v>10</v>
      </c>
      <c r="J100" s="23">
        <f>D100+I100</f>
        <v>2017</v>
      </c>
      <c r="K100" s="209">
        <f>+J100+(E100/12)</f>
        <v>2017.6666666666667</v>
      </c>
      <c r="L100" s="58">
        <f>4998.51*10</f>
        <v>49985.100000000006</v>
      </c>
      <c r="M100" s="15">
        <f>L100-L100*F100</f>
        <v>49985.100000000006</v>
      </c>
      <c r="N100" s="15">
        <f>M100/I100/12</f>
        <v>416.5425</v>
      </c>
      <c r="O100" s="41">
        <f>+N100*12</f>
        <v>4998.51</v>
      </c>
      <c r="P100" s="210">
        <f>+IF(K100&lt;=$M$5,0,IF(J100&gt;$M$4,O100,(N100*E100)))</f>
        <v>0</v>
      </c>
      <c r="Q100" s="210">
        <f>+IF(P100=0,M100,IF($M$3-D100&lt;1,0,(($M$3-D100)*O100)))</f>
        <v>49985.100000000006</v>
      </c>
      <c r="R100" s="210">
        <f>+IF(P100=0,Q100,Q100+P100)</f>
        <v>49985.100000000006</v>
      </c>
      <c r="S100" s="210">
        <f>+L100-R100</f>
        <v>0</v>
      </c>
    </row>
    <row r="101" spans="1:19" ht="12">
      <c r="A101" s="144"/>
      <c r="B101" s="55">
        <v>4</v>
      </c>
      <c r="C101" s="143" t="s">
        <v>143</v>
      </c>
      <c r="D101" s="12">
        <v>2010</v>
      </c>
      <c r="E101" s="12">
        <v>11</v>
      </c>
      <c r="F101" s="56">
        <v>0</v>
      </c>
      <c r="G101" s="15"/>
      <c r="H101" s="12" t="s">
        <v>82</v>
      </c>
      <c r="I101" s="57">
        <v>10</v>
      </c>
      <c r="J101" s="23">
        <f>D101+I101</f>
        <v>2020</v>
      </c>
      <c r="K101" s="209">
        <f>+J101+(E101/12)</f>
        <v>2020.9166666666667</v>
      </c>
      <c r="L101" s="58">
        <v>28940.29</v>
      </c>
      <c r="M101" s="15">
        <f>L101-L101*F101</f>
        <v>28940.29</v>
      </c>
      <c r="N101" s="15">
        <f>M101/I101/12</f>
        <v>241.16908333333333</v>
      </c>
      <c r="O101" s="41">
        <f>+N101*12</f>
        <v>2894.029</v>
      </c>
      <c r="P101" s="210">
        <f>+IF(K101&lt;=$M$5,0,IF(J101&gt;$M$4,O101,(N101*E101)))</f>
        <v>2894.029</v>
      </c>
      <c r="Q101" s="210">
        <f>+IF(P101=0,M101,IF($M$3-D101&lt;1,0,(($M$3-D101)*O101)))</f>
        <v>23152.232</v>
      </c>
      <c r="R101" s="210">
        <f>+IF(P101=0,Q101,Q101+P101)</f>
        <v>26046.261</v>
      </c>
      <c r="S101" s="210">
        <f>+L101-R101</f>
        <v>2894.0290000000023</v>
      </c>
    </row>
    <row r="102" ht="12">
      <c r="L102" s="20"/>
    </row>
    <row r="103" spans="12:19" ht="12">
      <c r="L103" s="235">
        <f>SUM(L100:L102)</f>
        <v>78925.39000000001</v>
      </c>
      <c r="M103" s="235">
        <f aca="true" t="shared" si="26" ref="M103:S103">SUM(M100:M102)</f>
        <v>78925.39000000001</v>
      </c>
      <c r="N103" s="235">
        <f t="shared" si="26"/>
        <v>657.7115833333334</v>
      </c>
      <c r="O103" s="235">
        <f t="shared" si="26"/>
        <v>7892.539000000001</v>
      </c>
      <c r="P103" s="235">
        <f t="shared" si="26"/>
        <v>2894.029</v>
      </c>
      <c r="Q103" s="235">
        <f t="shared" si="26"/>
        <v>73137.33200000001</v>
      </c>
      <c r="R103" s="235">
        <f t="shared" si="26"/>
        <v>76031.361</v>
      </c>
      <c r="S103" s="235">
        <f t="shared" si="26"/>
        <v>2894.0290000000023</v>
      </c>
    </row>
    <row r="105" spans="12:19" ht="12.75" thickBot="1">
      <c r="L105" s="264">
        <f aca="true" t="shared" si="27" ref="L105:S105">+L98+L103</f>
        <v>280003.51</v>
      </c>
      <c r="M105" s="264">
        <f t="shared" si="27"/>
        <v>280003.51</v>
      </c>
      <c r="N105" s="264">
        <f t="shared" si="27"/>
        <v>2333.3625833333335</v>
      </c>
      <c r="O105" s="264">
        <f t="shared" si="27"/>
        <v>28000.351000000006</v>
      </c>
      <c r="P105" s="264">
        <f t="shared" si="27"/>
        <v>23001.841000000004</v>
      </c>
      <c r="Q105" s="264">
        <f t="shared" si="27"/>
        <v>226987.70200000005</v>
      </c>
      <c r="R105" s="264">
        <f t="shared" si="27"/>
        <v>249989.54300000003</v>
      </c>
      <c r="S105" s="264">
        <f t="shared" si="27"/>
        <v>30013.966999999997</v>
      </c>
    </row>
    <row r="106" spans="12:19" ht="13.5" thickBot="1" thickTop="1">
      <c r="L106" s="264"/>
      <c r="M106" s="264"/>
      <c r="N106" s="264"/>
      <c r="O106" s="264"/>
      <c r="P106" s="264"/>
      <c r="Q106" s="264"/>
      <c r="R106" s="264"/>
      <c r="S106" s="264"/>
    </row>
    <row r="107" spans="1:19" ht="13.5" thickBot="1" thickTop="1">
      <c r="A107" s="144"/>
      <c r="D107" s="3"/>
      <c r="E107" s="3"/>
      <c r="I107" s="3"/>
      <c r="J107" s="23"/>
      <c r="L107" s="264">
        <f>+L82+L73+L48+L90+L105</f>
        <v>1375494.52</v>
      </c>
      <c r="M107" s="264">
        <f aca="true" t="shared" si="28" ref="M107:S107">+M82+M73+M48+M90+M105</f>
        <v>1375494.52</v>
      </c>
      <c r="N107" s="264">
        <f t="shared" si="28"/>
        <v>12046.29721626984</v>
      </c>
      <c r="O107" s="264">
        <f t="shared" si="28"/>
        <v>144555.56659523808</v>
      </c>
      <c r="P107" s="264">
        <f t="shared" si="28"/>
        <v>108031.8955952381</v>
      </c>
      <c r="Q107" s="264">
        <f t="shared" si="28"/>
        <v>678063.0086666667</v>
      </c>
      <c r="R107" s="264">
        <f t="shared" si="28"/>
        <v>786094.9042619048</v>
      </c>
      <c r="S107" s="264">
        <f t="shared" si="28"/>
        <v>589399.6157380952</v>
      </c>
    </row>
    <row r="108" ht="12.75" thickTop="1"/>
    <row r="109" spans="1:19" s="7" customFormat="1" ht="12">
      <c r="A109" s="35"/>
      <c r="B109" s="36"/>
      <c r="C109" s="44"/>
      <c r="D109" s="133"/>
      <c r="E109" s="133"/>
      <c r="F109" s="85"/>
      <c r="G109" s="41"/>
      <c r="H109" s="35"/>
      <c r="I109" s="94"/>
      <c r="J109" s="39"/>
      <c r="L109" s="45"/>
      <c r="M109" s="41"/>
      <c r="N109" s="41"/>
      <c r="O109" s="41"/>
      <c r="P109" s="41"/>
      <c r="Q109" s="41"/>
      <c r="R109" s="41"/>
      <c r="S109" s="41"/>
    </row>
    <row r="110" spans="1:19" s="7" customFormat="1" ht="12">
      <c r="A110" s="35"/>
      <c r="B110" s="36"/>
      <c r="C110" s="44"/>
      <c r="D110" s="38"/>
      <c r="E110" s="38"/>
      <c r="F110" s="85"/>
      <c r="G110" s="41"/>
      <c r="H110" s="35"/>
      <c r="I110" s="38"/>
      <c r="J110" s="39"/>
      <c r="L110" s="40"/>
      <c r="M110" s="41"/>
      <c r="N110" s="41"/>
      <c r="O110" s="41"/>
      <c r="P110" s="41"/>
      <c r="Q110" s="41"/>
      <c r="R110" s="41"/>
      <c r="S110" s="41"/>
    </row>
    <row r="111" spans="1:19" s="7" customFormat="1" ht="12">
      <c r="A111" s="35"/>
      <c r="B111" s="36"/>
      <c r="C111" s="44"/>
      <c r="D111" s="38"/>
      <c r="E111" s="38"/>
      <c r="F111" s="85"/>
      <c r="G111" s="41"/>
      <c r="H111" s="35"/>
      <c r="I111" s="38"/>
      <c r="J111" s="39"/>
      <c r="L111" s="40"/>
      <c r="M111" s="41"/>
      <c r="N111" s="41"/>
      <c r="O111" s="41"/>
      <c r="P111" s="41"/>
      <c r="Q111" s="41"/>
      <c r="R111" s="41"/>
      <c r="S111" s="41"/>
    </row>
    <row r="112" spans="1:19" s="7" customFormat="1" ht="12">
      <c r="A112" s="35"/>
      <c r="B112" s="36"/>
      <c r="C112" s="44"/>
      <c r="D112" s="35"/>
      <c r="E112" s="35"/>
      <c r="F112" s="85"/>
      <c r="G112" s="41"/>
      <c r="H112" s="35"/>
      <c r="I112" s="38"/>
      <c r="J112" s="39"/>
      <c r="L112" s="40"/>
      <c r="M112" s="41"/>
      <c r="N112" s="41"/>
      <c r="O112" s="41"/>
      <c r="P112" s="41"/>
      <c r="Q112" s="41"/>
      <c r="R112" s="41"/>
      <c r="S112" s="41"/>
    </row>
    <row r="113" spans="1:19" s="7" customFormat="1" ht="12">
      <c r="A113" s="35"/>
      <c r="B113" s="36"/>
      <c r="C113" s="44"/>
      <c r="D113" s="35"/>
      <c r="E113" s="35"/>
      <c r="F113" s="85"/>
      <c r="G113" s="41"/>
      <c r="H113" s="35"/>
      <c r="I113" s="38"/>
      <c r="J113" s="39"/>
      <c r="L113" s="40"/>
      <c r="M113" s="41"/>
      <c r="N113" s="41"/>
      <c r="O113" s="41"/>
      <c r="P113" s="41"/>
      <c r="Q113" s="41"/>
      <c r="R113" s="41"/>
      <c r="S113" s="41"/>
    </row>
    <row r="114" spans="1:19" s="7" customFormat="1" ht="12">
      <c r="A114" s="35"/>
      <c r="B114" s="36"/>
      <c r="C114" s="44"/>
      <c r="D114" s="35"/>
      <c r="E114" s="35"/>
      <c r="F114" s="85"/>
      <c r="G114" s="41"/>
      <c r="H114" s="35"/>
      <c r="I114" s="38"/>
      <c r="J114" s="39"/>
      <c r="L114" s="40"/>
      <c r="M114" s="41"/>
      <c r="N114" s="41"/>
      <c r="O114" s="41"/>
      <c r="P114" s="41"/>
      <c r="Q114" s="41"/>
      <c r="R114" s="41"/>
      <c r="S114" s="41"/>
    </row>
    <row r="115" spans="1:19" s="7" customFormat="1" ht="12">
      <c r="A115" s="35"/>
      <c r="B115" s="36"/>
      <c r="C115" s="44"/>
      <c r="D115" s="35"/>
      <c r="E115" s="35"/>
      <c r="F115" s="85"/>
      <c r="G115" s="41"/>
      <c r="H115" s="35"/>
      <c r="I115" s="38"/>
      <c r="J115" s="39"/>
      <c r="L115" s="40"/>
      <c r="M115" s="41"/>
      <c r="N115" s="41"/>
      <c r="O115" s="41"/>
      <c r="P115" s="41"/>
      <c r="Q115" s="41"/>
      <c r="R115" s="41"/>
      <c r="S115" s="41"/>
    </row>
    <row r="116" spans="1:19" s="7" customFormat="1" ht="12">
      <c r="A116" s="35"/>
      <c r="B116" s="36"/>
      <c r="C116" s="44"/>
      <c r="D116" s="35"/>
      <c r="E116" s="35"/>
      <c r="F116" s="85"/>
      <c r="G116" s="41"/>
      <c r="H116" s="35"/>
      <c r="I116" s="38"/>
      <c r="J116" s="39"/>
      <c r="L116" s="67"/>
      <c r="M116" s="41"/>
      <c r="N116" s="41"/>
      <c r="O116" s="41"/>
      <c r="P116" s="41"/>
      <c r="Q116" s="41"/>
      <c r="R116" s="41"/>
      <c r="S116" s="41"/>
    </row>
    <row r="117" spans="1:19" s="7" customFormat="1" ht="12">
      <c r="A117" s="35"/>
      <c r="B117" s="36"/>
      <c r="C117" s="44"/>
      <c r="D117" s="35"/>
      <c r="E117" s="35"/>
      <c r="F117" s="85"/>
      <c r="G117" s="41"/>
      <c r="H117" s="35"/>
      <c r="I117" s="38"/>
      <c r="J117" s="39"/>
      <c r="L117" s="67"/>
      <c r="M117" s="41"/>
      <c r="N117" s="41"/>
      <c r="O117" s="41"/>
      <c r="P117" s="41"/>
      <c r="Q117" s="41"/>
      <c r="R117" s="41"/>
      <c r="S117" s="41"/>
    </row>
    <row r="118" spans="1:19" s="7" customFormat="1" ht="12">
      <c r="A118" s="35"/>
      <c r="B118" s="36"/>
      <c r="C118" s="44"/>
      <c r="D118" s="35"/>
      <c r="E118" s="35"/>
      <c r="F118" s="85"/>
      <c r="G118" s="41"/>
      <c r="H118" s="35"/>
      <c r="I118" s="38"/>
      <c r="J118" s="39"/>
      <c r="L118" s="40"/>
      <c r="M118" s="41"/>
      <c r="N118" s="41"/>
      <c r="O118" s="41"/>
      <c r="P118" s="41"/>
      <c r="Q118" s="41"/>
      <c r="R118" s="41"/>
      <c r="S118" s="41"/>
    </row>
    <row r="119" spans="1:19" s="7" customFormat="1" ht="12">
      <c r="A119" s="35"/>
      <c r="B119" s="36"/>
      <c r="C119" s="44"/>
      <c r="D119" s="35"/>
      <c r="E119" s="35"/>
      <c r="F119" s="85"/>
      <c r="G119" s="41"/>
      <c r="H119" s="35"/>
      <c r="I119" s="38"/>
      <c r="J119" s="39"/>
      <c r="L119" s="40"/>
      <c r="M119" s="41"/>
      <c r="N119" s="41"/>
      <c r="O119" s="41"/>
      <c r="P119" s="41"/>
      <c r="Q119" s="41"/>
      <c r="R119" s="41"/>
      <c r="S119" s="41"/>
    </row>
    <row r="120" spans="1:19" s="7" customFormat="1" ht="12" customHeight="1">
      <c r="A120" s="35"/>
      <c r="B120" s="36"/>
      <c r="C120" s="44"/>
      <c r="D120" s="35"/>
      <c r="E120" s="35"/>
      <c r="F120" s="85"/>
      <c r="G120" s="41"/>
      <c r="H120" s="35"/>
      <c r="I120" s="38"/>
      <c r="J120" s="39"/>
      <c r="L120" s="40"/>
      <c r="M120" s="41"/>
      <c r="N120" s="41"/>
      <c r="O120" s="41"/>
      <c r="P120" s="41"/>
      <c r="Q120" s="41"/>
      <c r="R120" s="41"/>
      <c r="S120" s="41"/>
    </row>
    <row r="121" spans="4:10" s="7" customFormat="1" ht="12">
      <c r="D121" s="35"/>
      <c r="E121" s="35"/>
      <c r="I121" s="35"/>
      <c r="J121" s="44"/>
    </row>
    <row r="122" spans="1:19" s="7" customFormat="1" ht="12">
      <c r="A122" s="35"/>
      <c r="D122" s="35"/>
      <c r="E122" s="35"/>
      <c r="F122" s="85"/>
      <c r="H122" s="35"/>
      <c r="I122" s="38"/>
      <c r="J122" s="39"/>
      <c r="L122" s="40"/>
      <c r="M122" s="41"/>
      <c r="N122" s="41"/>
      <c r="O122" s="41"/>
      <c r="P122" s="41"/>
      <c r="Q122" s="41"/>
      <c r="R122" s="41"/>
      <c r="S122" s="41"/>
    </row>
    <row r="123" spans="1:19" s="7" customFormat="1" ht="12">
      <c r="A123" s="35"/>
      <c r="C123" s="44"/>
      <c r="D123" s="35"/>
      <c r="E123" s="35"/>
      <c r="F123" s="85"/>
      <c r="H123" s="35"/>
      <c r="I123" s="38"/>
      <c r="J123" s="39"/>
      <c r="L123" s="40"/>
      <c r="M123" s="41"/>
      <c r="N123" s="41"/>
      <c r="O123" s="41"/>
      <c r="P123" s="41"/>
      <c r="Q123" s="41"/>
      <c r="R123" s="41"/>
      <c r="S123" s="41"/>
    </row>
    <row r="124" spans="1:19" s="7" customFormat="1" ht="12">
      <c r="A124" s="145"/>
      <c r="C124" s="44"/>
      <c r="D124" s="35"/>
      <c r="E124" s="35"/>
      <c r="F124" s="85"/>
      <c r="H124" s="35"/>
      <c r="I124" s="38"/>
      <c r="J124" s="39"/>
      <c r="L124" s="40"/>
      <c r="M124" s="41"/>
      <c r="N124" s="41"/>
      <c r="O124" s="41"/>
      <c r="P124" s="41"/>
      <c r="Q124" s="41"/>
      <c r="R124" s="41"/>
      <c r="S124" s="41"/>
    </row>
    <row r="125" spans="4:10" s="7" customFormat="1" ht="12">
      <c r="D125" s="35"/>
      <c r="E125" s="35"/>
      <c r="I125" s="35"/>
      <c r="J125" s="44"/>
    </row>
    <row r="126" spans="4:10" s="7" customFormat="1" ht="12">
      <c r="D126" s="35"/>
      <c r="E126" s="35"/>
      <c r="I126" s="35"/>
      <c r="J126" s="44"/>
    </row>
    <row r="127" spans="4:10" s="7" customFormat="1" ht="12">
      <c r="D127" s="35"/>
      <c r="E127" s="35"/>
      <c r="I127" s="35"/>
      <c r="J127" s="44"/>
    </row>
    <row r="128" spans="4:10" s="7" customFormat="1" ht="12">
      <c r="D128" s="35"/>
      <c r="E128" s="35"/>
      <c r="I128" s="35"/>
      <c r="J128" s="44"/>
    </row>
    <row r="129" spans="4:10" s="7" customFormat="1" ht="12">
      <c r="D129" s="35"/>
      <c r="E129" s="35"/>
      <c r="I129" s="35"/>
      <c r="J129" s="44"/>
    </row>
    <row r="130" spans="4:10" s="7" customFormat="1" ht="12">
      <c r="D130" s="35"/>
      <c r="E130" s="35"/>
      <c r="I130" s="35"/>
      <c r="J130" s="44"/>
    </row>
    <row r="131" spans="4:10" s="7" customFormat="1" ht="12">
      <c r="D131" s="35"/>
      <c r="E131" s="35"/>
      <c r="I131" s="35"/>
      <c r="J131" s="44"/>
    </row>
    <row r="132" spans="4:10" s="7" customFormat="1" ht="12">
      <c r="D132" s="35"/>
      <c r="E132" s="35"/>
      <c r="I132" s="35"/>
      <c r="J132" s="44"/>
    </row>
    <row r="133" spans="4:10" s="7" customFormat="1" ht="12">
      <c r="D133" s="35"/>
      <c r="E133" s="35"/>
      <c r="I133" s="35"/>
      <c r="J133" s="44"/>
    </row>
    <row r="134" spans="4:10" s="7" customFormat="1" ht="12">
      <c r="D134" s="35"/>
      <c r="E134" s="35"/>
      <c r="I134" s="35"/>
      <c r="J134" s="44"/>
    </row>
    <row r="135" spans="4:10" s="7" customFormat="1" ht="12">
      <c r="D135" s="35"/>
      <c r="E135" s="35"/>
      <c r="I135" s="35"/>
      <c r="J135" s="44"/>
    </row>
    <row r="136" spans="4:10" s="7" customFormat="1" ht="12">
      <c r="D136" s="35"/>
      <c r="E136" s="35"/>
      <c r="I136" s="35"/>
      <c r="J136" s="44"/>
    </row>
    <row r="137" spans="4:10" s="7" customFormat="1" ht="12">
      <c r="D137" s="35"/>
      <c r="E137" s="35"/>
      <c r="I137" s="35"/>
      <c r="J137" s="44"/>
    </row>
    <row r="138" spans="4:10" s="7" customFormat="1" ht="12">
      <c r="D138" s="35"/>
      <c r="E138" s="35"/>
      <c r="I138" s="35"/>
      <c r="J138" s="44"/>
    </row>
    <row r="139" spans="4:10" s="7" customFormat="1" ht="12">
      <c r="D139" s="35"/>
      <c r="E139" s="35"/>
      <c r="I139" s="35"/>
      <c r="J139" s="44"/>
    </row>
    <row r="140" spans="4:10" s="7" customFormat="1" ht="12">
      <c r="D140" s="35"/>
      <c r="E140" s="35"/>
      <c r="I140" s="35"/>
      <c r="J140" s="44"/>
    </row>
    <row r="141" spans="4:10" s="7" customFormat="1" ht="12">
      <c r="D141" s="35"/>
      <c r="E141" s="35"/>
      <c r="I141" s="35"/>
      <c r="J141" s="44"/>
    </row>
    <row r="142" spans="4:10" s="7" customFormat="1" ht="12">
      <c r="D142" s="35"/>
      <c r="E142" s="35"/>
      <c r="I142" s="35"/>
      <c r="J142" s="44"/>
    </row>
    <row r="143" spans="4:10" s="7" customFormat="1" ht="12">
      <c r="D143" s="35"/>
      <c r="E143" s="35"/>
      <c r="I143" s="35"/>
      <c r="J143" s="44"/>
    </row>
    <row r="144" spans="4:10" s="7" customFormat="1" ht="12">
      <c r="D144" s="35"/>
      <c r="E144" s="35"/>
      <c r="I144" s="35"/>
      <c r="J144" s="44"/>
    </row>
    <row r="145" spans="4:10" s="7" customFormat="1" ht="12">
      <c r="D145" s="35"/>
      <c r="E145" s="35"/>
      <c r="I145" s="35"/>
      <c r="J145" s="44"/>
    </row>
    <row r="146" spans="4:10" s="7" customFormat="1" ht="12">
      <c r="D146" s="35"/>
      <c r="E146" s="35"/>
      <c r="I146" s="35"/>
      <c r="J146" s="44"/>
    </row>
    <row r="147" spans="4:10" s="7" customFormat="1" ht="12">
      <c r="D147" s="35"/>
      <c r="E147" s="35"/>
      <c r="I147" s="35"/>
      <c r="J147" s="44"/>
    </row>
    <row r="148" spans="4:10" s="7" customFormat="1" ht="12">
      <c r="D148" s="35"/>
      <c r="E148" s="35"/>
      <c r="I148" s="35"/>
      <c r="J148" s="44"/>
    </row>
    <row r="149" spans="4:10" s="7" customFormat="1" ht="12">
      <c r="D149" s="35"/>
      <c r="E149" s="35"/>
      <c r="I149" s="35"/>
      <c r="J149" s="44"/>
    </row>
    <row r="150" spans="4:10" s="7" customFormat="1" ht="12">
      <c r="D150" s="35"/>
      <c r="E150" s="35"/>
      <c r="I150" s="35"/>
      <c r="J150" s="44"/>
    </row>
    <row r="151" spans="4:10" s="7" customFormat="1" ht="12">
      <c r="D151" s="35"/>
      <c r="E151" s="35"/>
      <c r="I151" s="35"/>
      <c r="J151" s="44"/>
    </row>
    <row r="152" spans="4:10" s="7" customFormat="1" ht="12">
      <c r="D152" s="35"/>
      <c r="E152" s="35"/>
      <c r="I152" s="35"/>
      <c r="J152" s="44"/>
    </row>
    <row r="153" spans="4:10" s="7" customFormat="1" ht="12">
      <c r="D153" s="35"/>
      <c r="E153" s="35"/>
      <c r="I153" s="35"/>
      <c r="J153" s="44"/>
    </row>
    <row r="154" spans="4:10" s="7" customFormat="1" ht="12">
      <c r="D154" s="35"/>
      <c r="E154" s="35"/>
      <c r="I154" s="35"/>
      <c r="J154" s="44"/>
    </row>
    <row r="155" spans="4:10" s="7" customFormat="1" ht="12">
      <c r="D155" s="35"/>
      <c r="E155" s="35"/>
      <c r="I155" s="35"/>
      <c r="J155" s="44"/>
    </row>
    <row r="156" spans="4:10" s="7" customFormat="1" ht="12">
      <c r="D156" s="35"/>
      <c r="E156" s="35"/>
      <c r="I156" s="35"/>
      <c r="J156" s="44"/>
    </row>
    <row r="157" spans="4:10" s="7" customFormat="1" ht="12">
      <c r="D157" s="35"/>
      <c r="E157" s="35"/>
      <c r="I157" s="35"/>
      <c r="J157" s="44"/>
    </row>
  </sheetData>
  <sheetProtection/>
  <autoFilter ref="A11:S108"/>
  <mergeCells count="1">
    <mergeCell ref="D9:E10"/>
  </mergeCells>
  <printOptions/>
  <pageMargins left="0.75" right="0.75" top="1" bottom="1" header="0.5" footer="0.5"/>
  <pageSetup horizontalDpi="600" verticalDpi="600" orientation="landscape" scale="54" r:id="rId3"/>
  <rowBreaks count="1" manualBreakCount="1">
    <brk id="72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X53"/>
  <sheetViews>
    <sheetView showGridLines="0" view="pageBreakPreview" zoomScale="80" zoomScaleNormal="115" zoomScaleSheetLayoutView="80" zoomScalePageLayoutView="0" workbookViewId="0" topLeftCell="A1">
      <selection activeCell="K12" sqref="K12"/>
    </sheetView>
  </sheetViews>
  <sheetFormatPr defaultColWidth="11.421875" defaultRowHeight="15" outlineLevelRow="1"/>
  <cols>
    <col min="1" max="1" width="3.8515625" style="3" customWidth="1"/>
    <col min="2" max="2" width="5.8515625" style="3" customWidth="1"/>
    <col min="3" max="3" width="8.8515625" style="132" customWidth="1"/>
    <col min="4" max="4" width="38.140625" style="3" customWidth="1"/>
    <col min="5" max="5" width="8.00390625" style="3" customWidth="1"/>
    <col min="6" max="6" width="5.7109375" style="3" customWidth="1"/>
    <col min="7" max="7" width="6.8515625" style="12" customWidth="1"/>
    <col min="8" max="8" width="7.421875" style="3" customWidth="1"/>
    <col min="9" max="9" width="6.421875" style="12" customWidth="1"/>
    <col min="10" max="10" width="9.140625" style="137" bestFit="1" customWidth="1"/>
    <col min="11" max="11" width="9.140625" style="3" bestFit="1" customWidth="1"/>
    <col min="12" max="12" width="12.7109375" style="3" bestFit="1" customWidth="1"/>
    <col min="13" max="13" width="12.7109375" style="5" bestFit="1" customWidth="1"/>
    <col min="14" max="14" width="10.00390625" style="3" customWidth="1"/>
    <col min="15" max="16" width="11.8515625" style="3" bestFit="1" customWidth="1"/>
    <col min="17" max="17" width="12.57421875" style="3" bestFit="1" customWidth="1"/>
    <col min="18" max="18" width="12.7109375" style="3" bestFit="1" customWidth="1"/>
    <col min="19" max="19" width="13.28125" style="3" bestFit="1" customWidth="1"/>
    <col min="20" max="16384" width="11.421875" style="7" customWidth="1"/>
  </cols>
  <sheetData>
    <row r="1" spans="4:14" ht="12">
      <c r="D1" s="13" t="s">
        <v>110</v>
      </c>
      <c r="M1" s="244"/>
      <c r="N1" s="15"/>
    </row>
    <row r="2" spans="4:14" ht="12">
      <c r="D2" s="13" t="s">
        <v>24</v>
      </c>
      <c r="M2" s="21">
        <f>+'2144 Trks'!N2</f>
        <v>6</v>
      </c>
      <c r="N2" s="18" t="s">
        <v>25</v>
      </c>
    </row>
    <row r="3" spans="4:14" ht="12">
      <c r="D3" s="19">
        <f>'Depr Summary'!H5</f>
        <v>43830</v>
      </c>
      <c r="M3" s="21">
        <f>+'2144 Trks'!N3</f>
        <v>2018</v>
      </c>
      <c r="N3" s="18" t="s">
        <v>297</v>
      </c>
    </row>
    <row r="4" spans="13:14" ht="12">
      <c r="M4" s="21">
        <f>+'2144 Trks'!N4</f>
        <v>2019</v>
      </c>
      <c r="N4" s="18" t="s">
        <v>35</v>
      </c>
    </row>
    <row r="5" spans="13:14" ht="12" customHeight="1">
      <c r="M5" s="262">
        <f>+'2144 Trks'!N5</f>
        <v>2020.5</v>
      </c>
      <c r="N5" s="18" t="s">
        <v>298</v>
      </c>
    </row>
    <row r="6" ht="12" customHeight="1"/>
    <row r="8" spans="2:19" ht="12">
      <c r="B8" s="15"/>
      <c r="C8" s="131"/>
      <c r="D8" s="15"/>
      <c r="E8" s="15"/>
      <c r="F8" s="15"/>
      <c r="G8" s="22"/>
      <c r="H8" s="15"/>
      <c r="I8" s="22"/>
      <c r="Q8" s="4" t="s">
        <v>0</v>
      </c>
      <c r="R8" s="4" t="s">
        <v>1</v>
      </c>
      <c r="S8" s="4"/>
    </row>
    <row r="9" spans="1:19" ht="12">
      <c r="A9" s="4"/>
      <c r="B9" s="4" t="s">
        <v>13</v>
      </c>
      <c r="C9" s="130"/>
      <c r="D9" s="24"/>
      <c r="E9" s="379" t="s">
        <v>312</v>
      </c>
      <c r="F9" s="379"/>
      <c r="G9" s="25" t="s">
        <v>5</v>
      </c>
      <c r="H9" s="4" t="s">
        <v>13</v>
      </c>
      <c r="I9" s="4"/>
      <c r="J9" s="26" t="s">
        <v>49</v>
      </c>
      <c r="K9" s="4" t="s">
        <v>293</v>
      </c>
      <c r="L9" s="4" t="s">
        <v>13</v>
      </c>
      <c r="M9" s="245" t="s">
        <v>13</v>
      </c>
      <c r="N9" s="24"/>
      <c r="O9" s="4"/>
      <c r="P9" s="4"/>
      <c r="Q9" s="4" t="s">
        <v>111</v>
      </c>
      <c r="R9" s="4" t="s">
        <v>111</v>
      </c>
      <c r="S9" s="4" t="s">
        <v>2</v>
      </c>
    </row>
    <row r="10" spans="1:19" ht="12">
      <c r="A10" s="4"/>
      <c r="B10" s="4" t="s">
        <v>112</v>
      </c>
      <c r="C10" s="130"/>
      <c r="D10" s="24" t="s">
        <v>17</v>
      </c>
      <c r="E10" s="379"/>
      <c r="F10" s="379"/>
      <c r="G10" s="25" t="s">
        <v>58</v>
      </c>
      <c r="H10" s="4" t="s">
        <v>59</v>
      </c>
      <c r="I10" s="4" t="s">
        <v>60</v>
      </c>
      <c r="J10" s="26" t="s">
        <v>61</v>
      </c>
      <c r="K10" s="4" t="s">
        <v>294</v>
      </c>
      <c r="L10" s="4" t="s">
        <v>50</v>
      </c>
      <c r="M10" s="246" t="s">
        <v>6</v>
      </c>
      <c r="N10" s="4" t="s">
        <v>63</v>
      </c>
      <c r="O10" s="4" t="s">
        <v>295</v>
      </c>
      <c r="P10" s="4" t="s">
        <v>65</v>
      </c>
      <c r="Q10" s="4" t="s">
        <v>6</v>
      </c>
      <c r="R10" s="4" t="s">
        <v>6</v>
      </c>
      <c r="S10" s="4" t="s">
        <v>9</v>
      </c>
    </row>
    <row r="11" spans="1:19" ht="12">
      <c r="A11" s="270" t="s">
        <v>73</v>
      </c>
      <c r="B11" s="270" t="s">
        <v>74</v>
      </c>
      <c r="C11" s="278" t="s">
        <v>144</v>
      </c>
      <c r="D11" s="271" t="s">
        <v>75</v>
      </c>
      <c r="E11" s="270" t="s">
        <v>49</v>
      </c>
      <c r="F11" s="270" t="s">
        <v>76</v>
      </c>
      <c r="G11" s="272" t="s">
        <v>52</v>
      </c>
      <c r="H11" s="270" t="s">
        <v>78</v>
      </c>
      <c r="I11" s="270" t="s">
        <v>79</v>
      </c>
      <c r="J11" s="274" t="s">
        <v>6</v>
      </c>
      <c r="K11" s="270" t="s">
        <v>6</v>
      </c>
      <c r="L11" s="270" t="s">
        <v>4</v>
      </c>
      <c r="M11" s="279" t="s">
        <v>4</v>
      </c>
      <c r="N11" s="270" t="s">
        <v>6</v>
      </c>
      <c r="O11" s="270" t="s">
        <v>6</v>
      </c>
      <c r="P11" s="275" t="s">
        <v>80</v>
      </c>
      <c r="Q11" s="276">
        <f>'Depr Summary'!F5</f>
        <v>43466</v>
      </c>
      <c r="R11" s="276">
        <f>+D3</f>
        <v>43830</v>
      </c>
      <c r="S11" s="277">
        <f>D3</f>
        <v>43830</v>
      </c>
    </row>
    <row r="12" spans="1:19" ht="12">
      <c r="A12" s="35"/>
      <c r="B12" s="35"/>
      <c r="C12" s="128">
        <v>88214</v>
      </c>
      <c r="D12" s="36" t="s">
        <v>157</v>
      </c>
      <c r="E12" s="36">
        <v>2011</v>
      </c>
      <c r="F12" s="36">
        <v>12</v>
      </c>
      <c r="G12" s="240">
        <v>0</v>
      </c>
      <c r="H12" s="35" t="s">
        <v>82</v>
      </c>
      <c r="I12" s="38">
        <v>7</v>
      </c>
      <c r="J12" s="94">
        <f aca="true" t="shared" si="0" ref="J12:J22">E12+I12</f>
        <v>2018</v>
      </c>
      <c r="K12" s="252">
        <f aca="true" t="shared" si="1" ref="K12:K22">+J12+(F12/12)</f>
        <v>2019</v>
      </c>
      <c r="L12" s="40">
        <v>5261.08</v>
      </c>
      <c r="M12" s="54">
        <f aca="true" t="shared" si="2" ref="M12:M22">L12-L12*G12</f>
        <v>5261.08</v>
      </c>
      <c r="N12" s="41">
        <f aca="true" t="shared" si="3" ref="N12:N22">M12/I12/12</f>
        <v>62.631904761904764</v>
      </c>
      <c r="O12" s="244">
        <f aca="true" t="shared" si="4" ref="O12:O22">+N12*12</f>
        <v>751.5828571428572</v>
      </c>
      <c r="P12" s="243">
        <f aca="true" t="shared" si="5" ref="P12:P22">+IF(K12&lt;=$M$5,0,IF(J12&gt;$M$4,O12,(N12*F12)))</f>
        <v>0</v>
      </c>
      <c r="Q12" s="243">
        <f aca="true" t="shared" si="6" ref="Q12:Q22">+IF(P12=0,M12,IF($M$3-E12&lt;1,0,(($M$3-E12)*O12)))</f>
        <v>5261.08</v>
      </c>
      <c r="R12" s="244">
        <f aca="true" t="shared" si="7" ref="R12:R22">+IF(P12=0,Q12,Q12+P12)</f>
        <v>5261.08</v>
      </c>
      <c r="S12" s="243">
        <f aca="true" t="shared" si="8" ref="S12:S22">+L12-R12</f>
        <v>0</v>
      </c>
    </row>
    <row r="13" spans="1:19" ht="12">
      <c r="A13" s="35"/>
      <c r="B13" s="35"/>
      <c r="C13" s="128">
        <v>88156</v>
      </c>
      <c r="D13" s="36" t="s">
        <v>158</v>
      </c>
      <c r="E13" s="36">
        <v>2011</v>
      </c>
      <c r="F13" s="36">
        <v>12</v>
      </c>
      <c r="G13" s="240">
        <v>0</v>
      </c>
      <c r="H13" s="35" t="s">
        <v>82</v>
      </c>
      <c r="I13" s="38">
        <v>7</v>
      </c>
      <c r="J13" s="94">
        <f t="shared" si="0"/>
        <v>2018</v>
      </c>
      <c r="K13" s="3">
        <f t="shared" si="1"/>
        <v>2019</v>
      </c>
      <c r="L13" s="40">
        <v>2771.85</v>
      </c>
      <c r="M13" s="54">
        <f t="shared" si="2"/>
        <v>2771.85</v>
      </c>
      <c r="N13" s="41">
        <f t="shared" si="3"/>
        <v>32.99821428571428</v>
      </c>
      <c r="O13" s="244">
        <f t="shared" si="4"/>
        <v>395.9785714285714</v>
      </c>
      <c r="P13" s="243">
        <f t="shared" si="5"/>
        <v>0</v>
      </c>
      <c r="Q13" s="243">
        <f t="shared" si="6"/>
        <v>2771.85</v>
      </c>
      <c r="R13" s="244">
        <f t="shared" si="7"/>
        <v>2771.85</v>
      </c>
      <c r="S13" s="243">
        <f t="shared" si="8"/>
        <v>0</v>
      </c>
    </row>
    <row r="14" spans="1:19" ht="12">
      <c r="A14" s="35"/>
      <c r="B14" s="35"/>
      <c r="C14" s="128">
        <v>80814</v>
      </c>
      <c r="D14" s="36" t="s">
        <v>159</v>
      </c>
      <c r="E14" s="36">
        <v>2011</v>
      </c>
      <c r="F14" s="36">
        <v>1</v>
      </c>
      <c r="G14" s="240">
        <v>0</v>
      </c>
      <c r="H14" s="35" t="s">
        <v>82</v>
      </c>
      <c r="I14" s="38">
        <v>5</v>
      </c>
      <c r="J14" s="94">
        <f t="shared" si="0"/>
        <v>2016</v>
      </c>
      <c r="K14" s="3">
        <f t="shared" si="1"/>
        <v>2016.0833333333333</v>
      </c>
      <c r="L14" s="40">
        <f>1583.32+5660</f>
        <v>7243.32</v>
      </c>
      <c r="M14" s="54">
        <f t="shared" si="2"/>
        <v>7243.32</v>
      </c>
      <c r="N14" s="41">
        <f t="shared" si="3"/>
        <v>120.722</v>
      </c>
      <c r="O14" s="244">
        <f t="shared" si="4"/>
        <v>1448.664</v>
      </c>
      <c r="P14" s="243">
        <f t="shared" si="5"/>
        <v>0</v>
      </c>
      <c r="Q14" s="243">
        <f t="shared" si="6"/>
        <v>7243.32</v>
      </c>
      <c r="R14" s="244">
        <f t="shared" si="7"/>
        <v>7243.32</v>
      </c>
      <c r="S14" s="243">
        <f t="shared" si="8"/>
        <v>0</v>
      </c>
    </row>
    <row r="15" spans="1:19" ht="12">
      <c r="A15" s="35"/>
      <c r="B15" s="35"/>
      <c r="C15" s="128">
        <v>127407</v>
      </c>
      <c r="D15" s="36" t="s">
        <v>228</v>
      </c>
      <c r="E15" s="36">
        <v>2015</v>
      </c>
      <c r="F15" s="36">
        <v>11</v>
      </c>
      <c r="G15" s="240">
        <v>0</v>
      </c>
      <c r="H15" s="35" t="s">
        <v>82</v>
      </c>
      <c r="I15" s="38">
        <v>10</v>
      </c>
      <c r="J15" s="94">
        <f t="shared" si="0"/>
        <v>2025</v>
      </c>
      <c r="K15" s="3">
        <f t="shared" si="1"/>
        <v>2025.9166666666667</v>
      </c>
      <c r="L15" s="40">
        <v>185053.86</v>
      </c>
      <c r="M15" s="54">
        <f t="shared" si="2"/>
        <v>185053.86</v>
      </c>
      <c r="N15" s="41">
        <f t="shared" si="3"/>
        <v>1542.1154999999999</v>
      </c>
      <c r="O15" s="244">
        <f t="shared" si="4"/>
        <v>18505.386</v>
      </c>
      <c r="P15" s="243">
        <f t="shared" si="5"/>
        <v>18505.386</v>
      </c>
      <c r="Q15" s="243">
        <f t="shared" si="6"/>
        <v>55516.157999999996</v>
      </c>
      <c r="R15" s="244">
        <f t="shared" si="7"/>
        <v>74021.544</v>
      </c>
      <c r="S15" s="243">
        <f t="shared" si="8"/>
        <v>111032.31599999999</v>
      </c>
    </row>
    <row r="16" spans="1:19" ht="12">
      <c r="A16" s="35"/>
      <c r="B16" s="35"/>
      <c r="C16" s="35">
        <v>132355</v>
      </c>
      <c r="D16" s="36" t="s">
        <v>159</v>
      </c>
      <c r="E16" s="36">
        <v>2016</v>
      </c>
      <c r="F16" s="36">
        <v>4</v>
      </c>
      <c r="G16" s="240">
        <v>0</v>
      </c>
      <c r="H16" s="35" t="s">
        <v>82</v>
      </c>
      <c r="I16" s="38">
        <v>3</v>
      </c>
      <c r="J16" s="94">
        <f t="shared" si="0"/>
        <v>2019</v>
      </c>
      <c r="K16" s="3">
        <f t="shared" si="1"/>
        <v>2019.3333333333333</v>
      </c>
      <c r="L16" s="40">
        <v>1671</v>
      </c>
      <c r="M16" s="54">
        <f t="shared" si="2"/>
        <v>1671</v>
      </c>
      <c r="N16" s="41">
        <f t="shared" si="3"/>
        <v>46.416666666666664</v>
      </c>
      <c r="O16" s="244">
        <f t="shared" si="4"/>
        <v>557</v>
      </c>
      <c r="P16" s="243">
        <f t="shared" si="5"/>
        <v>0</v>
      </c>
      <c r="Q16" s="243">
        <f t="shared" si="6"/>
        <v>1671</v>
      </c>
      <c r="R16" s="244">
        <f t="shared" si="7"/>
        <v>1671</v>
      </c>
      <c r="S16" s="243">
        <f t="shared" si="8"/>
        <v>0</v>
      </c>
    </row>
    <row r="17" spans="1:19" ht="12">
      <c r="A17" s="7"/>
      <c r="B17" s="35"/>
      <c r="C17" s="7">
        <v>171237</v>
      </c>
      <c r="D17" s="36" t="s">
        <v>235</v>
      </c>
      <c r="E17" s="7">
        <v>2016</v>
      </c>
      <c r="F17" s="7">
        <v>12</v>
      </c>
      <c r="G17" s="241">
        <v>0</v>
      </c>
      <c r="H17" s="35" t="s">
        <v>82</v>
      </c>
      <c r="I17" s="38">
        <v>10</v>
      </c>
      <c r="J17" s="39">
        <f t="shared" si="0"/>
        <v>2026</v>
      </c>
      <c r="K17" s="3">
        <f t="shared" si="1"/>
        <v>2027</v>
      </c>
      <c r="L17" s="40">
        <v>16847.41</v>
      </c>
      <c r="M17" s="54">
        <f t="shared" si="2"/>
        <v>16847.41</v>
      </c>
      <c r="N17" s="41">
        <f t="shared" si="3"/>
        <v>140.39508333333333</v>
      </c>
      <c r="O17" s="244">
        <f t="shared" si="4"/>
        <v>1684.741</v>
      </c>
      <c r="P17" s="243">
        <f t="shared" si="5"/>
        <v>1684.741</v>
      </c>
      <c r="Q17" s="243">
        <f t="shared" si="6"/>
        <v>3369.482</v>
      </c>
      <c r="R17" s="244">
        <f t="shared" si="7"/>
        <v>5054.223</v>
      </c>
      <c r="S17" s="243">
        <f t="shared" si="8"/>
        <v>11793.187</v>
      </c>
    </row>
    <row r="18" spans="1:19" ht="12">
      <c r="A18" s="7"/>
      <c r="B18" s="35"/>
      <c r="C18" s="7">
        <v>184735</v>
      </c>
      <c r="D18" s="36" t="s">
        <v>245</v>
      </c>
      <c r="E18" s="7">
        <v>2017</v>
      </c>
      <c r="F18" s="7">
        <v>7</v>
      </c>
      <c r="G18" s="241">
        <v>0</v>
      </c>
      <c r="H18" s="35" t="s">
        <v>82</v>
      </c>
      <c r="I18" s="38">
        <v>3</v>
      </c>
      <c r="J18" s="39">
        <f t="shared" si="0"/>
        <v>2020</v>
      </c>
      <c r="K18" s="7">
        <f t="shared" si="1"/>
        <v>2020.5833333333333</v>
      </c>
      <c r="L18" s="40">
        <v>4848</v>
      </c>
      <c r="M18" s="54">
        <f t="shared" si="2"/>
        <v>4848</v>
      </c>
      <c r="N18" s="41">
        <f t="shared" si="3"/>
        <v>134.66666666666666</v>
      </c>
      <c r="O18" s="54">
        <f t="shared" si="4"/>
        <v>1616</v>
      </c>
      <c r="P18" s="261">
        <f t="shared" si="5"/>
        <v>1616</v>
      </c>
      <c r="Q18" s="261">
        <f t="shared" si="6"/>
        <v>1616</v>
      </c>
      <c r="R18" s="54">
        <f t="shared" si="7"/>
        <v>3232</v>
      </c>
      <c r="S18" s="261">
        <f t="shared" si="8"/>
        <v>1616</v>
      </c>
    </row>
    <row r="19" spans="1:19" ht="12">
      <c r="A19" s="7"/>
      <c r="B19" s="35"/>
      <c r="C19" s="7">
        <v>202513</v>
      </c>
      <c r="D19" s="36" t="s">
        <v>286</v>
      </c>
      <c r="E19" s="7">
        <v>2018</v>
      </c>
      <c r="F19" s="7">
        <v>7</v>
      </c>
      <c r="G19" s="241">
        <v>0</v>
      </c>
      <c r="H19" s="35" t="s">
        <v>82</v>
      </c>
      <c r="I19" s="38">
        <v>3</v>
      </c>
      <c r="J19" s="39">
        <f t="shared" si="0"/>
        <v>2021</v>
      </c>
      <c r="K19" s="7">
        <f t="shared" si="1"/>
        <v>2021.5833333333333</v>
      </c>
      <c r="L19" s="40">
        <v>1641.36</v>
      </c>
      <c r="M19" s="54">
        <f t="shared" si="2"/>
        <v>1641.36</v>
      </c>
      <c r="N19" s="41">
        <f t="shared" si="3"/>
        <v>45.593333333333334</v>
      </c>
      <c r="O19" s="54">
        <f t="shared" si="4"/>
        <v>547.12</v>
      </c>
      <c r="P19" s="261">
        <f t="shared" si="5"/>
        <v>547.12</v>
      </c>
      <c r="Q19" s="261">
        <f t="shared" si="6"/>
        <v>0</v>
      </c>
      <c r="R19" s="54">
        <f t="shared" si="7"/>
        <v>547.12</v>
      </c>
      <c r="S19" s="261">
        <f t="shared" si="8"/>
        <v>1094.2399999999998</v>
      </c>
    </row>
    <row r="20" spans="1:19" ht="12">
      <c r="A20" s="7"/>
      <c r="B20" s="35"/>
      <c r="C20" s="7">
        <v>206447</v>
      </c>
      <c r="D20" s="36" t="s">
        <v>287</v>
      </c>
      <c r="E20" s="7">
        <v>2018</v>
      </c>
      <c r="F20" s="7">
        <v>7</v>
      </c>
      <c r="G20" s="241">
        <v>0</v>
      </c>
      <c r="H20" s="35" t="s">
        <v>82</v>
      </c>
      <c r="I20" s="38">
        <v>3</v>
      </c>
      <c r="J20" s="39">
        <f t="shared" si="0"/>
        <v>2021</v>
      </c>
      <c r="K20" s="7">
        <f t="shared" si="1"/>
        <v>2021.5833333333333</v>
      </c>
      <c r="L20" s="40">
        <v>5897</v>
      </c>
      <c r="M20" s="54">
        <f t="shared" si="2"/>
        <v>5897</v>
      </c>
      <c r="N20" s="41">
        <f t="shared" si="3"/>
        <v>163.80555555555557</v>
      </c>
      <c r="O20" s="54">
        <f t="shared" si="4"/>
        <v>1965.666666666667</v>
      </c>
      <c r="P20" s="261">
        <f t="shared" si="5"/>
        <v>1965.666666666667</v>
      </c>
      <c r="Q20" s="261">
        <f t="shared" si="6"/>
        <v>0</v>
      </c>
      <c r="R20" s="54">
        <f t="shared" si="7"/>
        <v>1965.666666666667</v>
      </c>
      <c r="S20" s="261">
        <f t="shared" si="8"/>
        <v>3931.333333333333</v>
      </c>
    </row>
    <row r="21" spans="1:19" ht="12">
      <c r="A21" s="7"/>
      <c r="B21" s="35"/>
      <c r="C21" s="7">
        <v>203974</v>
      </c>
      <c r="D21" s="36" t="s">
        <v>290</v>
      </c>
      <c r="E21" s="7">
        <v>2018</v>
      </c>
      <c r="F21" s="7">
        <v>7</v>
      </c>
      <c r="G21" s="241">
        <v>0</v>
      </c>
      <c r="H21" s="35" t="s">
        <v>82</v>
      </c>
      <c r="I21" s="38">
        <v>3</v>
      </c>
      <c r="J21" s="39">
        <f t="shared" si="0"/>
        <v>2021</v>
      </c>
      <c r="K21" s="7">
        <f t="shared" si="1"/>
        <v>2021.5833333333333</v>
      </c>
      <c r="L21" s="40">
        <v>1429</v>
      </c>
      <c r="M21" s="54">
        <f t="shared" si="2"/>
        <v>1429</v>
      </c>
      <c r="N21" s="41">
        <f t="shared" si="3"/>
        <v>39.69444444444444</v>
      </c>
      <c r="O21" s="54">
        <f t="shared" si="4"/>
        <v>476.3333333333333</v>
      </c>
      <c r="P21" s="261">
        <f t="shared" si="5"/>
        <v>476.3333333333333</v>
      </c>
      <c r="Q21" s="261">
        <f t="shared" si="6"/>
        <v>0</v>
      </c>
      <c r="R21" s="54">
        <f t="shared" si="7"/>
        <v>476.3333333333333</v>
      </c>
      <c r="S21" s="261">
        <f t="shared" si="8"/>
        <v>952.6666666666667</v>
      </c>
    </row>
    <row r="22" spans="1:19" ht="12">
      <c r="A22" s="7"/>
      <c r="B22" s="35"/>
      <c r="C22" s="7">
        <v>206229</v>
      </c>
      <c r="D22" s="36" t="s">
        <v>291</v>
      </c>
      <c r="E22" s="7">
        <v>2018</v>
      </c>
      <c r="F22" s="7">
        <v>10</v>
      </c>
      <c r="G22" s="241">
        <v>0</v>
      </c>
      <c r="H22" s="35" t="s">
        <v>82</v>
      </c>
      <c r="I22" s="38">
        <v>5</v>
      </c>
      <c r="J22" s="39">
        <f t="shared" si="0"/>
        <v>2023</v>
      </c>
      <c r="K22" s="7">
        <f t="shared" si="1"/>
        <v>2023.8333333333333</v>
      </c>
      <c r="L22" s="40">
        <v>4346.8</v>
      </c>
      <c r="M22" s="54">
        <f t="shared" si="2"/>
        <v>4346.8</v>
      </c>
      <c r="N22" s="41">
        <f t="shared" si="3"/>
        <v>72.44666666666667</v>
      </c>
      <c r="O22" s="54">
        <f t="shared" si="4"/>
        <v>869.3600000000001</v>
      </c>
      <c r="P22" s="261">
        <f t="shared" si="5"/>
        <v>869.3600000000001</v>
      </c>
      <c r="Q22" s="261">
        <f t="shared" si="6"/>
        <v>0</v>
      </c>
      <c r="R22" s="54">
        <f t="shared" si="7"/>
        <v>869.3600000000001</v>
      </c>
      <c r="S22" s="261">
        <f t="shared" si="8"/>
        <v>3477.44</v>
      </c>
    </row>
    <row r="23" spans="1:19" ht="12">
      <c r="A23" s="12"/>
      <c r="B23" s="12"/>
      <c r="C23" s="128"/>
      <c r="D23" s="126"/>
      <c r="E23" s="56"/>
      <c r="F23" s="125"/>
      <c r="G23" s="56"/>
      <c r="H23" s="12"/>
      <c r="L23" s="15"/>
      <c r="M23" s="244"/>
      <c r="N23" s="15"/>
      <c r="O23" s="244"/>
      <c r="P23" s="249"/>
      <c r="Q23" s="15"/>
      <c r="R23" s="15"/>
      <c r="S23" s="15"/>
    </row>
    <row r="24" spans="1:19" ht="12">
      <c r="A24" s="12"/>
      <c r="B24" s="12" t="s">
        <v>13</v>
      </c>
      <c r="C24" s="128"/>
      <c r="D24" s="75" t="s">
        <v>160</v>
      </c>
      <c r="E24" s="124"/>
      <c r="F24" s="24"/>
      <c r="G24" s="56"/>
      <c r="H24" s="12"/>
      <c r="I24" s="4"/>
      <c r="L24" s="234">
        <f aca="true" t="shared" si="9" ref="L24:S24">SUM(L12:L23)</f>
        <v>237010.67999999996</v>
      </c>
      <c r="M24" s="253">
        <f t="shared" si="9"/>
        <v>237010.67999999996</v>
      </c>
      <c r="N24" s="234">
        <f t="shared" si="9"/>
        <v>2401.4860357142857</v>
      </c>
      <c r="O24" s="253">
        <f t="shared" si="9"/>
        <v>28817.83242857143</v>
      </c>
      <c r="P24" s="254">
        <f t="shared" si="9"/>
        <v>25664.607</v>
      </c>
      <c r="Q24" s="234">
        <f t="shared" si="9"/>
        <v>77448.89</v>
      </c>
      <c r="R24" s="234">
        <f t="shared" si="9"/>
        <v>103113.49699999999</v>
      </c>
      <c r="S24" s="234">
        <f t="shared" si="9"/>
        <v>133897.183</v>
      </c>
    </row>
    <row r="25" spans="1:19" ht="12">
      <c r="A25" s="12"/>
      <c r="B25" s="123"/>
      <c r="C25" s="122"/>
      <c r="D25" s="35"/>
      <c r="E25" s="56"/>
      <c r="F25" s="12"/>
      <c r="G25" s="56"/>
      <c r="H25" s="12"/>
      <c r="L25" s="22"/>
      <c r="M25" s="244"/>
      <c r="N25" s="15"/>
      <c r="O25" s="244"/>
      <c r="P25" s="249"/>
      <c r="Q25" s="15"/>
      <c r="R25" s="15"/>
      <c r="S25" s="15"/>
    </row>
    <row r="26" spans="1:19" ht="12">
      <c r="A26" s="12"/>
      <c r="B26" s="12"/>
      <c r="C26" s="128"/>
      <c r="D26" s="324" t="s">
        <v>16</v>
      </c>
      <c r="E26" s="56"/>
      <c r="F26" s="12"/>
      <c r="G26" s="56"/>
      <c r="H26" s="12"/>
      <c r="L26" s="22"/>
      <c r="M26" s="244"/>
      <c r="N26" s="15"/>
      <c r="O26" s="244"/>
      <c r="P26" s="249"/>
      <c r="Q26" s="15"/>
      <c r="R26" s="15"/>
      <c r="S26" s="15"/>
    </row>
    <row r="27" spans="1:19" ht="12">
      <c r="A27" s="12"/>
      <c r="B27" s="121" t="s">
        <v>13</v>
      </c>
      <c r="C27" s="120"/>
      <c r="D27" s="36" t="s">
        <v>161</v>
      </c>
      <c r="E27" s="55">
        <v>1985</v>
      </c>
      <c r="F27" s="55">
        <v>10</v>
      </c>
      <c r="G27" s="239">
        <v>0</v>
      </c>
      <c r="H27" s="12" t="s">
        <v>82</v>
      </c>
      <c r="I27" s="57">
        <v>5</v>
      </c>
      <c r="J27" s="326">
        <f>E27+I27</f>
        <v>1990</v>
      </c>
      <c r="K27" s="372">
        <f>+J27+(F27/12)</f>
        <v>1990.8333333333333</v>
      </c>
      <c r="L27" s="327">
        <v>1200</v>
      </c>
      <c r="M27" s="243">
        <f>L27-L27*G27</f>
        <v>1200</v>
      </c>
      <c r="N27" s="243">
        <f>M27/I27/12</f>
        <v>20</v>
      </c>
      <c r="O27" s="243">
        <f>+N27*12</f>
        <v>240</v>
      </c>
      <c r="P27" s="243">
        <f>+IF(K27&lt;=$M$5,0,IF(J27&gt;$M$4,O27,(N27*F27)))</f>
        <v>0</v>
      </c>
      <c r="Q27" s="243">
        <f>+IF(P27=0,M27,IF($M$3-E27&lt;1,0,(($M$3-E27)*O27)))</f>
        <v>1200</v>
      </c>
      <c r="R27" s="243">
        <f>+IF(P27=0,Q27,Q27+P27)</f>
        <v>1200</v>
      </c>
      <c r="S27" s="243">
        <f>+L27-R27</f>
        <v>0</v>
      </c>
    </row>
    <row r="28" spans="1:21" ht="12">
      <c r="A28" s="7"/>
      <c r="B28" s="35" t="s">
        <v>92</v>
      </c>
      <c r="C28" s="35"/>
      <c r="D28" s="36" t="s">
        <v>344</v>
      </c>
      <c r="E28" s="36">
        <v>2006</v>
      </c>
      <c r="F28" s="36">
        <v>11</v>
      </c>
      <c r="G28" s="241">
        <v>0</v>
      </c>
      <c r="H28" s="12" t="s">
        <v>82</v>
      </c>
      <c r="I28" s="35">
        <v>5</v>
      </c>
      <c r="J28" s="326">
        <f>E28+I28</f>
        <v>2011</v>
      </c>
      <c r="K28" s="372">
        <f>+J28+(F28/12)</f>
        <v>2011.9166666666667</v>
      </c>
      <c r="L28" s="328">
        <f>'2144 Trks Orig'!$P$17</f>
        <v>9875.8</v>
      </c>
      <c r="M28" s="261">
        <f>L28-L28*G28</f>
        <v>9875.8</v>
      </c>
      <c r="N28" s="261">
        <f>M28/I28/12</f>
        <v>164.59666666666666</v>
      </c>
      <c r="O28" s="261">
        <f>+N28*12</f>
        <v>1975.1599999999999</v>
      </c>
      <c r="P28" s="261">
        <f>+IF(K28&lt;=$M$5,0,IF(J28&gt;$M$4,O28,(N28*F28)))</f>
        <v>0</v>
      </c>
      <c r="Q28" s="261">
        <f>+IF(P28=0,M28,IF($M$3-E28&lt;1,0,(($M$3-E28)*O28)))</f>
        <v>9875.8</v>
      </c>
      <c r="R28" s="261">
        <f>+IF(P28=0,Q28,Q28+P28)</f>
        <v>9875.8</v>
      </c>
      <c r="S28" s="261">
        <f>+L28-R28</f>
        <v>0</v>
      </c>
      <c r="T28" s="41"/>
      <c r="U28" s="210"/>
    </row>
    <row r="29" spans="1:21" ht="12">
      <c r="A29" s="213"/>
      <c r="B29" s="214"/>
      <c r="C29" s="213"/>
      <c r="D29" s="215" t="s">
        <v>302</v>
      </c>
      <c r="E29" s="213">
        <v>2018</v>
      </c>
      <c r="F29" s="213">
        <v>1</v>
      </c>
      <c r="G29" s="325">
        <v>0</v>
      </c>
      <c r="H29" s="214" t="s">
        <v>82</v>
      </c>
      <c r="I29" s="214">
        <v>3</v>
      </c>
      <c r="J29" s="329">
        <f>E29+I29</f>
        <v>2021</v>
      </c>
      <c r="K29" s="373">
        <f>+J29+(F29/12)</f>
        <v>2021.0833333333333</v>
      </c>
      <c r="L29" s="329">
        <f>'2144 Trks Orig'!$N$17-'2144 Shop,Serv'!$L$28</f>
        <v>4864.200000000001</v>
      </c>
      <c r="M29" s="329">
        <f>L29-L29*G29</f>
        <v>4864.200000000001</v>
      </c>
      <c r="N29" s="329">
        <f>M29/I29/12</f>
        <v>135.1166666666667</v>
      </c>
      <c r="O29" s="329">
        <f>+N29*12</f>
        <v>1621.4000000000005</v>
      </c>
      <c r="P29" s="329">
        <f>+IF(K29&lt;=$M$5,0,IF(J29&gt;$M$4,O29,(N29*F29)))</f>
        <v>1621.4000000000005</v>
      </c>
      <c r="Q29" s="329">
        <f>+IF(P29=0,M29,IF($M$3-E29&lt;1,0,(($M$3-E29)*O29)))</f>
        <v>0</v>
      </c>
      <c r="R29" s="329">
        <f>+IF(P29=0,Q29,Q29+P29)</f>
        <v>1621.4000000000005</v>
      </c>
      <c r="S29" s="329">
        <f>+L29-R29</f>
        <v>3242.8</v>
      </c>
      <c r="T29" s="220"/>
      <c r="U29" s="221"/>
    </row>
    <row r="30" spans="1:19" ht="12">
      <c r="A30" s="7"/>
      <c r="B30" s="7"/>
      <c r="C30" s="7">
        <v>200969</v>
      </c>
      <c r="D30" s="7" t="s">
        <v>283</v>
      </c>
      <c r="E30" s="7">
        <v>2018</v>
      </c>
      <c r="F30" s="7">
        <v>7</v>
      </c>
      <c r="G30" s="240">
        <v>0</v>
      </c>
      <c r="H30" s="12" t="s">
        <v>82</v>
      </c>
      <c r="I30" s="35">
        <v>5</v>
      </c>
      <c r="J30" s="330">
        <f>E30+I30</f>
        <v>2023</v>
      </c>
      <c r="K30" s="374">
        <f>+J30+(F30/12)</f>
        <v>2023.5833333333333</v>
      </c>
      <c r="L30" s="258">
        <v>33555.67</v>
      </c>
      <c r="M30" s="261">
        <f>L30-L30*G30</f>
        <v>33555.67</v>
      </c>
      <c r="N30" s="261">
        <f>M30/I30/12</f>
        <v>559.2611666666667</v>
      </c>
      <c r="O30" s="261">
        <f>+N30*12</f>
        <v>6711.134</v>
      </c>
      <c r="P30" s="261">
        <f>+IF(K30&lt;=$M$5,0,IF(J30&gt;$M$4,O30,(N30*F30)))</f>
        <v>6711.134</v>
      </c>
      <c r="Q30" s="261">
        <f>+IF(P30=0,M30,IF($M$3-E30&lt;1,0,(($M$3-E30)*O30)))</f>
        <v>0</v>
      </c>
      <c r="R30" s="261">
        <f>+IF(P30=0,Q30,Q30+P30)</f>
        <v>6711.134</v>
      </c>
      <c r="S30" s="261">
        <f>+L30-R30</f>
        <v>26844.536</v>
      </c>
    </row>
    <row r="31" spans="1:19" ht="12">
      <c r="A31" s="7"/>
      <c r="B31" s="7"/>
      <c r="C31" s="7">
        <v>225692</v>
      </c>
      <c r="D31" s="7" t="s">
        <v>334</v>
      </c>
      <c r="E31" s="7">
        <v>2019</v>
      </c>
      <c r="F31" s="7">
        <v>12</v>
      </c>
      <c r="G31" s="240">
        <v>0</v>
      </c>
      <c r="H31" s="35" t="s">
        <v>82</v>
      </c>
      <c r="I31" s="35">
        <v>5</v>
      </c>
      <c r="J31" s="330">
        <f>E31+I31</f>
        <v>2024</v>
      </c>
      <c r="K31" s="374">
        <f>+J31+(F31/12)</f>
        <v>2025</v>
      </c>
      <c r="L31" s="258">
        <v>74322.06</v>
      </c>
      <c r="M31" s="261">
        <f>L31-L31*G31</f>
        <v>74322.06</v>
      </c>
      <c r="N31" s="261">
        <f>M31/I31/12</f>
        <v>1238.701</v>
      </c>
      <c r="O31" s="261">
        <f>+N31*12</f>
        <v>14864.412</v>
      </c>
      <c r="P31" s="261">
        <f>+IF(K31&lt;=$M$5,0,IF(J31&gt;$M$4,O31,(N31*F31)))</f>
        <v>14864.412</v>
      </c>
      <c r="Q31" s="261">
        <f>+IF(P31=0,M31,IF($M$3-E31&lt;1,0,(($M$3-E31)*O31)))</f>
        <v>0</v>
      </c>
      <c r="R31" s="261">
        <f>+IF(P31=0,Q31,Q31+P31)</f>
        <v>14864.412</v>
      </c>
      <c r="S31" s="261">
        <f>+L31-R31</f>
        <v>59457.648</v>
      </c>
    </row>
    <row r="32" spans="1:24" s="213" customFormat="1" ht="12">
      <c r="A32" s="351"/>
      <c r="B32" s="214"/>
      <c r="C32" s="214"/>
      <c r="D32" s="213" t="s">
        <v>370</v>
      </c>
      <c r="G32" s="216"/>
      <c r="I32" s="214"/>
      <c r="J32" s="217"/>
      <c r="K32" s="217"/>
      <c r="L32" s="218"/>
      <c r="M32" s="219"/>
      <c r="N32" s="220"/>
      <c r="O32" s="220"/>
      <c r="P32" s="256">
        <f>+P53</f>
        <v>2292.4</v>
      </c>
      <c r="Q32" s="221"/>
      <c r="R32" s="220"/>
      <c r="S32" s="221"/>
      <c r="T32" s="220"/>
      <c r="U32" s="221"/>
      <c r="V32" s="307"/>
      <c r="W32" s="257">
        <f>Q32*V32</f>
        <v>0</v>
      </c>
      <c r="X32" s="257">
        <f>U32*V32</f>
        <v>0</v>
      </c>
    </row>
    <row r="33" spans="1:19" ht="12">
      <c r="A33" s="128"/>
      <c r="B33" s="128"/>
      <c r="C33" s="128"/>
      <c r="D33" s="36"/>
      <c r="E33" s="119"/>
      <c r="F33" s="119"/>
      <c r="G33" s="118"/>
      <c r="H33" s="128"/>
      <c r="I33" s="117"/>
      <c r="J33" s="116"/>
      <c r="K33" s="132"/>
      <c r="L33" s="115"/>
      <c r="M33" s="247"/>
      <c r="N33" s="131"/>
      <c r="O33" s="247"/>
      <c r="P33" s="250"/>
      <c r="Q33" s="131"/>
      <c r="R33" s="131"/>
      <c r="S33" s="131"/>
    </row>
    <row r="34" spans="1:19" ht="12">
      <c r="A34" s="12"/>
      <c r="B34" s="12"/>
      <c r="C34" s="128"/>
      <c r="D34" s="60" t="s">
        <v>164</v>
      </c>
      <c r="G34" s="56"/>
      <c r="H34" s="12"/>
      <c r="L34" s="234">
        <f aca="true" t="shared" si="10" ref="L34:S34">SUM(L27:L33)</f>
        <v>123817.73</v>
      </c>
      <c r="M34" s="253">
        <f t="shared" si="10"/>
        <v>123817.73</v>
      </c>
      <c r="N34" s="234">
        <f t="shared" si="10"/>
        <v>2117.6755000000003</v>
      </c>
      <c r="O34" s="253">
        <f t="shared" si="10"/>
        <v>25412.106</v>
      </c>
      <c r="P34" s="254">
        <f t="shared" si="10"/>
        <v>25489.346</v>
      </c>
      <c r="Q34" s="234">
        <f t="shared" si="10"/>
        <v>11075.8</v>
      </c>
      <c r="R34" s="234">
        <f t="shared" si="10"/>
        <v>34272.746</v>
      </c>
      <c r="S34" s="234">
        <f t="shared" si="10"/>
        <v>89544.984</v>
      </c>
    </row>
    <row r="35" spans="1:19" ht="12">
      <c r="A35" s="12"/>
      <c r="B35" s="12"/>
      <c r="C35" s="128"/>
      <c r="D35" s="60" t="s">
        <v>13</v>
      </c>
      <c r="E35" s="1"/>
      <c r="F35" s="1"/>
      <c r="G35" s="56"/>
      <c r="H35" s="12"/>
      <c r="L35" s="18"/>
      <c r="M35" s="244"/>
      <c r="N35" s="15"/>
      <c r="O35" s="244"/>
      <c r="P35" s="249"/>
      <c r="Q35" s="15"/>
      <c r="R35" s="15"/>
      <c r="S35" s="15"/>
    </row>
    <row r="36" spans="1:19" s="242" customFormat="1" ht="12">
      <c r="A36" s="151"/>
      <c r="B36" s="151"/>
      <c r="C36" s="152"/>
      <c r="D36" s="178" t="s">
        <v>321</v>
      </c>
      <c r="E36" s="55"/>
      <c r="F36" s="55"/>
      <c r="G36" s="155"/>
      <c r="H36" s="151"/>
      <c r="I36" s="151"/>
      <c r="J36" s="156"/>
      <c r="K36" s="153"/>
      <c r="L36" s="157"/>
      <c r="M36" s="248"/>
      <c r="N36" s="157"/>
      <c r="O36" s="248"/>
      <c r="P36" s="251"/>
      <c r="Q36" s="157"/>
      <c r="R36" s="157"/>
      <c r="S36" s="157"/>
    </row>
    <row r="37" spans="1:19" s="242" customFormat="1" ht="12">
      <c r="A37" s="151"/>
      <c r="B37" s="151"/>
      <c r="C37" s="152">
        <v>50710</v>
      </c>
      <c r="D37" s="36" t="s">
        <v>171</v>
      </c>
      <c r="E37" s="55">
        <v>2007</v>
      </c>
      <c r="F37" s="55">
        <v>7</v>
      </c>
      <c r="G37" s="154">
        <v>0</v>
      </c>
      <c r="H37" s="12" t="s">
        <v>82</v>
      </c>
      <c r="I37" s="57">
        <v>7</v>
      </c>
      <c r="J37" s="137">
        <f>E37+I37</f>
        <v>2014</v>
      </c>
      <c r="K37" s="3">
        <f>+J37+(F37/12)</f>
        <v>2014.5833333333333</v>
      </c>
      <c r="L37" s="58">
        <f>+'2144 Shop,Serv Orig'!P53</f>
        <v>17026.712</v>
      </c>
      <c r="M37" s="244">
        <f>L37-L37*G37</f>
        <v>17026.712</v>
      </c>
      <c r="N37" s="15">
        <f>M37/I37/12</f>
        <v>202.6989523809524</v>
      </c>
      <c r="O37" s="244">
        <f>+N37*12</f>
        <v>2432.3874285714287</v>
      </c>
      <c r="P37" s="243">
        <f>+IF(K37&lt;=$M$5,0,IF(J37&gt;$M$4,O37,(N37*F37)))</f>
        <v>0</v>
      </c>
      <c r="Q37" s="243">
        <f>+IF(P37=0,M37,IF($M$3-E37&lt;1,0,(($M$3-E37)*O37)))</f>
        <v>17026.712</v>
      </c>
      <c r="R37" s="244">
        <f>+IF(P37=0,Q37,Q37+P37)</f>
        <v>17026.712</v>
      </c>
      <c r="S37" s="243">
        <f>+L37-R37</f>
        <v>0</v>
      </c>
    </row>
    <row r="38" spans="1:19" s="242" customFormat="1" ht="12">
      <c r="A38" s="159"/>
      <c r="B38" s="159"/>
      <c r="C38" s="159" t="s">
        <v>292</v>
      </c>
      <c r="D38" s="36" t="s">
        <v>288</v>
      </c>
      <c r="E38" s="36">
        <v>2018</v>
      </c>
      <c r="F38" s="36">
        <v>10</v>
      </c>
      <c r="G38" s="104">
        <v>0</v>
      </c>
      <c r="H38" s="35" t="s">
        <v>82</v>
      </c>
      <c r="I38" s="38">
        <v>3</v>
      </c>
      <c r="J38" s="94">
        <f>E38+I38</f>
        <v>2021</v>
      </c>
      <c r="K38" s="7">
        <f>+J38+(F38/12)</f>
        <v>2021.8333333333333</v>
      </c>
      <c r="L38" s="40">
        <f>2594.13+2594.13+2594.13+2594.13+4323.54+4323.54+3458.83+6917.67+10376.5+46694.25+2460.74</f>
        <v>88931.59000000001</v>
      </c>
      <c r="M38" s="54">
        <f>L38-L38*G38</f>
        <v>88931.59000000001</v>
      </c>
      <c r="N38" s="41">
        <f>M38/I38/12</f>
        <v>2470.321944444445</v>
      </c>
      <c r="O38" s="54">
        <f>+N38*12</f>
        <v>29643.86333333334</v>
      </c>
      <c r="P38" s="261">
        <f>+IF(K38&lt;=$M$5,0,IF(J38&gt;$M$4,O38,(N38*F38)))</f>
        <v>29643.86333333334</v>
      </c>
      <c r="Q38" s="261">
        <f>+IF(P38=0,M38,IF($M$3-E38&lt;1,0,(($M$3-E38)*O38)))</f>
        <v>0</v>
      </c>
      <c r="R38" s="54">
        <f>+IF(P38=0,Q38,Q38+P38)</f>
        <v>29643.86333333334</v>
      </c>
      <c r="S38" s="261">
        <f>+L38-R38</f>
        <v>59287.72666666667</v>
      </c>
    </row>
    <row r="39" s="242" customFormat="1" ht="12">
      <c r="G39" s="159"/>
    </row>
    <row r="40" spans="7:19" s="242" customFormat="1" ht="12.75" thickBot="1">
      <c r="G40" s="159"/>
      <c r="L40" s="265">
        <f>SUM(L37:L39)</f>
        <v>105958.30200000001</v>
      </c>
      <c r="M40" s="265">
        <f aca="true" t="shared" si="11" ref="M40:S40">SUM(M37:M39)</f>
        <v>105958.30200000001</v>
      </c>
      <c r="N40" s="265">
        <f t="shared" si="11"/>
        <v>2673.0208968253974</v>
      </c>
      <c r="O40" s="265">
        <f t="shared" si="11"/>
        <v>32076.25076190477</v>
      </c>
      <c r="P40" s="265">
        <f t="shared" si="11"/>
        <v>29643.86333333334</v>
      </c>
      <c r="Q40" s="265">
        <f t="shared" si="11"/>
        <v>17026.712</v>
      </c>
      <c r="R40" s="265">
        <f t="shared" si="11"/>
        <v>46670.57533333334</v>
      </c>
      <c r="S40" s="265">
        <f t="shared" si="11"/>
        <v>59287.72666666667</v>
      </c>
    </row>
    <row r="41" spans="1:19" ht="12.75" thickTop="1">
      <c r="A41" s="12"/>
      <c r="B41" s="12"/>
      <c r="C41" s="128"/>
      <c r="D41" s="1"/>
      <c r="E41" s="1"/>
      <c r="F41" s="1"/>
      <c r="G41" s="56"/>
      <c r="H41" s="12"/>
      <c r="L41" s="141"/>
      <c r="M41" s="244"/>
      <c r="N41" s="15"/>
      <c r="O41" s="244"/>
      <c r="P41" s="249"/>
      <c r="Q41" s="15"/>
      <c r="R41" s="15"/>
      <c r="S41" s="15"/>
    </row>
    <row r="42" spans="1:19" s="242" customFormat="1" ht="12">
      <c r="A42" s="151"/>
      <c r="B42" s="151"/>
      <c r="C42" s="152"/>
      <c r="D42" s="55"/>
      <c r="E42" s="55"/>
      <c r="F42" s="55"/>
      <c r="G42" s="155"/>
      <c r="H42" s="151"/>
      <c r="I42" s="151"/>
      <c r="J42" s="156"/>
      <c r="K42" s="153"/>
      <c r="L42" s="141"/>
      <c r="M42" s="17"/>
      <c r="N42" s="141"/>
      <c r="O42" s="17"/>
      <c r="P42" s="260"/>
      <c r="Q42" s="141"/>
      <c r="R42" s="141"/>
      <c r="S42" s="141"/>
    </row>
    <row r="43" spans="1:19" s="242" customFormat="1" ht="12.75" thickBot="1">
      <c r="A43" s="151"/>
      <c r="B43" s="151"/>
      <c r="C43" s="152"/>
      <c r="D43" s="55"/>
      <c r="E43" s="55"/>
      <c r="F43" s="55"/>
      <c r="G43" s="155"/>
      <c r="H43" s="151"/>
      <c r="I43" s="151"/>
      <c r="J43" s="156"/>
      <c r="K43" s="153"/>
      <c r="L43" s="265">
        <f>L34+L24+L40</f>
        <v>466786.712</v>
      </c>
      <c r="M43" s="265">
        <f aca="true" t="shared" si="12" ref="M43:S43">M34+M24+M40</f>
        <v>466786.712</v>
      </c>
      <c r="N43" s="265">
        <f t="shared" si="12"/>
        <v>7192.182432539683</v>
      </c>
      <c r="O43" s="265">
        <f t="shared" si="12"/>
        <v>86306.1891904762</v>
      </c>
      <c r="P43" s="265">
        <f t="shared" si="12"/>
        <v>80797.81633333334</v>
      </c>
      <c r="Q43" s="265">
        <f t="shared" si="12"/>
        <v>105551.402</v>
      </c>
      <c r="R43" s="265">
        <f t="shared" si="12"/>
        <v>184056.81833333333</v>
      </c>
      <c r="S43" s="265">
        <f t="shared" si="12"/>
        <v>282729.89366666664</v>
      </c>
    </row>
    <row r="44" spans="1:19" s="242" customFormat="1" ht="12.75" thickTop="1">
      <c r="A44" s="151"/>
      <c r="B44" s="151"/>
      <c r="C44" s="152"/>
      <c r="D44" s="55"/>
      <c r="E44" s="55"/>
      <c r="F44" s="55"/>
      <c r="G44" s="155"/>
      <c r="H44" s="151"/>
      <c r="I44" s="151"/>
      <c r="J44" s="156"/>
      <c r="K44" s="153"/>
      <c r="L44" s="141"/>
      <c r="M44" s="17"/>
      <c r="N44" s="141"/>
      <c r="O44" s="17"/>
      <c r="P44" s="260"/>
      <c r="Q44" s="141"/>
      <c r="R44" s="141"/>
      <c r="S44" s="141"/>
    </row>
    <row r="45" spans="1:19" ht="12">
      <c r="A45" s="12"/>
      <c r="B45" s="12"/>
      <c r="C45" s="128"/>
      <c r="D45" s="1"/>
      <c r="E45" s="1"/>
      <c r="F45" s="1"/>
      <c r="G45" s="56"/>
      <c r="H45" s="12"/>
      <c r="L45" s="141"/>
      <c r="M45" s="244"/>
      <c r="N45" s="15"/>
      <c r="O45" s="244"/>
      <c r="P45" s="249"/>
      <c r="Q45" s="15"/>
      <c r="R45" s="15"/>
      <c r="S45" s="15"/>
    </row>
    <row r="46" spans="1:19" ht="12">
      <c r="A46" s="12"/>
      <c r="B46" s="12"/>
      <c r="C46" s="128"/>
      <c r="D46" s="1"/>
      <c r="E46" s="1"/>
      <c r="F46" s="1"/>
      <c r="G46" s="56"/>
      <c r="H46" s="12"/>
      <c r="L46" s="141"/>
      <c r="M46" s="244"/>
      <c r="N46" s="15"/>
      <c r="O46" s="244"/>
      <c r="P46" s="249"/>
      <c r="Q46" s="15"/>
      <c r="R46" s="15"/>
      <c r="S46" s="15"/>
    </row>
    <row r="47" spans="1:19" ht="12">
      <c r="A47" s="12"/>
      <c r="B47" s="12"/>
      <c r="C47" s="128"/>
      <c r="D47" s="1"/>
      <c r="E47" s="1"/>
      <c r="F47" s="1"/>
      <c r="G47" s="56"/>
      <c r="H47" s="12"/>
      <c r="L47" s="141"/>
      <c r="M47" s="244"/>
      <c r="N47" s="15"/>
      <c r="O47" s="244"/>
      <c r="P47" s="249"/>
      <c r="Q47" s="15"/>
      <c r="R47" s="15"/>
      <c r="S47" s="15"/>
    </row>
    <row r="48" spans="1:19" ht="12">
      <c r="A48" s="12"/>
      <c r="B48" s="12"/>
      <c r="C48" s="128"/>
      <c r="D48" s="1"/>
      <c r="E48" s="1"/>
      <c r="F48" s="1"/>
      <c r="G48" s="56"/>
      <c r="H48" s="12"/>
      <c r="L48" s="141"/>
      <c r="M48" s="244"/>
      <c r="N48" s="15"/>
      <c r="O48" s="244"/>
      <c r="P48" s="249"/>
      <c r="Q48" s="15"/>
      <c r="R48" s="15"/>
      <c r="S48" s="15"/>
    </row>
    <row r="49" spans="1:19" ht="12">
      <c r="A49" s="12"/>
      <c r="B49" s="12"/>
      <c r="C49" s="128"/>
      <c r="D49" s="1"/>
      <c r="E49" s="1"/>
      <c r="F49" s="1"/>
      <c r="G49" s="56"/>
      <c r="H49" s="12"/>
      <c r="L49" s="141"/>
      <c r="M49" s="244"/>
      <c r="N49" s="15"/>
      <c r="O49" s="244"/>
      <c r="P49" s="249"/>
      <c r="Q49" s="15"/>
      <c r="R49" s="15"/>
      <c r="S49" s="15"/>
    </row>
    <row r="51" ht="12" hidden="1" outlineLevel="1">
      <c r="D51" s="134" t="s">
        <v>330</v>
      </c>
    </row>
    <row r="52" spans="1:19" ht="12" hidden="1" outlineLevel="1">
      <c r="A52" s="35"/>
      <c r="B52" s="35"/>
      <c r="C52" s="128"/>
      <c r="D52" s="36" t="s">
        <v>162</v>
      </c>
      <c r="E52" s="36">
        <v>2000</v>
      </c>
      <c r="F52" s="36">
        <v>6</v>
      </c>
      <c r="G52" s="37">
        <v>0</v>
      </c>
      <c r="H52" s="35" t="s">
        <v>82</v>
      </c>
      <c r="I52" s="38">
        <v>5</v>
      </c>
      <c r="J52" s="94">
        <f>E52+I52</f>
        <v>2005</v>
      </c>
      <c r="K52" s="3">
        <f>+J52+(F52/12)</f>
        <v>2005.5</v>
      </c>
      <c r="L52" s="40">
        <f>+'2144 Shop,Serv Orig'!P42</f>
        <v>13962.8</v>
      </c>
      <c r="M52" s="54">
        <f>L52-L52*G52</f>
        <v>13962.8</v>
      </c>
      <c r="N52" s="41">
        <f>M52/I52/12</f>
        <v>232.71333333333334</v>
      </c>
      <c r="O52" s="244">
        <f>+N52*12</f>
        <v>2792.56</v>
      </c>
      <c r="P52" s="243">
        <f>+IF(K52&lt;=$M$5,0,IF(J52&gt;$M$4,O52,(N52*F52)))</f>
        <v>0</v>
      </c>
      <c r="Q52" s="243">
        <f>+IF(P52=0,M52,IF($M$3-E52&lt;1,0,(($M$3-E52)*O52)))</f>
        <v>13962.8</v>
      </c>
      <c r="R52" s="244">
        <f>+IF(P52=0,Q52,Q52+P52)</f>
        <v>13962.8</v>
      </c>
      <c r="S52" s="243">
        <f>+L52-R52</f>
        <v>0</v>
      </c>
    </row>
    <row r="53" spans="1:19" ht="12" hidden="1" outlineLevel="1">
      <c r="A53" s="213"/>
      <c r="B53" s="214"/>
      <c r="C53" s="213"/>
      <c r="D53" s="215" t="s">
        <v>313</v>
      </c>
      <c r="E53" s="213">
        <v>2018</v>
      </c>
      <c r="F53" s="213">
        <v>1</v>
      </c>
      <c r="G53" s="216">
        <v>0</v>
      </c>
      <c r="H53" s="213" t="s">
        <v>82</v>
      </c>
      <c r="I53" s="214">
        <f>+IF(J52-$M$3&gt;=3,J52-$M$3,3)</f>
        <v>3</v>
      </c>
      <c r="J53" s="217">
        <f>E53+I53</f>
        <v>2021</v>
      </c>
      <c r="K53" s="213">
        <f>+J53+(F53/12)</f>
        <v>2021.0833333333333</v>
      </c>
      <c r="L53" s="218">
        <f>+'2144 Shop,Serv Orig'!N42-'2144 Shop,Serv'!L52</f>
        <v>6877.200000000001</v>
      </c>
      <c r="M53" s="256">
        <f>L53-L53*G53</f>
        <v>6877.200000000001</v>
      </c>
      <c r="N53" s="220">
        <f>M53/I53/12</f>
        <v>191.03333333333333</v>
      </c>
      <c r="O53" s="256">
        <f>+N53*12</f>
        <v>2292.4</v>
      </c>
      <c r="P53" s="257">
        <f>+IF(K53&lt;=$M$5,0,IF(J53&gt;$M$4,O53,(N53*F53)))</f>
        <v>2292.4</v>
      </c>
      <c r="Q53" s="257">
        <f>+IF(P53=0,M53,IF($M$3-E53&lt;1,0,(($M$3-E53)*O53)))</f>
        <v>0</v>
      </c>
      <c r="R53" s="256">
        <f>+IF(P53=0,Q53,Q53+P53)</f>
        <v>2292.4</v>
      </c>
      <c r="S53" s="257">
        <f>+L53-R53</f>
        <v>4584.800000000001</v>
      </c>
    </row>
    <row r="54" ht="12" hidden="1" outlineLevel="1"/>
    <row r="55" ht="12" hidden="1" outlineLevel="1"/>
    <row r="56" ht="12" collapsed="1"/>
  </sheetData>
  <sheetProtection/>
  <mergeCells count="1">
    <mergeCell ref="E9:F10"/>
  </mergeCells>
  <printOptions/>
  <pageMargins left="0.75" right="0.75" top="1" bottom="1" header="0.5" footer="0.5"/>
  <pageSetup horizontalDpi="600" verticalDpi="600" orientation="landscape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T39"/>
  <sheetViews>
    <sheetView showGridLines="0" view="pageBreakPreview" zoomScale="80" zoomScaleSheetLayoutView="80" zoomScalePageLayoutView="0" workbookViewId="0" topLeftCell="A1">
      <selection activeCell="K12" sqref="K12"/>
    </sheetView>
  </sheetViews>
  <sheetFormatPr defaultColWidth="11.421875" defaultRowHeight="15"/>
  <cols>
    <col min="1" max="2" width="4.00390625" style="3" customWidth="1"/>
    <col min="3" max="3" width="8.421875" style="3" customWidth="1"/>
    <col min="4" max="4" width="24.7109375" style="3" customWidth="1"/>
    <col min="5" max="5" width="9.28125" style="3" customWidth="1"/>
    <col min="6" max="6" width="5.00390625" style="3" customWidth="1"/>
    <col min="7" max="7" width="8.00390625" style="3" customWidth="1"/>
    <col min="8" max="8" width="1.28515625" style="3" customWidth="1"/>
    <col min="9" max="9" width="8.140625" style="3" customWidth="1"/>
    <col min="10" max="10" width="6.28125" style="12" customWidth="1"/>
    <col min="11" max="11" width="10.00390625" style="14" customWidth="1"/>
    <col min="12" max="12" width="11.421875" style="3" customWidth="1"/>
    <col min="13" max="13" width="10.421875" style="3" bestFit="1" customWidth="1"/>
    <col min="14" max="14" width="10.421875" style="3" customWidth="1"/>
    <col min="15" max="15" width="8.8515625" style="3" customWidth="1"/>
    <col min="16" max="16" width="9.421875" style="3" bestFit="1" customWidth="1"/>
    <col min="17" max="17" width="10.28125" style="3" customWidth="1"/>
    <col min="18" max="19" width="10.421875" style="3" bestFit="1" customWidth="1"/>
    <col min="20" max="20" width="10.00390625" style="3" bestFit="1" customWidth="1"/>
    <col min="21" max="16384" width="11.421875" style="3" customWidth="1"/>
  </cols>
  <sheetData>
    <row r="1" spans="4:15" ht="12">
      <c r="D1" s="13" t="s">
        <v>110</v>
      </c>
      <c r="K1" s="137"/>
      <c r="N1" s="15"/>
      <c r="O1" s="15"/>
    </row>
    <row r="2" spans="4:15" ht="12">
      <c r="D2" s="13" t="s">
        <v>24</v>
      </c>
      <c r="K2" s="137"/>
      <c r="N2" s="17">
        <f>+'2144 Trks'!N2</f>
        <v>6</v>
      </c>
      <c r="O2" s="18" t="s">
        <v>25</v>
      </c>
    </row>
    <row r="3" spans="4:15" ht="12">
      <c r="D3" s="19">
        <f>'Depr Summary'!H5</f>
        <v>43830</v>
      </c>
      <c r="K3" s="137"/>
      <c r="N3" s="17">
        <f>+'2144 Trks'!N3</f>
        <v>2018</v>
      </c>
      <c r="O3" s="18" t="s">
        <v>27</v>
      </c>
    </row>
    <row r="4" spans="11:15" ht="12">
      <c r="K4" s="137"/>
      <c r="N4" s="21">
        <f>'2144 Trks'!N4</f>
        <v>2019</v>
      </c>
      <c r="O4" s="18" t="s">
        <v>30</v>
      </c>
    </row>
    <row r="5" spans="11:15" ht="12">
      <c r="K5" s="137"/>
      <c r="N5" s="262">
        <f>'2144 Trks'!N5</f>
        <v>2020.5</v>
      </c>
      <c r="O5" s="18" t="s">
        <v>35</v>
      </c>
    </row>
    <row r="6" ht="12">
      <c r="K6" s="137"/>
    </row>
    <row r="7" ht="12">
      <c r="K7" s="137"/>
    </row>
    <row r="8" spans="2:20" ht="12">
      <c r="B8" s="15"/>
      <c r="C8" s="15"/>
      <c r="D8" s="15"/>
      <c r="E8" s="15"/>
      <c r="F8" s="15"/>
      <c r="G8" s="15"/>
      <c r="H8" s="15"/>
      <c r="I8" s="15"/>
      <c r="J8" s="22"/>
      <c r="K8" s="137"/>
      <c r="R8" s="4" t="s">
        <v>0</v>
      </c>
      <c r="S8" s="4" t="s">
        <v>1</v>
      </c>
      <c r="T8" s="4"/>
    </row>
    <row r="9" spans="1:20" ht="12">
      <c r="A9" s="4"/>
      <c r="B9" s="4" t="s">
        <v>13</v>
      </c>
      <c r="C9" s="4"/>
      <c r="D9" s="24"/>
      <c r="E9" s="4" t="s">
        <v>48</v>
      </c>
      <c r="F9" s="4"/>
      <c r="G9" s="25" t="s">
        <v>5</v>
      </c>
      <c r="H9" s="15"/>
      <c r="I9" s="4" t="s">
        <v>13</v>
      </c>
      <c r="J9" s="4"/>
      <c r="K9" s="26" t="s">
        <v>49</v>
      </c>
      <c r="L9" s="4" t="s">
        <v>293</v>
      </c>
      <c r="M9" s="4" t="s">
        <v>13</v>
      </c>
      <c r="N9" s="24" t="s">
        <v>13</v>
      </c>
      <c r="O9" s="24"/>
      <c r="P9" s="4"/>
      <c r="Q9" s="4"/>
      <c r="R9" s="4" t="s">
        <v>111</v>
      </c>
      <c r="S9" s="4" t="s">
        <v>111</v>
      </c>
      <c r="T9" s="4" t="s">
        <v>2</v>
      </c>
    </row>
    <row r="10" spans="1:20" ht="12">
      <c r="A10" s="4"/>
      <c r="B10" s="4"/>
      <c r="C10" s="4"/>
      <c r="D10" s="24" t="s">
        <v>172</v>
      </c>
      <c r="E10" s="4" t="s">
        <v>57</v>
      </c>
      <c r="F10" s="4"/>
      <c r="G10" s="25" t="s">
        <v>58</v>
      </c>
      <c r="H10" s="15"/>
      <c r="I10" s="4" t="s">
        <v>59</v>
      </c>
      <c r="J10" s="4" t="s">
        <v>60</v>
      </c>
      <c r="K10" s="26" t="s">
        <v>61</v>
      </c>
      <c r="L10" s="4" t="s">
        <v>294</v>
      </c>
      <c r="M10" s="4" t="s">
        <v>50</v>
      </c>
      <c r="N10" s="4" t="s">
        <v>6</v>
      </c>
      <c r="O10" s="4" t="s">
        <v>63</v>
      </c>
      <c r="P10" s="4" t="s">
        <v>295</v>
      </c>
      <c r="Q10" s="4" t="s">
        <v>65</v>
      </c>
      <c r="R10" s="4" t="s">
        <v>6</v>
      </c>
      <c r="S10" s="4" t="s">
        <v>6</v>
      </c>
      <c r="T10" s="4" t="s">
        <v>9</v>
      </c>
    </row>
    <row r="11" spans="1:20" ht="12">
      <c r="A11" s="270" t="s">
        <v>73</v>
      </c>
      <c r="B11" s="270" t="s">
        <v>74</v>
      </c>
      <c r="C11" s="270" t="s">
        <v>144</v>
      </c>
      <c r="D11" s="271" t="s">
        <v>75</v>
      </c>
      <c r="E11" s="270" t="s">
        <v>49</v>
      </c>
      <c r="F11" s="270" t="s">
        <v>76</v>
      </c>
      <c r="G11" s="272" t="s">
        <v>52</v>
      </c>
      <c r="H11" s="273" t="s">
        <v>77</v>
      </c>
      <c r="I11" s="270" t="s">
        <v>78</v>
      </c>
      <c r="J11" s="270" t="s">
        <v>79</v>
      </c>
      <c r="K11" s="274" t="s">
        <v>6</v>
      </c>
      <c r="L11" s="270" t="s">
        <v>6</v>
      </c>
      <c r="M11" s="270" t="s">
        <v>4</v>
      </c>
      <c r="N11" s="270" t="s">
        <v>4</v>
      </c>
      <c r="O11" s="270" t="s">
        <v>6</v>
      </c>
      <c r="P11" s="270" t="s">
        <v>6</v>
      </c>
      <c r="Q11" s="275" t="s">
        <v>80</v>
      </c>
      <c r="R11" s="276">
        <f>'Depr Summary'!F5</f>
        <v>43466</v>
      </c>
      <c r="S11" s="276">
        <f>+D3</f>
        <v>43830</v>
      </c>
      <c r="T11" s="277">
        <f>D3</f>
        <v>43830</v>
      </c>
    </row>
    <row r="12" spans="1:20" ht="12">
      <c r="A12" s="169"/>
      <c r="C12" s="3">
        <v>99654</v>
      </c>
      <c r="D12" s="44" t="s">
        <v>203</v>
      </c>
      <c r="E12" s="55">
        <v>2012</v>
      </c>
      <c r="F12" s="55">
        <v>12</v>
      </c>
      <c r="G12" s="239">
        <v>0</v>
      </c>
      <c r="H12" s="15"/>
      <c r="I12" s="12" t="s">
        <v>82</v>
      </c>
      <c r="J12" s="55">
        <v>7</v>
      </c>
      <c r="K12" s="137">
        <f aca="true" t="shared" si="0" ref="K12:K18">E12+J12</f>
        <v>2019</v>
      </c>
      <c r="L12" s="252">
        <f aca="true" t="shared" si="1" ref="L12:L18">+K12+(F12/12)</f>
        <v>2020</v>
      </c>
      <c r="M12" s="58">
        <f>5923.01+1122.77+3401.02+295.89+317.11+198.19</f>
        <v>11257.990000000002</v>
      </c>
      <c r="N12" s="244">
        <f aca="true" t="shared" si="2" ref="N12:N17">M12-M12*G12</f>
        <v>11257.990000000002</v>
      </c>
      <c r="O12" s="244">
        <f aca="true" t="shared" si="3" ref="O12:O17">N12/J12/12</f>
        <v>134.0236904761905</v>
      </c>
      <c r="P12" s="244">
        <f aca="true" t="shared" si="4" ref="P12:P17">+O12*12</f>
        <v>1608.284285714286</v>
      </c>
      <c r="Q12" s="243">
        <f aca="true" t="shared" si="5" ref="Q12:Q17">+IF(L12&lt;=$N$5,0,IF(K12&gt;$N$4,P12,(O12*F12)))</f>
        <v>0</v>
      </c>
      <c r="R12" s="244">
        <f aca="true" t="shared" si="6" ref="R12:R17">+IF(Q12=0,N12,IF($N$3-E12&lt;1,0,(($N$3-E12)*P12)))</f>
        <v>11257.990000000002</v>
      </c>
      <c r="S12" s="244">
        <f aca="true" t="shared" si="7" ref="S12:S17">+IF(Q12=0,R12,R12+Q12)</f>
        <v>11257.990000000002</v>
      </c>
      <c r="T12" s="243">
        <f aca="true" t="shared" si="8" ref="T12:T17">+M12-S12</f>
        <v>0</v>
      </c>
    </row>
    <row r="13" spans="1:20" ht="12">
      <c r="A13" s="169"/>
      <c r="C13" s="3">
        <v>99654</v>
      </c>
      <c r="D13" s="44" t="s">
        <v>204</v>
      </c>
      <c r="E13" s="55">
        <v>2012</v>
      </c>
      <c r="F13" s="55">
        <v>12</v>
      </c>
      <c r="G13" s="239">
        <v>0</v>
      </c>
      <c r="H13" s="15"/>
      <c r="I13" s="12" t="s">
        <v>82</v>
      </c>
      <c r="J13" s="55">
        <v>5</v>
      </c>
      <c r="K13" s="137">
        <f t="shared" si="0"/>
        <v>2017</v>
      </c>
      <c r="L13" s="252">
        <f t="shared" si="1"/>
        <v>2018</v>
      </c>
      <c r="M13" s="58">
        <v>648.75</v>
      </c>
      <c r="N13" s="244">
        <f t="shared" si="2"/>
        <v>648.75</v>
      </c>
      <c r="O13" s="244">
        <f t="shared" si="3"/>
        <v>10.8125</v>
      </c>
      <c r="P13" s="244">
        <f t="shared" si="4"/>
        <v>129.75</v>
      </c>
      <c r="Q13" s="243">
        <f t="shared" si="5"/>
        <v>0</v>
      </c>
      <c r="R13" s="244">
        <f t="shared" si="6"/>
        <v>648.75</v>
      </c>
      <c r="S13" s="244">
        <f t="shared" si="7"/>
        <v>648.75</v>
      </c>
      <c r="T13" s="243">
        <f t="shared" si="8"/>
        <v>0</v>
      </c>
    </row>
    <row r="14" spans="1:20" ht="12">
      <c r="A14" s="169"/>
      <c r="C14" s="3">
        <v>109830</v>
      </c>
      <c r="D14" s="44" t="s">
        <v>215</v>
      </c>
      <c r="E14" s="55">
        <v>2013</v>
      </c>
      <c r="F14" s="55">
        <v>12</v>
      </c>
      <c r="G14" s="239">
        <v>0</v>
      </c>
      <c r="H14" s="15"/>
      <c r="I14" s="12" t="s">
        <v>82</v>
      </c>
      <c r="J14" s="55">
        <v>7</v>
      </c>
      <c r="K14" s="137">
        <f t="shared" si="0"/>
        <v>2020</v>
      </c>
      <c r="L14" s="252">
        <f t="shared" si="1"/>
        <v>2021</v>
      </c>
      <c r="M14" s="58">
        <v>829.87</v>
      </c>
      <c r="N14" s="244">
        <f t="shared" si="2"/>
        <v>829.87</v>
      </c>
      <c r="O14" s="244">
        <f t="shared" si="3"/>
        <v>9.879404761904762</v>
      </c>
      <c r="P14" s="244">
        <f t="shared" si="4"/>
        <v>118.55285714285715</v>
      </c>
      <c r="Q14" s="243">
        <f t="shared" si="5"/>
        <v>118.55285714285715</v>
      </c>
      <c r="R14" s="244">
        <f t="shared" si="6"/>
        <v>592.7642857142857</v>
      </c>
      <c r="S14" s="244">
        <f t="shared" si="7"/>
        <v>711.3171428571429</v>
      </c>
      <c r="T14" s="243">
        <f t="shared" si="8"/>
        <v>118.55285714285708</v>
      </c>
    </row>
    <row r="15" spans="1:20" ht="12">
      <c r="A15" s="169"/>
      <c r="C15" s="3">
        <v>116945</v>
      </c>
      <c r="D15" s="44" t="s">
        <v>219</v>
      </c>
      <c r="E15" s="55">
        <v>2014</v>
      </c>
      <c r="F15" s="55">
        <v>4</v>
      </c>
      <c r="G15" s="239">
        <v>0</v>
      </c>
      <c r="H15" s="15"/>
      <c r="I15" s="12" t="s">
        <v>82</v>
      </c>
      <c r="J15" s="55">
        <v>5</v>
      </c>
      <c r="K15" s="137">
        <f t="shared" si="0"/>
        <v>2019</v>
      </c>
      <c r="L15" s="252">
        <f t="shared" si="1"/>
        <v>2019.3333333333333</v>
      </c>
      <c r="M15" s="58">
        <v>666.17</v>
      </c>
      <c r="N15" s="244">
        <f t="shared" si="2"/>
        <v>666.17</v>
      </c>
      <c r="O15" s="244">
        <f t="shared" si="3"/>
        <v>11.102833333333331</v>
      </c>
      <c r="P15" s="244">
        <f t="shared" si="4"/>
        <v>133.23399999999998</v>
      </c>
      <c r="Q15" s="243">
        <f t="shared" si="5"/>
        <v>0</v>
      </c>
      <c r="R15" s="244">
        <f t="shared" si="6"/>
        <v>666.17</v>
      </c>
      <c r="S15" s="244">
        <f t="shared" si="7"/>
        <v>666.17</v>
      </c>
      <c r="T15" s="243">
        <f t="shared" si="8"/>
        <v>0</v>
      </c>
    </row>
    <row r="16" spans="1:20" ht="12">
      <c r="A16" s="169"/>
      <c r="C16" s="3">
        <v>122701</v>
      </c>
      <c r="D16" s="44" t="s">
        <v>219</v>
      </c>
      <c r="E16" s="55">
        <v>2015</v>
      </c>
      <c r="F16" s="55">
        <v>4</v>
      </c>
      <c r="G16" s="239">
        <v>0</v>
      </c>
      <c r="H16" s="15"/>
      <c r="I16" s="12" t="s">
        <v>82</v>
      </c>
      <c r="J16" s="55">
        <v>5</v>
      </c>
      <c r="K16" s="137">
        <f t="shared" si="0"/>
        <v>2020</v>
      </c>
      <c r="L16" s="252">
        <f t="shared" si="1"/>
        <v>2020.3333333333333</v>
      </c>
      <c r="M16" s="58">
        <v>650</v>
      </c>
      <c r="N16" s="244">
        <f t="shared" si="2"/>
        <v>650</v>
      </c>
      <c r="O16" s="244">
        <f t="shared" si="3"/>
        <v>10.833333333333334</v>
      </c>
      <c r="P16" s="244">
        <f t="shared" si="4"/>
        <v>130</v>
      </c>
      <c r="Q16" s="243">
        <f t="shared" si="5"/>
        <v>0</v>
      </c>
      <c r="R16" s="244">
        <f t="shared" si="6"/>
        <v>650</v>
      </c>
      <c r="S16" s="244">
        <f t="shared" si="7"/>
        <v>650</v>
      </c>
      <c r="T16" s="243">
        <f t="shared" si="8"/>
        <v>0</v>
      </c>
    </row>
    <row r="17" spans="1:20" ht="12">
      <c r="A17" s="169"/>
      <c r="C17" s="7">
        <v>165804</v>
      </c>
      <c r="D17" s="44" t="s">
        <v>231</v>
      </c>
      <c r="E17" s="55">
        <v>2016</v>
      </c>
      <c r="F17" s="55">
        <v>7</v>
      </c>
      <c r="G17" s="239">
        <v>0</v>
      </c>
      <c r="H17" s="15"/>
      <c r="I17" s="12" t="s">
        <v>82</v>
      </c>
      <c r="J17" s="55">
        <v>3</v>
      </c>
      <c r="K17" s="137">
        <f t="shared" si="0"/>
        <v>2019</v>
      </c>
      <c r="L17" s="252">
        <f t="shared" si="1"/>
        <v>2019.5833333333333</v>
      </c>
      <c r="M17" s="58">
        <v>1089.57</v>
      </c>
      <c r="N17" s="244">
        <f t="shared" si="2"/>
        <v>1089.57</v>
      </c>
      <c r="O17" s="244">
        <f t="shared" si="3"/>
        <v>30.265833333333333</v>
      </c>
      <c r="P17" s="244">
        <f t="shared" si="4"/>
        <v>363.19</v>
      </c>
      <c r="Q17" s="243">
        <f t="shared" si="5"/>
        <v>0</v>
      </c>
      <c r="R17" s="244">
        <f t="shared" si="6"/>
        <v>1089.57</v>
      </c>
      <c r="S17" s="244">
        <f t="shared" si="7"/>
        <v>1089.57</v>
      </c>
      <c r="T17" s="243">
        <f t="shared" si="8"/>
        <v>0</v>
      </c>
    </row>
    <row r="18" spans="1:20" s="242" customFormat="1" ht="12">
      <c r="A18" s="159"/>
      <c r="B18" s="159"/>
      <c r="C18" s="159"/>
      <c r="D18" s="36" t="s">
        <v>289</v>
      </c>
      <c r="E18" s="36">
        <v>2018</v>
      </c>
      <c r="F18" s="36">
        <v>7</v>
      </c>
      <c r="G18" s="104">
        <v>0</v>
      </c>
      <c r="H18" s="35" t="s">
        <v>82</v>
      </c>
      <c r="I18" s="12" t="s">
        <v>82</v>
      </c>
      <c r="J18" s="94">
        <v>3</v>
      </c>
      <c r="K18" s="137">
        <f t="shared" si="0"/>
        <v>2021</v>
      </c>
      <c r="L18" s="252">
        <f t="shared" si="1"/>
        <v>2021.5833333333333</v>
      </c>
      <c r="M18" s="54">
        <v>768.37</v>
      </c>
      <c r="N18" s="244">
        <f>M18-M18*G18</f>
        <v>768.37</v>
      </c>
      <c r="O18" s="244">
        <f>N18/J18/12</f>
        <v>21.343611111111112</v>
      </c>
      <c r="P18" s="244">
        <f>+O18*12</f>
        <v>256.12333333333333</v>
      </c>
      <c r="Q18" s="243">
        <f>+IF(L18&lt;=$N$5,0,IF(K18&gt;$N$4,P18,(O18*F18)))</f>
        <v>256.12333333333333</v>
      </c>
      <c r="R18" s="244">
        <f>+IF(Q18=0,N18,IF($N$3-E18&lt;1,0,(($N$3-E18)*P18)))</f>
        <v>0</v>
      </c>
      <c r="S18" s="244">
        <f>+IF(Q18=0,R18,R18+Q18)</f>
        <v>256.12333333333333</v>
      </c>
      <c r="T18" s="243">
        <f>+M18-S18</f>
        <v>512.2466666666667</v>
      </c>
    </row>
    <row r="19" spans="1:20" ht="12">
      <c r="A19" s="169"/>
      <c r="D19" s="44"/>
      <c r="E19" s="55"/>
      <c r="F19" s="55"/>
      <c r="G19" s="56"/>
      <c r="H19" s="15"/>
      <c r="I19" s="12"/>
      <c r="J19" s="55"/>
      <c r="K19" s="137"/>
      <c r="L19" s="252"/>
      <c r="M19" s="58"/>
      <c r="N19" s="15"/>
      <c r="O19" s="15"/>
      <c r="P19" s="15"/>
      <c r="Q19" s="15"/>
      <c r="R19" s="15"/>
      <c r="S19" s="15"/>
      <c r="T19" s="15"/>
    </row>
    <row r="20" spans="1:20" ht="12">
      <c r="A20" s="169"/>
      <c r="B20" s="12"/>
      <c r="C20" s="12"/>
      <c r="D20" s="172" t="s">
        <v>183</v>
      </c>
      <c r="E20" s="137"/>
      <c r="F20" s="137"/>
      <c r="G20" s="56"/>
      <c r="H20" s="15"/>
      <c r="I20" s="12"/>
      <c r="J20" s="137"/>
      <c r="K20" s="137"/>
      <c r="M20" s="323">
        <f aca="true" t="shared" si="9" ref="M20:T20">SUM(M12:M19)</f>
        <v>15910.720000000003</v>
      </c>
      <c r="N20" s="323">
        <f t="shared" si="9"/>
        <v>15910.720000000003</v>
      </c>
      <c r="O20" s="323">
        <f t="shared" si="9"/>
        <v>228.26120634920636</v>
      </c>
      <c r="P20" s="323">
        <f t="shared" si="9"/>
        <v>2739.1344761904766</v>
      </c>
      <c r="Q20" s="323">
        <f t="shared" si="9"/>
        <v>374.67619047619047</v>
      </c>
      <c r="R20" s="323">
        <f t="shared" si="9"/>
        <v>14905.244285714287</v>
      </c>
      <c r="S20" s="323">
        <f t="shared" si="9"/>
        <v>15279.920476190477</v>
      </c>
      <c r="T20" s="323">
        <f t="shared" si="9"/>
        <v>630.7995238095237</v>
      </c>
    </row>
    <row r="21" spans="1:20" ht="12">
      <c r="A21" s="169"/>
      <c r="D21" s="174"/>
      <c r="E21" s="175"/>
      <c r="F21" s="175"/>
      <c r="G21" s="56"/>
      <c r="H21" s="15"/>
      <c r="I21" s="12"/>
      <c r="J21" s="137"/>
      <c r="K21" s="137"/>
      <c r="M21" s="169"/>
      <c r="N21" s="15"/>
      <c r="O21" s="15"/>
      <c r="P21" s="15"/>
      <c r="Q21" s="15"/>
      <c r="R21" s="15"/>
      <c r="S21" s="15"/>
      <c r="T21" s="15"/>
    </row>
    <row r="22" spans="1:20" ht="12">
      <c r="A22" s="169"/>
      <c r="D22" s="176"/>
      <c r="E22" s="175"/>
      <c r="F22" s="175"/>
      <c r="J22" s="137"/>
      <c r="M22" s="173"/>
      <c r="N22" s="173"/>
      <c r="O22" s="173"/>
      <c r="P22" s="173"/>
      <c r="Q22" s="173"/>
      <c r="T22" s="173"/>
    </row>
    <row r="23" spans="1:20" ht="12">
      <c r="A23" s="169"/>
      <c r="D23" s="60" t="s">
        <v>184</v>
      </c>
      <c r="J23" s="137"/>
      <c r="M23" s="173"/>
      <c r="N23" s="173"/>
      <c r="O23" s="173"/>
      <c r="P23" s="173"/>
      <c r="Q23" s="173"/>
      <c r="R23" s="173"/>
      <c r="S23" s="173"/>
      <c r="T23" s="173"/>
    </row>
    <row r="24" spans="2:20" ht="12">
      <c r="B24" s="55"/>
      <c r="C24" s="55">
        <v>13319</v>
      </c>
      <c r="D24" s="36" t="s">
        <v>194</v>
      </c>
      <c r="E24" s="55">
        <v>1987</v>
      </c>
      <c r="F24" s="55">
        <v>7</v>
      </c>
      <c r="G24" s="239">
        <v>0</v>
      </c>
      <c r="H24" s="15"/>
      <c r="I24" s="12" t="s">
        <v>82</v>
      </c>
      <c r="J24" s="55">
        <v>10</v>
      </c>
      <c r="K24" s="137">
        <f aca="true" t="shared" si="10" ref="K24:K32">E24+J24</f>
        <v>1997</v>
      </c>
      <c r="L24" s="252">
        <f aca="true" t="shared" si="11" ref="L24:L32">+K24+(F24/12)</f>
        <v>1997.5833333333333</v>
      </c>
      <c r="M24" s="58">
        <v>3196</v>
      </c>
      <c r="N24" s="244">
        <f aca="true" t="shared" si="12" ref="N24:N32">M24-M24*G24</f>
        <v>3196</v>
      </c>
      <c r="O24" s="244">
        <f aca="true" t="shared" si="13" ref="O24:O32">N24/J24/12</f>
        <v>26.633333333333336</v>
      </c>
      <c r="P24" s="244">
        <f aca="true" t="shared" si="14" ref="P24:P32">+O24*12</f>
        <v>319.6</v>
      </c>
      <c r="Q24" s="255">
        <f aca="true" t="shared" si="15" ref="Q24:Q32">+IF(L24&lt;=$N$5,0,IF(K24&gt;$N$4,P24,(O24*F24)))</f>
        <v>0</v>
      </c>
      <c r="R24" s="244">
        <f aca="true" t="shared" si="16" ref="R24:R32">+IF(Q24=0,N24,IF($N$3-E24&lt;1,0,(($N$3-E24)*P24)))</f>
        <v>3196</v>
      </c>
      <c r="S24" s="244">
        <f aca="true" t="shared" si="17" ref="S24:S32">+IF(Q24=0,R24,R24+Q24)</f>
        <v>3196</v>
      </c>
      <c r="T24" s="243">
        <f aca="true" t="shared" si="18" ref="T24:T32">+M24-S24</f>
        <v>0</v>
      </c>
    </row>
    <row r="25" spans="2:20" ht="12">
      <c r="B25" s="55"/>
      <c r="C25" s="55">
        <v>13320</v>
      </c>
      <c r="D25" s="36" t="s">
        <v>192</v>
      </c>
      <c r="E25" s="55">
        <v>1990</v>
      </c>
      <c r="F25" s="55">
        <v>1</v>
      </c>
      <c r="G25" s="239">
        <v>0</v>
      </c>
      <c r="H25" s="15"/>
      <c r="I25" s="12" t="s">
        <v>82</v>
      </c>
      <c r="J25" s="55">
        <v>5</v>
      </c>
      <c r="K25" s="137">
        <f t="shared" si="10"/>
        <v>1995</v>
      </c>
      <c r="L25" s="252">
        <f t="shared" si="11"/>
        <v>1995.0833333333333</v>
      </c>
      <c r="M25" s="58">
        <v>1634</v>
      </c>
      <c r="N25" s="244">
        <f t="shared" si="12"/>
        <v>1634</v>
      </c>
      <c r="O25" s="244">
        <f t="shared" si="13"/>
        <v>27.233333333333334</v>
      </c>
      <c r="P25" s="244">
        <f t="shared" si="14"/>
        <v>326.8</v>
      </c>
      <c r="Q25" s="255">
        <f t="shared" si="15"/>
        <v>0</v>
      </c>
      <c r="R25" s="244">
        <f t="shared" si="16"/>
        <v>1634</v>
      </c>
      <c r="S25" s="244">
        <f t="shared" si="17"/>
        <v>1634</v>
      </c>
      <c r="T25" s="243">
        <f t="shared" si="18"/>
        <v>0</v>
      </c>
    </row>
    <row r="26" spans="2:20" ht="12">
      <c r="B26" s="55"/>
      <c r="C26" s="55">
        <v>13321</v>
      </c>
      <c r="D26" s="36" t="s">
        <v>195</v>
      </c>
      <c r="E26" s="55">
        <v>1990</v>
      </c>
      <c r="F26" s="55">
        <v>2</v>
      </c>
      <c r="G26" s="239">
        <v>0</v>
      </c>
      <c r="H26" s="15"/>
      <c r="I26" s="12" t="s">
        <v>82</v>
      </c>
      <c r="J26" s="55">
        <v>5</v>
      </c>
      <c r="K26" s="137">
        <f t="shared" si="10"/>
        <v>1995</v>
      </c>
      <c r="L26" s="252">
        <f t="shared" si="11"/>
        <v>1995.1666666666667</v>
      </c>
      <c r="M26" s="58">
        <v>3584</v>
      </c>
      <c r="N26" s="244">
        <f t="shared" si="12"/>
        <v>3584</v>
      </c>
      <c r="O26" s="244">
        <f t="shared" si="13"/>
        <v>59.73333333333333</v>
      </c>
      <c r="P26" s="244">
        <f t="shared" si="14"/>
        <v>716.8</v>
      </c>
      <c r="Q26" s="255">
        <f t="shared" si="15"/>
        <v>0</v>
      </c>
      <c r="R26" s="244">
        <f t="shared" si="16"/>
        <v>3584</v>
      </c>
      <c r="S26" s="244">
        <f t="shared" si="17"/>
        <v>3584</v>
      </c>
      <c r="T26" s="243">
        <f t="shared" si="18"/>
        <v>0</v>
      </c>
    </row>
    <row r="27" spans="2:20" ht="12">
      <c r="B27" s="55"/>
      <c r="C27" s="55">
        <v>13322</v>
      </c>
      <c r="D27" s="36" t="s">
        <v>196</v>
      </c>
      <c r="E27" s="55">
        <v>1994</v>
      </c>
      <c r="F27" s="55">
        <v>6</v>
      </c>
      <c r="G27" s="239">
        <v>0</v>
      </c>
      <c r="H27" s="15"/>
      <c r="I27" s="12" t="s">
        <v>82</v>
      </c>
      <c r="J27" s="55">
        <v>10</v>
      </c>
      <c r="K27" s="137">
        <f t="shared" si="10"/>
        <v>2004</v>
      </c>
      <c r="L27" s="252">
        <f t="shared" si="11"/>
        <v>2004.5</v>
      </c>
      <c r="M27" s="58">
        <v>17570</v>
      </c>
      <c r="N27" s="244">
        <f t="shared" si="12"/>
        <v>17570</v>
      </c>
      <c r="O27" s="244">
        <f t="shared" si="13"/>
        <v>146.41666666666666</v>
      </c>
      <c r="P27" s="244">
        <f t="shared" si="14"/>
        <v>1757</v>
      </c>
      <c r="Q27" s="255">
        <f t="shared" si="15"/>
        <v>0</v>
      </c>
      <c r="R27" s="244">
        <f t="shared" si="16"/>
        <v>17570</v>
      </c>
      <c r="S27" s="244">
        <f t="shared" si="17"/>
        <v>17570</v>
      </c>
      <c r="T27" s="243">
        <f t="shared" si="18"/>
        <v>0</v>
      </c>
    </row>
    <row r="28" spans="2:20" ht="12">
      <c r="B28" s="55"/>
      <c r="C28" s="55">
        <v>13323</v>
      </c>
      <c r="D28" s="36" t="s">
        <v>197</v>
      </c>
      <c r="E28" s="55">
        <v>1997</v>
      </c>
      <c r="F28" s="55">
        <v>12</v>
      </c>
      <c r="G28" s="239">
        <v>0</v>
      </c>
      <c r="H28" s="15"/>
      <c r="I28" s="12" t="s">
        <v>82</v>
      </c>
      <c r="J28" s="55">
        <v>5</v>
      </c>
      <c r="K28" s="137">
        <f t="shared" si="10"/>
        <v>2002</v>
      </c>
      <c r="L28" s="252">
        <f t="shared" si="11"/>
        <v>2003</v>
      </c>
      <c r="M28" s="58">
        <v>7102</v>
      </c>
      <c r="N28" s="244">
        <f t="shared" si="12"/>
        <v>7102</v>
      </c>
      <c r="O28" s="244">
        <f t="shared" si="13"/>
        <v>118.36666666666667</v>
      </c>
      <c r="P28" s="244">
        <f t="shared" si="14"/>
        <v>1420.4</v>
      </c>
      <c r="Q28" s="255">
        <f t="shared" si="15"/>
        <v>0</v>
      </c>
      <c r="R28" s="244">
        <f t="shared" si="16"/>
        <v>7102</v>
      </c>
      <c r="S28" s="244">
        <f t="shared" si="17"/>
        <v>7102</v>
      </c>
      <c r="T28" s="243">
        <f t="shared" si="18"/>
        <v>0</v>
      </c>
    </row>
    <row r="29" spans="2:20" ht="12">
      <c r="B29" s="55"/>
      <c r="C29" s="177" t="s">
        <v>198</v>
      </c>
      <c r="D29" s="36" t="s">
        <v>199</v>
      </c>
      <c r="E29" s="55">
        <v>2005</v>
      </c>
      <c r="F29" s="55">
        <v>1</v>
      </c>
      <c r="G29" s="239">
        <v>0</v>
      </c>
      <c r="H29" s="15"/>
      <c r="I29" s="12" t="s">
        <v>82</v>
      </c>
      <c r="J29" s="55">
        <v>15</v>
      </c>
      <c r="K29" s="137">
        <f t="shared" si="10"/>
        <v>2020</v>
      </c>
      <c r="L29" s="252">
        <f t="shared" si="11"/>
        <v>2020.0833333333333</v>
      </c>
      <c r="M29" s="58">
        <v>48500</v>
      </c>
      <c r="N29" s="244">
        <f t="shared" si="12"/>
        <v>48500</v>
      </c>
      <c r="O29" s="244">
        <f t="shared" si="13"/>
        <v>269.44444444444446</v>
      </c>
      <c r="P29" s="244">
        <f t="shared" si="14"/>
        <v>3233.3333333333335</v>
      </c>
      <c r="Q29" s="255">
        <f t="shared" si="15"/>
        <v>0</v>
      </c>
      <c r="R29" s="244">
        <f t="shared" si="16"/>
        <v>48500</v>
      </c>
      <c r="S29" s="244">
        <f t="shared" si="17"/>
        <v>48500</v>
      </c>
      <c r="T29" s="243">
        <f t="shared" si="18"/>
        <v>0</v>
      </c>
    </row>
    <row r="30" spans="2:20" ht="12">
      <c r="B30" s="55"/>
      <c r="C30" s="55">
        <v>54748</v>
      </c>
      <c r="D30" s="36" t="s">
        <v>200</v>
      </c>
      <c r="E30" s="55">
        <v>2007</v>
      </c>
      <c r="F30" s="55">
        <v>12</v>
      </c>
      <c r="G30" s="239">
        <v>0</v>
      </c>
      <c r="H30" s="15"/>
      <c r="I30" s="12" t="s">
        <v>82</v>
      </c>
      <c r="J30" s="55">
        <v>15</v>
      </c>
      <c r="K30" s="137">
        <f t="shared" si="10"/>
        <v>2022</v>
      </c>
      <c r="L30" s="252">
        <f t="shared" si="11"/>
        <v>2023</v>
      </c>
      <c r="M30" s="58">
        <v>26533.5</v>
      </c>
      <c r="N30" s="244">
        <f t="shared" si="12"/>
        <v>26533.5</v>
      </c>
      <c r="O30" s="244">
        <f t="shared" si="13"/>
        <v>147.40833333333333</v>
      </c>
      <c r="P30" s="244">
        <f t="shared" si="14"/>
        <v>1768.9</v>
      </c>
      <c r="Q30" s="255">
        <f t="shared" si="15"/>
        <v>1768.9</v>
      </c>
      <c r="R30" s="244">
        <f t="shared" si="16"/>
        <v>19457.9</v>
      </c>
      <c r="S30" s="244">
        <f t="shared" si="17"/>
        <v>21226.800000000003</v>
      </c>
      <c r="T30" s="243">
        <f t="shared" si="18"/>
        <v>5306.699999999997</v>
      </c>
    </row>
    <row r="31" spans="2:20" ht="12">
      <c r="B31" s="55"/>
      <c r="C31" s="55">
        <v>54747</v>
      </c>
      <c r="D31" s="36" t="s">
        <v>201</v>
      </c>
      <c r="E31" s="55">
        <v>2007</v>
      </c>
      <c r="F31" s="55">
        <v>12</v>
      </c>
      <c r="G31" s="239">
        <v>0</v>
      </c>
      <c r="H31" s="15"/>
      <c r="I31" s="12" t="s">
        <v>82</v>
      </c>
      <c r="J31" s="55">
        <v>15</v>
      </c>
      <c r="K31" s="137">
        <f t="shared" si="10"/>
        <v>2022</v>
      </c>
      <c r="L31" s="252">
        <f t="shared" si="11"/>
        <v>2023</v>
      </c>
      <c r="M31" s="58">
        <v>75539.25</v>
      </c>
      <c r="N31" s="244">
        <f t="shared" si="12"/>
        <v>75539.25</v>
      </c>
      <c r="O31" s="244">
        <f t="shared" si="13"/>
        <v>419.66249999999997</v>
      </c>
      <c r="P31" s="244">
        <f t="shared" si="14"/>
        <v>5035.95</v>
      </c>
      <c r="Q31" s="255">
        <f t="shared" si="15"/>
        <v>5035.95</v>
      </c>
      <c r="R31" s="244">
        <f t="shared" si="16"/>
        <v>55395.45</v>
      </c>
      <c r="S31" s="244">
        <f t="shared" si="17"/>
        <v>60431.399999999994</v>
      </c>
      <c r="T31" s="243">
        <f t="shared" si="18"/>
        <v>15107.850000000006</v>
      </c>
    </row>
    <row r="32" spans="2:20" ht="12">
      <c r="B32" s="55"/>
      <c r="C32" s="55" t="s">
        <v>216</v>
      </c>
      <c r="D32" s="36" t="s">
        <v>209</v>
      </c>
      <c r="E32" s="55">
        <v>2013</v>
      </c>
      <c r="F32" s="55">
        <v>12</v>
      </c>
      <c r="G32" s="239">
        <v>0</v>
      </c>
      <c r="H32" s="15"/>
      <c r="I32" s="12" t="s">
        <v>82</v>
      </c>
      <c r="J32" s="55">
        <v>10</v>
      </c>
      <c r="K32" s="137">
        <f t="shared" si="10"/>
        <v>2023</v>
      </c>
      <c r="L32" s="252">
        <f t="shared" si="11"/>
        <v>2024</v>
      </c>
      <c r="M32" s="58">
        <v>24140.97</v>
      </c>
      <c r="N32" s="244">
        <f t="shared" si="12"/>
        <v>24140.97</v>
      </c>
      <c r="O32" s="244">
        <f t="shared" si="13"/>
        <v>201.17475000000002</v>
      </c>
      <c r="P32" s="244">
        <f t="shared" si="14"/>
        <v>2414.097</v>
      </c>
      <c r="Q32" s="255">
        <f t="shared" si="15"/>
        <v>2414.097</v>
      </c>
      <c r="R32" s="244">
        <f t="shared" si="16"/>
        <v>12070.485</v>
      </c>
      <c r="S32" s="244">
        <f t="shared" si="17"/>
        <v>14484.582</v>
      </c>
      <c r="T32" s="243">
        <f t="shared" si="18"/>
        <v>9656.388</v>
      </c>
    </row>
    <row r="33" spans="2:20" ht="12">
      <c r="B33" s="55"/>
      <c r="C33" s="55"/>
      <c r="D33" s="55"/>
      <c r="E33" s="55"/>
      <c r="F33" s="55"/>
      <c r="T33" s="243"/>
    </row>
    <row r="34" spans="2:20" ht="12">
      <c r="B34" s="1"/>
      <c r="C34" s="1"/>
      <c r="D34" s="178" t="s">
        <v>202</v>
      </c>
      <c r="E34" s="1"/>
      <c r="F34" s="1"/>
      <c r="M34" s="235">
        <f aca="true" t="shared" si="19" ref="M34:T34">SUM(M24:M33)</f>
        <v>207799.72</v>
      </c>
      <c r="N34" s="235">
        <f t="shared" si="19"/>
        <v>207799.72</v>
      </c>
      <c r="O34" s="235">
        <f t="shared" si="19"/>
        <v>1416.073361111111</v>
      </c>
      <c r="P34" s="235">
        <f t="shared" si="19"/>
        <v>16992.880333333334</v>
      </c>
      <c r="Q34" s="235">
        <f t="shared" si="19"/>
        <v>9218.947</v>
      </c>
      <c r="R34" s="235">
        <f t="shared" si="19"/>
        <v>168509.83499999996</v>
      </c>
      <c r="S34" s="235">
        <f t="shared" si="19"/>
        <v>177728.782</v>
      </c>
      <c r="T34" s="235">
        <f t="shared" si="19"/>
        <v>30070.938000000002</v>
      </c>
    </row>
    <row r="36" spans="13:20" ht="12.75" thickBot="1">
      <c r="M36" s="264">
        <f aca="true" t="shared" si="20" ref="M36:T36">+M20+M34</f>
        <v>223710.44</v>
      </c>
      <c r="N36" s="264">
        <f t="shared" si="20"/>
        <v>223710.44</v>
      </c>
      <c r="O36" s="264">
        <f t="shared" si="20"/>
        <v>1644.3345674603172</v>
      </c>
      <c r="P36" s="264">
        <f t="shared" si="20"/>
        <v>19732.01480952381</v>
      </c>
      <c r="Q36" s="264">
        <f t="shared" si="20"/>
        <v>9593.62319047619</v>
      </c>
      <c r="R36" s="264">
        <f t="shared" si="20"/>
        <v>183415.07928571425</v>
      </c>
      <c r="S36" s="264">
        <f t="shared" si="20"/>
        <v>193008.7024761905</v>
      </c>
      <c r="T36" s="264">
        <f t="shared" si="20"/>
        <v>30701.737523809526</v>
      </c>
    </row>
    <row r="37" ht="12.75" thickTop="1"/>
    <row r="38" ht="12">
      <c r="T38" s="179"/>
    </row>
    <row r="39" spans="13:20" ht="12">
      <c r="M39" s="180"/>
      <c r="T39" s="11"/>
    </row>
  </sheetData>
  <sheetProtection/>
  <printOptions/>
  <pageMargins left="0.75" right="0.75" top="1" bottom="1" header="0.5" footer="0.5"/>
  <pageSetup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CB407"/>
  <sheetViews>
    <sheetView showGridLines="0" zoomScalePageLayoutView="0" workbookViewId="0" topLeftCell="A1">
      <pane ySplit="11" topLeftCell="A12" activePane="bottomLeft" state="frozen"/>
      <selection pane="topLeft" activeCell="P6" sqref="P6"/>
      <selection pane="bottomLeft" activeCell="N20" sqref="A20:IV20"/>
    </sheetView>
  </sheetViews>
  <sheetFormatPr defaultColWidth="12.57421875" defaultRowHeight="15"/>
  <cols>
    <col min="1" max="1" width="8.00390625" style="3" bestFit="1" customWidth="1"/>
    <col min="2" max="2" width="7.00390625" style="12" customWidth="1"/>
    <col min="3" max="3" width="8.00390625" style="3" customWidth="1"/>
    <col min="4" max="4" width="25.421875" style="3" customWidth="1"/>
    <col min="5" max="5" width="8.140625" style="3" customWidth="1"/>
    <col min="6" max="6" width="6.140625" style="3" customWidth="1"/>
    <col min="7" max="7" width="10.00390625" style="12" customWidth="1"/>
    <col min="8" max="8" width="1.1484375" style="3" customWidth="1"/>
    <col min="9" max="9" width="8.7109375" style="3" customWidth="1"/>
    <col min="10" max="10" width="6.140625" style="12" customWidth="1"/>
    <col min="11" max="11" width="8.28125" style="14" customWidth="1"/>
    <col min="12" max="13" width="6.140625" style="3" hidden="1" customWidth="1"/>
    <col min="14" max="14" width="9.8515625" style="3" bestFit="1" customWidth="1"/>
    <col min="15" max="15" width="7.421875" style="3" bestFit="1" customWidth="1"/>
    <col min="16" max="16" width="9.8515625" style="3" bestFit="1" customWidth="1"/>
    <col min="17" max="17" width="10.140625" style="3" customWidth="1"/>
    <col min="18" max="18" width="8.8515625" style="3" bestFit="1" customWidth="1"/>
    <col min="19" max="19" width="8.140625" style="3" bestFit="1" customWidth="1"/>
    <col min="20" max="20" width="8.8515625" style="3" bestFit="1" customWidth="1"/>
    <col min="21" max="21" width="4.421875" style="3" bestFit="1" customWidth="1"/>
    <col min="22" max="22" width="8.8515625" style="3" bestFit="1" customWidth="1"/>
    <col min="23" max="23" width="2.28125" style="3" customWidth="1"/>
    <col min="24" max="25" width="11.28125" style="3" bestFit="1" customWidth="1"/>
    <col min="26" max="26" width="6.57421875" style="3" bestFit="1" customWidth="1"/>
    <col min="27" max="28" width="9.8515625" style="3" bestFit="1" customWidth="1"/>
    <col min="29" max="29" width="10.00390625" style="3" bestFit="1" customWidth="1"/>
    <col min="30" max="31" width="7.8515625" style="3" bestFit="1" customWidth="1"/>
    <col min="32" max="32" width="9.57421875" style="3" customWidth="1"/>
    <col min="33" max="33" width="7.8515625" style="3" bestFit="1" customWidth="1"/>
    <col min="34" max="34" width="5.00390625" style="3" bestFit="1" customWidth="1"/>
    <col min="35" max="35" width="12.57421875" style="3" customWidth="1"/>
    <col min="36" max="36" width="13.421875" style="3" bestFit="1" customWidth="1"/>
    <col min="37" max="37" width="2.7109375" style="3" customWidth="1"/>
    <col min="38" max="38" width="17.57421875" style="3" bestFit="1" customWidth="1"/>
    <col min="39" max="39" width="3.8515625" style="3" customWidth="1"/>
    <col min="40" max="40" width="16.28125" style="3" bestFit="1" customWidth="1"/>
    <col min="41" max="41" width="3.8515625" style="3" customWidth="1"/>
    <col min="42" max="42" width="18.28125" style="3" bestFit="1" customWidth="1"/>
    <col min="43" max="43" width="4.28125" style="3" customWidth="1"/>
    <col min="44" max="16384" width="12.57421875" style="3" customWidth="1"/>
  </cols>
  <sheetData>
    <row r="1" spans="4:31" ht="12">
      <c r="D1" s="13" t="s">
        <v>23</v>
      </c>
      <c r="P1" s="15"/>
      <c r="Q1" s="15"/>
      <c r="AE1" s="16">
        <v>41244</v>
      </c>
    </row>
    <row r="2" spans="4:76" ht="12">
      <c r="D2" s="13" t="s">
        <v>24</v>
      </c>
      <c r="P2" s="17">
        <v>12</v>
      </c>
      <c r="Q2" s="18" t="s">
        <v>25</v>
      </c>
      <c r="BX2" s="3" t="s">
        <v>26</v>
      </c>
    </row>
    <row r="3" spans="4:32" ht="12">
      <c r="D3" s="222">
        <f>'[9]Depr Summary'!H5</f>
        <v>43100</v>
      </c>
      <c r="P3" s="17">
        <v>0</v>
      </c>
      <c r="Q3" s="18" t="s">
        <v>27</v>
      </c>
      <c r="T3" s="20"/>
      <c r="AB3" s="20"/>
      <c r="AE3" s="3" t="s">
        <v>28</v>
      </c>
      <c r="AF3" s="3" t="s">
        <v>29</v>
      </c>
    </row>
    <row r="4" spans="16:80" ht="12">
      <c r="P4" s="21">
        <v>2017</v>
      </c>
      <c r="Q4" s="18" t="s">
        <v>30</v>
      </c>
      <c r="S4" s="20"/>
      <c r="AE4" s="3" t="s">
        <v>31</v>
      </c>
      <c r="AF4" s="3" t="s">
        <v>32</v>
      </c>
      <c r="BW4" s="3">
        <v>1</v>
      </c>
      <c r="BX4" s="3" t="s">
        <v>33</v>
      </c>
      <c r="CA4" s="3">
        <v>12</v>
      </c>
      <c r="CB4" s="3" t="s">
        <v>34</v>
      </c>
    </row>
    <row r="5" spans="16:80" ht="12">
      <c r="P5" s="21">
        <v>2018</v>
      </c>
      <c r="Q5" s="18" t="s">
        <v>35</v>
      </c>
      <c r="AB5" s="20"/>
      <c r="AE5" s="3" t="s">
        <v>36</v>
      </c>
      <c r="AF5" s="3" t="s">
        <v>37</v>
      </c>
      <c r="AJ5" s="380" t="s">
        <v>248</v>
      </c>
      <c r="AK5" s="380"/>
      <c r="AL5" s="380"/>
      <c r="AM5" s="380"/>
      <c r="AN5" s="380"/>
      <c r="AO5" s="380"/>
      <c r="AP5" s="380"/>
      <c r="AQ5" s="380"/>
      <c r="AR5" s="380"/>
      <c r="BX5" s="3">
        <v>1993</v>
      </c>
      <c r="CA5" s="3">
        <v>0</v>
      </c>
      <c r="CB5" s="3" t="s">
        <v>38</v>
      </c>
    </row>
    <row r="6" spans="28:80" ht="12">
      <c r="AB6" s="20"/>
      <c r="AE6" s="3" t="s">
        <v>39</v>
      </c>
      <c r="AF6" s="3" t="s">
        <v>40</v>
      </c>
      <c r="AJ6" s="380"/>
      <c r="AK6" s="380"/>
      <c r="AL6" s="380"/>
      <c r="AM6" s="380"/>
      <c r="AN6" s="380"/>
      <c r="AO6" s="380"/>
      <c r="AP6" s="380"/>
      <c r="AQ6" s="380"/>
      <c r="AR6" s="380"/>
      <c r="CA6" s="3">
        <v>93</v>
      </c>
      <c r="CB6" s="3" t="s">
        <v>30</v>
      </c>
    </row>
    <row r="7" spans="29:80" ht="12.75">
      <c r="AC7" s="4"/>
      <c r="AE7" s="3" t="s">
        <v>41</v>
      </c>
      <c r="AF7" s="3" t="s">
        <v>42</v>
      </c>
      <c r="AJ7" s="223"/>
      <c r="AK7" s="223"/>
      <c r="AL7" s="223"/>
      <c r="AM7" s="223"/>
      <c r="AN7" s="223"/>
      <c r="AO7" s="223"/>
      <c r="AP7" s="223"/>
      <c r="AQ7" s="223"/>
      <c r="AR7" s="223"/>
      <c r="CA7" s="3">
        <v>94</v>
      </c>
      <c r="CB7" s="3" t="s">
        <v>43</v>
      </c>
    </row>
    <row r="8" spans="3:44" ht="15">
      <c r="C8" s="15"/>
      <c r="D8" s="15"/>
      <c r="E8" s="15"/>
      <c r="F8" s="15"/>
      <c r="G8" s="22"/>
      <c r="H8" s="15"/>
      <c r="I8" s="15"/>
      <c r="J8" s="22"/>
      <c r="K8" s="23"/>
      <c r="S8" s="12" t="s">
        <v>44</v>
      </c>
      <c r="V8" s="4" t="s">
        <v>45</v>
      </c>
      <c r="X8" s="12" t="s">
        <v>0</v>
      </c>
      <c r="Y8" s="12" t="s">
        <v>46</v>
      </c>
      <c r="AA8" s="4" t="s">
        <v>46</v>
      </c>
      <c r="AB8" s="4" t="s">
        <v>46</v>
      </c>
      <c r="AC8" s="4"/>
      <c r="AJ8" s="223"/>
      <c r="AK8" s="223"/>
      <c r="AL8" s="223"/>
      <c r="AM8" s="223"/>
      <c r="AN8" s="147" t="s">
        <v>249</v>
      </c>
      <c r="AO8" s="223"/>
      <c r="AP8" s="147" t="s">
        <v>249</v>
      </c>
      <c r="AQ8" s="223"/>
      <c r="AR8" s="223"/>
    </row>
    <row r="9" spans="2:44" ht="15">
      <c r="B9" s="4"/>
      <c r="C9" s="4" t="s">
        <v>13</v>
      </c>
      <c r="D9" s="24" t="s">
        <v>47</v>
      </c>
      <c r="E9" s="4" t="s">
        <v>48</v>
      </c>
      <c r="F9" s="4"/>
      <c r="G9" s="25" t="s">
        <v>5</v>
      </c>
      <c r="H9" s="15"/>
      <c r="I9" s="4" t="s">
        <v>13</v>
      </c>
      <c r="J9" s="4"/>
      <c r="K9" s="26" t="s">
        <v>49</v>
      </c>
      <c r="L9" s="4" t="s">
        <v>13</v>
      </c>
      <c r="N9" s="4" t="s">
        <v>13</v>
      </c>
      <c r="O9" s="12" t="s">
        <v>50</v>
      </c>
      <c r="P9" s="24" t="s">
        <v>13</v>
      </c>
      <c r="Q9" s="24"/>
      <c r="R9" s="4" t="s">
        <v>51</v>
      </c>
      <c r="S9" s="12" t="s">
        <v>49</v>
      </c>
      <c r="T9" s="4" t="s">
        <v>45</v>
      </c>
      <c r="U9" s="4" t="s">
        <v>52</v>
      </c>
      <c r="V9" s="4" t="s">
        <v>46</v>
      </c>
      <c r="X9" s="12" t="s">
        <v>53</v>
      </c>
      <c r="Y9" s="12" t="s">
        <v>53</v>
      </c>
      <c r="Z9" s="12" t="s">
        <v>54</v>
      </c>
      <c r="AA9" s="4" t="s">
        <v>55</v>
      </c>
      <c r="AB9" s="4" t="s">
        <v>55</v>
      </c>
      <c r="AC9" s="4" t="s">
        <v>2</v>
      </c>
      <c r="AJ9" s="148" t="s">
        <v>250</v>
      </c>
      <c r="AK9" s="149"/>
      <c r="AL9" s="148" t="s">
        <v>251</v>
      </c>
      <c r="AM9" s="149"/>
      <c r="AN9" s="148" t="s">
        <v>252</v>
      </c>
      <c r="AO9" s="149"/>
      <c r="AP9" s="148" t="s">
        <v>252</v>
      </c>
      <c r="AQ9" s="149"/>
      <c r="AR9" s="148" t="s">
        <v>253</v>
      </c>
    </row>
    <row r="10" spans="2:76" ht="15">
      <c r="B10" s="4"/>
      <c r="C10" s="4" t="s">
        <v>56</v>
      </c>
      <c r="D10" s="24"/>
      <c r="E10" s="4" t="s">
        <v>57</v>
      </c>
      <c r="F10" s="4"/>
      <c r="G10" s="25" t="s">
        <v>58</v>
      </c>
      <c r="H10" s="15"/>
      <c r="I10" s="4" t="s">
        <v>59</v>
      </c>
      <c r="J10" s="4" t="s">
        <v>60</v>
      </c>
      <c r="K10" s="26" t="s">
        <v>61</v>
      </c>
      <c r="L10" s="4" t="s">
        <v>50</v>
      </c>
      <c r="M10" s="3" t="s">
        <v>62</v>
      </c>
      <c r="N10" s="4" t="s">
        <v>50</v>
      </c>
      <c r="O10" s="12" t="s">
        <v>44</v>
      </c>
      <c r="P10" s="4" t="s">
        <v>6</v>
      </c>
      <c r="Q10" s="4" t="s">
        <v>63</v>
      </c>
      <c r="R10" s="4" t="s">
        <v>49</v>
      </c>
      <c r="S10" s="12" t="s">
        <v>64</v>
      </c>
      <c r="T10" s="4" t="s">
        <v>65</v>
      </c>
      <c r="U10" s="4" t="s">
        <v>66</v>
      </c>
      <c r="V10" s="4" t="s">
        <v>67</v>
      </c>
      <c r="W10" s="4"/>
      <c r="X10" s="4" t="s">
        <v>68</v>
      </c>
      <c r="Y10" s="4" t="s">
        <v>68</v>
      </c>
      <c r="Z10" s="4" t="s">
        <v>66</v>
      </c>
      <c r="AA10" s="4" t="s">
        <v>69</v>
      </c>
      <c r="AB10" s="4" t="s">
        <v>69</v>
      </c>
      <c r="AC10" s="4" t="s">
        <v>9</v>
      </c>
      <c r="AD10" s="12" t="s">
        <v>28</v>
      </c>
      <c r="AE10" s="12" t="s">
        <v>70</v>
      </c>
      <c r="AF10" s="12" t="s">
        <v>71</v>
      </c>
      <c r="AG10" s="12" t="s">
        <v>39</v>
      </c>
      <c r="AH10" s="12" t="s">
        <v>41</v>
      </c>
      <c r="AJ10" s="148" t="s">
        <v>254</v>
      </c>
      <c r="AK10" s="149"/>
      <c r="AL10" s="148" t="s">
        <v>255</v>
      </c>
      <c r="AM10" s="149"/>
      <c r="AN10" s="150" t="s">
        <v>256</v>
      </c>
      <c r="AO10" s="149"/>
      <c r="AP10" s="148" t="s">
        <v>257</v>
      </c>
      <c r="AQ10" s="149"/>
      <c r="AR10" s="148" t="s">
        <v>9</v>
      </c>
      <c r="BW10" s="3">
        <v>2</v>
      </c>
      <c r="BX10" s="3" t="s">
        <v>72</v>
      </c>
    </row>
    <row r="11" spans="1:29" ht="12">
      <c r="A11" s="27" t="s">
        <v>212</v>
      </c>
      <c r="B11" s="27" t="s">
        <v>73</v>
      </c>
      <c r="C11" s="27" t="s">
        <v>74</v>
      </c>
      <c r="D11" s="28" t="s">
        <v>75</v>
      </c>
      <c r="E11" s="27" t="s">
        <v>49</v>
      </c>
      <c r="F11" s="27" t="s">
        <v>76</v>
      </c>
      <c r="G11" s="29" t="s">
        <v>52</v>
      </c>
      <c r="H11" s="15" t="s">
        <v>77</v>
      </c>
      <c r="I11" s="27" t="s">
        <v>78</v>
      </c>
      <c r="J11" s="27" t="s">
        <v>79</v>
      </c>
      <c r="K11" s="30" t="s">
        <v>6</v>
      </c>
      <c r="L11" s="27" t="s">
        <v>4</v>
      </c>
      <c r="M11" s="31" t="s">
        <v>77</v>
      </c>
      <c r="N11" s="27" t="s">
        <v>4</v>
      </c>
      <c r="O11" s="31" t="s">
        <v>77</v>
      </c>
      <c r="P11" s="27" t="s">
        <v>4</v>
      </c>
      <c r="Q11" s="27" t="s">
        <v>6</v>
      </c>
      <c r="R11" s="27" t="s">
        <v>6</v>
      </c>
      <c r="S11" s="31" t="s">
        <v>77</v>
      </c>
      <c r="T11" s="4" t="s">
        <v>80</v>
      </c>
      <c r="U11" s="27" t="s">
        <v>77</v>
      </c>
      <c r="V11" s="4" t="s">
        <v>69</v>
      </c>
      <c r="W11" s="4"/>
      <c r="X11" s="32">
        <f>'[9]Depr Summary'!F5</f>
        <v>42736</v>
      </c>
      <c r="Y11" s="32">
        <f>+D3</f>
        <v>43100</v>
      </c>
      <c r="Z11" s="4" t="s">
        <v>52</v>
      </c>
      <c r="AA11" s="33">
        <f>'[9]Depr Summary'!F5</f>
        <v>42736</v>
      </c>
      <c r="AB11" s="33">
        <f>+D3</f>
        <v>43100</v>
      </c>
      <c r="AC11" s="34">
        <f>D3</f>
        <v>43100</v>
      </c>
    </row>
    <row r="12" spans="2:44" s="7" customFormat="1" ht="12">
      <c r="B12" s="35"/>
      <c r="D12" s="36" t="s">
        <v>88</v>
      </c>
      <c r="E12" s="7">
        <v>2002</v>
      </c>
      <c r="F12" s="7">
        <v>2</v>
      </c>
      <c r="G12" s="37">
        <v>0</v>
      </c>
      <c r="I12" s="35" t="s">
        <v>82</v>
      </c>
      <c r="J12" s="38">
        <v>3</v>
      </c>
      <c r="K12" s="39">
        <f aca="true" t="shared" si="0" ref="K12:K26">E12+J12</f>
        <v>2005</v>
      </c>
      <c r="N12" s="40">
        <v>4465</v>
      </c>
      <c r="P12" s="41">
        <f aca="true" t="shared" si="1" ref="P12:P26">N12-N12*G12</f>
        <v>4465</v>
      </c>
      <c r="Q12" s="41">
        <f aca="true" t="shared" si="2" ref="Q12:Q26">P12/J12/12</f>
        <v>124.02777777777777</v>
      </c>
      <c r="R12" s="41">
        <f aca="true" t="shared" si="3" ref="R12:R26">IF(O12&gt;0,0,IF(OR(AD12&gt;AE12,AF12&lt;AG12),0,IF(AND(AF12&gt;=AG12,AF12&lt;=AE12),Q12*((AF12-AG12)*12),IF(AND(AG12&lt;=AD12,AE12&gt;=AD12),((AE12-AD12)*12)*Q12,IF(AF12&gt;AE12,12*Q12,0)))))</f>
        <v>0</v>
      </c>
      <c r="S12" s="41">
        <f aca="true" t="shared" si="4" ref="S12:S26">IF(O12=0,0,IF(AND(AH12&gt;=AG12,AH12&lt;=AF12),((AH12-AG12)*12)*Q12,0))</f>
        <v>0</v>
      </c>
      <c r="T12" s="41">
        <f aca="true" t="shared" si="5" ref="T12:T26">IF(S12&gt;0,S12,R12)</f>
        <v>0</v>
      </c>
      <c r="U12" s="41">
        <v>1</v>
      </c>
      <c r="V12" s="41">
        <f aca="true" t="shared" si="6" ref="V12:V26">U12*SUM(R12:S12)</f>
        <v>0</v>
      </c>
      <c r="W12" s="41"/>
      <c r="X12" s="41">
        <f aca="true" t="shared" si="7" ref="X12:X26">IF(AD12&gt;AE12,0,IF(AF12&lt;AG12,P12,IF(AND(AF12&gt;=AG12,AF12&lt;=AE12),(P12-T12),IF(AND(AG12&lt;=AD12,AE12&gt;=AD12),0,IF(AF12&gt;AE12,((AG12-AD12)*12)*Q12,0)))))</f>
        <v>4465</v>
      </c>
      <c r="Y12" s="41">
        <f aca="true" t="shared" si="8" ref="Y12:Y26">X12*U12</f>
        <v>4465</v>
      </c>
      <c r="Z12" s="41">
        <v>1</v>
      </c>
      <c r="AA12" s="41">
        <f aca="true" t="shared" si="9" ref="AA12:AA26">Y12*Z12</f>
        <v>4465</v>
      </c>
      <c r="AB12" s="41">
        <f aca="true" t="shared" si="10" ref="AB12:AB26">IF(O12&gt;0,0,AA12+V12*Z12)*Z12</f>
        <v>4465</v>
      </c>
      <c r="AC12" s="41">
        <f aca="true" t="shared" si="11" ref="AC12:AC26">IF(O12&gt;0,(N12-AA12)/2,IF(AD12&gt;=AG12,(((N12*U12)*Z12)-AB12)/2,((((N12*U12)*Z12)-AA12)+(((N12*U12)*Z12)-AB12))/2))</f>
        <v>0</v>
      </c>
      <c r="AD12" s="41">
        <f aca="true" t="shared" si="12" ref="AD12:AD26">$E12+(($F12-1)/12)</f>
        <v>2002.0833333333333</v>
      </c>
      <c r="AE12" s="41">
        <f aca="true" t="shared" si="13" ref="AE12:AE26">($P$5+1)-($P$2/12)</f>
        <v>2018</v>
      </c>
      <c r="AF12" s="41">
        <f aca="true" t="shared" si="14" ref="AF12:AF26">$K12+(($F12-1)/12)</f>
        <v>2005.0833333333333</v>
      </c>
      <c r="AG12" s="41">
        <f aca="true" t="shared" si="15" ref="AG12:AG26">$P$4+($P$3/12)</f>
        <v>2017</v>
      </c>
      <c r="AH12" s="41">
        <f aca="true" t="shared" si="16" ref="AH12:AH26">$L12+(($M12-1)/12)</f>
        <v>-0.08333333333333333</v>
      </c>
      <c r="AJ12" s="224">
        <f>+IF((AF12-AG12)&gt;3,((N12-P12)/(AF12-AG12)),(N12-P12)/3)</f>
        <v>0</v>
      </c>
      <c r="AL12" s="224">
        <f>+AJ12+T12</f>
        <v>0</v>
      </c>
      <c r="AN12" s="224">
        <f>+IF(AF12&lt;AG12,-AC12,0)</f>
        <v>0</v>
      </c>
      <c r="AP12" s="224">
        <f>IF(AF12&gt;AG12,IF(AJ12&gt;0,IF(O12&gt;0,(N12-AA12)/2,IF(AD12&gt;=AG12,(((N12*U12)*Z12)-(AB12+AJ12))/2,((((N12*U12)*Z12)-AA12)+(((N12*U12)*Z12)-(AB12+AJ12)))/2)),0),0)</f>
        <v>0</v>
      </c>
      <c r="AR12" s="146">
        <f>+AC12+AN12+(IF(AP12&gt;0,(AP12-AC12),0))</f>
        <v>0</v>
      </c>
    </row>
    <row r="13" spans="2:44" s="7" customFormat="1" ht="12">
      <c r="B13" s="35"/>
      <c r="D13" s="36" t="s">
        <v>88</v>
      </c>
      <c r="E13" s="7">
        <v>2002</v>
      </c>
      <c r="F13" s="7">
        <v>5</v>
      </c>
      <c r="G13" s="37">
        <v>0</v>
      </c>
      <c r="I13" s="35" t="s">
        <v>82</v>
      </c>
      <c r="J13" s="38">
        <v>3</v>
      </c>
      <c r="K13" s="39">
        <f t="shared" si="0"/>
        <v>2005</v>
      </c>
      <c r="N13" s="40">
        <v>4525</v>
      </c>
      <c r="P13" s="41">
        <f t="shared" si="1"/>
        <v>4525</v>
      </c>
      <c r="Q13" s="41">
        <f t="shared" si="2"/>
        <v>125.69444444444444</v>
      </c>
      <c r="R13" s="41">
        <f t="shared" si="3"/>
        <v>0</v>
      </c>
      <c r="S13" s="41">
        <f t="shared" si="4"/>
        <v>0</v>
      </c>
      <c r="T13" s="41">
        <f t="shared" si="5"/>
        <v>0</v>
      </c>
      <c r="U13" s="41">
        <v>1</v>
      </c>
      <c r="V13" s="41">
        <f t="shared" si="6"/>
        <v>0</v>
      </c>
      <c r="W13" s="41"/>
      <c r="X13" s="41">
        <f t="shared" si="7"/>
        <v>4525</v>
      </c>
      <c r="Y13" s="41">
        <f t="shared" si="8"/>
        <v>4525</v>
      </c>
      <c r="Z13" s="41">
        <v>1</v>
      </c>
      <c r="AA13" s="41">
        <f t="shared" si="9"/>
        <v>4525</v>
      </c>
      <c r="AB13" s="41">
        <f t="shared" si="10"/>
        <v>4525</v>
      </c>
      <c r="AC13" s="41">
        <f t="shared" si="11"/>
        <v>0</v>
      </c>
      <c r="AD13" s="41">
        <f t="shared" si="12"/>
        <v>2002.3333333333333</v>
      </c>
      <c r="AE13" s="41">
        <f t="shared" si="13"/>
        <v>2018</v>
      </c>
      <c r="AF13" s="41">
        <f t="shared" si="14"/>
        <v>2005.3333333333333</v>
      </c>
      <c r="AG13" s="41">
        <f t="shared" si="15"/>
        <v>2017</v>
      </c>
      <c r="AH13" s="41">
        <f t="shared" si="16"/>
        <v>-0.08333333333333333</v>
      </c>
      <c r="AJ13" s="224">
        <f>+IF((AF13-AG13)&gt;3,((N13-P13)/(AF13-AG13)),(N13-P13)/3)</f>
        <v>0</v>
      </c>
      <c r="AL13" s="224">
        <f aca="true" t="shared" si="17" ref="AL13:AL31">+AJ13+T13</f>
        <v>0</v>
      </c>
      <c r="AN13" s="224">
        <f>+IF(AF13&lt;AG13,-AC13,0)</f>
        <v>0</v>
      </c>
      <c r="AP13" s="224">
        <f aca="true" t="shared" si="18" ref="AP13:AP31">IF(AF13&gt;AG13,IF(AJ13&gt;0,IF(O13&gt;0,(N13-AA13)/2,IF(AD13&gt;=AG13,(((N13*U13)*Z13)-(AB13+AJ13))/2,((((N13*U13)*Z13)-AA13)+(((N13*U13)*Z13)-(AB13+AJ13)))/2)),0),0)</f>
        <v>0</v>
      </c>
      <c r="AR13" s="146">
        <f aca="true" t="shared" si="19" ref="AR13:AR31">+AC13+AN13+(IF(AP13&gt;0,(AP13-AC13),0))</f>
        <v>0</v>
      </c>
    </row>
    <row r="14" spans="2:44" s="7" customFormat="1" ht="12">
      <c r="B14" s="35" t="s">
        <v>84</v>
      </c>
      <c r="C14" s="7">
        <v>5008</v>
      </c>
      <c r="D14" s="36" t="s">
        <v>89</v>
      </c>
      <c r="E14" s="7">
        <v>2004</v>
      </c>
      <c r="F14" s="7">
        <v>5</v>
      </c>
      <c r="G14" s="37">
        <v>0.2</v>
      </c>
      <c r="I14" s="35" t="s">
        <v>82</v>
      </c>
      <c r="J14" s="38">
        <v>7</v>
      </c>
      <c r="K14" s="39">
        <f t="shared" si="0"/>
        <v>2011</v>
      </c>
      <c r="N14" s="40">
        <f>75203+35470+547+365+38+8454</f>
        <v>120077</v>
      </c>
      <c r="P14" s="41">
        <f t="shared" si="1"/>
        <v>96061.6</v>
      </c>
      <c r="Q14" s="41">
        <f t="shared" si="2"/>
        <v>1143.5904761904762</v>
      </c>
      <c r="R14" s="41">
        <f t="shared" si="3"/>
        <v>0</v>
      </c>
      <c r="S14" s="41">
        <f t="shared" si="4"/>
        <v>0</v>
      </c>
      <c r="T14" s="41">
        <f t="shared" si="5"/>
        <v>0</v>
      </c>
      <c r="U14" s="41">
        <v>1</v>
      </c>
      <c r="V14" s="41">
        <f t="shared" si="6"/>
        <v>0</v>
      </c>
      <c r="W14" s="41"/>
      <c r="X14" s="41">
        <f t="shared" si="7"/>
        <v>96061.6</v>
      </c>
      <c r="Y14" s="41">
        <f t="shared" si="8"/>
        <v>96061.6</v>
      </c>
      <c r="Z14" s="41">
        <v>1</v>
      </c>
      <c r="AA14" s="41">
        <f t="shared" si="9"/>
        <v>96061.6</v>
      </c>
      <c r="AB14" s="41">
        <f t="shared" si="10"/>
        <v>96061.6</v>
      </c>
      <c r="AC14" s="41">
        <f t="shared" si="11"/>
        <v>24015.399999999994</v>
      </c>
      <c r="AD14" s="41">
        <f t="shared" si="12"/>
        <v>2004.3333333333333</v>
      </c>
      <c r="AE14" s="41">
        <f t="shared" si="13"/>
        <v>2018</v>
      </c>
      <c r="AF14" s="41">
        <f t="shared" si="14"/>
        <v>2011.3333333333333</v>
      </c>
      <c r="AG14" s="41">
        <f t="shared" si="15"/>
        <v>2017</v>
      </c>
      <c r="AH14" s="41">
        <f t="shared" si="16"/>
        <v>-0.08333333333333333</v>
      </c>
      <c r="AJ14" s="224">
        <f aca="true" t="shared" si="20" ref="AJ14:AJ31">+IF((AF14-AG14)&gt;3,((N14-P14)/(AF14-AG14)),(N14-P14)/3)</f>
        <v>8005.133333333331</v>
      </c>
      <c r="AL14" s="224">
        <f t="shared" si="17"/>
        <v>8005.133333333331</v>
      </c>
      <c r="AN14" s="224">
        <f aca="true" t="shared" si="21" ref="AN14:AN31">+IF(AF14&lt;AG14,-AC14,0)</f>
        <v>-24015.399999999994</v>
      </c>
      <c r="AP14" s="224">
        <f t="shared" si="18"/>
        <v>0</v>
      </c>
      <c r="AR14" s="146">
        <f t="shared" si="19"/>
        <v>0</v>
      </c>
    </row>
    <row r="15" spans="2:44" s="7" customFormat="1" ht="12">
      <c r="B15" s="35" t="s">
        <v>84</v>
      </c>
      <c r="C15" s="7">
        <v>5003</v>
      </c>
      <c r="D15" s="36" t="s">
        <v>90</v>
      </c>
      <c r="E15" s="7">
        <v>2004</v>
      </c>
      <c r="F15" s="7">
        <v>12</v>
      </c>
      <c r="G15" s="37">
        <v>0.2</v>
      </c>
      <c r="I15" s="35" t="s">
        <v>82</v>
      </c>
      <c r="J15" s="38">
        <v>7</v>
      </c>
      <c r="K15" s="39">
        <f t="shared" si="0"/>
        <v>2011</v>
      </c>
      <c r="N15" s="40">
        <f>77615+39372+10090</f>
        <v>127077</v>
      </c>
      <c r="P15" s="41">
        <f t="shared" si="1"/>
        <v>101661.6</v>
      </c>
      <c r="Q15" s="41">
        <f t="shared" si="2"/>
        <v>1210.257142857143</v>
      </c>
      <c r="R15" s="41">
        <f t="shared" si="3"/>
        <v>0</v>
      </c>
      <c r="S15" s="41">
        <f t="shared" si="4"/>
        <v>0</v>
      </c>
      <c r="T15" s="41">
        <f t="shared" si="5"/>
        <v>0</v>
      </c>
      <c r="U15" s="41">
        <v>1</v>
      </c>
      <c r="V15" s="41">
        <f t="shared" si="6"/>
        <v>0</v>
      </c>
      <c r="W15" s="41"/>
      <c r="X15" s="41">
        <f t="shared" si="7"/>
        <v>101661.6</v>
      </c>
      <c r="Y15" s="41">
        <f t="shared" si="8"/>
        <v>101661.6</v>
      </c>
      <c r="Z15" s="41">
        <v>1</v>
      </c>
      <c r="AA15" s="41">
        <f t="shared" si="9"/>
        <v>101661.6</v>
      </c>
      <c r="AB15" s="41">
        <f t="shared" si="10"/>
        <v>101661.6</v>
      </c>
      <c r="AC15" s="41">
        <f t="shared" si="11"/>
        <v>25415.399999999994</v>
      </c>
      <c r="AD15" s="41">
        <f t="shared" si="12"/>
        <v>2004.9166666666667</v>
      </c>
      <c r="AE15" s="41">
        <f t="shared" si="13"/>
        <v>2018</v>
      </c>
      <c r="AF15" s="41">
        <f t="shared" si="14"/>
        <v>2011.9166666666667</v>
      </c>
      <c r="AG15" s="41">
        <f t="shared" si="15"/>
        <v>2017</v>
      </c>
      <c r="AH15" s="41">
        <f t="shared" si="16"/>
        <v>-0.08333333333333333</v>
      </c>
      <c r="AJ15" s="224">
        <f t="shared" si="20"/>
        <v>8471.799999999997</v>
      </c>
      <c r="AL15" s="224">
        <f t="shared" si="17"/>
        <v>8471.799999999997</v>
      </c>
      <c r="AN15" s="224">
        <f t="shared" si="21"/>
        <v>-25415.399999999994</v>
      </c>
      <c r="AP15" s="224">
        <f t="shared" si="18"/>
        <v>0</v>
      </c>
      <c r="AR15" s="146">
        <f t="shared" si="19"/>
        <v>0</v>
      </c>
    </row>
    <row r="16" spans="2:44" s="7" customFormat="1" ht="12">
      <c r="B16" s="35" t="s">
        <v>84</v>
      </c>
      <c r="C16" s="7">
        <v>5006</v>
      </c>
      <c r="D16" s="36" t="s">
        <v>91</v>
      </c>
      <c r="E16" s="7">
        <v>2006</v>
      </c>
      <c r="F16" s="7">
        <v>11</v>
      </c>
      <c r="G16" s="37">
        <v>0.2</v>
      </c>
      <c r="I16" s="35" t="s">
        <v>82</v>
      </c>
      <c r="J16" s="38">
        <v>7</v>
      </c>
      <c r="K16" s="39">
        <f t="shared" si="0"/>
        <v>2013</v>
      </c>
      <c r="N16" s="40">
        <v>138290.65</v>
      </c>
      <c r="P16" s="41">
        <f t="shared" si="1"/>
        <v>110632.51999999999</v>
      </c>
      <c r="Q16" s="41">
        <f t="shared" si="2"/>
        <v>1317.0538095238094</v>
      </c>
      <c r="R16" s="41">
        <f t="shared" si="3"/>
        <v>0</v>
      </c>
      <c r="S16" s="41">
        <f t="shared" si="4"/>
        <v>0</v>
      </c>
      <c r="T16" s="41">
        <f t="shared" si="5"/>
        <v>0</v>
      </c>
      <c r="U16" s="41">
        <v>1</v>
      </c>
      <c r="V16" s="41">
        <f t="shared" si="6"/>
        <v>0</v>
      </c>
      <c r="W16" s="41"/>
      <c r="X16" s="41">
        <f t="shared" si="7"/>
        <v>110632.51999999999</v>
      </c>
      <c r="Y16" s="41">
        <f t="shared" si="8"/>
        <v>110632.51999999999</v>
      </c>
      <c r="Z16" s="41">
        <v>1</v>
      </c>
      <c r="AA16" s="41">
        <f t="shared" si="9"/>
        <v>110632.51999999999</v>
      </c>
      <c r="AB16" s="41">
        <f t="shared" si="10"/>
        <v>110632.51999999999</v>
      </c>
      <c r="AC16" s="41">
        <f t="shared" si="11"/>
        <v>27658.130000000005</v>
      </c>
      <c r="AD16" s="41">
        <f t="shared" si="12"/>
        <v>2006.8333333333333</v>
      </c>
      <c r="AE16" s="41">
        <f t="shared" si="13"/>
        <v>2018</v>
      </c>
      <c r="AF16" s="41">
        <f t="shared" si="14"/>
        <v>2013.8333333333333</v>
      </c>
      <c r="AG16" s="41">
        <f t="shared" si="15"/>
        <v>2017</v>
      </c>
      <c r="AH16" s="41">
        <f t="shared" si="16"/>
        <v>-0.08333333333333333</v>
      </c>
      <c r="AJ16" s="224">
        <f t="shared" si="20"/>
        <v>9219.376666666669</v>
      </c>
      <c r="AL16" s="224">
        <f t="shared" si="17"/>
        <v>9219.376666666669</v>
      </c>
      <c r="AN16" s="224">
        <f t="shared" si="21"/>
        <v>-27658.130000000005</v>
      </c>
      <c r="AP16" s="224">
        <f t="shared" si="18"/>
        <v>0</v>
      </c>
      <c r="AR16" s="146">
        <f t="shared" si="19"/>
        <v>0</v>
      </c>
    </row>
    <row r="17" spans="2:44" s="7" customFormat="1" ht="12">
      <c r="B17" s="35" t="s">
        <v>92</v>
      </c>
      <c r="C17" s="35"/>
      <c r="D17" s="36" t="s">
        <v>93</v>
      </c>
      <c r="E17" s="36">
        <v>2006</v>
      </c>
      <c r="F17" s="36">
        <v>11</v>
      </c>
      <c r="G17" s="37">
        <v>0.33</v>
      </c>
      <c r="I17" s="35" t="s">
        <v>82</v>
      </c>
      <c r="J17" s="38">
        <v>5</v>
      </c>
      <c r="K17" s="39">
        <f t="shared" si="0"/>
        <v>2011</v>
      </c>
      <c r="N17" s="40">
        <v>14740</v>
      </c>
      <c r="O17" s="42"/>
      <c r="P17" s="41">
        <f t="shared" si="1"/>
        <v>9875.8</v>
      </c>
      <c r="Q17" s="41">
        <f t="shared" si="2"/>
        <v>164.59666666666666</v>
      </c>
      <c r="R17" s="41">
        <f t="shared" si="3"/>
        <v>0</v>
      </c>
      <c r="S17" s="41">
        <f t="shared" si="4"/>
        <v>0</v>
      </c>
      <c r="T17" s="41">
        <f t="shared" si="5"/>
        <v>0</v>
      </c>
      <c r="U17" s="41">
        <v>1</v>
      </c>
      <c r="V17" s="41">
        <f t="shared" si="6"/>
        <v>0</v>
      </c>
      <c r="W17" s="41"/>
      <c r="X17" s="41">
        <f t="shared" si="7"/>
        <v>9875.8</v>
      </c>
      <c r="Y17" s="41">
        <f t="shared" si="8"/>
        <v>9875.8</v>
      </c>
      <c r="Z17" s="41">
        <v>1</v>
      </c>
      <c r="AA17" s="41">
        <f t="shared" si="9"/>
        <v>9875.8</v>
      </c>
      <c r="AB17" s="41">
        <f t="shared" si="10"/>
        <v>9875.8</v>
      </c>
      <c r="AC17" s="41">
        <f t="shared" si="11"/>
        <v>4864.200000000001</v>
      </c>
      <c r="AD17" s="41">
        <f t="shared" si="12"/>
        <v>2006.8333333333333</v>
      </c>
      <c r="AE17" s="41">
        <f t="shared" si="13"/>
        <v>2018</v>
      </c>
      <c r="AF17" s="41">
        <f t="shared" si="14"/>
        <v>2011.8333333333333</v>
      </c>
      <c r="AG17" s="41">
        <f t="shared" si="15"/>
        <v>2017</v>
      </c>
      <c r="AH17" s="41">
        <f t="shared" si="16"/>
        <v>-0.08333333333333333</v>
      </c>
      <c r="AJ17" s="224">
        <f t="shared" si="20"/>
        <v>1621.4000000000003</v>
      </c>
      <c r="AL17" s="224">
        <f t="shared" si="17"/>
        <v>1621.4000000000003</v>
      </c>
      <c r="AN17" s="224">
        <f t="shared" si="21"/>
        <v>-4864.200000000001</v>
      </c>
      <c r="AP17" s="224">
        <f t="shared" si="18"/>
        <v>0</v>
      </c>
      <c r="AR17" s="146">
        <f t="shared" si="19"/>
        <v>0</v>
      </c>
    </row>
    <row r="18" spans="2:44" s="7" customFormat="1" ht="12">
      <c r="B18" s="35" t="s">
        <v>84</v>
      </c>
      <c r="C18" s="43">
        <v>5016</v>
      </c>
      <c r="D18" s="44" t="s">
        <v>94</v>
      </c>
      <c r="E18" s="44">
        <v>2007</v>
      </c>
      <c r="F18" s="44">
        <v>9</v>
      </c>
      <c r="G18" s="37">
        <v>0.2</v>
      </c>
      <c r="I18" s="35" t="s">
        <v>82</v>
      </c>
      <c r="J18" s="38">
        <v>7</v>
      </c>
      <c r="K18" s="39">
        <f t="shared" si="0"/>
        <v>2014</v>
      </c>
      <c r="N18" s="45">
        <v>136700.87</v>
      </c>
      <c r="P18" s="41">
        <f t="shared" si="1"/>
        <v>109360.696</v>
      </c>
      <c r="Q18" s="41">
        <f t="shared" si="2"/>
        <v>1301.9130476190476</v>
      </c>
      <c r="R18" s="41">
        <f t="shared" si="3"/>
        <v>0</v>
      </c>
      <c r="S18" s="41">
        <f t="shared" si="4"/>
        <v>0</v>
      </c>
      <c r="T18" s="41">
        <f t="shared" si="5"/>
        <v>0</v>
      </c>
      <c r="U18" s="41">
        <v>1</v>
      </c>
      <c r="V18" s="41">
        <f t="shared" si="6"/>
        <v>0</v>
      </c>
      <c r="W18" s="41"/>
      <c r="X18" s="41">
        <f t="shared" si="7"/>
        <v>109360.696</v>
      </c>
      <c r="Y18" s="41">
        <f t="shared" si="8"/>
        <v>109360.696</v>
      </c>
      <c r="Z18" s="41">
        <v>1</v>
      </c>
      <c r="AA18" s="41">
        <f t="shared" si="9"/>
        <v>109360.696</v>
      </c>
      <c r="AB18" s="41">
        <f t="shared" si="10"/>
        <v>109360.696</v>
      </c>
      <c r="AC18" s="41">
        <f t="shared" si="11"/>
        <v>27340.174</v>
      </c>
      <c r="AD18" s="41">
        <f t="shared" si="12"/>
        <v>2007.6666666666667</v>
      </c>
      <c r="AE18" s="41">
        <f t="shared" si="13"/>
        <v>2018</v>
      </c>
      <c r="AF18" s="41">
        <f t="shared" si="14"/>
        <v>2014.6666666666667</v>
      </c>
      <c r="AG18" s="41">
        <f t="shared" si="15"/>
        <v>2017</v>
      </c>
      <c r="AH18" s="41">
        <f t="shared" si="16"/>
        <v>-0.08333333333333333</v>
      </c>
      <c r="AJ18" s="224">
        <f t="shared" si="20"/>
        <v>9113.391333333333</v>
      </c>
      <c r="AL18" s="224">
        <f t="shared" si="17"/>
        <v>9113.391333333333</v>
      </c>
      <c r="AN18" s="224">
        <f t="shared" si="21"/>
        <v>-27340.174</v>
      </c>
      <c r="AP18" s="224">
        <f t="shared" si="18"/>
        <v>0</v>
      </c>
      <c r="AR18" s="146">
        <f t="shared" si="19"/>
        <v>0</v>
      </c>
    </row>
    <row r="19" spans="2:44" s="7" customFormat="1" ht="12">
      <c r="B19" s="35" t="s">
        <v>84</v>
      </c>
      <c r="C19" s="43">
        <v>5010</v>
      </c>
      <c r="D19" s="46" t="s">
        <v>95</v>
      </c>
      <c r="E19" s="47">
        <v>2008</v>
      </c>
      <c r="F19" s="47">
        <f>2+6</f>
        <v>8</v>
      </c>
      <c r="G19" s="48">
        <v>0.33</v>
      </c>
      <c r="H19" s="47"/>
      <c r="I19" s="49" t="s">
        <v>82</v>
      </c>
      <c r="J19" s="50">
        <v>5</v>
      </c>
      <c r="K19" s="51">
        <f t="shared" si="0"/>
        <v>2013</v>
      </c>
      <c r="L19" s="47"/>
      <c r="M19" s="47"/>
      <c r="N19" s="52">
        <v>66852.71</v>
      </c>
      <c r="O19" s="47"/>
      <c r="P19" s="53">
        <f t="shared" si="1"/>
        <v>44791.31570000001</v>
      </c>
      <c r="Q19" s="41">
        <f t="shared" si="2"/>
        <v>746.5219283333334</v>
      </c>
      <c r="R19" s="41">
        <f t="shared" si="3"/>
        <v>0</v>
      </c>
      <c r="S19" s="41">
        <f t="shared" si="4"/>
        <v>0</v>
      </c>
      <c r="T19" s="41">
        <f t="shared" si="5"/>
        <v>0</v>
      </c>
      <c r="U19" s="41">
        <v>1</v>
      </c>
      <c r="V19" s="41">
        <f t="shared" si="6"/>
        <v>0</v>
      </c>
      <c r="W19" s="41"/>
      <c r="X19" s="41">
        <f t="shared" si="7"/>
        <v>44791.31570000001</v>
      </c>
      <c r="Y19" s="41">
        <f t="shared" si="8"/>
        <v>44791.31570000001</v>
      </c>
      <c r="Z19" s="41">
        <v>1</v>
      </c>
      <c r="AA19" s="41">
        <f t="shared" si="9"/>
        <v>44791.31570000001</v>
      </c>
      <c r="AB19" s="41">
        <f t="shared" si="10"/>
        <v>44791.31570000001</v>
      </c>
      <c r="AC19" s="41">
        <f t="shared" si="11"/>
        <v>22061.3943</v>
      </c>
      <c r="AD19" s="41">
        <f t="shared" si="12"/>
        <v>2008.5833333333333</v>
      </c>
      <c r="AE19" s="41">
        <f t="shared" si="13"/>
        <v>2018</v>
      </c>
      <c r="AF19" s="41">
        <f t="shared" si="14"/>
        <v>2013.5833333333333</v>
      </c>
      <c r="AG19" s="41">
        <f t="shared" si="15"/>
        <v>2017</v>
      </c>
      <c r="AH19" s="41">
        <f t="shared" si="16"/>
        <v>-0.08333333333333333</v>
      </c>
      <c r="AJ19" s="224">
        <f t="shared" si="20"/>
        <v>7353.7981</v>
      </c>
      <c r="AK19" s="47"/>
      <c r="AL19" s="224">
        <f t="shared" si="17"/>
        <v>7353.7981</v>
      </c>
      <c r="AM19" s="47"/>
      <c r="AN19" s="224">
        <f t="shared" si="21"/>
        <v>-22061.3943</v>
      </c>
      <c r="AO19" s="47"/>
      <c r="AP19" s="224">
        <f t="shared" si="18"/>
        <v>0</v>
      </c>
      <c r="AQ19" s="47"/>
      <c r="AR19" s="146">
        <f t="shared" si="19"/>
        <v>0</v>
      </c>
    </row>
    <row r="20" spans="2:44" s="7" customFormat="1" ht="12">
      <c r="B20" s="35" t="s">
        <v>84</v>
      </c>
      <c r="C20" s="7">
        <v>5039</v>
      </c>
      <c r="D20" s="36" t="s">
        <v>96</v>
      </c>
      <c r="E20" s="7">
        <v>2009</v>
      </c>
      <c r="F20" s="7">
        <v>12</v>
      </c>
      <c r="G20" s="37">
        <v>0.2</v>
      </c>
      <c r="I20" s="35" t="s">
        <v>82</v>
      </c>
      <c r="J20" s="38">
        <v>7</v>
      </c>
      <c r="K20" s="39">
        <f t="shared" si="0"/>
        <v>2016</v>
      </c>
      <c r="N20" s="40">
        <v>185249.34</v>
      </c>
      <c r="P20" s="41">
        <f t="shared" si="1"/>
        <v>148199.472</v>
      </c>
      <c r="Q20" s="41">
        <f t="shared" si="2"/>
        <v>1764.2794285714288</v>
      </c>
      <c r="R20" s="41">
        <f t="shared" si="3"/>
        <v>0</v>
      </c>
      <c r="S20" s="41">
        <f t="shared" si="4"/>
        <v>0</v>
      </c>
      <c r="T20" s="41">
        <f t="shared" si="5"/>
        <v>0</v>
      </c>
      <c r="U20" s="41">
        <v>1</v>
      </c>
      <c r="V20" s="41">
        <f t="shared" si="6"/>
        <v>0</v>
      </c>
      <c r="W20" s="41"/>
      <c r="X20" s="41">
        <f t="shared" si="7"/>
        <v>148199.472</v>
      </c>
      <c r="Y20" s="41">
        <f t="shared" si="8"/>
        <v>148199.472</v>
      </c>
      <c r="Z20" s="41">
        <v>1</v>
      </c>
      <c r="AA20" s="41">
        <f t="shared" si="9"/>
        <v>148199.472</v>
      </c>
      <c r="AB20" s="41">
        <f t="shared" si="10"/>
        <v>148199.472</v>
      </c>
      <c r="AC20" s="41">
        <f t="shared" si="11"/>
        <v>37049.86799999999</v>
      </c>
      <c r="AD20" s="41">
        <f t="shared" si="12"/>
        <v>2009.9166666666667</v>
      </c>
      <c r="AE20" s="41">
        <f t="shared" si="13"/>
        <v>2018</v>
      </c>
      <c r="AF20" s="41">
        <f t="shared" si="14"/>
        <v>2016.9166666666667</v>
      </c>
      <c r="AG20" s="41">
        <f t="shared" si="15"/>
        <v>2017</v>
      </c>
      <c r="AH20" s="41">
        <f t="shared" si="16"/>
        <v>-0.08333333333333333</v>
      </c>
      <c r="AJ20" s="224">
        <f t="shared" si="20"/>
        <v>12349.955999999996</v>
      </c>
      <c r="AL20" s="224">
        <f t="shared" si="17"/>
        <v>12349.955999999996</v>
      </c>
      <c r="AN20" s="224">
        <f t="shared" si="21"/>
        <v>-37049.86799999999</v>
      </c>
      <c r="AP20" s="224">
        <f t="shared" si="18"/>
        <v>0</v>
      </c>
      <c r="AR20" s="146">
        <f t="shared" si="19"/>
        <v>0</v>
      </c>
    </row>
    <row r="21" spans="2:44" s="7" customFormat="1" ht="12">
      <c r="B21" s="35" t="s">
        <v>84</v>
      </c>
      <c r="C21" s="7">
        <v>5040</v>
      </c>
      <c r="D21" s="36" t="s">
        <v>96</v>
      </c>
      <c r="E21" s="7">
        <v>2009</v>
      </c>
      <c r="F21" s="7">
        <v>12</v>
      </c>
      <c r="G21" s="37">
        <v>0.2</v>
      </c>
      <c r="I21" s="35" t="s">
        <v>82</v>
      </c>
      <c r="J21" s="38">
        <v>7</v>
      </c>
      <c r="K21" s="39">
        <f t="shared" si="0"/>
        <v>2016</v>
      </c>
      <c r="N21" s="40">
        <v>184332.32</v>
      </c>
      <c r="P21" s="41">
        <f t="shared" si="1"/>
        <v>147465.856</v>
      </c>
      <c r="Q21" s="41">
        <f t="shared" si="2"/>
        <v>1755.545904761905</v>
      </c>
      <c r="R21" s="41">
        <f t="shared" si="3"/>
        <v>0</v>
      </c>
      <c r="S21" s="41">
        <f t="shared" si="4"/>
        <v>0</v>
      </c>
      <c r="T21" s="41">
        <f t="shared" si="5"/>
        <v>0</v>
      </c>
      <c r="U21" s="41">
        <v>1</v>
      </c>
      <c r="V21" s="41">
        <f t="shared" si="6"/>
        <v>0</v>
      </c>
      <c r="W21" s="41"/>
      <c r="X21" s="41">
        <f t="shared" si="7"/>
        <v>147465.856</v>
      </c>
      <c r="Y21" s="41">
        <f t="shared" si="8"/>
        <v>147465.856</v>
      </c>
      <c r="Z21" s="41">
        <v>1</v>
      </c>
      <c r="AA21" s="41">
        <f t="shared" si="9"/>
        <v>147465.856</v>
      </c>
      <c r="AB21" s="41">
        <f t="shared" si="10"/>
        <v>147465.856</v>
      </c>
      <c r="AC21" s="41">
        <f t="shared" si="11"/>
        <v>36866.46400000001</v>
      </c>
      <c r="AD21" s="41">
        <f t="shared" si="12"/>
        <v>2009.9166666666667</v>
      </c>
      <c r="AE21" s="41">
        <f t="shared" si="13"/>
        <v>2018</v>
      </c>
      <c r="AF21" s="41">
        <f t="shared" si="14"/>
        <v>2016.9166666666667</v>
      </c>
      <c r="AG21" s="41">
        <f t="shared" si="15"/>
        <v>2017</v>
      </c>
      <c r="AH21" s="41">
        <f t="shared" si="16"/>
        <v>-0.08333333333333333</v>
      </c>
      <c r="AJ21" s="224">
        <f t="shared" si="20"/>
        <v>12288.821333333335</v>
      </c>
      <c r="AL21" s="224">
        <f t="shared" si="17"/>
        <v>12288.821333333335</v>
      </c>
      <c r="AN21" s="224">
        <f t="shared" si="21"/>
        <v>-36866.46400000001</v>
      </c>
      <c r="AP21" s="224">
        <f t="shared" si="18"/>
        <v>0</v>
      </c>
      <c r="AR21" s="146">
        <f t="shared" si="19"/>
        <v>0</v>
      </c>
    </row>
    <row r="22" spans="2:44" s="7" customFormat="1" ht="12">
      <c r="B22" s="35" t="s">
        <v>84</v>
      </c>
      <c r="C22" s="7">
        <v>5041</v>
      </c>
      <c r="D22" s="36" t="s">
        <v>96</v>
      </c>
      <c r="E22" s="7">
        <v>2009</v>
      </c>
      <c r="F22" s="7">
        <v>12</v>
      </c>
      <c r="G22" s="37">
        <v>0.2</v>
      </c>
      <c r="I22" s="35" t="s">
        <v>82</v>
      </c>
      <c r="J22" s="38">
        <v>7</v>
      </c>
      <c r="K22" s="39">
        <f t="shared" si="0"/>
        <v>2016</v>
      </c>
      <c r="N22" s="40">
        <v>184332.32</v>
      </c>
      <c r="P22" s="41">
        <f t="shared" si="1"/>
        <v>147465.856</v>
      </c>
      <c r="Q22" s="41">
        <f t="shared" si="2"/>
        <v>1755.545904761905</v>
      </c>
      <c r="R22" s="41">
        <f t="shared" si="3"/>
        <v>0</v>
      </c>
      <c r="S22" s="41">
        <f t="shared" si="4"/>
        <v>0</v>
      </c>
      <c r="T22" s="41">
        <f t="shared" si="5"/>
        <v>0</v>
      </c>
      <c r="U22" s="41">
        <v>1</v>
      </c>
      <c r="V22" s="41">
        <f t="shared" si="6"/>
        <v>0</v>
      </c>
      <c r="W22" s="41"/>
      <c r="X22" s="41">
        <f t="shared" si="7"/>
        <v>147465.856</v>
      </c>
      <c r="Y22" s="41">
        <f t="shared" si="8"/>
        <v>147465.856</v>
      </c>
      <c r="Z22" s="41">
        <v>1</v>
      </c>
      <c r="AA22" s="41">
        <f t="shared" si="9"/>
        <v>147465.856</v>
      </c>
      <c r="AB22" s="41">
        <f t="shared" si="10"/>
        <v>147465.856</v>
      </c>
      <c r="AC22" s="41">
        <f t="shared" si="11"/>
        <v>36866.46400000001</v>
      </c>
      <c r="AD22" s="41">
        <f t="shared" si="12"/>
        <v>2009.9166666666667</v>
      </c>
      <c r="AE22" s="41">
        <f t="shared" si="13"/>
        <v>2018</v>
      </c>
      <c r="AF22" s="41">
        <f t="shared" si="14"/>
        <v>2016.9166666666667</v>
      </c>
      <c r="AG22" s="41">
        <f t="shared" si="15"/>
        <v>2017</v>
      </c>
      <c r="AH22" s="41">
        <f t="shared" si="16"/>
        <v>-0.08333333333333333</v>
      </c>
      <c r="AJ22" s="224">
        <f t="shared" si="20"/>
        <v>12288.821333333335</v>
      </c>
      <c r="AL22" s="224">
        <f t="shared" si="17"/>
        <v>12288.821333333335</v>
      </c>
      <c r="AN22" s="224">
        <f t="shared" si="21"/>
        <v>-36866.46400000001</v>
      </c>
      <c r="AP22" s="224">
        <f t="shared" si="18"/>
        <v>0</v>
      </c>
      <c r="AR22" s="146">
        <f t="shared" si="19"/>
        <v>0</v>
      </c>
    </row>
    <row r="23" spans="2:44" s="7" customFormat="1" ht="12">
      <c r="B23" s="35" t="s">
        <v>84</v>
      </c>
      <c r="D23" s="36" t="s">
        <v>97</v>
      </c>
      <c r="E23" s="7">
        <v>2010</v>
      </c>
      <c r="F23" s="7">
        <v>4</v>
      </c>
      <c r="G23" s="37">
        <v>0.2</v>
      </c>
      <c r="I23" s="35" t="s">
        <v>82</v>
      </c>
      <c r="J23" s="38">
        <v>7</v>
      </c>
      <c r="K23" s="39">
        <f t="shared" si="0"/>
        <v>2017</v>
      </c>
      <c r="N23" s="40">
        <f>13707.42+412.52</f>
        <v>14119.94</v>
      </c>
      <c r="P23" s="41">
        <f t="shared" si="1"/>
        <v>11295.952000000001</v>
      </c>
      <c r="Q23" s="41">
        <f t="shared" si="2"/>
        <v>134.47561904761906</v>
      </c>
      <c r="R23" s="41">
        <f t="shared" si="3"/>
        <v>403.4268571428572</v>
      </c>
      <c r="S23" s="41">
        <f t="shared" si="4"/>
        <v>0</v>
      </c>
      <c r="T23" s="41">
        <f t="shared" si="5"/>
        <v>403.4268571428572</v>
      </c>
      <c r="U23" s="41">
        <v>1</v>
      </c>
      <c r="V23" s="41">
        <f t="shared" si="6"/>
        <v>403.4268571428572</v>
      </c>
      <c r="W23" s="41"/>
      <c r="X23" s="41">
        <f t="shared" si="7"/>
        <v>10892.525142857145</v>
      </c>
      <c r="Y23" s="41">
        <f t="shared" si="8"/>
        <v>10892.525142857145</v>
      </c>
      <c r="Z23" s="41">
        <v>1</v>
      </c>
      <c r="AA23" s="41">
        <f t="shared" si="9"/>
        <v>10892.525142857145</v>
      </c>
      <c r="AB23" s="41">
        <f t="shared" si="10"/>
        <v>11295.952000000001</v>
      </c>
      <c r="AC23" s="41">
        <f t="shared" si="11"/>
        <v>3025.7014285714276</v>
      </c>
      <c r="AD23" s="41">
        <f t="shared" si="12"/>
        <v>2010.25</v>
      </c>
      <c r="AE23" s="41">
        <f t="shared" si="13"/>
        <v>2018</v>
      </c>
      <c r="AF23" s="41">
        <f t="shared" si="14"/>
        <v>2017.25</v>
      </c>
      <c r="AG23" s="41">
        <f t="shared" si="15"/>
        <v>2017</v>
      </c>
      <c r="AH23" s="41">
        <f t="shared" si="16"/>
        <v>-0.08333333333333333</v>
      </c>
      <c r="AJ23" s="224">
        <f t="shared" si="20"/>
        <v>941.3293333333331</v>
      </c>
      <c r="AL23" s="224">
        <f t="shared" si="17"/>
        <v>1344.7561904761903</v>
      </c>
      <c r="AN23" s="224">
        <f t="shared" si="21"/>
        <v>0</v>
      </c>
      <c r="AP23" s="224">
        <f t="shared" si="18"/>
        <v>2555.036761904761</v>
      </c>
      <c r="AR23" s="146">
        <f t="shared" si="19"/>
        <v>2555.036761904761</v>
      </c>
    </row>
    <row r="24" spans="1:44" s="7" customFormat="1" ht="12">
      <c r="A24" s="7">
        <v>109830</v>
      </c>
      <c r="B24" s="35"/>
      <c r="D24" s="36" t="s">
        <v>211</v>
      </c>
      <c r="E24" s="7">
        <v>2013</v>
      </c>
      <c r="F24" s="7">
        <v>12</v>
      </c>
      <c r="G24" s="37">
        <v>0</v>
      </c>
      <c r="I24" s="35" t="s">
        <v>82</v>
      </c>
      <c r="J24" s="38">
        <v>7</v>
      </c>
      <c r="K24" s="39">
        <f t="shared" si="0"/>
        <v>2020</v>
      </c>
      <c r="N24" s="40">
        <f>1101.59*12</f>
        <v>13219.079999999998</v>
      </c>
      <c r="P24" s="41">
        <f t="shared" si="1"/>
        <v>13219.079999999998</v>
      </c>
      <c r="Q24" s="41">
        <f t="shared" si="2"/>
        <v>157.36999999999998</v>
      </c>
      <c r="R24" s="41">
        <f t="shared" si="3"/>
        <v>1888.4399999999996</v>
      </c>
      <c r="S24" s="41">
        <f t="shared" si="4"/>
        <v>0</v>
      </c>
      <c r="T24" s="41">
        <f t="shared" si="5"/>
        <v>1888.4399999999996</v>
      </c>
      <c r="U24" s="41">
        <v>1</v>
      </c>
      <c r="V24" s="41">
        <f t="shared" si="6"/>
        <v>1888.4399999999996</v>
      </c>
      <c r="W24" s="41"/>
      <c r="X24" s="41">
        <f t="shared" si="7"/>
        <v>5822.689999999856</v>
      </c>
      <c r="Y24" s="41">
        <f t="shared" si="8"/>
        <v>5822.689999999856</v>
      </c>
      <c r="Z24" s="41">
        <v>1</v>
      </c>
      <c r="AA24" s="41">
        <f t="shared" si="9"/>
        <v>5822.689999999856</v>
      </c>
      <c r="AB24" s="41">
        <f t="shared" si="10"/>
        <v>7711.1299999998555</v>
      </c>
      <c r="AC24" s="41">
        <f t="shared" si="11"/>
        <v>6452.170000000142</v>
      </c>
      <c r="AD24" s="41">
        <f t="shared" si="12"/>
        <v>2013.9166666666667</v>
      </c>
      <c r="AE24" s="41">
        <f t="shared" si="13"/>
        <v>2018</v>
      </c>
      <c r="AF24" s="41">
        <f t="shared" si="14"/>
        <v>2020.9166666666667</v>
      </c>
      <c r="AG24" s="41">
        <f t="shared" si="15"/>
        <v>2017</v>
      </c>
      <c r="AH24" s="41">
        <f t="shared" si="16"/>
        <v>-0.08333333333333333</v>
      </c>
      <c r="AJ24" s="224">
        <f t="shared" si="20"/>
        <v>0</v>
      </c>
      <c r="AL24" s="224">
        <f t="shared" si="17"/>
        <v>1888.4399999999996</v>
      </c>
      <c r="AN24" s="224">
        <f t="shared" si="21"/>
        <v>0</v>
      </c>
      <c r="AP24" s="224">
        <f t="shared" si="18"/>
        <v>0</v>
      </c>
      <c r="AR24" s="146">
        <f t="shared" si="19"/>
        <v>6452.170000000142</v>
      </c>
    </row>
    <row r="25" spans="1:44" s="7" customFormat="1" ht="12">
      <c r="A25" s="7">
        <v>126399</v>
      </c>
      <c r="B25" s="35" t="s">
        <v>84</v>
      </c>
      <c r="C25" s="7">
        <v>5012</v>
      </c>
      <c r="D25" s="36" t="s">
        <v>227</v>
      </c>
      <c r="E25" s="7">
        <v>2015</v>
      </c>
      <c r="F25" s="7">
        <v>10</v>
      </c>
      <c r="G25" s="37">
        <v>0.2</v>
      </c>
      <c r="I25" s="35" t="s">
        <v>82</v>
      </c>
      <c r="J25" s="38">
        <v>7</v>
      </c>
      <c r="K25" s="39">
        <f t="shared" si="0"/>
        <v>2022</v>
      </c>
      <c r="N25" s="40">
        <f>218205.58+9591.24</f>
        <v>227796.81999999998</v>
      </c>
      <c r="P25" s="41">
        <f t="shared" si="1"/>
        <v>182237.45599999998</v>
      </c>
      <c r="Q25" s="41">
        <f t="shared" si="2"/>
        <v>2169.4935238095236</v>
      </c>
      <c r="R25" s="41">
        <f t="shared" si="3"/>
        <v>26033.92228571428</v>
      </c>
      <c r="S25" s="41">
        <f t="shared" si="4"/>
        <v>0</v>
      </c>
      <c r="T25" s="41">
        <f t="shared" si="5"/>
        <v>26033.92228571428</v>
      </c>
      <c r="U25" s="41">
        <v>1</v>
      </c>
      <c r="V25" s="41">
        <f t="shared" si="6"/>
        <v>26033.92228571428</v>
      </c>
      <c r="W25" s="41"/>
      <c r="X25" s="41">
        <f t="shared" si="7"/>
        <v>32542.402857142853</v>
      </c>
      <c r="Y25" s="41">
        <f t="shared" si="8"/>
        <v>32542.402857142853</v>
      </c>
      <c r="Z25" s="41">
        <v>1</v>
      </c>
      <c r="AA25" s="41">
        <f t="shared" si="9"/>
        <v>32542.402857142853</v>
      </c>
      <c r="AB25" s="41">
        <f t="shared" si="10"/>
        <v>58576.32514285714</v>
      </c>
      <c r="AC25" s="41">
        <f t="shared" si="11"/>
        <v>182237.456</v>
      </c>
      <c r="AD25" s="41">
        <f t="shared" si="12"/>
        <v>2015.75</v>
      </c>
      <c r="AE25" s="41">
        <f t="shared" si="13"/>
        <v>2018</v>
      </c>
      <c r="AF25" s="41">
        <f t="shared" si="14"/>
        <v>2022.75</v>
      </c>
      <c r="AG25" s="41">
        <f t="shared" si="15"/>
        <v>2017</v>
      </c>
      <c r="AH25" s="41">
        <f t="shared" si="16"/>
        <v>-0.08333333333333333</v>
      </c>
      <c r="AJ25" s="224">
        <f t="shared" si="20"/>
        <v>7923.3676521739135</v>
      </c>
      <c r="AL25" s="224">
        <f t="shared" si="17"/>
        <v>33957.28993788819</v>
      </c>
      <c r="AN25" s="224">
        <f t="shared" si="21"/>
        <v>0</v>
      </c>
      <c r="AP25" s="224">
        <f t="shared" si="18"/>
        <v>178275.77217391302</v>
      </c>
      <c r="AR25" s="146">
        <f t="shared" si="19"/>
        <v>178275.77217391302</v>
      </c>
    </row>
    <row r="26" spans="1:44" s="7" customFormat="1" ht="12">
      <c r="A26" s="7">
        <v>126583</v>
      </c>
      <c r="B26" s="35"/>
      <c r="C26" s="7">
        <v>5012</v>
      </c>
      <c r="D26" s="36" t="s">
        <v>226</v>
      </c>
      <c r="E26" s="7">
        <v>2015</v>
      </c>
      <c r="F26" s="7">
        <v>10</v>
      </c>
      <c r="G26" s="37">
        <v>0</v>
      </c>
      <c r="I26" s="35" t="s">
        <v>82</v>
      </c>
      <c r="J26" s="38">
        <v>7</v>
      </c>
      <c r="K26" s="39">
        <f t="shared" si="0"/>
        <v>2022</v>
      </c>
      <c r="N26" s="40">
        <v>639.85</v>
      </c>
      <c r="P26" s="41">
        <f t="shared" si="1"/>
        <v>639.85</v>
      </c>
      <c r="Q26" s="41">
        <f t="shared" si="2"/>
        <v>7.617261904761905</v>
      </c>
      <c r="R26" s="41">
        <f t="shared" si="3"/>
        <v>91.40714285714286</v>
      </c>
      <c r="S26" s="41">
        <f t="shared" si="4"/>
        <v>0</v>
      </c>
      <c r="T26" s="41">
        <f t="shared" si="5"/>
        <v>91.40714285714286</v>
      </c>
      <c r="U26" s="41">
        <v>1</v>
      </c>
      <c r="V26" s="41">
        <f t="shared" si="6"/>
        <v>91.40714285714286</v>
      </c>
      <c r="W26" s="41"/>
      <c r="X26" s="41">
        <f t="shared" si="7"/>
        <v>114.25892857142857</v>
      </c>
      <c r="Y26" s="41">
        <f t="shared" si="8"/>
        <v>114.25892857142857</v>
      </c>
      <c r="Z26" s="41">
        <v>1</v>
      </c>
      <c r="AA26" s="41">
        <f t="shared" si="9"/>
        <v>114.25892857142857</v>
      </c>
      <c r="AB26" s="41">
        <f t="shared" si="10"/>
        <v>205.66607142857143</v>
      </c>
      <c r="AC26" s="41">
        <f t="shared" si="11"/>
        <v>479.88750000000005</v>
      </c>
      <c r="AD26" s="41">
        <f t="shared" si="12"/>
        <v>2015.75</v>
      </c>
      <c r="AE26" s="41">
        <f t="shared" si="13"/>
        <v>2018</v>
      </c>
      <c r="AF26" s="41">
        <f t="shared" si="14"/>
        <v>2022.75</v>
      </c>
      <c r="AG26" s="41">
        <f t="shared" si="15"/>
        <v>2017</v>
      </c>
      <c r="AH26" s="41">
        <f t="shared" si="16"/>
        <v>-0.08333333333333333</v>
      </c>
      <c r="AJ26" s="224">
        <f t="shared" si="20"/>
        <v>0</v>
      </c>
      <c r="AL26" s="224">
        <f t="shared" si="17"/>
        <v>91.40714285714286</v>
      </c>
      <c r="AN26" s="224">
        <f t="shared" si="21"/>
        <v>0</v>
      </c>
      <c r="AP26" s="224">
        <f t="shared" si="18"/>
        <v>0</v>
      </c>
      <c r="AR26" s="146">
        <f t="shared" si="19"/>
        <v>479.88750000000005</v>
      </c>
    </row>
    <row r="27" spans="2:44" s="7" customFormat="1" ht="12">
      <c r="B27" s="35"/>
      <c r="D27" s="36"/>
      <c r="G27" s="37"/>
      <c r="I27" s="35"/>
      <c r="J27" s="38"/>
      <c r="K27" s="39"/>
      <c r="N27" s="40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J27" s="224">
        <f t="shared" si="20"/>
        <v>0</v>
      </c>
      <c r="AL27" s="224">
        <f t="shared" si="17"/>
        <v>0</v>
      </c>
      <c r="AN27" s="224">
        <f t="shared" si="21"/>
        <v>0</v>
      </c>
      <c r="AP27" s="224">
        <f t="shared" si="18"/>
        <v>0</v>
      </c>
      <c r="AR27" s="146">
        <f t="shared" si="19"/>
        <v>0</v>
      </c>
    </row>
    <row r="28" spans="1:44" s="7" customFormat="1" ht="12">
      <c r="A28" s="7" t="s">
        <v>237</v>
      </c>
      <c r="B28" s="35" t="s">
        <v>84</v>
      </c>
      <c r="D28" s="36" t="s">
        <v>230</v>
      </c>
      <c r="E28" s="7">
        <v>2016</v>
      </c>
      <c r="F28" s="7">
        <v>3</v>
      </c>
      <c r="G28" s="37">
        <v>0</v>
      </c>
      <c r="I28" s="35" t="s">
        <v>82</v>
      </c>
      <c r="J28" s="38">
        <v>10</v>
      </c>
      <c r="K28" s="39">
        <f>E28+J28</f>
        <v>2026</v>
      </c>
      <c r="N28" s="40">
        <f>276355.27+605.92</f>
        <v>276961.19</v>
      </c>
      <c r="P28" s="54">
        <f>N28-N28*G28</f>
        <v>276961.19</v>
      </c>
      <c r="Q28" s="54">
        <f>P28/J28/12</f>
        <v>2308.0099166666664</v>
      </c>
      <c r="R28" s="54">
        <f>IF(O28&gt;0,0,IF(OR(AD28&gt;AE28,AF28&lt;AG28),0,IF(AND(AF28&gt;=AG28,AF28&lt;=AE28),Q28*((AF28-AG28)*12),IF(AND(AG28&lt;=AD28,AE28&gt;=AD28),((AE28-AD28)*12)*Q28,IF(AF28&gt;AE28,12*Q28,0)))))</f>
        <v>27696.119</v>
      </c>
      <c r="S28" s="54">
        <f>IF(O28=0,0,IF(AND(AH28&gt;=AG28,AH28&lt;=AF28),((AH28-AG28)*12)*Q28,0))</f>
        <v>0</v>
      </c>
      <c r="T28" s="54">
        <f>IF(S28&gt;0,S28,R28)</f>
        <v>27696.119</v>
      </c>
      <c r="U28" s="41">
        <v>1</v>
      </c>
      <c r="V28" s="41">
        <f>U28*SUM(R28:S28)</f>
        <v>27696.119</v>
      </c>
      <c r="W28" s="41"/>
      <c r="X28" s="41">
        <f>IF(AD28&gt;AE28,0,IF(AF28&lt;AG28,P28,IF(AND(AF28&gt;=AG28,AF28&lt;=AE28),(P28-T28),IF(AND(AG28&lt;=AD28,AE28&gt;=AD28),0,IF(AF28&gt;AE28,((AG28-AD28)*12)*Q28,0)))))</f>
        <v>23080.099166664564</v>
      </c>
      <c r="Y28" s="41">
        <f>X28*U28</f>
        <v>23080.099166664564</v>
      </c>
      <c r="Z28" s="41">
        <v>1</v>
      </c>
      <c r="AA28" s="41">
        <f>Y28*Z28</f>
        <v>23080.099166664564</v>
      </c>
      <c r="AB28" s="41">
        <f>IF(O28&gt;0,0,AA28+V28*Z28)*Z28</f>
        <v>50776.21816666456</v>
      </c>
      <c r="AC28" s="41">
        <f>IF(O28&gt;0,(N28-AA28)/2,IF(AD28&gt;=AG28,(((N28*U28)*Z28)-AB28)/2,((((N28*U28)*Z28)-AA28)+(((N28*U28)*Z28)-AB28))/2))</f>
        <v>240033.03133333544</v>
      </c>
      <c r="AD28" s="41">
        <f>$E28+(($F28-1)/12)</f>
        <v>2016.1666666666667</v>
      </c>
      <c r="AE28" s="41">
        <f>($P$5+1)-($P$2/12)</f>
        <v>2018</v>
      </c>
      <c r="AF28" s="41">
        <f>$K28+(($F28-1)/12)</f>
        <v>2026.1666666666667</v>
      </c>
      <c r="AG28" s="41">
        <f>$P$4+($P$3/12)</f>
        <v>2017</v>
      </c>
      <c r="AH28" s="41">
        <f>$L28+(($M28-1)/12)</f>
        <v>-0.08333333333333333</v>
      </c>
      <c r="AJ28" s="224">
        <f t="shared" si="20"/>
        <v>0</v>
      </c>
      <c r="AL28" s="224">
        <f t="shared" si="17"/>
        <v>27696.119</v>
      </c>
      <c r="AN28" s="224">
        <f t="shared" si="21"/>
        <v>0</v>
      </c>
      <c r="AP28" s="224">
        <f t="shared" si="18"/>
        <v>0</v>
      </c>
      <c r="AR28" s="146">
        <f t="shared" si="19"/>
        <v>240033.03133333544</v>
      </c>
    </row>
    <row r="29" spans="1:44" ht="12">
      <c r="A29" s="7" t="s">
        <v>239</v>
      </c>
      <c r="B29" s="3"/>
      <c r="C29" s="7"/>
      <c r="D29" s="44" t="s">
        <v>238</v>
      </c>
      <c r="E29" s="55">
        <v>2016</v>
      </c>
      <c r="F29" s="55">
        <v>3</v>
      </c>
      <c r="G29" s="56">
        <v>0</v>
      </c>
      <c r="H29" s="15"/>
      <c r="I29" s="12" t="s">
        <v>82</v>
      </c>
      <c r="J29" s="57">
        <v>1</v>
      </c>
      <c r="K29" s="23">
        <f>E29+J29</f>
        <v>2017</v>
      </c>
      <c r="N29" s="58">
        <f>2164.89+2769.44+671.24</f>
        <v>5605.57</v>
      </c>
      <c r="P29" s="15">
        <f>N29-N29*G29</f>
        <v>5605.57</v>
      </c>
      <c r="Q29" s="15">
        <f>P29/J29/12</f>
        <v>467.1308333333333</v>
      </c>
      <c r="R29" s="15">
        <f>IF(O29&gt;0,0,IF(OR(AD29&gt;AE29,AF29&lt;AG29),0,IF(AND(AF29&gt;=AG29,AF29&lt;=AE29),Q29*((AF29-AG29)*12),IF(AND(AG29&lt;=AD29,AE29&gt;=AD29),((AE29-AD29)*12)*Q29,IF(AF29&gt;AE29,12*Q29,0)))))</f>
        <v>934.2616666670915</v>
      </c>
      <c r="S29" s="15">
        <f>IF(O29=0,0,IF(AND(AH29&gt;=AG29,AH29&lt;=AF29),((AH29-AG29)*12)*Q29,0))</f>
        <v>0</v>
      </c>
      <c r="T29" s="15">
        <f>IF(S29&gt;0,S29,R29)</f>
        <v>934.2616666670915</v>
      </c>
      <c r="U29" s="15">
        <v>1</v>
      </c>
      <c r="V29" s="15">
        <f>U29*SUM(R29:S29)</f>
        <v>934.2616666670915</v>
      </c>
      <c r="W29" s="15"/>
      <c r="X29" s="15">
        <f>IF(AD29&gt;AE29,0,IF(AF29&lt;AG29,P29,IF(AND(AF29&gt;=AG29,AF29&lt;=AE29),(P29-T29),IF(AND(AG29&lt;=AD29,AE29&gt;=AD29),0,IF(AF29&gt;AE29,((AG29-AD29)*12)*Q29,0)))))</f>
        <v>4671.308333332909</v>
      </c>
      <c r="Y29" s="15">
        <f>X29*U29</f>
        <v>4671.308333332909</v>
      </c>
      <c r="Z29" s="15">
        <v>1</v>
      </c>
      <c r="AA29" s="15">
        <f>Y29*Z29</f>
        <v>4671.308333332909</v>
      </c>
      <c r="AB29" s="15">
        <f>IF(O29&gt;0,0,AA29+V29*Z29)*Z29</f>
        <v>5605.57</v>
      </c>
      <c r="AC29" s="15">
        <f>IF(O29&gt;0,(N29-AA29)/2,IF(AD29&gt;=AG29,(((N29*U29)*Z29)-AB29)/2,((((N29*U29)*Z29)-AA29)+(((N29*U29)*Z29)-AB29))/2))</f>
        <v>467.1308333335455</v>
      </c>
      <c r="AD29" s="15">
        <f>$E29+(($F29-1)/12)</f>
        <v>2016.1666666666667</v>
      </c>
      <c r="AE29" s="15">
        <f>($P$5+1)-($P$2/12)</f>
        <v>2018</v>
      </c>
      <c r="AF29" s="15">
        <f>$K29+(($F29-1)/12)</f>
        <v>2017.1666666666667</v>
      </c>
      <c r="AG29" s="15">
        <f>$P$4+($P$3/12)</f>
        <v>2017</v>
      </c>
      <c r="AH29" s="15">
        <f>$L29+(($M29-1)/12)</f>
        <v>-0.08333333333333333</v>
      </c>
      <c r="AJ29" s="224">
        <f t="shared" si="20"/>
        <v>0</v>
      </c>
      <c r="AL29" s="224">
        <f t="shared" si="17"/>
        <v>934.2616666670915</v>
      </c>
      <c r="AN29" s="224">
        <f t="shared" si="21"/>
        <v>0</v>
      </c>
      <c r="AP29" s="224">
        <f t="shared" si="18"/>
        <v>0</v>
      </c>
      <c r="AR29" s="146">
        <f t="shared" si="19"/>
        <v>467.1308333335455</v>
      </c>
    </row>
    <row r="30" spans="1:44" s="7" customFormat="1" ht="12">
      <c r="A30" s="7">
        <v>170969</v>
      </c>
      <c r="B30" s="35"/>
      <c r="C30" s="7">
        <v>5022</v>
      </c>
      <c r="D30" s="36" t="s">
        <v>234</v>
      </c>
      <c r="E30" s="7">
        <v>2016</v>
      </c>
      <c r="F30" s="7">
        <v>12</v>
      </c>
      <c r="G30" s="37">
        <v>0</v>
      </c>
      <c r="I30" s="35" t="s">
        <v>82</v>
      </c>
      <c r="J30" s="38">
        <v>10</v>
      </c>
      <c r="K30" s="39">
        <f>E30+J30</f>
        <v>2026</v>
      </c>
      <c r="N30" s="40">
        <v>59020.72</v>
      </c>
      <c r="P30" s="41">
        <f>N30-N30*G30</f>
        <v>59020.72</v>
      </c>
      <c r="Q30" s="41">
        <f>P30/J30/12</f>
        <v>491.83933333333334</v>
      </c>
      <c r="R30" s="41">
        <f>IF(O30&gt;0,0,IF(OR(AD30&gt;AE30,AF30&lt;AG30),0,IF(AND(AF30&gt;=AG30,AF30&lt;=AE30),Q30*((AF30-AG30)*12),IF(AND(AG30&lt;=AD30,AE30&gt;=AD30),((AE30-AD30)*12)*Q30,IF(AF30&gt;AE30,12*Q30,0)))))</f>
        <v>5902.072</v>
      </c>
      <c r="S30" s="41">
        <f>IF(O30=0,0,IF(AND(AH30&gt;=AG30,AH30&lt;=AF30),((AH30-AG30)*12)*Q30,0))</f>
        <v>0</v>
      </c>
      <c r="T30" s="41">
        <f>IF(S30&gt;0,S30,R30)</f>
        <v>5902.072</v>
      </c>
      <c r="U30" s="41">
        <v>1</v>
      </c>
      <c r="V30" s="41">
        <f>U30*SUM(R30:S30)</f>
        <v>5902.072</v>
      </c>
      <c r="W30" s="41"/>
      <c r="X30" s="41">
        <f>IF(AD30&gt;AE30,0,IF(AF30&lt;AG30,P30,IF(AND(AF30&gt;=AG30,AF30&lt;=AE30),(P30-T30),IF(AND(AG30&lt;=AD30,AE30&gt;=AD30),0,IF(AF30&gt;AE30,((AG30-AD30)*12)*Q30,0)))))</f>
        <v>491.83933333288604</v>
      </c>
      <c r="Y30" s="41">
        <f>X30*U30</f>
        <v>491.83933333288604</v>
      </c>
      <c r="Z30" s="41">
        <v>1</v>
      </c>
      <c r="AA30" s="41">
        <f>Y30*Z30</f>
        <v>491.83933333288604</v>
      </c>
      <c r="AB30" s="41">
        <f>IF(O30&gt;0,0,AA30+V30*Z30)*Z30</f>
        <v>6393.911333332886</v>
      </c>
      <c r="AC30" s="41">
        <f>IF(O30&gt;0,(N30-AA30)/2,IF(AD30&gt;=AG30,(((N30*U30)*Z30)-AB30)/2,((((N30*U30)*Z30)-AA30)+(((N30*U30)*Z30)-AB30))/2))</f>
        <v>55577.844666667115</v>
      </c>
      <c r="AD30" s="41">
        <f>$E30+(($F30-1)/12)</f>
        <v>2016.9166666666667</v>
      </c>
      <c r="AE30" s="41">
        <f>($P$5+1)-($P$2/12)</f>
        <v>2018</v>
      </c>
      <c r="AF30" s="41">
        <f>$K30+(($F30-1)/12)</f>
        <v>2026.9166666666667</v>
      </c>
      <c r="AG30" s="41">
        <f>$P$4+($P$3/12)</f>
        <v>2017</v>
      </c>
      <c r="AH30" s="41">
        <f>$L30+(($M30-1)/12)</f>
        <v>-0.08333333333333333</v>
      </c>
      <c r="AJ30" s="224">
        <f t="shared" si="20"/>
        <v>0</v>
      </c>
      <c r="AL30" s="224">
        <f t="shared" si="17"/>
        <v>5902.072</v>
      </c>
      <c r="AN30" s="224">
        <f t="shared" si="21"/>
        <v>0</v>
      </c>
      <c r="AP30" s="224">
        <f t="shared" si="18"/>
        <v>0</v>
      </c>
      <c r="AR30" s="146">
        <f t="shared" si="19"/>
        <v>55577.844666667115</v>
      </c>
    </row>
    <row r="31" spans="1:44" s="7" customFormat="1" ht="12">
      <c r="A31" s="59">
        <v>172661</v>
      </c>
      <c r="B31" s="35"/>
      <c r="C31" s="7">
        <v>5022</v>
      </c>
      <c r="D31" s="36" t="s">
        <v>241</v>
      </c>
      <c r="E31" s="7">
        <v>2017</v>
      </c>
      <c r="F31" s="7">
        <v>1</v>
      </c>
      <c r="G31" s="37">
        <v>0</v>
      </c>
      <c r="I31" s="35" t="s">
        <v>82</v>
      </c>
      <c r="J31" s="38">
        <v>5</v>
      </c>
      <c r="K31" s="39">
        <f>E31+J31</f>
        <v>2022</v>
      </c>
      <c r="N31" s="40">
        <v>1113.7</v>
      </c>
      <c r="P31" s="41">
        <f>N31-N31*G31</f>
        <v>1113.7</v>
      </c>
      <c r="Q31" s="41">
        <f>P31/J31/12</f>
        <v>18.561666666666667</v>
      </c>
      <c r="R31" s="41">
        <f>IF(O31&gt;0,0,IF(OR(AD31&gt;AE31,AF31&lt;AG31),0,IF(AND(AF31&gt;=AG31,AF31&lt;=AE31),Q31*((AF31-AG31)*12),IF(AND(AG31&lt;=AD31,AE31&gt;=AD31),((AE31-AD31)*12)*Q31,IF(AF31&gt;AE31,12*Q31,0)))))</f>
        <v>222.74</v>
      </c>
      <c r="S31" s="41">
        <f>IF(O31=0,0,IF(AND(AH31&gt;=AG31,AH31&lt;=AF31),((AH31-AG31)*12)*Q31,0))</f>
        <v>0</v>
      </c>
      <c r="T31" s="41">
        <f>IF(S31&gt;0,S31,R31)</f>
        <v>222.74</v>
      </c>
      <c r="U31" s="41">
        <v>1</v>
      </c>
      <c r="V31" s="41">
        <f>U31*SUM(R31:S31)</f>
        <v>222.74</v>
      </c>
      <c r="W31" s="41"/>
      <c r="X31" s="41">
        <f>IF(AD31&gt;AE31,0,IF(AF31&lt;AG31,P31,IF(AND(AF31&gt;=AG31,AF31&lt;=AE31),(P31-T31),IF(AND(AG31&lt;=AD31,AE31&gt;=AD31),0,IF(AF31&gt;AE31,((AG31-AD31)*12)*Q31,0)))))</f>
        <v>0</v>
      </c>
      <c r="Y31" s="41">
        <f>X31*U31</f>
        <v>0</v>
      </c>
      <c r="Z31" s="41">
        <v>1</v>
      </c>
      <c r="AA31" s="41">
        <f>Y31*Z31</f>
        <v>0</v>
      </c>
      <c r="AB31" s="41">
        <f>IF(O31&gt;0,0,AA31+V31*Z31)*Z31</f>
        <v>222.74</v>
      </c>
      <c r="AC31" s="41">
        <f>IF(O31&gt;0,(N31-AA31)/2,IF(AD31&gt;=AG31,(((N31*U31)*Z31)-AB31)/2,((((N31*U31)*Z31)-AA31)+(((N31*U31)*Z31)-AB31))/2))</f>
        <v>445.48</v>
      </c>
      <c r="AD31" s="41">
        <f>$E31+(($F31-1)/12)</f>
        <v>2017</v>
      </c>
      <c r="AE31" s="41">
        <f>($P$5+1)-($P$2/12)</f>
        <v>2018</v>
      </c>
      <c r="AF31" s="41">
        <f>$K31+(($F31-1)/12)</f>
        <v>2022</v>
      </c>
      <c r="AG31" s="41">
        <f>$P$4+($P$3/12)</f>
        <v>2017</v>
      </c>
      <c r="AH31" s="41">
        <f>$L31+(($M31-1)/12)</f>
        <v>-0.08333333333333333</v>
      </c>
      <c r="AJ31" s="224">
        <f t="shared" si="20"/>
        <v>0</v>
      </c>
      <c r="AL31" s="224">
        <f t="shared" si="17"/>
        <v>222.74</v>
      </c>
      <c r="AN31" s="224">
        <f t="shared" si="21"/>
        <v>0</v>
      </c>
      <c r="AP31" s="224">
        <f t="shared" si="18"/>
        <v>0</v>
      </c>
      <c r="AR31" s="146">
        <f t="shared" si="19"/>
        <v>445.48</v>
      </c>
    </row>
    <row r="32" spans="1:34" s="190" customFormat="1" ht="12">
      <c r="A32" s="190" t="s">
        <v>267</v>
      </c>
      <c r="B32" s="194"/>
      <c r="D32" s="190" t="s">
        <v>268</v>
      </c>
      <c r="E32" s="190">
        <v>2009</v>
      </c>
      <c r="F32" s="190">
        <v>3</v>
      </c>
      <c r="G32" s="198">
        <v>0</v>
      </c>
      <c r="I32" s="194" t="s">
        <v>82</v>
      </c>
      <c r="J32" s="195">
        <v>10</v>
      </c>
      <c r="K32" s="189">
        <f>E32+J32</f>
        <v>2019</v>
      </c>
      <c r="N32" s="196">
        <v>175471.9</v>
      </c>
      <c r="P32" s="197">
        <f>N32-N32*G32</f>
        <v>175471.9</v>
      </c>
      <c r="Q32" s="197">
        <f>P32/J32/12</f>
        <v>1462.2658333333331</v>
      </c>
      <c r="R32" s="197">
        <f>IF(O32&gt;0,0,IF(OR(AD32&gt;AE32,AF32&lt;AG32),0,IF(AND(AF32&gt;=AG32,AF32&lt;=AE32),Q32*((AF32-AG32)*12),IF(AND(AG32&lt;=AD32,AE32&gt;=AD32),((AE32-AD32)*12)*Q32,IF(AF32&gt;AE32,12*Q32,0)))))</f>
        <v>17547.19</v>
      </c>
      <c r="S32" s="197">
        <f>IF(O32=0,0,IF(AND(AH32&gt;=AG32,AH32&lt;=AF32),((AH32-AG32)*12)*Q32,0))</f>
        <v>0</v>
      </c>
      <c r="T32" s="197">
        <f>IF(S32&gt;0,S32,R32)</f>
        <v>17547.19</v>
      </c>
      <c r="U32" s="197">
        <v>1</v>
      </c>
      <c r="V32" s="197">
        <f>U32*SUM(R32:S32)</f>
        <v>17547.19</v>
      </c>
      <c r="W32" s="197"/>
      <c r="X32" s="197">
        <f>IF(AD32&gt;AE32,0,IF(AF32&lt;AG32,P32,IF(AND(AF32&gt;=AG32,AF32&lt;=AE32),(P32-T32),IF(AND(AG32&lt;=AD32,AE32&gt;=AD32),0,IF(AF32&gt;AE32,((AG32-AD32)*12)*Q32,0)))))</f>
        <v>137452.98833333197</v>
      </c>
      <c r="Y32" s="197">
        <f>X32*U32</f>
        <v>137452.98833333197</v>
      </c>
      <c r="Z32" s="197">
        <v>1</v>
      </c>
      <c r="AA32" s="197">
        <f>Y32*Z32</f>
        <v>137452.98833333197</v>
      </c>
      <c r="AB32" s="197">
        <f>IF(O32&gt;0,0,AA32+V32*Z32)*Z32</f>
        <v>155000.17833333198</v>
      </c>
      <c r="AC32" s="197">
        <f>IF(O32&gt;0,(N32-AA32)/2,IF(AD32&gt;=AG32,(((N32*U32)*Z32)-AB32)/2,((((N32*U32)*Z32)-AA32)+(((N32*U32)*Z32)-AB32))/2))</f>
        <v>29245.31666666802</v>
      </c>
      <c r="AD32" s="197">
        <f>$E32+(($F32-1)/12)</f>
        <v>2009.1666666666667</v>
      </c>
      <c r="AE32" s="197">
        <f>($P$5+1)-($P$2/12)</f>
        <v>2018</v>
      </c>
      <c r="AF32" s="197">
        <f>$K32+(($F32-1)/12)</f>
        <v>2019.1666666666667</v>
      </c>
      <c r="AG32" s="197">
        <f>$P$4+($P$3/12)</f>
        <v>2017</v>
      </c>
      <c r="AH32" s="197">
        <f>$L32+(($M32-1)/12)</f>
        <v>-0.08333333333333333</v>
      </c>
    </row>
    <row r="33" spans="2:34" s="7" customFormat="1" ht="12">
      <c r="B33" s="35"/>
      <c r="D33" s="36"/>
      <c r="G33" s="37"/>
      <c r="I33" s="35"/>
      <c r="J33" s="38"/>
      <c r="K33" s="39"/>
      <c r="N33" s="40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</row>
    <row r="34" ht="12"/>
    <row r="35" spans="2:34" s="7" customFormat="1" ht="12">
      <c r="B35" s="35"/>
      <c r="D35" s="36"/>
      <c r="G35" s="37"/>
      <c r="I35" s="35"/>
      <c r="J35" s="38"/>
      <c r="K35" s="39"/>
      <c r="N35" s="40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</row>
    <row r="36" spans="2:44" s="60" customFormat="1" ht="12">
      <c r="B36" s="61"/>
      <c r="D36" s="62" t="s">
        <v>45</v>
      </c>
      <c r="G36" s="63"/>
      <c r="I36" s="64"/>
      <c r="J36" s="65"/>
      <c r="K36" s="66"/>
      <c r="N36" s="67">
        <f>SUM(N12:N35)</f>
        <v>1940590.98</v>
      </c>
      <c r="P36" s="67">
        <f>SUM(P12:P35)</f>
        <v>1650070.1337</v>
      </c>
      <c r="Q36" s="67">
        <f>SUM(Q12:Q35)</f>
        <v>18625.790519603175</v>
      </c>
      <c r="R36" s="67">
        <f>SUM(R12:R35)</f>
        <v>80719.57895238137</v>
      </c>
      <c r="V36" s="67">
        <f>SUM(V12:V35)</f>
        <v>80719.57895238137</v>
      </c>
      <c r="AA36" s="67">
        <f>SUM(AA12:AA35)</f>
        <v>1139572.8277952336</v>
      </c>
      <c r="AB36" s="67">
        <f>SUM(AB12:AB35)</f>
        <v>1220292.4067476154</v>
      </c>
      <c r="AC36" s="67">
        <f>SUM(AC12:AC35)</f>
        <v>760101.5127285757</v>
      </c>
      <c r="AD36" s="68"/>
      <c r="AJ36" s="225">
        <f aca="true" t="shared" si="22" ref="AJ36:AR36">SUM(AJ12:AJ35)</f>
        <v>89577.19508550725</v>
      </c>
      <c r="AK36" s="225"/>
      <c r="AL36" s="225">
        <f t="shared" si="22"/>
        <v>152749.58403788862</v>
      </c>
      <c r="AM36" s="225"/>
      <c r="AN36" s="225">
        <f t="shared" si="22"/>
        <v>-242137.4943</v>
      </c>
      <c r="AO36" s="225"/>
      <c r="AP36" s="225">
        <f t="shared" si="22"/>
        <v>180830.8089358178</v>
      </c>
      <c r="AQ36" s="225"/>
      <c r="AR36" s="225">
        <f t="shared" si="22"/>
        <v>484286.353269154</v>
      </c>
    </row>
    <row r="37" spans="2:29" s="60" customFormat="1" ht="12">
      <c r="B37" s="61"/>
      <c r="D37" s="62"/>
      <c r="G37" s="63"/>
      <c r="I37" s="64"/>
      <c r="J37" s="65"/>
      <c r="K37" s="66"/>
      <c r="N37" s="67"/>
      <c r="P37" s="67"/>
      <c r="Q37" s="67"/>
      <c r="R37" s="67"/>
      <c r="V37" s="67"/>
      <c r="AA37" s="67"/>
      <c r="AB37" s="67"/>
      <c r="AC37" s="67"/>
    </row>
    <row r="38" spans="2:29" s="60" customFormat="1" ht="12">
      <c r="B38" s="61"/>
      <c r="D38" s="62" t="s">
        <v>11</v>
      </c>
      <c r="G38" s="63"/>
      <c r="I38" s="64"/>
      <c r="J38" s="65"/>
      <c r="K38" s="66"/>
      <c r="N38" s="67"/>
      <c r="P38" s="67"/>
      <c r="Q38" s="67"/>
      <c r="R38" s="67"/>
      <c r="V38" s="67"/>
      <c r="AA38" s="67"/>
      <c r="AB38" s="67"/>
      <c r="AC38" s="67"/>
    </row>
    <row r="39" spans="2:44" s="7" customFormat="1" ht="12">
      <c r="B39" s="69" t="s">
        <v>98</v>
      </c>
      <c r="C39" s="43">
        <v>5036</v>
      </c>
      <c r="D39" s="36" t="s">
        <v>101</v>
      </c>
      <c r="E39" s="36">
        <v>2007</v>
      </c>
      <c r="F39" s="36">
        <v>2</v>
      </c>
      <c r="G39" s="37">
        <v>0.2</v>
      </c>
      <c r="I39" s="35" t="s">
        <v>82</v>
      </c>
      <c r="J39" s="38">
        <v>7</v>
      </c>
      <c r="K39" s="39">
        <f aca="true" t="shared" si="23" ref="K39:K46">E39+J39</f>
        <v>2014</v>
      </c>
      <c r="N39" s="40">
        <f>101002.46+37645.35</f>
        <v>138647.81</v>
      </c>
      <c r="P39" s="41">
        <f aca="true" t="shared" si="24" ref="P39:P46">N39-N39*G39</f>
        <v>110918.24799999999</v>
      </c>
      <c r="Q39" s="41">
        <f aca="true" t="shared" si="25" ref="Q39:Q46">P39/J39/12</f>
        <v>1320.455333333333</v>
      </c>
      <c r="R39" s="41">
        <f aca="true" t="shared" si="26" ref="R39:R46">IF(O39&gt;0,0,IF(OR(AD39&gt;AE39,AF39&lt;AG39),0,IF(AND(AF39&gt;=AG39,AF39&lt;=AE39),Q39*((AF39-AG39)*12),IF(AND(AG39&lt;=AD39,AE39&gt;=AD39),((AE39-AD39)*12)*Q39,IF(AF39&gt;AE39,12*Q39,0)))))</f>
        <v>0</v>
      </c>
      <c r="S39" s="41">
        <f aca="true" t="shared" si="27" ref="S39:S46">IF(O39=0,0,IF(AND(AH39&gt;=AG39,AH39&lt;=AF39),((AH39-AG39)*12)*Q39,0))</f>
        <v>0</v>
      </c>
      <c r="T39" s="41">
        <f aca="true" t="shared" si="28" ref="T39:T46">IF(S39&gt;0,S39,R39)</f>
        <v>0</v>
      </c>
      <c r="U39" s="41">
        <v>1</v>
      </c>
      <c r="V39" s="41">
        <f aca="true" t="shared" si="29" ref="V39:V46">U39*SUM(R39:S39)</f>
        <v>0</v>
      </c>
      <c r="W39" s="41"/>
      <c r="X39" s="41">
        <f aca="true" t="shared" si="30" ref="X39:X46">IF(AD39&gt;AE39,0,IF(AF39&lt;AG39,P39,IF(AND(AF39&gt;=AG39,AF39&lt;=AE39),(P39-T39),IF(AND(AG39&lt;=AD39,AE39&gt;=AD39),0,IF(AF39&gt;AE39,((AG39-AD39)*12)*Q39,0)))))</f>
        <v>110918.24799999999</v>
      </c>
      <c r="Y39" s="41">
        <f aca="true" t="shared" si="31" ref="Y39:Y46">X39*U39</f>
        <v>110918.24799999999</v>
      </c>
      <c r="Z39" s="41">
        <v>1</v>
      </c>
      <c r="AA39" s="41">
        <f aca="true" t="shared" si="32" ref="AA39:AA46">Y39*Z39</f>
        <v>110918.24799999999</v>
      </c>
      <c r="AB39" s="41">
        <f aca="true" t="shared" si="33" ref="AB39:AB46">IF(O39&gt;0,0,AA39+V39*Z39)*Z39</f>
        <v>110918.24799999999</v>
      </c>
      <c r="AC39" s="41">
        <f aca="true" t="shared" si="34" ref="AC39:AC46">IF(O39&gt;0,(N39-AA39)/2,IF(AD39&gt;=AG39,(((N39*U39)*Z39)-AB39)/2,((((N39*U39)*Z39)-AA39)+(((N39*U39)*Z39)-AB39))/2))</f>
        <v>27729.562000000005</v>
      </c>
      <c r="AD39" s="41">
        <f aca="true" t="shared" si="35" ref="AD39:AD46">$E39+(($F39-1)/12)</f>
        <v>2007.0833333333333</v>
      </c>
      <c r="AE39" s="41">
        <f aca="true" t="shared" si="36" ref="AE39:AE46">($P$5+1)-($P$2/12)</f>
        <v>2018</v>
      </c>
      <c r="AF39" s="41">
        <f aca="true" t="shared" si="37" ref="AF39:AF46">$K39+(($F39-1)/12)</f>
        <v>2014.0833333333333</v>
      </c>
      <c r="AG39" s="41">
        <f aca="true" t="shared" si="38" ref="AG39:AG46">$P$4+($P$3/12)</f>
        <v>2017</v>
      </c>
      <c r="AH39" s="41">
        <f aca="true" t="shared" si="39" ref="AH39:AH46">$L39+(($M39-1)/12)</f>
        <v>-0.08333333333333333</v>
      </c>
      <c r="AJ39" s="224">
        <f>+IF((AF39-AG39)&gt;3,((N39-P39)/(AF39-AG39)),(N39-P39)/3)</f>
        <v>9243.187333333335</v>
      </c>
      <c r="AL39" s="224">
        <f>+AJ39+T39</f>
        <v>9243.187333333335</v>
      </c>
      <c r="AN39" s="224">
        <f>+IF(AF39&lt;AG39,-AC39,0)</f>
        <v>-27729.562000000005</v>
      </c>
      <c r="AP39" s="224">
        <f aca="true" t="shared" si="40" ref="AP39:AP46">IF(AF39&gt;AG39,IF(AJ39&gt;0,IF(O39&gt;0,(N39-AA39)/2,IF(AD39&gt;=AG39,(((N39*U39)*Z39)-AB39)/2,((((N39*U39)*Z39)-AA39)+(((N39*U39)*Z39)-AB39))/2)),0),0)</f>
        <v>0</v>
      </c>
      <c r="AR39" s="146">
        <f>+AC39+AN39+(IF(AP39&gt;0,(AP39-AC39),0))</f>
        <v>0</v>
      </c>
    </row>
    <row r="40" spans="2:44" s="7" customFormat="1" ht="12">
      <c r="B40" s="69" t="s">
        <v>98</v>
      </c>
      <c r="C40" s="43">
        <v>5037</v>
      </c>
      <c r="D40" s="36" t="s">
        <v>101</v>
      </c>
      <c r="E40" s="36">
        <v>2007</v>
      </c>
      <c r="F40" s="36">
        <v>6</v>
      </c>
      <c r="G40" s="37">
        <v>0.2</v>
      </c>
      <c r="I40" s="35" t="s">
        <v>82</v>
      </c>
      <c r="J40" s="38">
        <v>7</v>
      </c>
      <c r="K40" s="39">
        <f t="shared" si="23"/>
        <v>2014</v>
      </c>
      <c r="N40" s="40">
        <f>98438.63+37376.19</f>
        <v>135814.82</v>
      </c>
      <c r="P40" s="41">
        <f t="shared" si="24"/>
        <v>108651.856</v>
      </c>
      <c r="Q40" s="41">
        <f t="shared" si="25"/>
        <v>1293.4744761904763</v>
      </c>
      <c r="R40" s="41">
        <f t="shared" si="26"/>
        <v>0</v>
      </c>
      <c r="S40" s="41">
        <f t="shared" si="27"/>
        <v>0</v>
      </c>
      <c r="T40" s="41">
        <f t="shared" si="28"/>
        <v>0</v>
      </c>
      <c r="U40" s="41">
        <v>1</v>
      </c>
      <c r="V40" s="41">
        <f t="shared" si="29"/>
        <v>0</v>
      </c>
      <c r="W40" s="41"/>
      <c r="X40" s="41">
        <f t="shared" si="30"/>
        <v>108651.856</v>
      </c>
      <c r="Y40" s="41">
        <f t="shared" si="31"/>
        <v>108651.856</v>
      </c>
      <c r="Z40" s="41">
        <v>1</v>
      </c>
      <c r="AA40" s="41">
        <f t="shared" si="32"/>
        <v>108651.856</v>
      </c>
      <c r="AB40" s="41">
        <f t="shared" si="33"/>
        <v>108651.856</v>
      </c>
      <c r="AC40" s="41">
        <f t="shared" si="34"/>
        <v>27162.964000000007</v>
      </c>
      <c r="AD40" s="41">
        <f t="shared" si="35"/>
        <v>2007.4166666666667</v>
      </c>
      <c r="AE40" s="41">
        <f t="shared" si="36"/>
        <v>2018</v>
      </c>
      <c r="AF40" s="41">
        <f t="shared" si="37"/>
        <v>2014.4166666666667</v>
      </c>
      <c r="AG40" s="41">
        <f t="shared" si="38"/>
        <v>2017</v>
      </c>
      <c r="AH40" s="41">
        <f t="shared" si="39"/>
        <v>-0.08333333333333333</v>
      </c>
      <c r="AJ40" s="224">
        <f aca="true" t="shared" si="41" ref="AJ40:AJ46">+IF((AF40-AG40)&gt;3,((N40-P40)/(AF40-AG40)),(N40-P40)/3)</f>
        <v>9054.321333333335</v>
      </c>
      <c r="AL40" s="224">
        <f aca="true" t="shared" si="42" ref="AL40:AL46">+AJ40+T40</f>
        <v>9054.321333333335</v>
      </c>
      <c r="AN40" s="224">
        <f aca="true" t="shared" si="43" ref="AN40:AN46">+IF(AF40&lt;AG40,-AC40,0)</f>
        <v>-27162.964000000007</v>
      </c>
      <c r="AP40" s="224">
        <f t="shared" si="40"/>
        <v>0</v>
      </c>
      <c r="AR40" s="146">
        <f aca="true" t="shared" si="44" ref="AR40:AR46">+AC40+AN40+(IF(AP40&gt;0,(AP40-AC40),0))</f>
        <v>0</v>
      </c>
    </row>
    <row r="41" spans="2:44" s="7" customFormat="1" ht="12">
      <c r="B41" s="69" t="s">
        <v>98</v>
      </c>
      <c r="D41" s="36" t="s">
        <v>102</v>
      </c>
      <c r="E41" s="7">
        <v>2010</v>
      </c>
      <c r="F41" s="7">
        <v>5</v>
      </c>
      <c r="G41" s="37">
        <v>0.2</v>
      </c>
      <c r="I41" s="35" t="s">
        <v>82</v>
      </c>
      <c r="J41" s="38">
        <v>7</v>
      </c>
      <c r="K41" s="39">
        <f t="shared" si="23"/>
        <v>2017</v>
      </c>
      <c r="N41" s="40">
        <v>4348</v>
      </c>
      <c r="P41" s="41">
        <f t="shared" si="24"/>
        <v>3478.4</v>
      </c>
      <c r="Q41" s="41">
        <f t="shared" si="25"/>
        <v>41.40952380952381</v>
      </c>
      <c r="R41" s="41">
        <f t="shared" si="26"/>
        <v>165.6380952380576</v>
      </c>
      <c r="S41" s="41">
        <f t="shared" si="27"/>
        <v>0</v>
      </c>
      <c r="T41" s="41">
        <f t="shared" si="28"/>
        <v>165.6380952380576</v>
      </c>
      <c r="U41" s="41">
        <v>1</v>
      </c>
      <c r="V41" s="41">
        <f t="shared" si="29"/>
        <v>165.6380952380576</v>
      </c>
      <c r="W41" s="41"/>
      <c r="X41" s="41">
        <f t="shared" si="30"/>
        <v>3312.7619047619423</v>
      </c>
      <c r="Y41" s="41">
        <f t="shared" si="31"/>
        <v>3312.7619047619423</v>
      </c>
      <c r="Z41" s="41">
        <v>1</v>
      </c>
      <c r="AA41" s="41">
        <f t="shared" si="32"/>
        <v>3312.7619047619423</v>
      </c>
      <c r="AB41" s="41">
        <f t="shared" si="33"/>
        <v>3478.4</v>
      </c>
      <c r="AC41" s="41">
        <f t="shared" si="34"/>
        <v>952.4190476190288</v>
      </c>
      <c r="AD41" s="41">
        <f t="shared" si="35"/>
        <v>2010.3333333333333</v>
      </c>
      <c r="AE41" s="41">
        <f t="shared" si="36"/>
        <v>2018</v>
      </c>
      <c r="AF41" s="41">
        <f t="shared" si="37"/>
        <v>2017.3333333333333</v>
      </c>
      <c r="AG41" s="41">
        <f t="shared" si="38"/>
        <v>2017</v>
      </c>
      <c r="AH41" s="41">
        <f t="shared" si="39"/>
        <v>-0.08333333333333333</v>
      </c>
      <c r="AJ41" s="224">
        <f t="shared" si="41"/>
        <v>289.8666666666666</v>
      </c>
      <c r="AL41" s="224">
        <f t="shared" si="42"/>
        <v>455.5047619047242</v>
      </c>
      <c r="AN41" s="224">
        <f t="shared" si="43"/>
        <v>0</v>
      </c>
      <c r="AP41" s="224">
        <f t="shared" si="40"/>
        <v>952.4190476190288</v>
      </c>
      <c r="AR41" s="146">
        <f t="shared" si="44"/>
        <v>952.4190476190288</v>
      </c>
    </row>
    <row r="42" spans="1:44" s="7" customFormat="1" ht="12">
      <c r="A42" s="7">
        <v>109830</v>
      </c>
      <c r="B42" s="35"/>
      <c r="D42" s="36" t="s">
        <v>213</v>
      </c>
      <c r="E42" s="7">
        <v>2013</v>
      </c>
      <c r="F42" s="7">
        <v>12</v>
      </c>
      <c r="G42" s="37">
        <v>0</v>
      </c>
      <c r="I42" s="35" t="s">
        <v>82</v>
      </c>
      <c r="J42" s="38">
        <v>7</v>
      </c>
      <c r="K42" s="39">
        <f t="shared" si="23"/>
        <v>2020</v>
      </c>
      <c r="N42" s="40">
        <f>1101.59*3</f>
        <v>3304.7699999999995</v>
      </c>
      <c r="P42" s="41">
        <f t="shared" si="24"/>
        <v>3304.7699999999995</v>
      </c>
      <c r="Q42" s="41">
        <f t="shared" si="25"/>
        <v>39.342499999999994</v>
      </c>
      <c r="R42" s="41">
        <f t="shared" si="26"/>
        <v>472.1099999999999</v>
      </c>
      <c r="S42" s="41">
        <f t="shared" si="27"/>
        <v>0</v>
      </c>
      <c r="T42" s="41">
        <f t="shared" si="28"/>
        <v>472.1099999999999</v>
      </c>
      <c r="U42" s="41">
        <v>1</v>
      </c>
      <c r="V42" s="41">
        <f t="shared" si="29"/>
        <v>472.1099999999999</v>
      </c>
      <c r="W42" s="41"/>
      <c r="X42" s="41">
        <f t="shared" si="30"/>
        <v>1455.672499999964</v>
      </c>
      <c r="Y42" s="41">
        <f t="shared" si="31"/>
        <v>1455.672499999964</v>
      </c>
      <c r="Z42" s="41">
        <v>1</v>
      </c>
      <c r="AA42" s="41">
        <f t="shared" si="32"/>
        <v>1455.672499999964</v>
      </c>
      <c r="AB42" s="41">
        <f t="shared" si="33"/>
        <v>1927.7824999999639</v>
      </c>
      <c r="AC42" s="41">
        <f t="shared" si="34"/>
        <v>1613.0425000000355</v>
      </c>
      <c r="AD42" s="41">
        <f t="shared" si="35"/>
        <v>2013.9166666666667</v>
      </c>
      <c r="AE42" s="41">
        <f t="shared" si="36"/>
        <v>2018</v>
      </c>
      <c r="AF42" s="41">
        <f t="shared" si="37"/>
        <v>2020.9166666666667</v>
      </c>
      <c r="AG42" s="41">
        <f t="shared" si="38"/>
        <v>2017</v>
      </c>
      <c r="AH42" s="41">
        <f t="shared" si="39"/>
        <v>-0.08333333333333333</v>
      </c>
      <c r="AJ42" s="224">
        <f t="shared" si="41"/>
        <v>0</v>
      </c>
      <c r="AL42" s="224">
        <f t="shared" si="42"/>
        <v>472.1099999999999</v>
      </c>
      <c r="AN42" s="224">
        <f t="shared" si="43"/>
        <v>0</v>
      </c>
      <c r="AP42" s="224">
        <f t="shared" si="40"/>
        <v>0</v>
      </c>
      <c r="AR42" s="146">
        <f t="shared" si="44"/>
        <v>1613.0425000000355</v>
      </c>
    </row>
    <row r="43" spans="1:44" s="7" customFormat="1" ht="12">
      <c r="A43" s="7">
        <v>115085</v>
      </c>
      <c r="B43" s="35" t="s">
        <v>98</v>
      </c>
      <c r="C43" s="7">
        <v>5036</v>
      </c>
      <c r="D43" s="36" t="s">
        <v>218</v>
      </c>
      <c r="E43" s="7">
        <v>2014</v>
      </c>
      <c r="F43" s="7">
        <v>8</v>
      </c>
      <c r="G43" s="37">
        <v>0</v>
      </c>
      <c r="I43" s="35" t="s">
        <v>82</v>
      </c>
      <c r="J43" s="38">
        <v>3</v>
      </c>
      <c r="K43" s="39">
        <f t="shared" si="23"/>
        <v>2017</v>
      </c>
      <c r="N43" s="40">
        <v>6532.56</v>
      </c>
      <c r="P43" s="41">
        <f t="shared" si="24"/>
        <v>6532.56</v>
      </c>
      <c r="Q43" s="41">
        <f t="shared" si="25"/>
        <v>181.46</v>
      </c>
      <c r="R43" s="41">
        <f t="shared" si="26"/>
        <v>1270.219999999835</v>
      </c>
      <c r="S43" s="41">
        <f t="shared" si="27"/>
        <v>0</v>
      </c>
      <c r="T43" s="41">
        <f t="shared" si="28"/>
        <v>1270.219999999835</v>
      </c>
      <c r="U43" s="41">
        <v>1</v>
      </c>
      <c r="V43" s="41">
        <f t="shared" si="29"/>
        <v>1270.219999999835</v>
      </c>
      <c r="W43" s="41"/>
      <c r="X43" s="41">
        <f t="shared" si="30"/>
        <v>5262.340000000166</v>
      </c>
      <c r="Y43" s="41">
        <f t="shared" si="31"/>
        <v>5262.340000000166</v>
      </c>
      <c r="Z43" s="41">
        <v>1</v>
      </c>
      <c r="AA43" s="41">
        <f t="shared" si="32"/>
        <v>5262.340000000166</v>
      </c>
      <c r="AB43" s="41">
        <f t="shared" si="33"/>
        <v>6532.56</v>
      </c>
      <c r="AC43" s="41">
        <f t="shared" si="34"/>
        <v>635.1099999999174</v>
      </c>
      <c r="AD43" s="41">
        <f t="shared" si="35"/>
        <v>2014.5833333333333</v>
      </c>
      <c r="AE43" s="41">
        <f t="shared" si="36"/>
        <v>2018</v>
      </c>
      <c r="AF43" s="41">
        <f t="shared" si="37"/>
        <v>2017.5833333333333</v>
      </c>
      <c r="AG43" s="41">
        <f t="shared" si="38"/>
        <v>2017</v>
      </c>
      <c r="AH43" s="41">
        <f t="shared" si="39"/>
        <v>-0.08333333333333333</v>
      </c>
      <c r="AJ43" s="224">
        <f t="shared" si="41"/>
        <v>0</v>
      </c>
      <c r="AL43" s="224">
        <f t="shared" si="42"/>
        <v>1270.219999999835</v>
      </c>
      <c r="AN43" s="224">
        <f t="shared" si="43"/>
        <v>0</v>
      </c>
      <c r="AP43" s="224">
        <f t="shared" si="40"/>
        <v>0</v>
      </c>
      <c r="AR43" s="146">
        <f t="shared" si="44"/>
        <v>635.1099999999174</v>
      </c>
    </row>
    <row r="44" spans="1:44" s="7" customFormat="1" ht="12">
      <c r="A44" s="7">
        <v>119112</v>
      </c>
      <c r="B44" s="35" t="s">
        <v>98</v>
      </c>
      <c r="C44" s="7">
        <v>5033</v>
      </c>
      <c r="D44" s="36" t="s">
        <v>223</v>
      </c>
      <c r="E44" s="7">
        <v>2015</v>
      </c>
      <c r="F44" s="7">
        <v>1</v>
      </c>
      <c r="G44" s="37">
        <v>0</v>
      </c>
      <c r="I44" s="35" t="s">
        <v>82</v>
      </c>
      <c r="J44" s="38">
        <v>3</v>
      </c>
      <c r="K44" s="39">
        <f t="shared" si="23"/>
        <v>2018</v>
      </c>
      <c r="N44" s="40">
        <v>5011.71</v>
      </c>
      <c r="P44" s="41">
        <f t="shared" si="24"/>
        <v>5011.71</v>
      </c>
      <c r="Q44" s="41">
        <f t="shared" si="25"/>
        <v>139.21416666666667</v>
      </c>
      <c r="R44" s="41">
        <f t="shared" si="26"/>
        <v>1670.5700000000002</v>
      </c>
      <c r="S44" s="41">
        <f t="shared" si="27"/>
        <v>0</v>
      </c>
      <c r="T44" s="41">
        <f t="shared" si="28"/>
        <v>1670.5700000000002</v>
      </c>
      <c r="U44" s="41">
        <v>1</v>
      </c>
      <c r="V44" s="41">
        <f t="shared" si="29"/>
        <v>1670.5700000000002</v>
      </c>
      <c r="W44" s="41"/>
      <c r="X44" s="41">
        <f t="shared" si="30"/>
        <v>3341.14</v>
      </c>
      <c r="Y44" s="41">
        <f t="shared" si="31"/>
        <v>3341.14</v>
      </c>
      <c r="Z44" s="41">
        <v>1</v>
      </c>
      <c r="AA44" s="41">
        <f t="shared" si="32"/>
        <v>3341.14</v>
      </c>
      <c r="AB44" s="41">
        <f t="shared" si="33"/>
        <v>5011.71</v>
      </c>
      <c r="AC44" s="41">
        <f t="shared" si="34"/>
        <v>835.2850000000001</v>
      </c>
      <c r="AD44" s="41">
        <f t="shared" si="35"/>
        <v>2015</v>
      </c>
      <c r="AE44" s="41">
        <f t="shared" si="36"/>
        <v>2018</v>
      </c>
      <c r="AF44" s="41">
        <f t="shared" si="37"/>
        <v>2018</v>
      </c>
      <c r="AG44" s="41">
        <f t="shared" si="38"/>
        <v>2017</v>
      </c>
      <c r="AH44" s="41">
        <f t="shared" si="39"/>
        <v>-0.08333333333333333</v>
      </c>
      <c r="AJ44" s="224">
        <f t="shared" si="41"/>
        <v>0</v>
      </c>
      <c r="AL44" s="224">
        <f t="shared" si="42"/>
        <v>1670.5700000000002</v>
      </c>
      <c r="AN44" s="224">
        <f t="shared" si="43"/>
        <v>0</v>
      </c>
      <c r="AP44" s="224">
        <f t="shared" si="40"/>
        <v>0</v>
      </c>
      <c r="AR44" s="146">
        <f t="shared" si="44"/>
        <v>835.2850000000001</v>
      </c>
    </row>
    <row r="45" spans="1:44" s="7" customFormat="1" ht="12">
      <c r="A45" s="7">
        <v>119113</v>
      </c>
      <c r="B45" s="35" t="s">
        <v>98</v>
      </c>
      <c r="C45" s="7">
        <v>5037</v>
      </c>
      <c r="D45" s="36" t="s">
        <v>223</v>
      </c>
      <c r="E45" s="7">
        <v>2015</v>
      </c>
      <c r="F45" s="7">
        <v>1</v>
      </c>
      <c r="G45" s="37">
        <v>0</v>
      </c>
      <c r="I45" s="35" t="s">
        <v>82</v>
      </c>
      <c r="J45" s="38">
        <v>3</v>
      </c>
      <c r="K45" s="39">
        <f t="shared" si="23"/>
        <v>2018</v>
      </c>
      <c r="N45" s="40">
        <v>5014.96</v>
      </c>
      <c r="P45" s="41">
        <f t="shared" si="24"/>
        <v>5014.96</v>
      </c>
      <c r="Q45" s="41">
        <f t="shared" si="25"/>
        <v>139.30444444444444</v>
      </c>
      <c r="R45" s="41">
        <f t="shared" si="26"/>
        <v>1671.6533333333332</v>
      </c>
      <c r="S45" s="41">
        <f t="shared" si="27"/>
        <v>0</v>
      </c>
      <c r="T45" s="41">
        <f t="shared" si="28"/>
        <v>1671.6533333333332</v>
      </c>
      <c r="U45" s="41">
        <v>1</v>
      </c>
      <c r="V45" s="41">
        <f t="shared" si="29"/>
        <v>1671.6533333333332</v>
      </c>
      <c r="W45" s="41"/>
      <c r="X45" s="41">
        <f t="shared" si="30"/>
        <v>3343.306666666667</v>
      </c>
      <c r="Y45" s="41">
        <f t="shared" si="31"/>
        <v>3343.306666666667</v>
      </c>
      <c r="Z45" s="41">
        <v>1</v>
      </c>
      <c r="AA45" s="41">
        <f t="shared" si="32"/>
        <v>3343.306666666667</v>
      </c>
      <c r="AB45" s="41">
        <f t="shared" si="33"/>
        <v>5014.96</v>
      </c>
      <c r="AC45" s="41">
        <f t="shared" si="34"/>
        <v>835.8266666666666</v>
      </c>
      <c r="AD45" s="41">
        <f t="shared" si="35"/>
        <v>2015</v>
      </c>
      <c r="AE45" s="41">
        <f t="shared" si="36"/>
        <v>2018</v>
      </c>
      <c r="AF45" s="41">
        <f t="shared" si="37"/>
        <v>2018</v>
      </c>
      <c r="AG45" s="41">
        <f t="shared" si="38"/>
        <v>2017</v>
      </c>
      <c r="AH45" s="41">
        <f t="shared" si="39"/>
        <v>-0.08333333333333333</v>
      </c>
      <c r="AJ45" s="224">
        <f t="shared" si="41"/>
        <v>0</v>
      </c>
      <c r="AL45" s="224">
        <f t="shared" si="42"/>
        <v>1671.6533333333332</v>
      </c>
      <c r="AN45" s="224">
        <f t="shared" si="43"/>
        <v>0</v>
      </c>
      <c r="AP45" s="224">
        <f t="shared" si="40"/>
        <v>0</v>
      </c>
      <c r="AR45" s="146">
        <f t="shared" si="44"/>
        <v>835.8266666666666</v>
      </c>
    </row>
    <row r="46" spans="1:44" s="7" customFormat="1" ht="12">
      <c r="A46" s="7">
        <v>124719</v>
      </c>
      <c r="B46" s="35" t="s">
        <v>98</v>
      </c>
      <c r="C46" s="7">
        <v>5037</v>
      </c>
      <c r="D46" s="36" t="s">
        <v>225</v>
      </c>
      <c r="E46" s="7">
        <v>2015</v>
      </c>
      <c r="F46" s="7">
        <v>8</v>
      </c>
      <c r="G46" s="37">
        <v>0</v>
      </c>
      <c r="I46" s="35" t="s">
        <v>82</v>
      </c>
      <c r="J46" s="38">
        <v>3</v>
      </c>
      <c r="K46" s="39">
        <f t="shared" si="23"/>
        <v>2018</v>
      </c>
      <c r="N46" s="40">
        <v>9352.18</v>
      </c>
      <c r="P46" s="41">
        <f t="shared" si="24"/>
        <v>9352.18</v>
      </c>
      <c r="Q46" s="41">
        <f t="shared" si="25"/>
        <v>259.78277777777777</v>
      </c>
      <c r="R46" s="41">
        <f t="shared" si="26"/>
        <v>3117.3933333333334</v>
      </c>
      <c r="S46" s="41">
        <f t="shared" si="27"/>
        <v>0</v>
      </c>
      <c r="T46" s="41">
        <f t="shared" si="28"/>
        <v>3117.3933333333334</v>
      </c>
      <c r="U46" s="41">
        <v>1</v>
      </c>
      <c r="V46" s="41">
        <f t="shared" si="29"/>
        <v>3117.3933333333334</v>
      </c>
      <c r="W46" s="41"/>
      <c r="X46" s="41">
        <f t="shared" si="30"/>
        <v>4416.307222222458</v>
      </c>
      <c r="Y46" s="41">
        <f t="shared" si="31"/>
        <v>4416.307222222458</v>
      </c>
      <c r="Z46" s="41">
        <v>1</v>
      </c>
      <c r="AA46" s="41">
        <f t="shared" si="32"/>
        <v>4416.307222222458</v>
      </c>
      <c r="AB46" s="41">
        <f t="shared" si="33"/>
        <v>7533.700555555792</v>
      </c>
      <c r="AC46" s="41">
        <f t="shared" si="34"/>
        <v>3377.1761111108754</v>
      </c>
      <c r="AD46" s="41">
        <f t="shared" si="35"/>
        <v>2015.5833333333333</v>
      </c>
      <c r="AE46" s="41">
        <f t="shared" si="36"/>
        <v>2018</v>
      </c>
      <c r="AF46" s="41">
        <f t="shared" si="37"/>
        <v>2018.5833333333333</v>
      </c>
      <c r="AG46" s="41">
        <f t="shared" si="38"/>
        <v>2017</v>
      </c>
      <c r="AH46" s="41">
        <f t="shared" si="39"/>
        <v>-0.08333333333333333</v>
      </c>
      <c r="AJ46" s="224">
        <f t="shared" si="41"/>
        <v>0</v>
      </c>
      <c r="AL46" s="224">
        <f t="shared" si="42"/>
        <v>3117.3933333333334</v>
      </c>
      <c r="AN46" s="224">
        <f t="shared" si="43"/>
        <v>0</v>
      </c>
      <c r="AP46" s="224">
        <f t="shared" si="40"/>
        <v>0</v>
      </c>
      <c r="AR46" s="146">
        <f t="shared" si="44"/>
        <v>3377.1761111108754</v>
      </c>
    </row>
    <row r="47" spans="2:29" s="60" customFormat="1" ht="12">
      <c r="B47" s="61"/>
      <c r="D47" s="62"/>
      <c r="G47" s="63"/>
      <c r="I47" s="64"/>
      <c r="J47" s="65"/>
      <c r="K47" s="66"/>
      <c r="N47" s="67"/>
      <c r="P47" s="67"/>
      <c r="Q47" s="67"/>
      <c r="R47" s="67"/>
      <c r="V47" s="67"/>
      <c r="AA47" s="67"/>
      <c r="AB47" s="67"/>
      <c r="AC47" s="67"/>
    </row>
    <row r="48" spans="2:44" s="60" customFormat="1" ht="12">
      <c r="B48" s="61"/>
      <c r="D48" s="62"/>
      <c r="G48" s="63"/>
      <c r="I48" s="64"/>
      <c r="J48" s="65"/>
      <c r="K48" s="66"/>
      <c r="N48" s="67">
        <f>SUM(N39:N47)</f>
        <v>308026.81000000006</v>
      </c>
      <c r="P48" s="67">
        <f>SUM(P39:P47)</f>
        <v>252264.68399999995</v>
      </c>
      <c r="Q48" s="67">
        <f>SUM(Q39:Q47)</f>
        <v>3414.443222222222</v>
      </c>
      <c r="R48" s="67">
        <f>SUM(R39:R47)</f>
        <v>8367.58476190456</v>
      </c>
      <c r="S48" s="67"/>
      <c r="T48" s="67">
        <f>SUM(T39:T47)</f>
        <v>8367.58476190456</v>
      </c>
      <c r="U48" s="67"/>
      <c r="V48" s="67">
        <f>SUM(V39:V47)</f>
        <v>8367.58476190456</v>
      </c>
      <c r="W48" s="67"/>
      <c r="X48" s="67">
        <f>SUM(X39:X47)</f>
        <v>240701.63229365123</v>
      </c>
      <c r="Y48" s="67">
        <f>SUM(Y39:Y47)</f>
        <v>240701.63229365123</v>
      </c>
      <c r="Z48" s="67"/>
      <c r="AA48" s="67">
        <f>SUM(AA39:AA47)</f>
        <v>240701.63229365123</v>
      </c>
      <c r="AB48" s="67">
        <f>SUM(AB39:AB47)</f>
        <v>249069.21705555572</v>
      </c>
      <c r="AC48" s="67">
        <f>SUM(AC39:AC47)</f>
        <v>63141.385325396535</v>
      </c>
      <c r="AJ48" s="225">
        <f aca="true" t="shared" si="45" ref="AJ48:AR48">SUM(AJ39:AJ47)</f>
        <v>18587.375333333333</v>
      </c>
      <c r="AK48" s="225"/>
      <c r="AL48" s="225">
        <f t="shared" si="45"/>
        <v>26954.960095237893</v>
      </c>
      <c r="AM48" s="225"/>
      <c r="AN48" s="225">
        <f t="shared" si="45"/>
        <v>-54892.52600000001</v>
      </c>
      <c r="AO48" s="225"/>
      <c r="AP48" s="225">
        <f t="shared" si="45"/>
        <v>952.4190476190288</v>
      </c>
      <c r="AQ48" s="225"/>
      <c r="AR48" s="225">
        <f t="shared" si="45"/>
        <v>8248.859325396523</v>
      </c>
    </row>
    <row r="49" spans="2:29" s="60" customFormat="1" ht="12">
      <c r="B49" s="61"/>
      <c r="D49" s="62"/>
      <c r="G49" s="63"/>
      <c r="I49" s="64"/>
      <c r="J49" s="65"/>
      <c r="K49" s="66"/>
      <c r="N49" s="67"/>
      <c r="P49" s="67"/>
      <c r="Q49" s="67"/>
      <c r="R49" s="67"/>
      <c r="V49" s="67"/>
      <c r="AA49" s="67"/>
      <c r="AB49" s="67"/>
      <c r="AC49" s="67"/>
    </row>
    <row r="50" spans="2:44" s="60" customFormat="1" ht="12">
      <c r="B50" s="61"/>
      <c r="D50" s="62"/>
      <c r="G50" s="63"/>
      <c r="I50" s="64"/>
      <c r="J50" s="65"/>
      <c r="K50" s="66"/>
      <c r="N50" s="67">
        <f>N36+N48</f>
        <v>2248617.79</v>
      </c>
      <c r="P50" s="67">
        <f>P36+P48</f>
        <v>1902334.8176999998</v>
      </c>
      <c r="Q50" s="67">
        <f>Q36+Q48</f>
        <v>22040.233741825396</v>
      </c>
      <c r="R50" s="67">
        <f>R36+R48</f>
        <v>89087.16371428594</v>
      </c>
      <c r="S50" s="67"/>
      <c r="T50" s="67">
        <f>T36+T48</f>
        <v>8367.58476190456</v>
      </c>
      <c r="U50" s="67"/>
      <c r="V50" s="67">
        <f>V36+V48</f>
        <v>89087.16371428594</v>
      </c>
      <c r="W50" s="67"/>
      <c r="X50" s="67">
        <f>X36+X48</f>
        <v>240701.63229365123</v>
      </c>
      <c r="Y50" s="67">
        <f>Y36+Y48</f>
        <v>240701.63229365123</v>
      </c>
      <c r="Z50" s="67"/>
      <c r="AA50" s="67">
        <f>AA36+AA48</f>
        <v>1380274.460088885</v>
      </c>
      <c r="AB50" s="67">
        <f>AB36+AB48</f>
        <v>1469361.623803171</v>
      </c>
      <c r="AC50" s="67">
        <f>AC36+AC48</f>
        <v>823242.8980539723</v>
      </c>
      <c r="AJ50" s="225">
        <f aca="true" t="shared" si="46" ref="AJ50:AR50">AJ36+AJ48</f>
        <v>108164.57041884058</v>
      </c>
      <c r="AK50" s="225"/>
      <c r="AL50" s="225">
        <f t="shared" si="46"/>
        <v>179704.5441331265</v>
      </c>
      <c r="AM50" s="225"/>
      <c r="AN50" s="225">
        <f t="shared" si="46"/>
        <v>-297030.0203</v>
      </c>
      <c r="AO50" s="225"/>
      <c r="AP50" s="225">
        <f t="shared" si="46"/>
        <v>181783.22798343684</v>
      </c>
      <c r="AQ50" s="225"/>
      <c r="AR50" s="225">
        <f t="shared" si="46"/>
        <v>492535.2125945505</v>
      </c>
    </row>
    <row r="51" spans="2:29" s="60" customFormat="1" ht="12">
      <c r="B51" s="61"/>
      <c r="D51" s="62"/>
      <c r="G51" s="63"/>
      <c r="I51" s="64"/>
      <c r="J51" s="65"/>
      <c r="K51" s="66"/>
      <c r="N51" s="67"/>
      <c r="P51" s="67"/>
      <c r="Q51" s="67"/>
      <c r="R51" s="67"/>
      <c r="V51" s="67"/>
      <c r="AA51" s="67"/>
      <c r="AB51" s="67"/>
      <c r="AC51" s="67"/>
    </row>
    <row r="52" spans="2:18" s="7" customFormat="1" ht="12">
      <c r="B52" s="35"/>
      <c r="G52" s="35"/>
      <c r="I52" s="35"/>
      <c r="J52" s="35"/>
      <c r="K52" s="44"/>
      <c r="N52" s="45"/>
      <c r="P52" s="70"/>
      <c r="R52" s="71"/>
    </row>
    <row r="53" spans="2:28" s="7" customFormat="1" ht="12">
      <c r="B53" s="35"/>
      <c r="G53" s="35"/>
      <c r="I53" s="35"/>
      <c r="J53" s="35"/>
      <c r="K53" s="44"/>
      <c r="N53" s="72"/>
      <c r="P53" s="70"/>
      <c r="Q53" s="73"/>
      <c r="AB53" s="72"/>
    </row>
    <row r="54" spans="2:16" s="7" customFormat="1" ht="12">
      <c r="B54" s="35"/>
      <c r="G54" s="35"/>
      <c r="I54" s="35"/>
      <c r="J54" s="35"/>
      <c r="K54" s="44"/>
      <c r="N54" s="72"/>
      <c r="P54" s="74"/>
    </row>
    <row r="55" spans="2:14" s="7" customFormat="1" ht="12">
      <c r="B55" s="35"/>
      <c r="G55" s="35"/>
      <c r="I55" s="35"/>
      <c r="J55" s="35"/>
      <c r="K55" s="44"/>
      <c r="N55" s="72"/>
    </row>
    <row r="56" spans="2:14" s="7" customFormat="1" ht="12">
      <c r="B56" s="75" t="s">
        <v>263</v>
      </c>
      <c r="G56" s="35"/>
      <c r="I56" s="35"/>
      <c r="J56" s="35"/>
      <c r="K56" s="44"/>
      <c r="N56" s="72"/>
    </row>
    <row r="57" spans="2:44" s="7" customFormat="1" ht="12">
      <c r="B57" s="35" t="s">
        <v>103</v>
      </c>
      <c r="C57" s="7">
        <v>3545</v>
      </c>
      <c r="D57" s="36" t="s">
        <v>104</v>
      </c>
      <c r="E57" s="7">
        <v>2008</v>
      </c>
      <c r="F57" s="7">
        <v>11</v>
      </c>
      <c r="G57" s="37">
        <v>0.33</v>
      </c>
      <c r="I57" s="35" t="s">
        <v>82</v>
      </c>
      <c r="J57" s="38">
        <v>5</v>
      </c>
      <c r="K57" s="39">
        <f aca="true" t="shared" si="47" ref="K57:K66">E57+J57</f>
        <v>2013</v>
      </c>
      <c r="N57" s="40">
        <v>18500</v>
      </c>
      <c r="P57" s="41">
        <f aca="true" t="shared" si="48" ref="P57:P63">N57-N57*G57</f>
        <v>12395</v>
      </c>
      <c r="Q57" s="41">
        <f aca="true" t="shared" si="49" ref="Q57:Q63">P57/J57/12</f>
        <v>206.58333333333334</v>
      </c>
      <c r="R57" s="41">
        <f aca="true" t="shared" si="50" ref="R57:R63">IF(O57&gt;0,0,IF(OR(AD57&gt;AE57,AF57&lt;AG57),0,IF(AND(AF57&gt;=AG57,AF57&lt;=AE57),Q57*((AF57-AG57)*12),IF(AND(AG57&lt;=AD57,AE57&gt;=AD57),((AE57-AD57)*12)*Q57,IF(AF57&gt;AE57,12*Q57,0)))))</f>
        <v>0</v>
      </c>
      <c r="S57" s="41">
        <f aca="true" t="shared" si="51" ref="S57:S63">IF(O57=0,0,IF(AND(AH57&gt;=AG57,AH57&lt;=AF57),((AH57-AG57)*12)*Q57,0))</f>
        <v>0</v>
      </c>
      <c r="T57" s="41">
        <f aca="true" t="shared" si="52" ref="T57:T63">IF(S57&gt;0,S57,R57)</f>
        <v>0</v>
      </c>
      <c r="U57" s="41">
        <v>1</v>
      </c>
      <c r="V57" s="41">
        <f aca="true" t="shared" si="53" ref="V57:V63">U57*SUM(R57:S57)</f>
        <v>0</v>
      </c>
      <c r="W57" s="41"/>
      <c r="X57" s="41">
        <f aca="true" t="shared" si="54" ref="X57:X63">IF(AD57&gt;AE57,0,IF(AF57&lt;AG57,P57,IF(AND(AF57&gt;=AG57,AF57&lt;=AE57),(P57-T57),IF(AND(AG57&lt;=AD57,AE57&gt;=AD57),0,IF(AF57&gt;AE57,((AG57-AD57)*12)*Q57,0)))))</f>
        <v>12395</v>
      </c>
      <c r="Y57" s="41">
        <f aca="true" t="shared" si="55" ref="Y57:Y63">X57*U57</f>
        <v>12395</v>
      </c>
      <c r="Z57" s="41">
        <v>1</v>
      </c>
      <c r="AA57" s="41">
        <f aca="true" t="shared" si="56" ref="AA57:AA63">Y57*Z57</f>
        <v>12395</v>
      </c>
      <c r="AB57" s="41">
        <f aca="true" t="shared" si="57" ref="AB57:AB63">IF(O57&gt;0,0,AA57+V57*Z57)*Z57</f>
        <v>12395</v>
      </c>
      <c r="AC57" s="41">
        <f aca="true" t="shared" si="58" ref="AC57:AC63">IF(O57&gt;0,(N57-AA57)/2,IF(AD57&gt;=AG57,(((N57*U57)*Z57)-AB57)/2,((((N57*U57)*Z57)-AA57)+(((N57*U57)*Z57)-AB57))/2))</f>
        <v>6105</v>
      </c>
      <c r="AD57" s="41">
        <f aca="true" t="shared" si="59" ref="AD57:AD66">$E57+(($F57-1)/12)</f>
        <v>2008.8333333333333</v>
      </c>
      <c r="AE57" s="41">
        <f>($P$5+1)-($P$2/12)</f>
        <v>2018</v>
      </c>
      <c r="AF57" s="41">
        <f aca="true" t="shared" si="60" ref="AF57:AF66">$K57+(($F57-1)/12)</f>
        <v>2013.8333333333333</v>
      </c>
      <c r="AG57" s="41">
        <f>$P$4+($P$3/12)</f>
        <v>2017</v>
      </c>
      <c r="AH57" s="41">
        <f aca="true" t="shared" si="61" ref="AH57:AH66">$L57+(($M57-1)/12)</f>
        <v>-0.08333333333333333</v>
      </c>
      <c r="AJ57" s="224">
        <f>+IF((AF57-AG57)&gt;3,((N57-P57)/(AF57-AG57)),(N57-P57)/3)</f>
        <v>2035</v>
      </c>
      <c r="AL57" s="224">
        <f>+AJ57+T57</f>
        <v>2035</v>
      </c>
      <c r="AN57" s="224">
        <f>+IF(AF57&lt;AG57,-AC57,0)</f>
        <v>-6105</v>
      </c>
      <c r="AP57" s="224">
        <f aca="true" t="shared" si="62" ref="AP57:AP63">IF(AF57&gt;AG57,IF(AJ57&gt;0,IF(O57&gt;0,(N57-AA57)/2,IF(AD57&gt;=AG57,(((N57*U57)*Z57)-AB57)/2,((((N57*U57)*Z57)-AA57)+(((N57*U57)*Z57)-AB57))/2)),0),0)</f>
        <v>0</v>
      </c>
      <c r="AR57" s="146">
        <f>+AC57+AN57+(IF(AP57&gt;0,(AP57-AC57),0))</f>
        <v>0</v>
      </c>
    </row>
    <row r="58" spans="2:44" s="77" customFormat="1" ht="12">
      <c r="B58" s="78" t="s">
        <v>103</v>
      </c>
      <c r="C58" s="77">
        <v>3547</v>
      </c>
      <c r="D58" s="79" t="s">
        <v>105</v>
      </c>
      <c r="E58" s="77">
        <v>2008</v>
      </c>
      <c r="F58" s="77">
        <v>11</v>
      </c>
      <c r="G58" s="80">
        <v>0.33</v>
      </c>
      <c r="I58" s="78" t="s">
        <v>82</v>
      </c>
      <c r="J58" s="81">
        <v>5</v>
      </c>
      <c r="K58" s="82">
        <f t="shared" si="47"/>
        <v>2013</v>
      </c>
      <c r="N58" s="83">
        <v>18500</v>
      </c>
      <c r="P58" s="84">
        <f t="shared" si="48"/>
        <v>12395</v>
      </c>
      <c r="Q58" s="84">
        <f t="shared" si="49"/>
        <v>206.58333333333334</v>
      </c>
      <c r="R58" s="84">
        <f t="shared" si="50"/>
        <v>0</v>
      </c>
      <c r="S58" s="84">
        <f t="shared" si="51"/>
        <v>0</v>
      </c>
      <c r="T58" s="84">
        <f t="shared" si="52"/>
        <v>0</v>
      </c>
      <c r="U58" s="84">
        <v>1</v>
      </c>
      <c r="V58" s="84">
        <f t="shared" si="53"/>
        <v>0</v>
      </c>
      <c r="W58" s="84"/>
      <c r="X58" s="84">
        <f t="shared" si="54"/>
        <v>12395</v>
      </c>
      <c r="Y58" s="84">
        <f t="shared" si="55"/>
        <v>12395</v>
      </c>
      <c r="Z58" s="84">
        <v>1</v>
      </c>
      <c r="AA58" s="84">
        <f t="shared" si="56"/>
        <v>12395</v>
      </c>
      <c r="AB58" s="84">
        <f t="shared" si="57"/>
        <v>12395</v>
      </c>
      <c r="AC58" s="84">
        <f t="shared" si="58"/>
        <v>6105</v>
      </c>
      <c r="AD58" s="84">
        <f t="shared" si="59"/>
        <v>2008.8333333333333</v>
      </c>
      <c r="AE58" s="84">
        <f>($P$5+1)-($P$2/12)</f>
        <v>2018</v>
      </c>
      <c r="AF58" s="84">
        <f t="shared" si="60"/>
        <v>2013.8333333333333</v>
      </c>
      <c r="AG58" s="84">
        <f>$P$4+($P$3/12)</f>
        <v>2017</v>
      </c>
      <c r="AH58" s="84">
        <f t="shared" si="61"/>
        <v>-0.08333333333333333</v>
      </c>
      <c r="AJ58" s="224">
        <f aca="true" t="shared" si="63" ref="AJ58:AJ63">+IF((AF58-AG58)&gt;3,((N58-P58)/(AF58-AG58)),(N58-P58)/3)</f>
        <v>2035</v>
      </c>
      <c r="AK58" s="7"/>
      <c r="AL58" s="224">
        <f aca="true" t="shared" si="64" ref="AL58:AL63">+AJ58+T58</f>
        <v>2035</v>
      </c>
      <c r="AM58" s="7"/>
      <c r="AN58" s="224">
        <f aca="true" t="shared" si="65" ref="AN58:AN63">+IF(AF58&lt;AG58,-AC58,0)</f>
        <v>-6105</v>
      </c>
      <c r="AO58" s="7"/>
      <c r="AP58" s="224">
        <f t="shared" si="62"/>
        <v>0</v>
      </c>
      <c r="AQ58" s="7"/>
      <c r="AR58" s="146">
        <f aca="true" t="shared" si="66" ref="AR58:AR63">+AC58+AN58+(IF(AP58&gt;0,(AP58-AC58),0))</f>
        <v>0</v>
      </c>
    </row>
    <row r="59" spans="1:44" s="7" customFormat="1" ht="12">
      <c r="A59" s="7">
        <v>109830</v>
      </c>
      <c r="B59" s="35"/>
      <c r="D59" s="36" t="s">
        <v>214</v>
      </c>
      <c r="E59" s="7">
        <v>2013</v>
      </c>
      <c r="F59" s="7">
        <v>12</v>
      </c>
      <c r="G59" s="37">
        <v>0</v>
      </c>
      <c r="I59" s="35" t="s">
        <v>82</v>
      </c>
      <c r="J59" s="38">
        <v>7</v>
      </c>
      <c r="K59" s="39">
        <f t="shared" si="47"/>
        <v>2020</v>
      </c>
      <c r="N59" s="40">
        <f>1101.59*4</f>
        <v>4406.36</v>
      </c>
      <c r="P59" s="41">
        <f t="shared" si="48"/>
        <v>4406.36</v>
      </c>
      <c r="Q59" s="41">
        <f t="shared" si="49"/>
        <v>52.456666666666656</v>
      </c>
      <c r="R59" s="41">
        <f t="shared" si="50"/>
        <v>629.4799999999999</v>
      </c>
      <c r="S59" s="41">
        <f t="shared" si="51"/>
        <v>0</v>
      </c>
      <c r="T59" s="41">
        <f t="shared" si="52"/>
        <v>629.4799999999999</v>
      </c>
      <c r="U59" s="41">
        <v>1</v>
      </c>
      <c r="V59" s="41">
        <f t="shared" si="53"/>
        <v>629.4799999999999</v>
      </c>
      <c r="W59" s="41"/>
      <c r="X59" s="41">
        <f t="shared" si="54"/>
        <v>1940.8966666666186</v>
      </c>
      <c r="Y59" s="41">
        <f t="shared" si="55"/>
        <v>1940.8966666666186</v>
      </c>
      <c r="Z59" s="41">
        <v>1</v>
      </c>
      <c r="AA59" s="41">
        <f t="shared" si="56"/>
        <v>1940.8966666666186</v>
      </c>
      <c r="AB59" s="41">
        <f t="shared" si="57"/>
        <v>2570.3766666666183</v>
      </c>
      <c r="AC59" s="41">
        <f t="shared" si="58"/>
        <v>2150.7233333333816</v>
      </c>
      <c r="AD59" s="41">
        <f t="shared" si="59"/>
        <v>2013.9166666666667</v>
      </c>
      <c r="AE59" s="41">
        <f>($P$5+1)-($P$2/12)</f>
        <v>2018</v>
      </c>
      <c r="AF59" s="41">
        <f t="shared" si="60"/>
        <v>2020.9166666666667</v>
      </c>
      <c r="AG59" s="41">
        <f>$P$4+($P$3/12)</f>
        <v>2017</v>
      </c>
      <c r="AH59" s="41">
        <f t="shared" si="61"/>
        <v>-0.08333333333333333</v>
      </c>
      <c r="AJ59" s="224">
        <f t="shared" si="63"/>
        <v>0</v>
      </c>
      <c r="AL59" s="224">
        <f t="shared" si="64"/>
        <v>629.4799999999999</v>
      </c>
      <c r="AN59" s="224">
        <f t="shared" si="65"/>
        <v>0</v>
      </c>
      <c r="AP59" s="224">
        <f t="shared" si="62"/>
        <v>0</v>
      </c>
      <c r="AR59" s="146">
        <f t="shared" si="66"/>
        <v>2150.7233333333816</v>
      </c>
    </row>
    <row r="60" spans="1:44" s="160" customFormat="1" ht="12">
      <c r="A60" s="160">
        <v>118075</v>
      </c>
      <c r="B60" s="161" t="s">
        <v>220</v>
      </c>
      <c r="C60" s="160">
        <v>5011</v>
      </c>
      <c r="D60" s="162" t="s">
        <v>221</v>
      </c>
      <c r="E60" s="160">
        <v>2014</v>
      </c>
      <c r="F60" s="160">
        <v>12</v>
      </c>
      <c r="G60" s="163">
        <v>0.33</v>
      </c>
      <c r="I60" s="161" t="s">
        <v>82</v>
      </c>
      <c r="J60" s="164">
        <v>5</v>
      </c>
      <c r="K60" s="165">
        <f t="shared" si="47"/>
        <v>2019</v>
      </c>
      <c r="N60" s="166">
        <v>172742.39</v>
      </c>
      <c r="P60" s="167">
        <f t="shared" si="48"/>
        <v>115737.4013</v>
      </c>
      <c r="Q60" s="167">
        <f t="shared" si="49"/>
        <v>1928.9566883333334</v>
      </c>
      <c r="R60" s="167">
        <f t="shared" si="50"/>
        <v>23147.48026</v>
      </c>
      <c r="S60" s="167">
        <f t="shared" si="51"/>
        <v>0</v>
      </c>
      <c r="T60" s="167">
        <f t="shared" si="52"/>
        <v>23147.48026</v>
      </c>
      <c r="U60" s="167">
        <v>1</v>
      </c>
      <c r="V60" s="167">
        <f t="shared" si="53"/>
        <v>23147.48026</v>
      </c>
      <c r="W60" s="167"/>
      <c r="X60" s="167">
        <f t="shared" si="54"/>
        <v>48223.91720833158</v>
      </c>
      <c r="Y60" s="167">
        <f t="shared" si="55"/>
        <v>48223.91720833158</v>
      </c>
      <c r="Z60" s="167">
        <v>1</v>
      </c>
      <c r="AA60" s="167">
        <f t="shared" si="56"/>
        <v>48223.91720833158</v>
      </c>
      <c r="AB60" s="167">
        <f t="shared" si="57"/>
        <v>71371.39746833158</v>
      </c>
      <c r="AC60" s="167">
        <f t="shared" si="58"/>
        <v>112944.73266166844</v>
      </c>
      <c r="AD60" s="167">
        <f t="shared" si="59"/>
        <v>2014.9166666666667</v>
      </c>
      <c r="AE60" s="167">
        <f>($P$5+1)-($P$2/12)</f>
        <v>2018</v>
      </c>
      <c r="AF60" s="167">
        <f t="shared" si="60"/>
        <v>2019.9166666666667</v>
      </c>
      <c r="AG60" s="167">
        <f>$P$4+($P$3/12)</f>
        <v>2017</v>
      </c>
      <c r="AH60" s="167">
        <f t="shared" si="61"/>
        <v>-0.08333333333333333</v>
      </c>
      <c r="AJ60" s="226">
        <f t="shared" si="63"/>
        <v>19001.662900000007</v>
      </c>
      <c r="AL60" s="226">
        <f t="shared" si="64"/>
        <v>42149.14316000001</v>
      </c>
      <c r="AN60" s="226">
        <f t="shared" si="65"/>
        <v>0</v>
      </c>
      <c r="AP60" s="224">
        <f t="shared" si="62"/>
        <v>112944.73266166844</v>
      </c>
      <c r="AR60" s="168">
        <f t="shared" si="66"/>
        <v>112944.73266166844</v>
      </c>
    </row>
    <row r="61" spans="1:44" s="160" customFormat="1" ht="12">
      <c r="A61" s="161"/>
      <c r="B61" s="161"/>
      <c r="C61" s="185" t="s">
        <v>240</v>
      </c>
      <c r="D61" s="162" t="s">
        <v>229</v>
      </c>
      <c r="E61" s="162">
        <v>2016</v>
      </c>
      <c r="F61" s="162">
        <v>3</v>
      </c>
      <c r="G61" s="163">
        <v>0</v>
      </c>
      <c r="I61" s="161" t="s">
        <v>82</v>
      </c>
      <c r="J61" s="164">
        <v>3</v>
      </c>
      <c r="K61" s="186">
        <f t="shared" si="47"/>
        <v>2019</v>
      </c>
      <c r="N61" s="166">
        <v>25087.2</v>
      </c>
      <c r="O61" s="187"/>
      <c r="P61" s="167">
        <f t="shared" si="48"/>
        <v>25087.2</v>
      </c>
      <c r="Q61" s="167">
        <f t="shared" si="49"/>
        <v>696.8666666666667</v>
      </c>
      <c r="R61" s="167">
        <f t="shared" si="50"/>
        <v>8362.4</v>
      </c>
      <c r="S61" s="167">
        <f t="shared" si="51"/>
        <v>0</v>
      </c>
      <c r="T61" s="167">
        <f t="shared" si="52"/>
        <v>8362.4</v>
      </c>
      <c r="U61" s="167">
        <v>1</v>
      </c>
      <c r="V61" s="167">
        <f t="shared" si="53"/>
        <v>8362.4</v>
      </c>
      <c r="W61" s="167"/>
      <c r="X61" s="167">
        <f t="shared" si="54"/>
        <v>6968.666666666033</v>
      </c>
      <c r="Y61" s="167">
        <f t="shared" si="55"/>
        <v>6968.666666666033</v>
      </c>
      <c r="Z61" s="167">
        <v>1</v>
      </c>
      <c r="AA61" s="167">
        <f t="shared" si="56"/>
        <v>6968.666666666033</v>
      </c>
      <c r="AB61" s="167">
        <f t="shared" si="57"/>
        <v>15331.066666666033</v>
      </c>
      <c r="AC61" s="167">
        <f t="shared" si="58"/>
        <v>13937.333333333967</v>
      </c>
      <c r="AD61" s="167">
        <f t="shared" si="59"/>
        <v>2016.1666666666667</v>
      </c>
      <c r="AE61" s="167">
        <f>('2144 Shop,Serv Orig'!$P$5+1)-('2144 Shop,Serv Orig'!$P$2/12)</f>
        <v>2018</v>
      </c>
      <c r="AF61" s="167">
        <f t="shared" si="60"/>
        <v>2019.1666666666667</v>
      </c>
      <c r="AG61" s="167">
        <f>'2144 Shop,Serv Orig'!$P$4+('2144 Shop,Serv Orig'!$P$3/12)</f>
        <v>2017</v>
      </c>
      <c r="AH61" s="167">
        <f t="shared" si="61"/>
        <v>-0.08333333333333333</v>
      </c>
      <c r="AJ61" s="226">
        <f t="shared" si="63"/>
        <v>0</v>
      </c>
      <c r="AL61" s="226">
        <f t="shared" si="64"/>
        <v>8362.4</v>
      </c>
      <c r="AN61" s="226">
        <f t="shared" si="65"/>
        <v>0</v>
      </c>
      <c r="AP61" s="226">
        <f t="shared" si="62"/>
        <v>0</v>
      </c>
      <c r="AR61" s="168">
        <f t="shared" si="66"/>
        <v>13937.333333333967</v>
      </c>
    </row>
    <row r="62" spans="1:44" s="7" customFormat="1" ht="12">
      <c r="A62" s="59">
        <v>181716</v>
      </c>
      <c r="B62" s="35" t="s">
        <v>106</v>
      </c>
      <c r="C62" s="77"/>
      <c r="D62" s="36" t="s">
        <v>242</v>
      </c>
      <c r="E62" s="7">
        <v>2002</v>
      </c>
      <c r="F62" s="7">
        <v>8</v>
      </c>
      <c r="G62" s="37">
        <v>0</v>
      </c>
      <c r="I62" s="35" t="s">
        <v>82</v>
      </c>
      <c r="J62" s="38">
        <v>6</v>
      </c>
      <c r="K62" s="94">
        <f t="shared" si="47"/>
        <v>2008</v>
      </c>
      <c r="N62" s="40">
        <v>65000</v>
      </c>
      <c r="O62" s="42"/>
      <c r="P62" s="41">
        <f t="shared" si="48"/>
        <v>65000</v>
      </c>
      <c r="Q62" s="41">
        <f t="shared" si="49"/>
        <v>902.7777777777778</v>
      </c>
      <c r="R62" s="41">
        <f t="shared" si="50"/>
        <v>0</v>
      </c>
      <c r="S62" s="41">
        <f t="shared" si="51"/>
        <v>0</v>
      </c>
      <c r="T62" s="41">
        <f t="shared" si="52"/>
        <v>0</v>
      </c>
      <c r="U62" s="41">
        <v>1</v>
      </c>
      <c r="V62" s="41">
        <f t="shared" si="53"/>
        <v>0</v>
      </c>
      <c r="W62" s="41"/>
      <c r="X62" s="41">
        <f t="shared" si="54"/>
        <v>65000</v>
      </c>
      <c r="Y62" s="41">
        <f t="shared" si="55"/>
        <v>65000</v>
      </c>
      <c r="Z62" s="41">
        <v>1</v>
      </c>
      <c r="AA62" s="41">
        <f t="shared" si="56"/>
        <v>65000</v>
      </c>
      <c r="AB62" s="41">
        <f t="shared" si="57"/>
        <v>65000</v>
      </c>
      <c r="AC62" s="41">
        <f t="shared" si="58"/>
        <v>0</v>
      </c>
      <c r="AD62" s="41">
        <f t="shared" si="59"/>
        <v>2002.5833333333333</v>
      </c>
      <c r="AE62" s="41">
        <f>('2144 Shop,Serv Orig'!$P$5+1)-('2144 Shop,Serv Orig'!$P$2/12)</f>
        <v>2018</v>
      </c>
      <c r="AF62" s="41">
        <f t="shared" si="60"/>
        <v>2008.5833333333333</v>
      </c>
      <c r="AG62" s="41">
        <f>'2144 Shop,Serv Orig'!$P$4+('2144 Shop,Serv Orig'!$P$3/12)</f>
        <v>2017</v>
      </c>
      <c r="AH62" s="41">
        <f t="shared" si="61"/>
        <v>-0.08333333333333333</v>
      </c>
      <c r="AJ62" s="224">
        <f t="shared" si="63"/>
        <v>0</v>
      </c>
      <c r="AL62" s="224">
        <f t="shared" si="64"/>
        <v>0</v>
      </c>
      <c r="AN62" s="224">
        <f t="shared" si="65"/>
        <v>0</v>
      </c>
      <c r="AP62" s="224">
        <f t="shared" si="62"/>
        <v>0</v>
      </c>
      <c r="AR62" s="146">
        <f t="shared" si="66"/>
        <v>0</v>
      </c>
    </row>
    <row r="63" spans="1:44" s="7" customFormat="1" ht="12">
      <c r="A63" s="59" t="s">
        <v>243</v>
      </c>
      <c r="B63" s="35" t="s">
        <v>106</v>
      </c>
      <c r="C63" s="7">
        <v>5002</v>
      </c>
      <c r="D63" s="7" t="s">
        <v>244</v>
      </c>
      <c r="E63" s="7">
        <v>2009</v>
      </c>
      <c r="F63" s="7">
        <v>10</v>
      </c>
      <c r="G63" s="37">
        <v>0</v>
      </c>
      <c r="I63" s="35" t="s">
        <v>82</v>
      </c>
      <c r="J63" s="38">
        <v>3</v>
      </c>
      <c r="K63" s="94">
        <f t="shared" si="47"/>
        <v>2012</v>
      </c>
      <c r="N63" s="40">
        <f>13302.3+13879.68</f>
        <v>27181.98</v>
      </c>
      <c r="O63" s="42"/>
      <c r="P63" s="41">
        <f t="shared" si="48"/>
        <v>27181.98</v>
      </c>
      <c r="Q63" s="41">
        <f t="shared" si="49"/>
        <v>755.055</v>
      </c>
      <c r="R63" s="41">
        <f t="shared" si="50"/>
        <v>0</v>
      </c>
      <c r="S63" s="41">
        <f t="shared" si="51"/>
        <v>0</v>
      </c>
      <c r="T63" s="41">
        <f t="shared" si="52"/>
        <v>0</v>
      </c>
      <c r="U63" s="41">
        <v>1</v>
      </c>
      <c r="V63" s="41">
        <f t="shared" si="53"/>
        <v>0</v>
      </c>
      <c r="W63" s="41"/>
      <c r="X63" s="41">
        <f t="shared" si="54"/>
        <v>27181.98</v>
      </c>
      <c r="Y63" s="41">
        <f t="shared" si="55"/>
        <v>27181.98</v>
      </c>
      <c r="Z63" s="41">
        <v>1</v>
      </c>
      <c r="AA63" s="41">
        <f t="shared" si="56"/>
        <v>27181.98</v>
      </c>
      <c r="AB63" s="41">
        <f t="shared" si="57"/>
        <v>27181.98</v>
      </c>
      <c r="AC63" s="41">
        <f t="shared" si="58"/>
        <v>0</v>
      </c>
      <c r="AD63" s="41">
        <f t="shared" si="59"/>
        <v>2009.75</v>
      </c>
      <c r="AE63" s="41">
        <f>('2144 Shop,Serv Orig'!$P$5+1)-('2144 Shop,Serv Orig'!$P$2/12)</f>
        <v>2018</v>
      </c>
      <c r="AF63" s="41">
        <f t="shared" si="60"/>
        <v>2012.75</v>
      </c>
      <c r="AG63" s="41">
        <f>'2144 Shop,Serv Orig'!$P$4+('2144 Shop,Serv Orig'!$P$3/12)</f>
        <v>2017</v>
      </c>
      <c r="AH63" s="41">
        <f t="shared" si="61"/>
        <v>-0.08333333333333333</v>
      </c>
      <c r="AJ63" s="224">
        <f t="shared" si="63"/>
        <v>0</v>
      </c>
      <c r="AL63" s="224">
        <f t="shared" si="64"/>
        <v>0</v>
      </c>
      <c r="AN63" s="224">
        <f t="shared" si="65"/>
        <v>0</v>
      </c>
      <c r="AP63" s="224">
        <f t="shared" si="62"/>
        <v>0</v>
      </c>
      <c r="AR63" s="146">
        <f t="shared" si="66"/>
        <v>0</v>
      </c>
    </row>
    <row r="64" spans="1:44" s="190" customFormat="1" ht="12">
      <c r="A64" s="190" t="s">
        <v>273</v>
      </c>
      <c r="B64" s="194"/>
      <c r="D64" s="190" t="s">
        <v>269</v>
      </c>
      <c r="E64" s="190">
        <v>2017</v>
      </c>
      <c r="F64" s="190">
        <v>10</v>
      </c>
      <c r="G64" s="198">
        <v>0</v>
      </c>
      <c r="I64" s="194" t="s">
        <v>82</v>
      </c>
      <c r="J64" s="195">
        <v>6</v>
      </c>
      <c r="K64" s="199">
        <f t="shared" si="47"/>
        <v>2023</v>
      </c>
      <c r="N64" s="196">
        <f>95178+864.17</f>
        <v>96042.17</v>
      </c>
      <c r="O64" s="200"/>
      <c r="P64" s="197">
        <f>N64-N64*G64</f>
        <v>96042.17</v>
      </c>
      <c r="Q64" s="197">
        <f>P64/J64/12</f>
        <v>1333.9190277777777</v>
      </c>
      <c r="R64" s="197">
        <f>IF(O64&gt;0,0,IF(OR(AD64&gt;AE64,AF64&lt;AG64),0,IF(AND(AF64&gt;=AG64,AF64&lt;=AE64),Q64*((AF64-AG64)*12),IF(AND(AG64&lt;=AD64,AE64&gt;=AD64),((AE64-AD64)*12)*Q64,IF(AF64&gt;AE64,12*Q64,0)))))</f>
        <v>4001.757083333333</v>
      </c>
      <c r="S64" s="197">
        <f>IF(O64=0,0,IF(AND(AH64&gt;=AG64,AH64&lt;=AF64),((AH64-AG64)*12)*Q64,0))</f>
        <v>0</v>
      </c>
      <c r="T64" s="197">
        <f>IF(S64&gt;0,S64,R64)</f>
        <v>4001.757083333333</v>
      </c>
      <c r="U64" s="197">
        <v>1</v>
      </c>
      <c r="V64" s="197">
        <f>U64*SUM(R64:S64)</f>
        <v>4001.757083333333</v>
      </c>
      <c r="W64" s="197"/>
      <c r="X64" s="197">
        <f>IF(AD64&gt;AE64,0,IF(AF64&lt;AG64,P64,IF(AND(AF64&gt;=AG64,AF64&lt;=AE64),(P64-T64),IF(AND(AG64&lt;=AD64,AE64&gt;=AD64),0,IF(AF64&gt;AE64,((AG64-AD64)*12)*Q64,0)))))</f>
        <v>0</v>
      </c>
      <c r="Y64" s="197">
        <f>X64*U64</f>
        <v>0</v>
      </c>
      <c r="Z64" s="197">
        <v>1</v>
      </c>
      <c r="AA64" s="197">
        <f>Y64*Z64</f>
        <v>0</v>
      </c>
      <c r="AB64" s="197">
        <f>IF(O64&gt;0,0,AA64+V64*Z64)*Z64</f>
        <v>4001.757083333333</v>
      </c>
      <c r="AC64" s="197">
        <f>IF(O64&gt;0,(N64-AA64)/2,IF(AD64&gt;=AG64,(((N64*U64)*Z64)-AB64)/2,((((N64*U64)*Z64)-AA64)+(((N64*U64)*Z64)-AB64))/2))</f>
        <v>46020.206458333334</v>
      </c>
      <c r="AD64" s="197">
        <f t="shared" si="59"/>
        <v>2017.75</v>
      </c>
      <c r="AE64" s="197">
        <f>('2144 Shop,Serv Orig'!$P$5+1)-('2144 Shop,Serv Orig'!$P$2/12)</f>
        <v>2018</v>
      </c>
      <c r="AF64" s="197">
        <f t="shared" si="60"/>
        <v>2023.75</v>
      </c>
      <c r="AG64" s="197">
        <f>'2144 Shop,Serv Orig'!$P$4+('2144 Shop,Serv Orig'!$P$3/12)</f>
        <v>2017</v>
      </c>
      <c r="AH64" s="197">
        <f t="shared" si="61"/>
        <v>-0.08333333333333333</v>
      </c>
      <c r="AJ64" s="227"/>
      <c r="AL64" s="227"/>
      <c r="AN64" s="227"/>
      <c r="AP64" s="227"/>
      <c r="AR64" s="192"/>
    </row>
    <row r="65" spans="1:44" s="190" customFormat="1" ht="12">
      <c r="A65" s="190">
        <v>186154</v>
      </c>
      <c r="B65" s="194"/>
      <c r="D65" s="190" t="s">
        <v>270</v>
      </c>
      <c r="E65" s="190">
        <v>2017</v>
      </c>
      <c r="F65" s="190">
        <v>9</v>
      </c>
      <c r="G65" s="198">
        <v>0</v>
      </c>
      <c r="I65" s="194" t="s">
        <v>82</v>
      </c>
      <c r="J65" s="195">
        <v>10</v>
      </c>
      <c r="K65" s="199">
        <f t="shared" si="47"/>
        <v>2027</v>
      </c>
      <c r="N65" s="196">
        <v>341677.84</v>
      </c>
      <c r="O65" s="200"/>
      <c r="P65" s="197">
        <f>N65-N65*G65</f>
        <v>341677.84</v>
      </c>
      <c r="Q65" s="197">
        <f>P65/J65/12</f>
        <v>2847.3153333333335</v>
      </c>
      <c r="R65" s="197">
        <f>IF(O65&gt;0,0,IF(OR(AD65&gt;AE65,AF65&lt;AG65),0,IF(AND(AF65&gt;=AG65,AF65&lt;=AE65),Q65*((AF65-AG65)*12),IF(AND(AG65&lt;=AD65,AE65&gt;=AD65),((AE65-AD65)*12)*Q65,IF(AF65&gt;AE65,12*Q65,0)))))</f>
        <v>11389.261333330744</v>
      </c>
      <c r="S65" s="197">
        <f>IF(O65=0,0,IF(AND(AH65&gt;=AG65,AH65&lt;=AF65),((AH65-AG65)*12)*Q65,0))</f>
        <v>0</v>
      </c>
      <c r="T65" s="197">
        <f>IF(S65&gt;0,S65,R65)</f>
        <v>11389.261333330744</v>
      </c>
      <c r="U65" s="197">
        <v>1</v>
      </c>
      <c r="V65" s="197">
        <f>U65*SUM(R65:S65)</f>
        <v>11389.261333330744</v>
      </c>
      <c r="W65" s="197"/>
      <c r="X65" s="197">
        <f>IF(AD65&gt;AE65,0,IF(AF65&lt;AG65,P65,IF(AND(AF65&gt;=AG65,AF65&lt;=AE65),(P65-T65),IF(AND(AG65&lt;=AD65,AE65&gt;=AD65),0,IF(AF65&gt;AE65,((AG65-AD65)*12)*Q65,0)))))</f>
        <v>0</v>
      </c>
      <c r="Y65" s="197">
        <f>X65*U65</f>
        <v>0</v>
      </c>
      <c r="Z65" s="197">
        <v>1</v>
      </c>
      <c r="AA65" s="197">
        <f>Y65*Z65</f>
        <v>0</v>
      </c>
      <c r="AB65" s="197">
        <f>IF(O65&gt;0,0,AA65+V65*Z65)*Z65</f>
        <v>11389.261333330744</v>
      </c>
      <c r="AC65" s="197">
        <f>IF(O65&gt;0,(N65-AA65)/2,IF(AD65&gt;=AG65,(((N65*U65)*Z65)-AB65)/2,((((N65*U65)*Z65)-AA65)+(((N65*U65)*Z65)-AB65))/2))</f>
        <v>165144.28933333463</v>
      </c>
      <c r="AD65" s="197">
        <f t="shared" si="59"/>
        <v>2017.6666666666667</v>
      </c>
      <c r="AE65" s="197">
        <f>('2144 Shop,Serv Orig'!$P$5+1)-('2144 Shop,Serv Orig'!$P$2/12)</f>
        <v>2018</v>
      </c>
      <c r="AF65" s="197">
        <f t="shared" si="60"/>
        <v>2027.6666666666667</v>
      </c>
      <c r="AG65" s="197">
        <f>'2144 Shop,Serv Orig'!$P$4+('2144 Shop,Serv Orig'!$P$3/12)</f>
        <v>2017</v>
      </c>
      <c r="AH65" s="197">
        <f t="shared" si="61"/>
        <v>-0.08333333333333333</v>
      </c>
      <c r="AJ65" s="227"/>
      <c r="AL65" s="227"/>
      <c r="AN65" s="227"/>
      <c r="AP65" s="227"/>
      <c r="AR65" s="192"/>
    </row>
    <row r="66" spans="1:44" s="190" customFormat="1" ht="12">
      <c r="A66" s="190" t="s">
        <v>271</v>
      </c>
      <c r="B66" s="194"/>
      <c r="D66" s="190" t="s">
        <v>272</v>
      </c>
      <c r="E66" s="190">
        <v>2017</v>
      </c>
      <c r="F66" s="190">
        <v>10</v>
      </c>
      <c r="G66" s="198">
        <v>0</v>
      </c>
      <c r="I66" s="194" t="s">
        <v>82</v>
      </c>
      <c r="J66" s="195">
        <v>5</v>
      </c>
      <c r="K66" s="199">
        <f t="shared" si="47"/>
        <v>2022</v>
      </c>
      <c r="N66" s="196">
        <v>1002.38</v>
      </c>
      <c r="O66" s="200"/>
      <c r="P66" s="197">
        <f>N66-N66*G66</f>
        <v>1002.38</v>
      </c>
      <c r="Q66" s="197">
        <f>P66/J66/12</f>
        <v>16.706333333333333</v>
      </c>
      <c r="R66" s="197">
        <f>IF(O66&gt;0,0,IF(OR(AD66&gt;AE66,AF66&lt;AG66),0,IF(AND(AF66&gt;=AG66,AF66&lt;=AE66),Q66*((AF66-AG66)*12),IF(AND(AG66&lt;=AD66,AE66&gt;=AD66),((AE66-AD66)*12)*Q66,IF(AF66&gt;AE66,12*Q66,0)))))</f>
        <v>50.119</v>
      </c>
      <c r="S66" s="197">
        <f>IF(O66=0,0,IF(AND(AH66&gt;=AG66,AH66&lt;=AF66),((AH66-AG66)*12)*Q66,0))</f>
        <v>0</v>
      </c>
      <c r="T66" s="197">
        <f>IF(S66&gt;0,S66,R66)</f>
        <v>50.119</v>
      </c>
      <c r="U66" s="197">
        <v>1</v>
      </c>
      <c r="V66" s="197">
        <f>U66*SUM(R66:S66)</f>
        <v>50.119</v>
      </c>
      <c r="W66" s="197"/>
      <c r="X66" s="197">
        <f>IF(AD66&gt;AE66,0,IF(AF66&lt;AG66,P66,IF(AND(AF66&gt;=AG66,AF66&lt;=AE66),(P66-T66),IF(AND(AG66&lt;=AD66,AE66&gt;=AD66),0,IF(AF66&gt;AE66,((AG66-AD66)*12)*Q66,0)))))</f>
        <v>0</v>
      </c>
      <c r="Y66" s="197">
        <f>X66*U66</f>
        <v>0</v>
      </c>
      <c r="Z66" s="197">
        <v>1</v>
      </c>
      <c r="AA66" s="197">
        <f>Y66*Z66</f>
        <v>0</v>
      </c>
      <c r="AB66" s="197">
        <f>IF(O66&gt;0,0,AA66+V66*Z66)*Z66</f>
        <v>50.119</v>
      </c>
      <c r="AC66" s="197">
        <f>IF(O66&gt;0,(N66-AA66)/2,IF(AD66&gt;=AG66,(((N66*U66)*Z66)-AB66)/2,((((N66*U66)*Z66)-AA66)+(((N66*U66)*Z66)-AB66))/2))</f>
        <v>476.1305</v>
      </c>
      <c r="AD66" s="197">
        <f t="shared" si="59"/>
        <v>2017.75</v>
      </c>
      <c r="AE66" s="197">
        <f>('2144 Shop,Serv Orig'!$P$5+1)-('2144 Shop,Serv Orig'!$P$2/12)</f>
        <v>2018</v>
      </c>
      <c r="AF66" s="197">
        <f t="shared" si="60"/>
        <v>2022.75</v>
      </c>
      <c r="AG66" s="197">
        <f>'2144 Shop,Serv Orig'!$P$4+('2144 Shop,Serv Orig'!$P$3/12)</f>
        <v>2017</v>
      </c>
      <c r="AH66" s="197">
        <f t="shared" si="61"/>
        <v>-0.08333333333333333</v>
      </c>
      <c r="AJ66" s="227"/>
      <c r="AL66" s="227"/>
      <c r="AN66" s="227"/>
      <c r="AP66" s="227"/>
      <c r="AR66" s="192"/>
    </row>
    <row r="67" spans="1:34" s="7" customFormat="1" ht="12">
      <c r="A67" s="60"/>
      <c r="B67" s="35"/>
      <c r="G67" s="37"/>
      <c r="I67" s="35"/>
      <c r="J67" s="38"/>
      <c r="K67" s="94"/>
      <c r="N67" s="40"/>
      <c r="O67" s="42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</row>
    <row r="68" spans="2:44" s="60" customFormat="1" ht="12">
      <c r="B68" s="61"/>
      <c r="D68" s="60" t="s">
        <v>12</v>
      </c>
      <c r="G68" s="61"/>
      <c r="I68" s="95"/>
      <c r="J68" s="95"/>
      <c r="K68" s="96"/>
      <c r="N68" s="97">
        <f>SUM(N57:N67)</f>
        <v>770140.32</v>
      </c>
      <c r="P68" s="97">
        <f aca="true" t="shared" si="67" ref="P68:AC68">SUM(P57:P67)</f>
        <v>700925.3313000001</v>
      </c>
      <c r="Q68" s="97">
        <f t="shared" si="67"/>
        <v>8947.220160555557</v>
      </c>
      <c r="R68" s="97">
        <f t="shared" si="67"/>
        <v>47580.497676664076</v>
      </c>
      <c r="S68" s="97">
        <f t="shared" si="67"/>
        <v>0</v>
      </c>
      <c r="T68" s="97">
        <f t="shared" si="67"/>
        <v>47580.497676664076</v>
      </c>
      <c r="U68" s="97">
        <f t="shared" si="67"/>
        <v>10</v>
      </c>
      <c r="V68" s="97">
        <f t="shared" si="67"/>
        <v>47580.497676664076</v>
      </c>
      <c r="W68" s="97">
        <f t="shared" si="67"/>
        <v>0</v>
      </c>
      <c r="X68" s="97">
        <f t="shared" si="67"/>
        <v>174105.46054166424</v>
      </c>
      <c r="Y68" s="97">
        <f t="shared" si="67"/>
        <v>174105.46054166424</v>
      </c>
      <c r="Z68" s="97">
        <f t="shared" si="67"/>
        <v>10</v>
      </c>
      <c r="AA68" s="97">
        <f t="shared" si="67"/>
        <v>174105.46054166424</v>
      </c>
      <c r="AB68" s="97">
        <f t="shared" si="67"/>
        <v>221685.9582183283</v>
      </c>
      <c r="AC68" s="97">
        <f t="shared" si="67"/>
        <v>352883.41562000377</v>
      </c>
      <c r="AJ68" s="228">
        <f>SUM(AJ57:AJ63)</f>
        <v>23071.662900000007</v>
      </c>
      <c r="AK68" s="228"/>
      <c r="AL68" s="228">
        <f>SUM(AL57:AL63)</f>
        <v>55211.023160000004</v>
      </c>
      <c r="AM68" s="228"/>
      <c r="AN68" s="228">
        <f>SUM(AN57:AN63)</f>
        <v>-12210</v>
      </c>
      <c r="AO68" s="228"/>
      <c r="AP68" s="228">
        <f>SUM(AP57:AP63)</f>
        <v>112944.73266166844</v>
      </c>
      <c r="AQ68" s="228"/>
      <c r="AR68" s="228">
        <f>SUM(AR57:AR63)</f>
        <v>129032.7893283358</v>
      </c>
    </row>
    <row r="69" spans="2:11" s="7" customFormat="1" ht="12">
      <c r="B69" s="35"/>
      <c r="G69" s="35"/>
      <c r="I69" s="85"/>
      <c r="J69" s="85"/>
      <c r="K69" s="44"/>
    </row>
    <row r="70" spans="2:44" s="60" customFormat="1" ht="12">
      <c r="B70" s="61"/>
      <c r="D70" s="62"/>
      <c r="G70" s="63"/>
      <c r="I70" s="64"/>
      <c r="J70" s="65"/>
      <c r="K70" s="66"/>
      <c r="N70" s="67">
        <f>+N68+N50</f>
        <v>3018758.11</v>
      </c>
      <c r="P70" s="67">
        <f>+P68+P50</f>
        <v>2603260.1489999997</v>
      </c>
      <c r="Q70" s="67">
        <f>+Q68+Q50</f>
        <v>30987.453902380952</v>
      </c>
      <c r="R70" s="67">
        <f>+R68+R50</f>
        <v>136667.66139095003</v>
      </c>
      <c r="S70" s="67"/>
      <c r="T70" s="67">
        <f>+T68+T50</f>
        <v>55948.082438568636</v>
      </c>
      <c r="U70" s="67"/>
      <c r="V70" s="67">
        <f>+V68+V50</f>
        <v>136667.66139095003</v>
      </c>
      <c r="W70" s="67"/>
      <c r="X70" s="67">
        <f>+X68+X50</f>
        <v>414807.0928353155</v>
      </c>
      <c r="Y70" s="67">
        <f>+Y68+Y50</f>
        <v>414807.0928353155</v>
      </c>
      <c r="Z70" s="67"/>
      <c r="AA70" s="67">
        <f>+AA68+AA50</f>
        <v>1554379.920630549</v>
      </c>
      <c r="AB70" s="67">
        <f>+AB68+AB50</f>
        <v>1691047.5820214995</v>
      </c>
      <c r="AC70" s="67">
        <f>+AC68+AC50</f>
        <v>1176126.313673976</v>
      </c>
      <c r="AJ70" s="225">
        <f aca="true" t="shared" si="68" ref="AJ70:AR70">AJ56+AJ68</f>
        <v>23071.662900000007</v>
      </c>
      <c r="AK70" s="225"/>
      <c r="AL70" s="225">
        <f t="shared" si="68"/>
        <v>55211.023160000004</v>
      </c>
      <c r="AM70" s="225"/>
      <c r="AN70" s="225">
        <f t="shared" si="68"/>
        <v>-12210</v>
      </c>
      <c r="AO70" s="225"/>
      <c r="AP70" s="225">
        <f t="shared" si="68"/>
        <v>112944.73266166844</v>
      </c>
      <c r="AQ70" s="225"/>
      <c r="AR70" s="225">
        <f t="shared" si="68"/>
        <v>129032.7893283358</v>
      </c>
    </row>
    <row r="71" spans="2:11" s="7" customFormat="1" ht="12">
      <c r="B71" s="35"/>
      <c r="D71" s="7" t="s">
        <v>109</v>
      </c>
      <c r="G71" s="35"/>
      <c r="I71" s="85"/>
      <c r="J71" s="85"/>
      <c r="K71" s="44"/>
    </row>
    <row r="72" spans="2:14" s="7" customFormat="1" ht="12">
      <c r="B72" s="35"/>
      <c r="G72" s="35"/>
      <c r="I72" s="188"/>
      <c r="J72" s="188"/>
      <c r="K72" s="189" t="s">
        <v>259</v>
      </c>
      <c r="L72" s="190"/>
      <c r="M72" s="190"/>
      <c r="N72" s="227">
        <f>+SUMIF($K$12:$K$46,2016,$V$12:$V$50)</f>
        <v>0</v>
      </c>
    </row>
    <row r="73" spans="2:14" s="7" customFormat="1" ht="12">
      <c r="B73" s="35"/>
      <c r="G73" s="35"/>
      <c r="I73" s="188"/>
      <c r="J73" s="188"/>
      <c r="K73" s="189" t="s">
        <v>260</v>
      </c>
      <c r="L73" s="190"/>
      <c r="M73" s="190"/>
      <c r="N73" s="229">
        <f>+SUMIF($K$12:$K$46,2017,$V$12:$V$50)</f>
        <v>2773.546619047841</v>
      </c>
    </row>
    <row r="74" spans="2:14" s="7" customFormat="1" ht="12">
      <c r="B74" s="35"/>
      <c r="G74" s="35"/>
      <c r="I74" s="188"/>
      <c r="J74" s="188"/>
      <c r="K74" s="191"/>
      <c r="L74" s="190"/>
      <c r="M74" s="190"/>
      <c r="N74" s="192">
        <f>+N72+N73</f>
        <v>2773.546619047841</v>
      </c>
    </row>
    <row r="75" spans="2:11" s="7" customFormat="1" ht="12">
      <c r="B75" s="35"/>
      <c r="G75" s="35"/>
      <c r="I75" s="85"/>
      <c r="J75" s="85"/>
      <c r="K75" s="44"/>
    </row>
    <row r="76" spans="2:11" s="7" customFormat="1" ht="12">
      <c r="B76" s="35"/>
      <c r="G76" s="35"/>
      <c r="I76" s="85"/>
      <c r="J76" s="85"/>
      <c r="K76" s="44"/>
    </row>
    <row r="77" spans="2:11" s="7" customFormat="1" ht="12">
      <c r="B77" s="35"/>
      <c r="G77" s="35"/>
      <c r="I77" s="85"/>
      <c r="J77" s="85"/>
      <c r="K77" s="44"/>
    </row>
    <row r="78" spans="2:11" s="9" customFormat="1" ht="12">
      <c r="B78" s="98"/>
      <c r="G78" s="98"/>
      <c r="I78" s="99"/>
      <c r="J78" s="99"/>
      <c r="K78" s="100"/>
    </row>
    <row r="79" spans="2:28" s="7" customFormat="1" ht="12">
      <c r="B79" s="35"/>
      <c r="G79" s="35"/>
      <c r="I79" s="85"/>
      <c r="J79" s="85"/>
      <c r="K79" s="44"/>
      <c r="AB79" s="73"/>
    </row>
    <row r="80" spans="2:11" s="7" customFormat="1" ht="12">
      <c r="B80" s="35"/>
      <c r="G80" s="35"/>
      <c r="I80" s="35"/>
      <c r="J80" s="35"/>
      <c r="K80" s="44"/>
    </row>
    <row r="81" spans="2:11" s="7" customFormat="1" ht="12">
      <c r="B81" s="35"/>
      <c r="D81" s="101" t="s">
        <v>217</v>
      </c>
      <c r="G81" s="35"/>
      <c r="I81" s="35"/>
      <c r="J81" s="35"/>
      <c r="K81" s="44"/>
    </row>
    <row r="82" spans="2:34" s="7" customFormat="1" ht="12">
      <c r="B82" s="94" t="s">
        <v>84</v>
      </c>
      <c r="C82" s="44">
        <v>5004</v>
      </c>
      <c r="D82" s="44" t="s">
        <v>87</v>
      </c>
      <c r="E82" s="36">
        <v>1999</v>
      </c>
      <c r="F82" s="36">
        <v>11</v>
      </c>
      <c r="G82" s="37">
        <v>0.2</v>
      </c>
      <c r="I82" s="35" t="s">
        <v>82</v>
      </c>
      <c r="J82" s="38">
        <v>7</v>
      </c>
      <c r="K82" s="39">
        <f aca="true" t="shared" si="69" ref="K82:K89">E82+J82</f>
        <v>2006</v>
      </c>
      <c r="N82" s="40">
        <v>67418</v>
      </c>
      <c r="O82" s="102"/>
      <c r="P82" s="41">
        <f aca="true" t="shared" si="70" ref="P82:P89">N82-N82*G82</f>
        <v>53934.4</v>
      </c>
      <c r="Q82" s="41">
        <f aca="true" t="shared" si="71" ref="Q82:Q89">P82/J82/12</f>
        <v>642.0761904761905</v>
      </c>
      <c r="R82" s="41">
        <f aca="true" t="shared" si="72" ref="R82:R89">IF(O82&gt;0,0,IF(OR(AD82&gt;AE82,AF82&lt;AG82),0,IF(AND(AF82&gt;=AG82,AF82&lt;=AE82),Q82*((AF82-AG82)*12),IF(AND(AG82&lt;=AD82,AE82&gt;=AD82),((AE82-AD82)*12)*Q82,IF(AF82&gt;AE82,12*Q82,0)))))</f>
        <v>0</v>
      </c>
      <c r="S82" s="41">
        <f aca="true" t="shared" si="73" ref="S82:S89">IF(O82=0,0,IF(AND(AH82&gt;=AG82,AH82&lt;=AF82),((AH82-AG82)*12)*Q82,0))</f>
        <v>0</v>
      </c>
      <c r="T82" s="41">
        <f aca="true" t="shared" si="74" ref="T82:T89">IF(S82&gt;0,S82,R82)</f>
        <v>0</v>
      </c>
      <c r="U82" s="41">
        <v>1</v>
      </c>
      <c r="V82" s="41">
        <f aca="true" t="shared" si="75" ref="V82:V89">U82*SUM(R82:S82)</f>
        <v>0</v>
      </c>
      <c r="W82" s="41"/>
      <c r="X82" s="41">
        <f aca="true" t="shared" si="76" ref="X82:X89">IF(AD82&gt;AE82,0,IF(AF82&lt;AG82,P82,IF(AND(AF82&gt;=AG82,AF82&lt;=AE82),(P82-T82),IF(AND(AG82&lt;=AD82,AE82&gt;=AD82),0,IF(AF82&gt;AE82,((AG82-AD82)*12)*Q82,0)))))</f>
        <v>53934.4</v>
      </c>
      <c r="Y82" s="41">
        <f aca="true" t="shared" si="77" ref="Y82:Y89">X82*U82</f>
        <v>53934.4</v>
      </c>
      <c r="Z82" s="41">
        <v>1</v>
      </c>
      <c r="AA82" s="41">
        <f aca="true" t="shared" si="78" ref="AA82:AA89">Y82*Z82</f>
        <v>53934.4</v>
      </c>
      <c r="AB82" s="41">
        <f aca="true" t="shared" si="79" ref="AB82:AB89">IF(O82&gt;0,0,AA82+V82*Z82)*Z82</f>
        <v>53934.4</v>
      </c>
      <c r="AC82" s="41">
        <f aca="true" t="shared" si="80" ref="AC82:AC89">IF(O82&gt;0,(N82-AA82)/2,IF(AD82&gt;=AG82,(((N82*U82)*Z82)-AB82)/2,((((N82*U82)*Z82)-AA82)+(((N82*U82)*Z82)-AB82))/2))</f>
        <v>13483.599999999999</v>
      </c>
      <c r="AD82" s="41">
        <f aca="true" t="shared" si="81" ref="AD82:AD89">$E82+(($F82-1)/12)</f>
        <v>1999.8333333333333</v>
      </c>
      <c r="AE82" s="41">
        <f aca="true" t="shared" si="82" ref="AE82:AE89">($P$5+1)-($P$2/12)</f>
        <v>2018</v>
      </c>
      <c r="AF82" s="41">
        <f aca="true" t="shared" si="83" ref="AF82:AF89">$K82+(($F82-1)/12)</f>
        <v>2006.8333333333333</v>
      </c>
      <c r="AG82" s="41">
        <f aca="true" t="shared" si="84" ref="AG82:AG89">$P$4+($P$3/12)</f>
        <v>2017</v>
      </c>
      <c r="AH82" s="41">
        <f aca="true" t="shared" si="85" ref="AH82:AH89">$L82+(($M82-1)/12)</f>
        <v>-0.08333333333333333</v>
      </c>
    </row>
    <row r="83" spans="2:34" s="7" customFormat="1" ht="12">
      <c r="B83" s="94" t="s">
        <v>84</v>
      </c>
      <c r="C83" s="7">
        <v>5004</v>
      </c>
      <c r="D83" s="36" t="s">
        <v>86</v>
      </c>
      <c r="E83" s="36">
        <v>1999</v>
      </c>
      <c r="F83" s="36">
        <v>5</v>
      </c>
      <c r="G83" s="37">
        <v>0.2</v>
      </c>
      <c r="I83" s="35" t="s">
        <v>82</v>
      </c>
      <c r="J83" s="38">
        <v>7</v>
      </c>
      <c r="K83" s="39">
        <f t="shared" si="69"/>
        <v>2006</v>
      </c>
      <c r="N83" s="40">
        <v>30718</v>
      </c>
      <c r="P83" s="41">
        <f t="shared" si="70"/>
        <v>24574.4</v>
      </c>
      <c r="Q83" s="41">
        <f t="shared" si="71"/>
        <v>292.552380952381</v>
      </c>
      <c r="R83" s="41">
        <f t="shared" si="72"/>
        <v>0</v>
      </c>
      <c r="S83" s="41">
        <f t="shared" si="73"/>
        <v>0</v>
      </c>
      <c r="T83" s="41">
        <f t="shared" si="74"/>
        <v>0</v>
      </c>
      <c r="U83" s="41">
        <v>1</v>
      </c>
      <c r="V83" s="41">
        <f t="shared" si="75"/>
        <v>0</v>
      </c>
      <c r="W83" s="41"/>
      <c r="X83" s="41">
        <f t="shared" si="76"/>
        <v>24574.4</v>
      </c>
      <c r="Y83" s="41">
        <f t="shared" si="77"/>
        <v>24574.4</v>
      </c>
      <c r="Z83" s="41">
        <v>1</v>
      </c>
      <c r="AA83" s="41">
        <f t="shared" si="78"/>
        <v>24574.4</v>
      </c>
      <c r="AB83" s="41">
        <f t="shared" si="79"/>
        <v>24574.4</v>
      </c>
      <c r="AC83" s="41">
        <f t="shared" si="80"/>
        <v>6143.5999999999985</v>
      </c>
      <c r="AD83" s="41">
        <f t="shared" si="81"/>
        <v>1999.3333333333333</v>
      </c>
      <c r="AE83" s="41">
        <f t="shared" si="82"/>
        <v>2018</v>
      </c>
      <c r="AF83" s="41">
        <f t="shared" si="83"/>
        <v>2006.3333333333333</v>
      </c>
      <c r="AG83" s="41">
        <f t="shared" si="84"/>
        <v>2017</v>
      </c>
      <c r="AH83" s="41">
        <f t="shared" si="85"/>
        <v>-0.08333333333333333</v>
      </c>
    </row>
    <row r="84" spans="2:34" s="7" customFormat="1" ht="12">
      <c r="B84" s="94"/>
      <c r="C84" s="44">
        <v>5018</v>
      </c>
      <c r="D84" s="36" t="s">
        <v>81</v>
      </c>
      <c r="E84" s="36">
        <v>1994</v>
      </c>
      <c r="F84" s="36">
        <v>4</v>
      </c>
      <c r="G84" s="37">
        <v>0.2</v>
      </c>
      <c r="I84" s="35" t="s">
        <v>82</v>
      </c>
      <c r="J84" s="38">
        <v>7</v>
      </c>
      <c r="K84" s="39">
        <f t="shared" si="69"/>
        <v>2001</v>
      </c>
      <c r="N84" s="45">
        <f>43063+25742</f>
        <v>68805</v>
      </c>
      <c r="P84" s="41">
        <f t="shared" si="70"/>
        <v>55044</v>
      </c>
      <c r="Q84" s="41">
        <f t="shared" si="71"/>
        <v>655.2857142857143</v>
      </c>
      <c r="R84" s="41">
        <f t="shared" si="72"/>
        <v>0</v>
      </c>
      <c r="S84" s="41">
        <f t="shared" si="73"/>
        <v>0</v>
      </c>
      <c r="T84" s="41">
        <f t="shared" si="74"/>
        <v>0</v>
      </c>
      <c r="U84" s="41">
        <v>1</v>
      </c>
      <c r="V84" s="41">
        <f t="shared" si="75"/>
        <v>0</v>
      </c>
      <c r="W84" s="41"/>
      <c r="X84" s="41">
        <f t="shared" si="76"/>
        <v>55044</v>
      </c>
      <c r="Y84" s="41">
        <f t="shared" si="77"/>
        <v>55044</v>
      </c>
      <c r="Z84" s="41">
        <v>1</v>
      </c>
      <c r="AA84" s="41">
        <f t="shared" si="78"/>
        <v>55044</v>
      </c>
      <c r="AB84" s="41">
        <f t="shared" si="79"/>
        <v>55044</v>
      </c>
      <c r="AC84" s="41">
        <f t="shared" si="80"/>
        <v>13761</v>
      </c>
      <c r="AD84" s="41">
        <f t="shared" si="81"/>
        <v>1994.25</v>
      </c>
      <c r="AE84" s="41">
        <f t="shared" si="82"/>
        <v>2018</v>
      </c>
      <c r="AF84" s="41">
        <f t="shared" si="83"/>
        <v>2001.25</v>
      </c>
      <c r="AG84" s="41">
        <f t="shared" si="84"/>
        <v>2017</v>
      </c>
      <c r="AH84" s="41">
        <f t="shared" si="85"/>
        <v>-0.08333333333333333</v>
      </c>
    </row>
    <row r="85" spans="2:34" s="7" customFormat="1" ht="12">
      <c r="B85" s="103" t="s">
        <v>98</v>
      </c>
      <c r="C85" s="44">
        <v>5021</v>
      </c>
      <c r="D85" s="44" t="s">
        <v>99</v>
      </c>
      <c r="E85" s="44">
        <v>1995</v>
      </c>
      <c r="F85" s="44">
        <v>4</v>
      </c>
      <c r="G85" s="104">
        <v>0.33</v>
      </c>
      <c r="I85" s="35" t="s">
        <v>82</v>
      </c>
      <c r="J85" s="94">
        <v>5</v>
      </c>
      <c r="K85" s="39">
        <f t="shared" si="69"/>
        <v>2000</v>
      </c>
      <c r="N85" s="45">
        <v>32379</v>
      </c>
      <c r="P85" s="41">
        <f t="shared" si="70"/>
        <v>21693.93</v>
      </c>
      <c r="Q85" s="41">
        <f t="shared" si="71"/>
        <v>361.5655</v>
      </c>
      <c r="R85" s="41">
        <f t="shared" si="72"/>
        <v>0</v>
      </c>
      <c r="S85" s="41">
        <f t="shared" si="73"/>
        <v>0</v>
      </c>
      <c r="T85" s="41">
        <f t="shared" si="74"/>
        <v>0</v>
      </c>
      <c r="U85" s="41">
        <v>1</v>
      </c>
      <c r="V85" s="41">
        <f t="shared" si="75"/>
        <v>0</v>
      </c>
      <c r="W85" s="41"/>
      <c r="X85" s="41">
        <f t="shared" si="76"/>
        <v>21693.93</v>
      </c>
      <c r="Y85" s="41">
        <f t="shared" si="77"/>
        <v>21693.93</v>
      </c>
      <c r="Z85" s="41">
        <v>1</v>
      </c>
      <c r="AA85" s="41">
        <f t="shared" si="78"/>
        <v>21693.93</v>
      </c>
      <c r="AB85" s="41">
        <f t="shared" si="79"/>
        <v>21693.93</v>
      </c>
      <c r="AC85" s="41">
        <f t="shared" si="80"/>
        <v>10685.07</v>
      </c>
      <c r="AD85" s="41">
        <f t="shared" si="81"/>
        <v>1995.25</v>
      </c>
      <c r="AE85" s="41">
        <f t="shared" si="82"/>
        <v>2018</v>
      </c>
      <c r="AF85" s="41">
        <f t="shared" si="83"/>
        <v>2000.25</v>
      </c>
      <c r="AG85" s="41">
        <f t="shared" si="84"/>
        <v>2017</v>
      </c>
      <c r="AH85" s="41">
        <f t="shared" si="85"/>
        <v>-0.08333333333333333</v>
      </c>
    </row>
    <row r="86" spans="2:34" s="7" customFormat="1" ht="12">
      <c r="B86" s="94"/>
      <c r="C86" s="44">
        <v>5020</v>
      </c>
      <c r="D86" s="36" t="s">
        <v>83</v>
      </c>
      <c r="E86" s="36">
        <v>1997</v>
      </c>
      <c r="F86" s="36">
        <v>4</v>
      </c>
      <c r="G86" s="37">
        <v>0.33</v>
      </c>
      <c r="I86" s="35" t="s">
        <v>82</v>
      </c>
      <c r="J86" s="38">
        <v>5</v>
      </c>
      <c r="K86" s="39">
        <f t="shared" si="69"/>
        <v>2002</v>
      </c>
      <c r="N86" s="40">
        <v>11545</v>
      </c>
      <c r="P86" s="41">
        <f t="shared" si="70"/>
        <v>7735.15</v>
      </c>
      <c r="Q86" s="41">
        <f t="shared" si="71"/>
        <v>128.91916666666665</v>
      </c>
      <c r="R86" s="41">
        <f t="shared" si="72"/>
        <v>0</v>
      </c>
      <c r="S86" s="41">
        <f t="shared" si="73"/>
        <v>0</v>
      </c>
      <c r="T86" s="41">
        <f t="shared" si="74"/>
        <v>0</v>
      </c>
      <c r="U86" s="41">
        <v>1</v>
      </c>
      <c r="V86" s="41">
        <f t="shared" si="75"/>
        <v>0</v>
      </c>
      <c r="W86" s="41"/>
      <c r="X86" s="41">
        <f t="shared" si="76"/>
        <v>7735.15</v>
      </c>
      <c r="Y86" s="41">
        <f t="shared" si="77"/>
        <v>7735.15</v>
      </c>
      <c r="Z86" s="41">
        <v>1</v>
      </c>
      <c r="AA86" s="41">
        <f t="shared" si="78"/>
        <v>7735.15</v>
      </c>
      <c r="AB86" s="41">
        <f t="shared" si="79"/>
        <v>7735.15</v>
      </c>
      <c r="AC86" s="41">
        <f t="shared" si="80"/>
        <v>3809.8500000000004</v>
      </c>
      <c r="AD86" s="41">
        <f t="shared" si="81"/>
        <v>1997.25</v>
      </c>
      <c r="AE86" s="41">
        <f t="shared" si="82"/>
        <v>2018</v>
      </c>
      <c r="AF86" s="41">
        <f t="shared" si="83"/>
        <v>2002.25</v>
      </c>
      <c r="AG86" s="41">
        <f t="shared" si="84"/>
        <v>2017</v>
      </c>
      <c r="AH86" s="41">
        <f t="shared" si="85"/>
        <v>-0.08333333333333333</v>
      </c>
    </row>
    <row r="87" spans="2:34" s="7" customFormat="1" ht="12">
      <c r="B87" s="103" t="s">
        <v>98</v>
      </c>
      <c r="C87" s="44">
        <v>5021</v>
      </c>
      <c r="D87" s="105" t="s">
        <v>100</v>
      </c>
      <c r="E87" s="44">
        <v>1996</v>
      </c>
      <c r="F87" s="44">
        <v>7</v>
      </c>
      <c r="G87" s="104">
        <v>0.2</v>
      </c>
      <c r="I87" s="35" t="s">
        <v>82</v>
      </c>
      <c r="J87" s="94">
        <v>7</v>
      </c>
      <c r="K87" s="39">
        <f t="shared" si="69"/>
        <v>2003</v>
      </c>
      <c r="N87" s="45">
        <v>25022</v>
      </c>
      <c r="P87" s="41">
        <f t="shared" si="70"/>
        <v>20017.6</v>
      </c>
      <c r="Q87" s="41">
        <f t="shared" si="71"/>
        <v>238.3047619047619</v>
      </c>
      <c r="R87" s="41">
        <f t="shared" si="72"/>
        <v>0</v>
      </c>
      <c r="S87" s="41">
        <f t="shared" si="73"/>
        <v>0</v>
      </c>
      <c r="T87" s="41">
        <f t="shared" si="74"/>
        <v>0</v>
      </c>
      <c r="U87" s="41">
        <v>1</v>
      </c>
      <c r="V87" s="41">
        <f t="shared" si="75"/>
        <v>0</v>
      </c>
      <c r="W87" s="41"/>
      <c r="X87" s="41">
        <f t="shared" si="76"/>
        <v>20017.6</v>
      </c>
      <c r="Y87" s="41">
        <f t="shared" si="77"/>
        <v>20017.6</v>
      </c>
      <c r="Z87" s="41">
        <v>1</v>
      </c>
      <c r="AA87" s="41">
        <f t="shared" si="78"/>
        <v>20017.6</v>
      </c>
      <c r="AB87" s="41">
        <f t="shared" si="79"/>
        <v>20017.6</v>
      </c>
      <c r="AC87" s="41">
        <f t="shared" si="80"/>
        <v>5004.4000000000015</v>
      </c>
      <c r="AD87" s="41">
        <f t="shared" si="81"/>
        <v>1996.5</v>
      </c>
      <c r="AE87" s="41">
        <f t="shared" si="82"/>
        <v>2018</v>
      </c>
      <c r="AF87" s="41">
        <f t="shared" si="83"/>
        <v>2003.5</v>
      </c>
      <c r="AG87" s="41">
        <f t="shared" si="84"/>
        <v>2017</v>
      </c>
      <c r="AH87" s="41">
        <f t="shared" si="85"/>
        <v>-0.08333333333333333</v>
      </c>
    </row>
    <row r="88" spans="2:34" s="7" customFormat="1" ht="12">
      <c r="B88" s="35" t="s">
        <v>106</v>
      </c>
      <c r="C88" s="7">
        <v>5001</v>
      </c>
      <c r="D88" s="7" t="s">
        <v>107</v>
      </c>
      <c r="E88" s="7">
        <v>2001</v>
      </c>
      <c r="F88" s="7">
        <v>11</v>
      </c>
      <c r="G88" s="37">
        <v>0</v>
      </c>
      <c r="I88" s="35" t="s">
        <v>82</v>
      </c>
      <c r="J88" s="38">
        <v>5</v>
      </c>
      <c r="K88" s="39">
        <f t="shared" si="69"/>
        <v>2006</v>
      </c>
      <c r="N88" s="40">
        <v>25000</v>
      </c>
      <c r="P88" s="41">
        <f t="shared" si="70"/>
        <v>25000</v>
      </c>
      <c r="Q88" s="41">
        <f t="shared" si="71"/>
        <v>416.6666666666667</v>
      </c>
      <c r="R88" s="41">
        <f t="shared" si="72"/>
        <v>0</v>
      </c>
      <c r="S88" s="41">
        <f t="shared" si="73"/>
        <v>0</v>
      </c>
      <c r="T88" s="41">
        <f t="shared" si="74"/>
        <v>0</v>
      </c>
      <c r="U88" s="41">
        <v>1</v>
      </c>
      <c r="V88" s="41">
        <f t="shared" si="75"/>
        <v>0</v>
      </c>
      <c r="W88" s="41"/>
      <c r="X88" s="41">
        <f t="shared" si="76"/>
        <v>25000</v>
      </c>
      <c r="Y88" s="41">
        <f t="shared" si="77"/>
        <v>25000</v>
      </c>
      <c r="Z88" s="41">
        <v>1</v>
      </c>
      <c r="AA88" s="41">
        <f t="shared" si="78"/>
        <v>25000</v>
      </c>
      <c r="AB88" s="41">
        <f t="shared" si="79"/>
        <v>25000</v>
      </c>
      <c r="AC88" s="41">
        <f t="shared" si="80"/>
        <v>0</v>
      </c>
      <c r="AD88" s="41">
        <f t="shared" si="81"/>
        <v>2001.8333333333333</v>
      </c>
      <c r="AE88" s="41">
        <f t="shared" si="82"/>
        <v>2018</v>
      </c>
      <c r="AF88" s="41">
        <f t="shared" si="83"/>
        <v>2006.8333333333333</v>
      </c>
      <c r="AG88" s="41">
        <f t="shared" si="84"/>
        <v>2017</v>
      </c>
      <c r="AH88" s="41">
        <f t="shared" si="85"/>
        <v>-0.08333333333333333</v>
      </c>
    </row>
    <row r="89" spans="2:34" s="47" customFormat="1" ht="12">
      <c r="B89" s="35" t="s">
        <v>106</v>
      </c>
      <c r="C89" s="47">
        <v>5001</v>
      </c>
      <c r="D89" s="46" t="s">
        <v>108</v>
      </c>
      <c r="E89" s="47">
        <v>2008</v>
      </c>
      <c r="F89" s="47">
        <v>7</v>
      </c>
      <c r="G89" s="48">
        <v>0</v>
      </c>
      <c r="I89" s="49" t="s">
        <v>82</v>
      </c>
      <c r="J89" s="50">
        <v>3</v>
      </c>
      <c r="K89" s="51">
        <f t="shared" si="69"/>
        <v>2011</v>
      </c>
      <c r="N89" s="52">
        <v>17797.16</v>
      </c>
      <c r="P89" s="53">
        <f t="shared" si="70"/>
        <v>17797.16</v>
      </c>
      <c r="Q89" s="53">
        <f t="shared" si="71"/>
        <v>494.36555555555555</v>
      </c>
      <c r="R89" s="53">
        <f t="shared" si="72"/>
        <v>0</v>
      </c>
      <c r="S89" s="53">
        <f t="shared" si="73"/>
        <v>0</v>
      </c>
      <c r="T89" s="53">
        <f t="shared" si="74"/>
        <v>0</v>
      </c>
      <c r="U89" s="53">
        <v>1</v>
      </c>
      <c r="V89" s="53">
        <f t="shared" si="75"/>
        <v>0</v>
      </c>
      <c r="W89" s="53"/>
      <c r="X89" s="53">
        <f t="shared" si="76"/>
        <v>17797.16</v>
      </c>
      <c r="Y89" s="53">
        <f t="shared" si="77"/>
        <v>17797.16</v>
      </c>
      <c r="Z89" s="53">
        <v>1</v>
      </c>
      <c r="AA89" s="53">
        <f t="shared" si="78"/>
        <v>17797.16</v>
      </c>
      <c r="AB89" s="53">
        <f t="shared" si="79"/>
        <v>17797.16</v>
      </c>
      <c r="AC89" s="53">
        <f t="shared" si="80"/>
        <v>0</v>
      </c>
      <c r="AD89" s="53">
        <f t="shared" si="81"/>
        <v>2008.5</v>
      </c>
      <c r="AE89" s="53">
        <f t="shared" si="82"/>
        <v>2018</v>
      </c>
      <c r="AF89" s="53">
        <f t="shared" si="83"/>
        <v>2011.5</v>
      </c>
      <c r="AG89" s="53">
        <f t="shared" si="84"/>
        <v>2017</v>
      </c>
      <c r="AH89" s="53">
        <f t="shared" si="85"/>
        <v>-0.08333333333333333</v>
      </c>
    </row>
    <row r="90" spans="2:34" s="47" customFormat="1" ht="12">
      <c r="B90" s="35"/>
      <c r="D90" s="46"/>
      <c r="G90" s="48"/>
      <c r="I90" s="49"/>
      <c r="J90" s="50"/>
      <c r="K90" s="51"/>
      <c r="N90" s="52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</row>
    <row r="91" spans="2:34" s="47" customFormat="1" ht="12">
      <c r="B91" s="35"/>
      <c r="D91" s="46"/>
      <c r="G91" s="48"/>
      <c r="I91" s="49"/>
      <c r="J91" s="50"/>
      <c r="K91" s="51"/>
      <c r="N91" s="52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</row>
    <row r="92" spans="2:11" s="7" customFormat="1" ht="12">
      <c r="B92" s="35"/>
      <c r="D92" s="101" t="s">
        <v>236</v>
      </c>
      <c r="G92" s="35"/>
      <c r="I92" s="35"/>
      <c r="J92" s="35"/>
      <c r="K92" s="44"/>
    </row>
    <row r="93" spans="2:34" s="7" customFormat="1" ht="12">
      <c r="B93" s="94" t="s">
        <v>84</v>
      </c>
      <c r="C93" s="44">
        <v>5009</v>
      </c>
      <c r="D93" s="44" t="s">
        <v>85</v>
      </c>
      <c r="E93" s="36">
        <v>1997</v>
      </c>
      <c r="F93" s="36">
        <v>11</v>
      </c>
      <c r="G93" s="37">
        <v>0.2</v>
      </c>
      <c r="I93" s="35" t="s">
        <v>82</v>
      </c>
      <c r="J93" s="38">
        <v>7</v>
      </c>
      <c r="K93" s="39">
        <f>E93+J93</f>
        <v>2004</v>
      </c>
      <c r="N93" s="40">
        <v>58536</v>
      </c>
      <c r="P93" s="41">
        <f>N93-N93*G93</f>
        <v>46828.8</v>
      </c>
      <c r="Q93" s="41">
        <f>P93/J93/12</f>
        <v>557.4857142857144</v>
      </c>
      <c r="R93" s="41">
        <f>IF(O93&gt;0,0,IF(OR(AD93&gt;AE93,AF93&lt;AG93),0,IF(AND(AF93&gt;=AG93,AF93&lt;=AE93),Q93*((AF93-AG93)*12),IF(AND(AG93&lt;=AD93,AE93&gt;=AD93),((AE93-AD93)*12)*Q93,IF(AF93&gt;AE93,12*Q93,0)))))</f>
        <v>0</v>
      </c>
      <c r="S93" s="41">
        <f>IF(O93=0,0,IF(AND(AH93&gt;=AG93,AH93&lt;=AF93),((AH93-AG93)*12)*Q93,0))</f>
        <v>0</v>
      </c>
      <c r="T93" s="41">
        <f>IF(S93&gt;0,S93,R93)</f>
        <v>0</v>
      </c>
      <c r="U93" s="41">
        <v>1</v>
      </c>
      <c r="V93" s="41">
        <f>U93*SUM(R93:S93)</f>
        <v>0</v>
      </c>
      <c r="W93" s="41"/>
      <c r="X93" s="41">
        <f>IF(AD93&gt;AE93,0,IF(AF93&lt;AG93,P93,IF(AND(AF93&gt;=AG93,AF93&lt;=AE93),(P93-T93),IF(AND(AG93&lt;=AD93,AE93&gt;=AD93),0,IF(AF93&gt;AE93,((AG93-AD93)*12)*Q93,0)))))</f>
        <v>46828.8</v>
      </c>
      <c r="Y93" s="41">
        <f>X93*U93</f>
        <v>46828.8</v>
      </c>
      <c r="Z93" s="41">
        <v>1</v>
      </c>
      <c r="AA93" s="41">
        <f>Y93*Z93</f>
        <v>46828.8</v>
      </c>
      <c r="AB93" s="41">
        <f>IF(O93&gt;0,0,AA93+V93*Z93)*Z93</f>
        <v>46828.8</v>
      </c>
      <c r="AC93" s="41">
        <f>IF(O93&gt;0,(N93-AA93)/2,IF(AD93&gt;=AG93,(((N93*U93)*Z93)-AB93)/2,((((N93*U93)*Z93)-AA93)+(((N93*U93)*Z93)-AB93))/2))</f>
        <v>11707.199999999997</v>
      </c>
      <c r="AD93" s="41">
        <f>$E93+(($F93-1)/12)</f>
        <v>1997.8333333333333</v>
      </c>
      <c r="AE93" s="41">
        <f>($P$5+1)-($P$2/12)</f>
        <v>2018</v>
      </c>
      <c r="AF93" s="41">
        <f>$K93+(($F93-1)/12)</f>
        <v>2004.8333333333333</v>
      </c>
      <c r="AG93" s="41">
        <f>$P$4+($P$3/12)</f>
        <v>2017</v>
      </c>
      <c r="AH93" s="41">
        <f>$L93+(($M93-1)/12)</f>
        <v>-0.08333333333333333</v>
      </c>
    </row>
    <row r="94" spans="2:34" s="7" customFormat="1" ht="12">
      <c r="B94" s="94" t="s">
        <v>84</v>
      </c>
      <c r="C94" s="7">
        <v>5009</v>
      </c>
      <c r="D94" s="36" t="s">
        <v>86</v>
      </c>
      <c r="E94" s="36">
        <v>1998</v>
      </c>
      <c r="F94" s="36">
        <v>1</v>
      </c>
      <c r="G94" s="37">
        <v>0.2</v>
      </c>
      <c r="I94" s="35" t="s">
        <v>82</v>
      </c>
      <c r="J94" s="38">
        <v>7</v>
      </c>
      <c r="K94" s="39">
        <f>E94+J94</f>
        <v>2005</v>
      </c>
      <c r="N94" s="40">
        <v>28936</v>
      </c>
      <c r="P94" s="41">
        <f>N94-N94*G94</f>
        <v>23148.8</v>
      </c>
      <c r="Q94" s="41">
        <f>P94/J94/12</f>
        <v>275.5809523809524</v>
      </c>
      <c r="R94" s="41">
        <f>IF(O94&gt;0,0,IF(OR(AD94&gt;AE94,AF94&lt;AG94),0,IF(AND(AF94&gt;=AG94,AF94&lt;=AE94),Q94*((AF94-AG94)*12),IF(AND(AG94&lt;=AD94,AE94&gt;=AD94),((AE94-AD94)*12)*Q94,IF(AF94&gt;AE94,12*Q94,0)))))</f>
        <v>0</v>
      </c>
      <c r="S94" s="41">
        <f>IF(O94=0,0,IF(AND(AH94&gt;=AG94,AH94&lt;=AF94),((AH94-AG94)*12)*Q94,0))</f>
        <v>0</v>
      </c>
      <c r="T94" s="41">
        <f>IF(S94&gt;0,S94,R94)</f>
        <v>0</v>
      </c>
      <c r="U94" s="41">
        <v>1</v>
      </c>
      <c r="V94" s="41">
        <f>U94*SUM(R94:S94)</f>
        <v>0</v>
      </c>
      <c r="W94" s="41"/>
      <c r="X94" s="41">
        <f>IF(AD94&gt;AE94,0,IF(AF94&lt;AG94,P94,IF(AND(AF94&gt;=AG94,AF94&lt;=AE94),(P94-T94),IF(AND(AG94&lt;=AD94,AE94&gt;=AD94),0,IF(AF94&gt;AE94,((AG94-AD94)*12)*Q94,0)))))</f>
        <v>23148.8</v>
      </c>
      <c r="Y94" s="41">
        <f>X94*U94</f>
        <v>23148.8</v>
      </c>
      <c r="Z94" s="41">
        <v>1</v>
      </c>
      <c r="AA94" s="41">
        <f>Y94*Z94</f>
        <v>23148.8</v>
      </c>
      <c r="AB94" s="41">
        <f>IF(O94&gt;0,0,AA94+V94*Z94)*Z94</f>
        <v>23148.8</v>
      </c>
      <c r="AC94" s="41">
        <f>IF(O94&gt;0,(N94-AA94)/2,IF(AD94&gt;=AG94,(((N94*U94)*Z94)-AB94)/2,((((N94*U94)*Z94)-AA94)+(((N94*U94)*Z94)-AB94))/2))</f>
        <v>5787.200000000001</v>
      </c>
      <c r="AD94" s="41">
        <f>$E94+(($F94-1)/12)</f>
        <v>1998</v>
      </c>
      <c r="AE94" s="41">
        <f>($P$5+1)-($P$2/12)</f>
        <v>2018</v>
      </c>
      <c r="AF94" s="41">
        <f>$K94+(($F94-1)/12)</f>
        <v>2005</v>
      </c>
      <c r="AG94" s="41">
        <f>$P$4+($P$3/12)</f>
        <v>2017</v>
      </c>
      <c r="AH94" s="41">
        <f>$L94+(($M94-1)/12)</f>
        <v>-0.08333333333333333</v>
      </c>
    </row>
    <row r="95" spans="2:11" s="7" customFormat="1" ht="12">
      <c r="B95" s="35"/>
      <c r="G95" s="35"/>
      <c r="I95" s="35"/>
      <c r="J95" s="35"/>
      <c r="K95" s="44"/>
    </row>
    <row r="96" spans="2:34" s="7" customFormat="1" ht="12">
      <c r="B96" s="35"/>
      <c r="D96" s="36"/>
      <c r="G96" s="37"/>
      <c r="I96" s="35"/>
      <c r="J96" s="38"/>
      <c r="K96" s="39"/>
      <c r="N96" s="40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</row>
    <row r="97" spans="2:11" s="7" customFormat="1" ht="12">
      <c r="B97" s="35"/>
      <c r="D97" s="101" t="s">
        <v>262</v>
      </c>
      <c r="G97" s="35"/>
      <c r="I97" s="35"/>
      <c r="J97" s="35"/>
      <c r="K97" s="44"/>
    </row>
    <row r="98" spans="2:44" s="86" customFormat="1" ht="12">
      <c r="B98" s="35" t="s">
        <v>106</v>
      </c>
      <c r="C98" s="86">
        <v>355</v>
      </c>
      <c r="D98" s="87" t="s">
        <v>205</v>
      </c>
      <c r="E98" s="86">
        <v>2012</v>
      </c>
      <c r="F98" s="86">
        <v>9</v>
      </c>
      <c r="G98" s="88">
        <v>0</v>
      </c>
      <c r="I98" s="89" t="s">
        <v>82</v>
      </c>
      <c r="J98" s="90">
        <v>3</v>
      </c>
      <c r="K98" s="91">
        <f>E98+J98</f>
        <v>2015</v>
      </c>
      <c r="N98" s="92">
        <f>10263.47+25500</f>
        <v>35763.47</v>
      </c>
      <c r="P98" s="93">
        <f>N98-N98*G98</f>
        <v>35763.47</v>
      </c>
      <c r="Q98" s="93">
        <f>P98/J98/12</f>
        <v>993.4297222222223</v>
      </c>
      <c r="R98" s="93">
        <f>IF(O98&gt;0,0,IF(OR(AD98&gt;AE98,AF98&lt;AG98),0,IF(AND(AF98&gt;=AG98,AF98&lt;=AE98),Q98*((AF98-AG98)*12),IF(AND(AG98&lt;=AD98,AE98&gt;=AD98),((AE98-AD98)*12)*Q98,IF(AF98&gt;AE98,12*Q98,0)))))</f>
        <v>0</v>
      </c>
      <c r="S98" s="93">
        <f>IF(O98=0,0,IF(AND(AH98&gt;=AG98,AH98&lt;=AF98),((AH98-AG98)*12)*Q98,0))</f>
        <v>0</v>
      </c>
      <c r="T98" s="93">
        <f>IF(S98&gt;0,S98,R98)</f>
        <v>0</v>
      </c>
      <c r="U98" s="93">
        <v>1</v>
      </c>
      <c r="V98" s="93">
        <f>U98*SUM(R98:S98)</f>
        <v>0</v>
      </c>
      <c r="W98" s="93"/>
      <c r="X98" s="93">
        <f>IF(AD98&gt;AE98,0,IF(AF98&lt;AG98,P98,IF(AND(AF98&gt;=AG98,AF98&lt;=AE98),(P98-T98),IF(AND(AG98&lt;=AD98,AE98&gt;=AD98),0,IF(AF98&gt;AE98,((AG98-AD98)*12)*Q98,0)))))</f>
        <v>35763.47</v>
      </c>
      <c r="Y98" s="93">
        <f>X98*U98</f>
        <v>35763.47</v>
      </c>
      <c r="Z98" s="93">
        <v>1</v>
      </c>
      <c r="AA98" s="93">
        <f>Y98*Z98</f>
        <v>35763.47</v>
      </c>
      <c r="AB98" s="93">
        <f>IF(O98&gt;0,0,AA98+V98*Z98)*Z98</f>
        <v>35763.47</v>
      </c>
      <c r="AC98" s="93">
        <f>IF(O98&gt;0,(N98-AA98)/2,IF(AD98&gt;=AG98,(((N98*U98)*Z98)-AB98)/2,((((N98*U98)*Z98)-AA98)+(((N98*U98)*Z98)-AB98))/2))</f>
        <v>0</v>
      </c>
      <c r="AD98" s="93">
        <f>$E98+(($F98-1)/12)</f>
        <v>2012.6666666666667</v>
      </c>
      <c r="AE98" s="93">
        <f>($P$5+1)-($P$2/12)</f>
        <v>2018</v>
      </c>
      <c r="AF98" s="93">
        <f>$K98+(($F98-1)/12)</f>
        <v>2015.6666666666667</v>
      </c>
      <c r="AG98" s="93">
        <f>$P$4+($P$3/12)</f>
        <v>2017</v>
      </c>
      <c r="AH98" s="93">
        <f>$L98+(($M98-1)/12)</f>
        <v>-0.08333333333333333</v>
      </c>
      <c r="AJ98" s="224">
        <f>+IF((AF98-AG98)&gt;3,((N98-P98)/(AF98-AG98)),(N98-P98)/3)</f>
        <v>0</v>
      </c>
      <c r="AK98" s="7"/>
      <c r="AL98" s="224">
        <f>+AJ98+T98</f>
        <v>0</v>
      </c>
      <c r="AM98" s="7"/>
      <c r="AN98" s="224">
        <f>+IF(AF98&lt;AG98,-AC98,0)</f>
        <v>0</v>
      </c>
      <c r="AO98" s="7"/>
      <c r="AP98" s="224">
        <f>IF(AF98&gt;AG98,IF(AJ98&gt;0,IF(O98&gt;0,(N98-AA98)/2,IF(AD98&gt;=AG98,(((N98*U98)*Z98)-AB98)/2,((((N98*U98)*Z98)-AA98)+(((N98*U98)*Z98)-AB98))/2)),0),0)</f>
        <v>0</v>
      </c>
      <c r="AQ98" s="7"/>
      <c r="AR98" s="146">
        <f>+AC98+AN98+(IF(AP98&gt;0,(AP98-AC98),0))</f>
        <v>0</v>
      </c>
    </row>
    <row r="99" spans="1:44" s="47" customFormat="1" ht="12">
      <c r="A99" s="47">
        <v>109711</v>
      </c>
      <c r="B99" s="35" t="s">
        <v>106</v>
      </c>
      <c r="C99" s="47">
        <v>5002</v>
      </c>
      <c r="D99" s="46" t="s">
        <v>210</v>
      </c>
      <c r="E99" s="47">
        <v>2010</v>
      </c>
      <c r="F99" s="47">
        <v>6</v>
      </c>
      <c r="G99" s="48">
        <v>0.33</v>
      </c>
      <c r="I99" s="35" t="s">
        <v>82</v>
      </c>
      <c r="J99" s="38">
        <v>5</v>
      </c>
      <c r="K99" s="39">
        <f>E99+J99</f>
        <v>2015</v>
      </c>
      <c r="N99" s="52">
        <v>74038.58</v>
      </c>
      <c r="P99" s="41">
        <f>N99-N99*G99</f>
        <v>49605.8486</v>
      </c>
      <c r="Q99" s="41">
        <f>P99/J99/12</f>
        <v>826.7641433333333</v>
      </c>
      <c r="R99" s="41">
        <f>IF(O99&gt;0,0,IF(OR(AD99&gt;AE99,AF99&lt;AG99),0,IF(AND(AF99&gt;=AG99,AF99&lt;=AE99),Q99*((AF99-AG99)*12),IF(AND(AG99&lt;=AD99,AE99&gt;=AD99),((AE99-AD99)*12)*Q99,IF(AF99&gt;AE99,12*Q99,0)))))</f>
        <v>0</v>
      </c>
      <c r="S99" s="41">
        <f>IF(O99=0,0,IF(AND(AH99&gt;=AG99,AH99&lt;=AF99),((AH99-AG99)*12)*Q99,0))</f>
        <v>0</v>
      </c>
      <c r="T99" s="41">
        <f>IF(S99&gt;0,S99,R99)</f>
        <v>0</v>
      </c>
      <c r="U99" s="41">
        <v>1</v>
      </c>
      <c r="V99" s="41">
        <f>U99*SUM(R99:S99)</f>
        <v>0</v>
      </c>
      <c r="W99" s="41"/>
      <c r="X99" s="41">
        <f>IF(AD99&gt;AE99,0,IF(AF99&lt;AG99,P99,IF(AND(AF99&gt;=AG99,AF99&lt;=AE99),(P99-T99),IF(AND(AG99&lt;=AD99,AE99&gt;=AD99),0,IF(AF99&gt;AE99,((AG99-AD99)*12)*Q99,0)))))</f>
        <v>49605.8486</v>
      </c>
      <c r="Y99" s="41">
        <f>X99*U99</f>
        <v>49605.8486</v>
      </c>
      <c r="Z99" s="41">
        <v>1</v>
      </c>
      <c r="AA99" s="41">
        <f>Y99*Z99</f>
        <v>49605.8486</v>
      </c>
      <c r="AB99" s="41">
        <f>IF(O99&gt;0,0,AA99+V99*Z99)*Z99</f>
        <v>49605.8486</v>
      </c>
      <c r="AC99" s="41">
        <f>IF(O99&gt;0,(N99-AA99)/2,IF(AD99&gt;=AG99,(((N99*U99)*Z99)-AB99)/2,((((N99*U99)*Z99)-AA99)+(((N99*U99)*Z99)-AB99))/2))</f>
        <v>24432.731400000004</v>
      </c>
      <c r="AD99" s="41">
        <f>$E99+(($F99-1)/12)</f>
        <v>2010.4166666666667</v>
      </c>
      <c r="AE99" s="41">
        <f>($P$5+1)-($P$2/12)</f>
        <v>2018</v>
      </c>
      <c r="AF99" s="41">
        <f>$K99+(($F99-1)/12)</f>
        <v>2015.4166666666667</v>
      </c>
      <c r="AG99" s="41">
        <f>$P$4+($P$3/12)</f>
        <v>2017</v>
      </c>
      <c r="AH99" s="41">
        <f>$L99+(($M99-1)/12)</f>
        <v>-0.08333333333333333</v>
      </c>
      <c r="AJ99" s="224">
        <f>+IF((AF99-AG99)&gt;3,((N99-P99)/(AF99-AG99)),(N99-P99)/3)</f>
        <v>8144.243800000001</v>
      </c>
      <c r="AK99" s="7"/>
      <c r="AL99" s="224">
        <f>+AJ99+T99</f>
        <v>8144.243800000001</v>
      </c>
      <c r="AM99" s="7"/>
      <c r="AN99" s="224">
        <f>+IF(AF99&lt;AG99,-AC99,0)</f>
        <v>-24432.731400000004</v>
      </c>
      <c r="AO99" s="7"/>
      <c r="AP99" s="224">
        <f>IF(AF99&gt;AG99,IF(AJ99&gt;0,IF(O99&gt;0,(N99-AA99)/2,IF(AD99&gt;=AG99,(((N99*U99)*Z99)-AB99)/2,((((N99*U99)*Z99)-AA99)+(((N99*U99)*Z99)-AB99))/2)),0),0)</f>
        <v>0</v>
      </c>
      <c r="AQ99" s="7"/>
      <c r="AR99" s="146">
        <f>+AC99+AN99+(IF(AP99&gt;0,(AP99-AC99),0))</f>
        <v>0</v>
      </c>
    </row>
    <row r="100" spans="2:11" s="7" customFormat="1" ht="12">
      <c r="B100" s="35"/>
      <c r="G100" s="35"/>
      <c r="I100" s="35"/>
      <c r="J100" s="35"/>
      <c r="K100" s="44"/>
    </row>
    <row r="101" spans="2:11" s="7" customFormat="1" ht="12">
      <c r="B101" s="35"/>
      <c r="G101" s="35"/>
      <c r="I101" s="35"/>
      <c r="J101" s="35"/>
      <c r="K101" s="44"/>
    </row>
    <row r="102" spans="2:11" s="7" customFormat="1" ht="12">
      <c r="B102" s="35"/>
      <c r="G102" s="35"/>
      <c r="I102" s="35"/>
      <c r="J102" s="35"/>
      <c r="K102" s="44"/>
    </row>
    <row r="103" spans="2:11" s="7" customFormat="1" ht="12">
      <c r="B103" s="35"/>
      <c r="G103" s="35"/>
      <c r="I103" s="35"/>
      <c r="J103" s="35"/>
      <c r="K103" s="44"/>
    </row>
    <row r="104" spans="2:11" s="7" customFormat="1" ht="12">
      <c r="B104" s="35"/>
      <c r="D104" s="36"/>
      <c r="G104" s="35"/>
      <c r="I104" s="35"/>
      <c r="J104" s="35"/>
      <c r="K104" s="44"/>
    </row>
    <row r="105" spans="2:11" s="7" customFormat="1" ht="12">
      <c r="B105" s="35"/>
      <c r="D105" s="36"/>
      <c r="G105" s="35"/>
      <c r="I105" s="35"/>
      <c r="J105" s="35"/>
      <c r="K105" s="44"/>
    </row>
    <row r="106" spans="2:11" s="7" customFormat="1" ht="12">
      <c r="B106" s="35"/>
      <c r="D106" s="106"/>
      <c r="G106" s="35"/>
      <c r="I106" s="35"/>
      <c r="J106" s="35"/>
      <c r="K106" s="44"/>
    </row>
    <row r="107" spans="2:11" s="7" customFormat="1" ht="12">
      <c r="B107" s="35"/>
      <c r="D107" s="96"/>
      <c r="G107" s="35"/>
      <c r="I107" s="35"/>
      <c r="J107" s="35"/>
      <c r="K107" s="44"/>
    </row>
    <row r="108" spans="2:11" s="7" customFormat="1" ht="12">
      <c r="B108" s="35"/>
      <c r="G108" s="35"/>
      <c r="I108" s="35"/>
      <c r="J108" s="35"/>
      <c r="K108" s="44"/>
    </row>
    <row r="109" spans="2:11" s="7" customFormat="1" ht="12">
      <c r="B109" s="35"/>
      <c r="G109" s="35"/>
      <c r="I109" s="35"/>
      <c r="J109" s="35"/>
      <c r="K109" s="44"/>
    </row>
    <row r="110" spans="2:11" s="7" customFormat="1" ht="12">
      <c r="B110" s="35"/>
      <c r="G110" s="35"/>
      <c r="I110" s="35"/>
      <c r="J110" s="35"/>
      <c r="K110" s="44"/>
    </row>
    <row r="111" spans="2:34" s="7" customFormat="1" ht="12">
      <c r="B111" s="94"/>
      <c r="C111" s="44"/>
      <c r="D111" s="106"/>
      <c r="E111" s="36"/>
      <c r="F111" s="36"/>
      <c r="G111" s="37"/>
      <c r="H111" s="41"/>
      <c r="I111" s="35"/>
      <c r="J111" s="38"/>
      <c r="K111" s="39"/>
      <c r="N111" s="40"/>
      <c r="O111" s="42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</row>
    <row r="112" spans="2:34" s="7" customFormat="1" ht="12">
      <c r="B112" s="94"/>
      <c r="C112" s="44"/>
      <c r="D112" s="106"/>
      <c r="E112" s="36"/>
      <c r="F112" s="36"/>
      <c r="G112" s="37"/>
      <c r="H112" s="41"/>
      <c r="I112" s="35"/>
      <c r="J112" s="38"/>
      <c r="K112" s="39"/>
      <c r="N112" s="107"/>
      <c r="O112" s="42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</row>
    <row r="113" spans="2:34" s="7" customFormat="1" ht="12">
      <c r="B113" s="94"/>
      <c r="C113" s="44"/>
      <c r="D113" s="106"/>
      <c r="E113" s="36"/>
      <c r="F113" s="36"/>
      <c r="G113" s="37"/>
      <c r="H113" s="41"/>
      <c r="I113" s="108"/>
      <c r="J113" s="38"/>
      <c r="K113" s="39"/>
      <c r="N113" s="40"/>
      <c r="O113" s="109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</row>
    <row r="114" spans="2:34" s="112" customFormat="1" ht="12">
      <c r="B114" s="94"/>
      <c r="C114" s="44"/>
      <c r="D114" s="106"/>
      <c r="E114" s="36"/>
      <c r="F114" s="36"/>
      <c r="G114" s="37"/>
      <c r="H114" s="76"/>
      <c r="I114" s="110"/>
      <c r="J114" s="38"/>
      <c r="K114" s="111"/>
      <c r="N114" s="40"/>
      <c r="O114" s="113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</row>
    <row r="115" spans="2:34" s="7" customFormat="1" ht="12">
      <c r="B115" s="94"/>
      <c r="C115" s="44"/>
      <c r="D115" s="106"/>
      <c r="E115" s="36"/>
      <c r="F115" s="36"/>
      <c r="G115" s="37"/>
      <c r="H115" s="41"/>
      <c r="I115" s="35"/>
      <c r="J115" s="38"/>
      <c r="K115" s="39"/>
      <c r="N115" s="40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</row>
    <row r="116" spans="2:34" s="7" customFormat="1" ht="12">
      <c r="B116" s="94"/>
      <c r="C116" s="44"/>
      <c r="D116" s="106"/>
      <c r="E116" s="36"/>
      <c r="F116" s="36"/>
      <c r="G116" s="37"/>
      <c r="H116" s="41"/>
      <c r="I116" s="35"/>
      <c r="J116" s="38"/>
      <c r="K116" s="39"/>
      <c r="N116" s="40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</row>
    <row r="117" spans="2:34" s="7" customFormat="1" ht="12">
      <c r="B117" s="94"/>
      <c r="C117" s="44"/>
      <c r="D117" s="106"/>
      <c r="E117" s="36"/>
      <c r="F117" s="36"/>
      <c r="G117" s="37"/>
      <c r="H117" s="41"/>
      <c r="I117" s="35"/>
      <c r="J117" s="38"/>
      <c r="K117" s="39"/>
      <c r="N117" s="40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</row>
    <row r="118" spans="2:34" s="7" customFormat="1" ht="12">
      <c r="B118" s="94"/>
      <c r="C118" s="44"/>
      <c r="D118" s="106"/>
      <c r="E118" s="36"/>
      <c r="F118" s="36"/>
      <c r="G118" s="37"/>
      <c r="H118" s="41"/>
      <c r="I118" s="35"/>
      <c r="J118" s="38"/>
      <c r="K118" s="39"/>
      <c r="N118" s="40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</row>
    <row r="119" spans="2:34" s="7" customFormat="1" ht="12">
      <c r="B119" s="103"/>
      <c r="C119" s="44"/>
      <c r="D119" s="106"/>
      <c r="E119" s="36"/>
      <c r="F119" s="36"/>
      <c r="G119" s="37"/>
      <c r="I119" s="35"/>
      <c r="J119" s="38"/>
      <c r="K119" s="39"/>
      <c r="N119" s="40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</row>
    <row r="120" spans="2:34" s="7" customFormat="1" ht="12">
      <c r="B120" s="94"/>
      <c r="C120" s="44"/>
      <c r="D120" s="106"/>
      <c r="E120" s="36"/>
      <c r="F120" s="36"/>
      <c r="G120" s="37"/>
      <c r="I120" s="35"/>
      <c r="J120" s="38"/>
      <c r="K120" s="39"/>
      <c r="N120" s="40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</row>
    <row r="121" spans="2:34" s="7" customFormat="1" ht="12">
      <c r="B121" s="94"/>
      <c r="C121" s="44"/>
      <c r="D121" s="106"/>
      <c r="E121" s="36"/>
      <c r="F121" s="36"/>
      <c r="G121" s="37"/>
      <c r="I121" s="35"/>
      <c r="J121" s="38"/>
      <c r="K121" s="39"/>
      <c r="N121" s="40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</row>
    <row r="122" spans="2:34" s="7" customFormat="1" ht="12">
      <c r="B122" s="94"/>
      <c r="C122" s="44"/>
      <c r="D122" s="106"/>
      <c r="E122" s="36"/>
      <c r="F122" s="36"/>
      <c r="G122" s="37"/>
      <c r="I122" s="35"/>
      <c r="J122" s="38"/>
      <c r="K122" s="39"/>
      <c r="N122" s="40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</row>
    <row r="123" spans="2:11" s="7" customFormat="1" ht="12">
      <c r="B123" s="35"/>
      <c r="G123" s="35"/>
      <c r="I123" s="35"/>
      <c r="J123" s="35"/>
      <c r="K123" s="44"/>
    </row>
    <row r="124" spans="2:34" s="7" customFormat="1" ht="12">
      <c r="B124" s="94"/>
      <c r="C124" s="44"/>
      <c r="D124" s="36"/>
      <c r="E124" s="36"/>
      <c r="F124" s="36"/>
      <c r="G124" s="37"/>
      <c r="I124" s="35"/>
      <c r="J124" s="38"/>
      <c r="K124" s="39"/>
      <c r="N124" s="40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</row>
    <row r="125" spans="2:34" s="7" customFormat="1" ht="12">
      <c r="B125" s="69"/>
      <c r="D125" s="36"/>
      <c r="G125" s="37"/>
      <c r="I125" s="35"/>
      <c r="J125" s="38"/>
      <c r="K125" s="39"/>
      <c r="N125" s="40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</row>
    <row r="126" spans="2:34" s="7" customFormat="1" ht="12">
      <c r="B126" s="35"/>
      <c r="D126" s="36"/>
      <c r="G126" s="37"/>
      <c r="I126" s="35"/>
      <c r="J126" s="38"/>
      <c r="K126" s="39"/>
      <c r="N126" s="40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</row>
    <row r="127" spans="2:11" s="7" customFormat="1" ht="12">
      <c r="B127" s="35"/>
      <c r="G127" s="35"/>
      <c r="I127" s="35"/>
      <c r="J127" s="35"/>
      <c r="K127" s="44"/>
    </row>
    <row r="128" spans="2:34" s="7" customFormat="1" ht="12">
      <c r="B128" s="35"/>
      <c r="C128" s="43"/>
      <c r="D128" s="44"/>
      <c r="E128" s="44"/>
      <c r="F128" s="44"/>
      <c r="G128" s="104"/>
      <c r="I128" s="35"/>
      <c r="J128" s="94"/>
      <c r="K128" s="39"/>
      <c r="N128" s="45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</row>
    <row r="129" spans="2:34" s="7" customFormat="1" ht="12">
      <c r="B129" s="35"/>
      <c r="C129" s="43"/>
      <c r="D129" s="36"/>
      <c r="E129" s="36"/>
      <c r="F129" s="36"/>
      <c r="G129" s="37"/>
      <c r="I129" s="35"/>
      <c r="J129" s="38"/>
      <c r="K129" s="39"/>
      <c r="N129" s="40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</row>
    <row r="130" spans="2:34" s="7" customFormat="1" ht="12">
      <c r="B130" s="35"/>
      <c r="C130" s="43"/>
      <c r="D130" s="36"/>
      <c r="E130" s="36"/>
      <c r="F130" s="36"/>
      <c r="G130" s="37"/>
      <c r="I130" s="35"/>
      <c r="J130" s="38"/>
      <c r="K130" s="39"/>
      <c r="N130" s="40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</row>
    <row r="131" spans="2:11" s="7" customFormat="1" ht="12">
      <c r="B131" s="35"/>
      <c r="G131" s="35"/>
      <c r="I131" s="35"/>
      <c r="J131" s="35"/>
      <c r="K131" s="44"/>
    </row>
    <row r="132" spans="2:34" s="7" customFormat="1" ht="12">
      <c r="B132" s="103"/>
      <c r="C132" s="44"/>
      <c r="D132" s="106"/>
      <c r="E132" s="36"/>
      <c r="F132" s="36"/>
      <c r="G132" s="37"/>
      <c r="I132" s="35"/>
      <c r="J132" s="38"/>
      <c r="K132" s="39"/>
      <c r="N132" s="40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</row>
    <row r="133" spans="2:11" s="7" customFormat="1" ht="12">
      <c r="B133" s="35"/>
      <c r="G133" s="35"/>
      <c r="I133" s="35"/>
      <c r="J133" s="35"/>
      <c r="K133" s="44"/>
    </row>
    <row r="134" spans="2:11" s="7" customFormat="1" ht="12">
      <c r="B134" s="35"/>
      <c r="G134" s="35"/>
      <c r="I134" s="35"/>
      <c r="J134" s="35"/>
      <c r="K134" s="44"/>
    </row>
    <row r="135" spans="2:11" s="7" customFormat="1" ht="12">
      <c r="B135" s="35"/>
      <c r="G135" s="35"/>
      <c r="I135" s="35"/>
      <c r="J135" s="35"/>
      <c r="K135" s="44"/>
    </row>
    <row r="136" spans="2:11" s="7" customFormat="1" ht="12">
      <c r="B136" s="35"/>
      <c r="G136" s="35"/>
      <c r="I136" s="35"/>
      <c r="J136" s="35"/>
      <c r="K136" s="44"/>
    </row>
    <row r="137" spans="2:11" s="7" customFormat="1" ht="12">
      <c r="B137" s="35"/>
      <c r="G137" s="35"/>
      <c r="I137" s="35"/>
      <c r="J137" s="35"/>
      <c r="K137" s="44"/>
    </row>
    <row r="138" spans="2:11" s="7" customFormat="1" ht="12">
      <c r="B138" s="35"/>
      <c r="G138" s="35"/>
      <c r="I138" s="35"/>
      <c r="J138" s="35"/>
      <c r="K138" s="44"/>
    </row>
    <row r="139" spans="2:11" s="7" customFormat="1" ht="12">
      <c r="B139" s="35"/>
      <c r="G139" s="35"/>
      <c r="I139" s="35"/>
      <c r="J139" s="35"/>
      <c r="K139" s="44"/>
    </row>
    <row r="140" spans="2:11" s="7" customFormat="1" ht="12">
      <c r="B140" s="35"/>
      <c r="G140" s="35"/>
      <c r="I140" s="35"/>
      <c r="J140" s="35"/>
      <c r="K140" s="44"/>
    </row>
    <row r="141" spans="2:11" s="7" customFormat="1" ht="12">
      <c r="B141" s="35"/>
      <c r="G141" s="35"/>
      <c r="I141" s="35"/>
      <c r="J141" s="35"/>
      <c r="K141" s="44"/>
    </row>
    <row r="142" spans="2:11" s="7" customFormat="1" ht="12">
      <c r="B142" s="35"/>
      <c r="G142" s="35"/>
      <c r="I142" s="35"/>
      <c r="J142" s="35"/>
      <c r="K142" s="44"/>
    </row>
    <row r="143" spans="2:11" s="7" customFormat="1" ht="12">
      <c r="B143" s="35"/>
      <c r="G143" s="35"/>
      <c r="I143" s="35"/>
      <c r="J143" s="35"/>
      <c r="K143" s="44"/>
    </row>
    <row r="144" spans="2:11" s="7" customFormat="1" ht="12">
      <c r="B144" s="35"/>
      <c r="G144" s="35"/>
      <c r="I144" s="35"/>
      <c r="J144" s="35"/>
      <c r="K144" s="44"/>
    </row>
    <row r="145" spans="2:11" s="7" customFormat="1" ht="12">
      <c r="B145" s="35"/>
      <c r="G145" s="35"/>
      <c r="I145" s="35"/>
      <c r="J145" s="35"/>
      <c r="K145" s="44"/>
    </row>
    <row r="146" spans="2:11" s="7" customFormat="1" ht="12">
      <c r="B146" s="35"/>
      <c r="G146" s="35"/>
      <c r="I146" s="35"/>
      <c r="J146" s="35"/>
      <c r="K146" s="44"/>
    </row>
    <row r="147" spans="2:11" s="7" customFormat="1" ht="12">
      <c r="B147" s="35"/>
      <c r="G147" s="35"/>
      <c r="I147" s="35"/>
      <c r="J147" s="35"/>
      <c r="K147" s="44"/>
    </row>
    <row r="148" spans="2:11" s="7" customFormat="1" ht="12">
      <c r="B148" s="35"/>
      <c r="G148" s="35"/>
      <c r="I148" s="35"/>
      <c r="J148" s="35"/>
      <c r="K148" s="44"/>
    </row>
    <row r="149" spans="2:11" s="7" customFormat="1" ht="12">
      <c r="B149" s="35"/>
      <c r="G149" s="35"/>
      <c r="I149" s="35"/>
      <c r="J149" s="35"/>
      <c r="K149" s="44"/>
    </row>
    <row r="150" spans="2:11" s="7" customFormat="1" ht="12">
      <c r="B150" s="35"/>
      <c r="G150" s="35"/>
      <c r="I150" s="35"/>
      <c r="J150" s="35"/>
      <c r="K150" s="44"/>
    </row>
    <row r="151" spans="2:11" s="7" customFormat="1" ht="12">
      <c r="B151" s="35"/>
      <c r="G151" s="35"/>
      <c r="I151" s="35"/>
      <c r="J151" s="35"/>
      <c r="K151" s="44"/>
    </row>
    <row r="152" spans="2:11" s="7" customFormat="1" ht="12">
      <c r="B152" s="35"/>
      <c r="G152" s="35"/>
      <c r="I152" s="35"/>
      <c r="J152" s="35"/>
      <c r="K152" s="44"/>
    </row>
    <row r="153" spans="2:11" s="7" customFormat="1" ht="12">
      <c r="B153" s="35"/>
      <c r="G153" s="35"/>
      <c r="I153" s="35"/>
      <c r="J153" s="35"/>
      <c r="K153" s="44"/>
    </row>
    <row r="154" spans="2:11" s="7" customFormat="1" ht="12">
      <c r="B154" s="35"/>
      <c r="G154" s="35"/>
      <c r="I154" s="35"/>
      <c r="J154" s="35"/>
      <c r="K154" s="44"/>
    </row>
    <row r="155" spans="2:11" s="7" customFormat="1" ht="12">
      <c r="B155" s="35"/>
      <c r="G155" s="35"/>
      <c r="I155" s="35"/>
      <c r="J155" s="35"/>
      <c r="K155" s="44"/>
    </row>
    <row r="156" spans="2:11" s="7" customFormat="1" ht="12">
      <c r="B156" s="35"/>
      <c r="G156" s="35"/>
      <c r="I156" s="35"/>
      <c r="J156" s="35"/>
      <c r="K156" s="44"/>
    </row>
    <row r="157" spans="2:11" s="7" customFormat="1" ht="12">
      <c r="B157" s="35"/>
      <c r="G157" s="35"/>
      <c r="I157" s="35"/>
      <c r="J157" s="35"/>
      <c r="K157" s="44"/>
    </row>
    <row r="158" spans="2:11" s="7" customFormat="1" ht="12">
      <c r="B158" s="35"/>
      <c r="G158" s="35"/>
      <c r="I158" s="35"/>
      <c r="J158" s="35"/>
      <c r="K158" s="44"/>
    </row>
    <row r="159" spans="2:11" s="7" customFormat="1" ht="12">
      <c r="B159" s="35"/>
      <c r="G159" s="35"/>
      <c r="I159" s="35"/>
      <c r="J159" s="35"/>
      <c r="K159" s="44"/>
    </row>
    <row r="160" spans="2:11" s="7" customFormat="1" ht="12">
      <c r="B160" s="35"/>
      <c r="G160" s="35"/>
      <c r="I160" s="35"/>
      <c r="J160" s="35"/>
      <c r="K160" s="44"/>
    </row>
    <row r="161" spans="2:11" s="7" customFormat="1" ht="12">
      <c r="B161" s="35"/>
      <c r="G161" s="35"/>
      <c r="I161" s="35"/>
      <c r="J161" s="35"/>
      <c r="K161" s="44"/>
    </row>
    <row r="162" spans="2:11" s="7" customFormat="1" ht="12">
      <c r="B162" s="35"/>
      <c r="G162" s="35"/>
      <c r="I162" s="35"/>
      <c r="J162" s="35"/>
      <c r="K162" s="44"/>
    </row>
    <row r="163" spans="2:11" s="7" customFormat="1" ht="12">
      <c r="B163" s="35"/>
      <c r="G163" s="35"/>
      <c r="I163" s="35"/>
      <c r="J163" s="35"/>
      <c r="K163" s="44"/>
    </row>
    <row r="164" spans="2:11" s="7" customFormat="1" ht="12">
      <c r="B164" s="35"/>
      <c r="G164" s="35"/>
      <c r="I164" s="35"/>
      <c r="J164" s="35"/>
      <c r="K164" s="44"/>
    </row>
    <row r="165" spans="2:11" s="7" customFormat="1" ht="12">
      <c r="B165" s="35"/>
      <c r="G165" s="35"/>
      <c r="I165" s="35"/>
      <c r="J165" s="35"/>
      <c r="K165" s="44"/>
    </row>
    <row r="166" spans="2:11" s="7" customFormat="1" ht="12">
      <c r="B166" s="35"/>
      <c r="G166" s="35"/>
      <c r="I166" s="35"/>
      <c r="J166" s="35"/>
      <c r="K166" s="44"/>
    </row>
    <row r="167" spans="2:11" s="7" customFormat="1" ht="12">
      <c r="B167" s="35"/>
      <c r="G167" s="35"/>
      <c r="I167" s="35"/>
      <c r="J167" s="35"/>
      <c r="K167" s="44"/>
    </row>
    <row r="168" spans="2:11" s="7" customFormat="1" ht="12">
      <c r="B168" s="35"/>
      <c r="G168" s="35"/>
      <c r="I168" s="35"/>
      <c r="J168" s="35"/>
      <c r="K168" s="44"/>
    </row>
    <row r="169" spans="2:11" s="7" customFormat="1" ht="12">
      <c r="B169" s="35"/>
      <c r="G169" s="35"/>
      <c r="I169" s="35"/>
      <c r="J169" s="35"/>
      <c r="K169" s="44"/>
    </row>
    <row r="170" spans="2:11" s="7" customFormat="1" ht="12">
      <c r="B170" s="35"/>
      <c r="G170" s="35"/>
      <c r="I170" s="35"/>
      <c r="J170" s="35"/>
      <c r="K170" s="44"/>
    </row>
    <row r="171" spans="2:11" s="7" customFormat="1" ht="12">
      <c r="B171" s="35"/>
      <c r="G171" s="35"/>
      <c r="I171" s="35"/>
      <c r="J171" s="35"/>
      <c r="K171" s="44"/>
    </row>
    <row r="172" spans="2:11" s="7" customFormat="1" ht="12">
      <c r="B172" s="35"/>
      <c r="G172" s="35"/>
      <c r="I172" s="35"/>
      <c r="J172" s="35"/>
      <c r="K172" s="44"/>
    </row>
    <row r="173" spans="2:11" s="7" customFormat="1" ht="12">
      <c r="B173" s="35"/>
      <c r="G173" s="35"/>
      <c r="I173" s="35"/>
      <c r="J173" s="35"/>
      <c r="K173" s="44"/>
    </row>
    <row r="174" spans="2:11" s="7" customFormat="1" ht="12">
      <c r="B174" s="35"/>
      <c r="G174" s="35"/>
      <c r="I174" s="35"/>
      <c r="J174" s="35"/>
      <c r="K174" s="44"/>
    </row>
    <row r="175" ht="12">
      <c r="I175" s="12"/>
    </row>
    <row r="176" ht="12">
      <c r="I176" s="12"/>
    </row>
    <row r="177" ht="12">
      <c r="I177" s="12"/>
    </row>
    <row r="178" ht="12">
      <c r="I178" s="12"/>
    </row>
    <row r="179" ht="12">
      <c r="I179" s="12"/>
    </row>
    <row r="180" ht="12">
      <c r="I180" s="12"/>
    </row>
    <row r="181" ht="12">
      <c r="I181" s="12"/>
    </row>
    <row r="182" ht="12">
      <c r="I182" s="12"/>
    </row>
    <row r="183" ht="12">
      <c r="I183" s="12"/>
    </row>
    <row r="184" ht="12">
      <c r="I184" s="12"/>
    </row>
    <row r="185" ht="12">
      <c r="I185" s="12"/>
    </row>
    <row r="186" ht="12">
      <c r="I186" s="12"/>
    </row>
    <row r="187" ht="12">
      <c r="I187" s="12"/>
    </row>
    <row r="188" ht="12">
      <c r="I188" s="12"/>
    </row>
    <row r="189" ht="12">
      <c r="I189" s="12"/>
    </row>
    <row r="190" ht="12">
      <c r="I190" s="12"/>
    </row>
    <row r="191" ht="12">
      <c r="I191" s="12"/>
    </row>
    <row r="192" ht="12">
      <c r="I192" s="12"/>
    </row>
    <row r="193" ht="12">
      <c r="I193" s="12"/>
    </row>
    <row r="194" ht="12">
      <c r="I194" s="12"/>
    </row>
    <row r="195" ht="12">
      <c r="I195" s="12"/>
    </row>
    <row r="196" ht="12">
      <c r="I196" s="12"/>
    </row>
    <row r="197" ht="12">
      <c r="I197" s="12"/>
    </row>
    <row r="198" ht="12">
      <c r="I198" s="12"/>
    </row>
    <row r="199" ht="12">
      <c r="I199" s="12"/>
    </row>
    <row r="200" ht="12">
      <c r="I200" s="12"/>
    </row>
    <row r="201" ht="12">
      <c r="I201" s="12"/>
    </row>
    <row r="202" ht="12">
      <c r="I202" s="12"/>
    </row>
    <row r="203" ht="12">
      <c r="I203" s="12"/>
    </row>
    <row r="204" ht="12">
      <c r="I204" s="12"/>
    </row>
    <row r="205" ht="12">
      <c r="I205" s="12"/>
    </row>
    <row r="206" ht="12">
      <c r="I206" s="12"/>
    </row>
    <row r="207" ht="12">
      <c r="I207" s="12"/>
    </row>
    <row r="208" ht="12">
      <c r="I208" s="12"/>
    </row>
    <row r="209" ht="12">
      <c r="I209" s="12"/>
    </row>
    <row r="210" ht="12">
      <c r="I210" s="12"/>
    </row>
    <row r="211" ht="12">
      <c r="I211" s="12"/>
    </row>
    <row r="212" ht="12">
      <c r="I212" s="12"/>
    </row>
    <row r="213" ht="12">
      <c r="I213" s="12"/>
    </row>
    <row r="214" ht="12">
      <c r="I214" s="12"/>
    </row>
    <row r="215" ht="12">
      <c r="I215" s="12"/>
    </row>
    <row r="216" ht="12">
      <c r="I216" s="12"/>
    </row>
    <row r="217" ht="12">
      <c r="I217" s="12"/>
    </row>
    <row r="218" ht="12">
      <c r="I218" s="12"/>
    </row>
    <row r="219" ht="12">
      <c r="I219" s="12"/>
    </row>
    <row r="220" ht="12">
      <c r="I220" s="12"/>
    </row>
    <row r="221" ht="12">
      <c r="I221" s="12"/>
    </row>
    <row r="222" ht="12">
      <c r="I222" s="12"/>
    </row>
    <row r="223" ht="12">
      <c r="I223" s="12"/>
    </row>
    <row r="224" ht="12">
      <c r="I224" s="12"/>
    </row>
    <row r="225" ht="12">
      <c r="I225" s="12"/>
    </row>
    <row r="226" ht="12">
      <c r="I226" s="12"/>
    </row>
    <row r="227" ht="12">
      <c r="I227" s="12"/>
    </row>
    <row r="228" ht="12">
      <c r="I228" s="12"/>
    </row>
    <row r="229" ht="12">
      <c r="I229" s="12"/>
    </row>
    <row r="230" ht="12">
      <c r="I230" s="12"/>
    </row>
    <row r="231" ht="12">
      <c r="I231" s="12"/>
    </row>
    <row r="232" ht="12">
      <c r="I232" s="12"/>
    </row>
    <row r="233" ht="12">
      <c r="I233" s="12"/>
    </row>
    <row r="234" ht="12">
      <c r="I234" s="12"/>
    </row>
    <row r="235" ht="12">
      <c r="I235" s="12"/>
    </row>
    <row r="236" ht="12">
      <c r="I236" s="12"/>
    </row>
    <row r="237" ht="12">
      <c r="I237" s="12"/>
    </row>
    <row r="238" ht="12">
      <c r="I238" s="12"/>
    </row>
    <row r="239" ht="12">
      <c r="I239" s="12"/>
    </row>
    <row r="240" ht="12">
      <c r="I240" s="12"/>
    </row>
    <row r="241" ht="12">
      <c r="I241" s="12"/>
    </row>
    <row r="242" ht="12">
      <c r="I242" s="12"/>
    </row>
    <row r="243" ht="12">
      <c r="I243" s="12"/>
    </row>
    <row r="244" ht="12">
      <c r="I244" s="12"/>
    </row>
    <row r="245" ht="12">
      <c r="I245" s="12"/>
    </row>
    <row r="246" ht="12">
      <c r="I246" s="12"/>
    </row>
    <row r="247" ht="12">
      <c r="I247" s="12"/>
    </row>
    <row r="248" ht="12">
      <c r="I248" s="12"/>
    </row>
    <row r="249" ht="12">
      <c r="I249" s="12"/>
    </row>
    <row r="250" ht="12">
      <c r="I250" s="12"/>
    </row>
    <row r="251" ht="12">
      <c r="I251" s="12"/>
    </row>
    <row r="252" ht="12">
      <c r="I252" s="12"/>
    </row>
    <row r="253" ht="12">
      <c r="I253" s="12"/>
    </row>
    <row r="254" ht="12">
      <c r="I254" s="12"/>
    </row>
    <row r="255" ht="12">
      <c r="I255" s="12"/>
    </row>
    <row r="256" ht="12">
      <c r="I256" s="12"/>
    </row>
    <row r="257" ht="12">
      <c r="I257" s="12"/>
    </row>
    <row r="258" ht="12">
      <c r="I258" s="12"/>
    </row>
    <row r="259" ht="12">
      <c r="I259" s="12"/>
    </row>
    <row r="260" ht="12">
      <c r="I260" s="12"/>
    </row>
    <row r="261" ht="12">
      <c r="I261" s="12"/>
    </row>
    <row r="262" ht="12">
      <c r="I262" s="12"/>
    </row>
    <row r="263" ht="12">
      <c r="I263" s="12"/>
    </row>
    <row r="264" ht="12">
      <c r="I264" s="12"/>
    </row>
    <row r="265" ht="12">
      <c r="I265" s="12"/>
    </row>
    <row r="266" ht="12">
      <c r="I266" s="12"/>
    </row>
    <row r="267" ht="12">
      <c r="I267" s="12"/>
    </row>
    <row r="268" ht="12">
      <c r="I268" s="12"/>
    </row>
    <row r="269" ht="12">
      <c r="I269" s="12"/>
    </row>
    <row r="270" ht="12">
      <c r="I270" s="12"/>
    </row>
    <row r="271" ht="12">
      <c r="I271" s="12"/>
    </row>
    <row r="272" ht="12">
      <c r="I272" s="12"/>
    </row>
    <row r="273" ht="12">
      <c r="I273" s="12"/>
    </row>
    <row r="274" ht="12">
      <c r="I274" s="12"/>
    </row>
    <row r="275" ht="12">
      <c r="I275" s="12"/>
    </row>
    <row r="276" ht="12">
      <c r="I276" s="12"/>
    </row>
    <row r="277" ht="12">
      <c r="I277" s="12"/>
    </row>
    <row r="278" ht="12">
      <c r="I278" s="12"/>
    </row>
    <row r="279" ht="12">
      <c r="I279" s="12"/>
    </row>
    <row r="280" ht="12">
      <c r="I280" s="12"/>
    </row>
    <row r="281" ht="12">
      <c r="I281" s="12"/>
    </row>
    <row r="282" ht="12">
      <c r="I282" s="12"/>
    </row>
    <row r="283" ht="12">
      <c r="I283" s="12"/>
    </row>
    <row r="284" ht="12">
      <c r="I284" s="12"/>
    </row>
    <row r="285" ht="12">
      <c r="I285" s="12"/>
    </row>
    <row r="286" ht="12">
      <c r="I286" s="12"/>
    </row>
    <row r="287" ht="12">
      <c r="I287" s="12"/>
    </row>
    <row r="288" ht="12">
      <c r="I288" s="12"/>
    </row>
    <row r="289" ht="12">
      <c r="I289" s="12"/>
    </row>
    <row r="290" ht="12">
      <c r="I290" s="12"/>
    </row>
    <row r="291" ht="12">
      <c r="I291" s="12"/>
    </row>
    <row r="292" ht="12">
      <c r="I292" s="12"/>
    </row>
    <row r="293" ht="12">
      <c r="I293" s="12"/>
    </row>
    <row r="294" ht="12">
      <c r="I294" s="12"/>
    </row>
    <row r="295" ht="12">
      <c r="I295" s="12"/>
    </row>
    <row r="296" ht="12">
      <c r="I296" s="12"/>
    </row>
    <row r="297" ht="12">
      <c r="I297" s="12"/>
    </row>
    <row r="298" ht="12">
      <c r="I298" s="12"/>
    </row>
    <row r="299" ht="12">
      <c r="I299" s="12"/>
    </row>
    <row r="300" ht="12">
      <c r="I300" s="12"/>
    </row>
    <row r="301" ht="12">
      <c r="I301" s="12"/>
    </row>
    <row r="302" ht="12">
      <c r="I302" s="12"/>
    </row>
    <row r="303" ht="12">
      <c r="I303" s="12"/>
    </row>
    <row r="304" ht="12">
      <c r="I304" s="12"/>
    </row>
    <row r="305" ht="12">
      <c r="I305" s="12"/>
    </row>
    <row r="306" ht="12">
      <c r="I306" s="12"/>
    </row>
    <row r="307" ht="12">
      <c r="I307" s="12"/>
    </row>
    <row r="308" ht="12">
      <c r="I308" s="12"/>
    </row>
    <row r="309" ht="12">
      <c r="I309" s="12"/>
    </row>
    <row r="310" ht="12">
      <c r="I310" s="12"/>
    </row>
    <row r="311" ht="12">
      <c r="I311" s="12"/>
    </row>
    <row r="312" ht="12">
      <c r="I312" s="12"/>
    </row>
    <row r="313" ht="12">
      <c r="I313" s="12"/>
    </row>
    <row r="314" ht="12">
      <c r="I314" s="12"/>
    </row>
    <row r="315" ht="12">
      <c r="I315" s="12"/>
    </row>
    <row r="316" ht="12">
      <c r="I316" s="12"/>
    </row>
    <row r="317" ht="12">
      <c r="I317" s="12"/>
    </row>
    <row r="318" ht="12">
      <c r="I318" s="12"/>
    </row>
    <row r="319" ht="12">
      <c r="I319" s="12"/>
    </row>
    <row r="320" ht="12">
      <c r="I320" s="12"/>
    </row>
    <row r="321" ht="12">
      <c r="I321" s="12"/>
    </row>
    <row r="322" ht="12">
      <c r="I322" s="12"/>
    </row>
    <row r="323" ht="12">
      <c r="I323" s="12"/>
    </row>
    <row r="324" ht="12">
      <c r="I324" s="12"/>
    </row>
    <row r="325" ht="12">
      <c r="I325" s="12"/>
    </row>
    <row r="326" ht="12">
      <c r="I326" s="12"/>
    </row>
    <row r="327" ht="12">
      <c r="I327" s="12"/>
    </row>
    <row r="328" ht="12">
      <c r="I328" s="12"/>
    </row>
    <row r="329" ht="12">
      <c r="I329" s="12"/>
    </row>
    <row r="330" ht="12">
      <c r="I330" s="12"/>
    </row>
    <row r="331" ht="12">
      <c r="I331" s="12"/>
    </row>
    <row r="332" ht="12">
      <c r="I332" s="12"/>
    </row>
    <row r="333" ht="12">
      <c r="I333" s="12"/>
    </row>
    <row r="334" ht="12">
      <c r="I334" s="12"/>
    </row>
    <row r="335" ht="12">
      <c r="I335" s="12"/>
    </row>
    <row r="336" ht="12">
      <c r="I336" s="12"/>
    </row>
    <row r="337" ht="12">
      <c r="I337" s="12"/>
    </row>
    <row r="338" ht="12">
      <c r="I338" s="12"/>
    </row>
    <row r="339" ht="12">
      <c r="I339" s="12"/>
    </row>
    <row r="340" ht="12">
      <c r="I340" s="12"/>
    </row>
    <row r="341" ht="12">
      <c r="I341" s="12"/>
    </row>
    <row r="342" ht="12">
      <c r="I342" s="12"/>
    </row>
    <row r="343" ht="12">
      <c r="I343" s="12"/>
    </row>
    <row r="344" ht="12">
      <c r="I344" s="12"/>
    </row>
    <row r="345" ht="12">
      <c r="I345" s="12"/>
    </row>
    <row r="346" ht="12">
      <c r="I346" s="12"/>
    </row>
    <row r="347" ht="12">
      <c r="I347" s="12"/>
    </row>
    <row r="348" ht="12">
      <c r="I348" s="12"/>
    </row>
    <row r="349" ht="12">
      <c r="I349" s="12"/>
    </row>
    <row r="350" ht="12">
      <c r="I350" s="12"/>
    </row>
    <row r="351" ht="12">
      <c r="I351" s="12"/>
    </row>
    <row r="352" ht="12">
      <c r="I352" s="12"/>
    </row>
    <row r="353" ht="12">
      <c r="I353" s="12"/>
    </row>
    <row r="354" ht="12">
      <c r="I354" s="12"/>
    </row>
    <row r="355" ht="12">
      <c r="I355" s="12"/>
    </row>
    <row r="356" ht="12">
      <c r="I356" s="12"/>
    </row>
    <row r="357" ht="12">
      <c r="I357" s="12"/>
    </row>
    <row r="358" ht="12">
      <c r="I358" s="12"/>
    </row>
    <row r="359" ht="12">
      <c r="I359" s="12"/>
    </row>
    <row r="360" ht="12">
      <c r="I360" s="12"/>
    </row>
    <row r="361" ht="12">
      <c r="I361" s="12"/>
    </row>
    <row r="362" ht="12">
      <c r="I362" s="12"/>
    </row>
    <row r="363" ht="12">
      <c r="I363" s="12"/>
    </row>
    <row r="364" ht="12">
      <c r="I364" s="12"/>
    </row>
    <row r="365" ht="12">
      <c r="I365" s="12"/>
    </row>
    <row r="366" ht="12">
      <c r="I366" s="12"/>
    </row>
    <row r="367" ht="12">
      <c r="I367" s="12"/>
    </row>
    <row r="368" ht="12">
      <c r="I368" s="12"/>
    </row>
    <row r="369" ht="12">
      <c r="I369" s="12"/>
    </row>
    <row r="370" ht="12">
      <c r="I370" s="12"/>
    </row>
    <row r="371" ht="12">
      <c r="I371" s="12"/>
    </row>
    <row r="372" ht="12">
      <c r="I372" s="12"/>
    </row>
    <row r="373" ht="12">
      <c r="I373" s="12"/>
    </row>
    <row r="374" ht="12">
      <c r="I374" s="12"/>
    </row>
    <row r="375" ht="12">
      <c r="I375" s="12"/>
    </row>
    <row r="376" ht="12">
      <c r="I376" s="12"/>
    </row>
    <row r="377" ht="12">
      <c r="I377" s="12"/>
    </row>
    <row r="378" ht="12">
      <c r="I378" s="12"/>
    </row>
    <row r="379" ht="12">
      <c r="I379" s="12"/>
    </row>
    <row r="380" ht="12">
      <c r="I380" s="12"/>
    </row>
    <row r="381" ht="12">
      <c r="I381" s="12"/>
    </row>
    <row r="382" ht="12">
      <c r="I382" s="12"/>
    </row>
    <row r="383" ht="12">
      <c r="I383" s="12"/>
    </row>
    <row r="384" ht="12">
      <c r="I384" s="12"/>
    </row>
    <row r="385" ht="12">
      <c r="I385" s="12"/>
    </row>
    <row r="386" ht="12">
      <c r="I386" s="12"/>
    </row>
    <row r="387" ht="12">
      <c r="I387" s="12"/>
    </row>
    <row r="388" ht="12">
      <c r="I388" s="12"/>
    </row>
    <row r="389" ht="12">
      <c r="I389" s="12"/>
    </row>
    <row r="390" ht="12">
      <c r="I390" s="12"/>
    </row>
    <row r="391" ht="12">
      <c r="I391" s="12"/>
    </row>
    <row r="392" ht="12">
      <c r="I392" s="12"/>
    </row>
    <row r="393" ht="12">
      <c r="I393" s="12"/>
    </row>
    <row r="394" ht="12">
      <c r="I394" s="12"/>
    </row>
    <row r="395" ht="12">
      <c r="I395" s="12"/>
    </row>
    <row r="396" ht="12">
      <c r="I396" s="12"/>
    </row>
    <row r="397" ht="12">
      <c r="I397" s="12"/>
    </row>
    <row r="398" ht="12">
      <c r="I398" s="12"/>
    </row>
    <row r="399" ht="12">
      <c r="I399" s="12"/>
    </row>
    <row r="400" ht="12">
      <c r="I400" s="12"/>
    </row>
    <row r="401" ht="12">
      <c r="I401" s="12"/>
    </row>
    <row r="402" ht="12">
      <c r="I402" s="12"/>
    </row>
    <row r="403" ht="12">
      <c r="I403" s="12"/>
    </row>
    <row r="404" ht="12">
      <c r="I404" s="12"/>
    </row>
    <row r="405" ht="12">
      <c r="I405" s="12"/>
    </row>
    <row r="406" ht="12">
      <c r="I406" s="12"/>
    </row>
    <row r="407" ht="12">
      <c r="I407" s="12"/>
    </row>
  </sheetData>
  <sheetProtection/>
  <mergeCells count="1">
    <mergeCell ref="AJ5:AR6"/>
  </mergeCells>
  <printOptions/>
  <pageMargins left="0.5" right="0.5" top="0.5" bottom="0.55" header="0.5" footer="0.5"/>
  <pageSetup horizontalDpi="600" verticalDpi="600" orientation="landscape" scale="5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59"/>
  <sheetViews>
    <sheetView zoomScalePageLayoutView="0" workbookViewId="0" topLeftCell="A1">
      <selection activeCell="Q42" sqref="Q42"/>
    </sheetView>
  </sheetViews>
  <sheetFormatPr defaultColWidth="11.421875" defaultRowHeight="15"/>
  <cols>
    <col min="1" max="1" width="7.00390625" style="3" bestFit="1" customWidth="1"/>
    <col min="2" max="2" width="7.421875" style="3" customWidth="1"/>
    <col min="3" max="3" width="26.28125" style="3" customWidth="1"/>
    <col min="4" max="4" width="9.00390625" style="12" customWidth="1"/>
    <col min="5" max="5" width="7.00390625" style="12" customWidth="1"/>
    <col min="6" max="6" width="8.57421875" style="3" customWidth="1"/>
    <col min="7" max="7" width="1.7109375" style="3" customWidth="1"/>
    <col min="8" max="8" width="8.421875" style="3" customWidth="1"/>
    <col min="9" max="9" width="10.00390625" style="12" bestFit="1" customWidth="1"/>
    <col min="10" max="10" width="8.8515625" style="14" customWidth="1"/>
    <col min="11" max="12" width="0" style="3" hidden="1" customWidth="1"/>
    <col min="13" max="13" width="12.28125" style="3" customWidth="1"/>
    <col min="14" max="14" width="11.421875" style="3" hidden="1" customWidth="1"/>
    <col min="15" max="15" width="9.8515625" style="3" bestFit="1" customWidth="1"/>
    <col min="16" max="17" width="11.421875" style="3" customWidth="1"/>
    <col min="18" max="18" width="8.140625" style="3" bestFit="1" customWidth="1"/>
    <col min="19" max="19" width="8.8515625" style="3" bestFit="1" customWidth="1"/>
    <col min="20" max="20" width="8.421875" style="3" customWidth="1"/>
    <col min="21" max="21" width="9.00390625" style="3" customWidth="1"/>
    <col min="22" max="22" width="2.57421875" style="3" customWidth="1"/>
    <col min="23" max="24" width="9.8515625" style="3" bestFit="1" customWidth="1"/>
    <col min="25" max="25" width="6.57421875" style="3" bestFit="1" customWidth="1"/>
    <col min="26" max="27" width="9.8515625" style="3" bestFit="1" customWidth="1"/>
    <col min="28" max="28" width="10.00390625" style="3" bestFit="1" customWidth="1"/>
    <col min="29" max="30" width="7.8515625" style="3" bestFit="1" customWidth="1"/>
    <col min="31" max="31" width="15.57421875" style="3" bestFit="1" customWidth="1"/>
    <col min="32" max="32" width="7.8515625" style="3" bestFit="1" customWidth="1"/>
    <col min="33" max="33" width="5.00390625" style="3" bestFit="1" customWidth="1"/>
    <col min="34" max="16384" width="11.421875" style="3" customWidth="1"/>
  </cols>
  <sheetData>
    <row r="1" spans="3:30" ht="12">
      <c r="C1" s="13" t="s">
        <v>110</v>
      </c>
      <c r="O1" s="15"/>
      <c r="P1" s="15"/>
      <c r="AD1" s="16">
        <v>40909</v>
      </c>
    </row>
    <row r="2" spans="3:16" ht="12">
      <c r="C2" s="13" t="s">
        <v>24</v>
      </c>
      <c r="O2" s="17">
        <f>+'2144 Trks Orig'!P2</f>
        <v>12</v>
      </c>
      <c r="P2" s="18" t="s">
        <v>25</v>
      </c>
    </row>
    <row r="3" spans="3:31" ht="12">
      <c r="C3" s="222">
        <f>'[9]Depr Summary'!H5</f>
        <v>43100</v>
      </c>
      <c r="O3" s="17">
        <f>+'2144 Trks Orig'!P3</f>
        <v>0</v>
      </c>
      <c r="P3" s="18" t="s">
        <v>27</v>
      </c>
      <c r="AD3" s="3" t="s">
        <v>28</v>
      </c>
      <c r="AE3" s="3" t="s">
        <v>29</v>
      </c>
    </row>
    <row r="4" spans="15:31" ht="12">
      <c r="O4" s="21">
        <f>'2144 Trks Orig'!P4</f>
        <v>2017</v>
      </c>
      <c r="P4" s="18" t="s">
        <v>30</v>
      </c>
      <c r="AD4" s="3" t="s">
        <v>31</v>
      </c>
      <c r="AE4" s="3" t="s">
        <v>32</v>
      </c>
    </row>
    <row r="5" spans="15:31" ht="12">
      <c r="O5" s="21">
        <f>'2144 Trks Orig'!P5</f>
        <v>2018</v>
      </c>
      <c r="P5" s="18" t="s">
        <v>35</v>
      </c>
      <c r="AD5" s="3" t="s">
        <v>36</v>
      </c>
      <c r="AE5" s="3" t="s">
        <v>37</v>
      </c>
    </row>
    <row r="6" spans="30:31" ht="12">
      <c r="AD6" s="3" t="s">
        <v>39</v>
      </c>
      <c r="AE6" s="3" t="s">
        <v>40</v>
      </c>
    </row>
    <row r="7" spans="30:31" ht="12">
      <c r="AD7" s="3" t="s">
        <v>41</v>
      </c>
      <c r="AE7" s="3" t="s">
        <v>42</v>
      </c>
    </row>
    <row r="8" spans="2:28" ht="12">
      <c r="B8" s="15"/>
      <c r="C8" s="15"/>
      <c r="D8" s="22"/>
      <c r="E8" s="22"/>
      <c r="F8" s="15"/>
      <c r="G8" s="15"/>
      <c r="H8" s="15"/>
      <c r="I8" s="22"/>
      <c r="J8" s="23"/>
      <c r="R8" s="12" t="s">
        <v>44</v>
      </c>
      <c r="U8" s="4" t="s">
        <v>45</v>
      </c>
      <c r="W8" s="4" t="s">
        <v>0</v>
      </c>
      <c r="X8" s="4" t="s">
        <v>1</v>
      </c>
      <c r="Z8" s="4" t="s">
        <v>46</v>
      </c>
      <c r="AA8" s="4" t="s">
        <v>46</v>
      </c>
      <c r="AB8" s="4"/>
    </row>
    <row r="9" spans="1:28" ht="12">
      <c r="A9" s="4"/>
      <c r="B9" s="4" t="s">
        <v>13</v>
      </c>
      <c r="C9" s="24" t="s">
        <v>47</v>
      </c>
      <c r="D9" s="4" t="s">
        <v>48</v>
      </c>
      <c r="E9" s="4"/>
      <c r="F9" s="25" t="s">
        <v>5</v>
      </c>
      <c r="G9" s="15"/>
      <c r="H9" s="4" t="s">
        <v>13</v>
      </c>
      <c r="I9" s="4"/>
      <c r="J9" s="26" t="s">
        <v>49</v>
      </c>
      <c r="K9" s="4" t="s">
        <v>13</v>
      </c>
      <c r="M9" s="4" t="s">
        <v>13</v>
      </c>
      <c r="N9" s="12" t="s">
        <v>50</v>
      </c>
      <c r="O9" s="24" t="s">
        <v>13</v>
      </c>
      <c r="P9" s="24"/>
      <c r="Q9" s="4" t="s">
        <v>51</v>
      </c>
      <c r="R9" s="12" t="s">
        <v>49</v>
      </c>
      <c r="S9" s="4" t="s">
        <v>45</v>
      </c>
      <c r="T9" s="4" t="s">
        <v>52</v>
      </c>
      <c r="U9" s="4" t="s">
        <v>46</v>
      </c>
      <c r="W9" s="4" t="s">
        <v>111</v>
      </c>
      <c r="X9" s="4" t="s">
        <v>111</v>
      </c>
      <c r="Y9" s="12" t="s">
        <v>54</v>
      </c>
      <c r="Z9" s="4" t="s">
        <v>55</v>
      </c>
      <c r="AA9" s="4" t="s">
        <v>55</v>
      </c>
      <c r="AB9" s="4" t="s">
        <v>2</v>
      </c>
    </row>
    <row r="10" spans="1:33" ht="12">
      <c r="A10" s="4"/>
      <c r="B10" s="4" t="s">
        <v>112</v>
      </c>
      <c r="C10" s="24"/>
      <c r="D10" s="4" t="s">
        <v>57</v>
      </c>
      <c r="E10" s="4"/>
      <c r="F10" s="25" t="s">
        <v>58</v>
      </c>
      <c r="G10" s="15"/>
      <c r="H10" s="4" t="s">
        <v>59</v>
      </c>
      <c r="I10" s="4" t="s">
        <v>60</v>
      </c>
      <c r="J10" s="26" t="s">
        <v>61</v>
      </c>
      <c r="K10" s="4" t="s">
        <v>50</v>
      </c>
      <c r="L10" s="3" t="s">
        <v>62</v>
      </c>
      <c r="M10" s="4" t="s">
        <v>50</v>
      </c>
      <c r="N10" s="12" t="s">
        <v>44</v>
      </c>
      <c r="O10" s="4" t="s">
        <v>6</v>
      </c>
      <c r="P10" s="4" t="s">
        <v>63</v>
      </c>
      <c r="Q10" s="4" t="s">
        <v>49</v>
      </c>
      <c r="R10" s="12" t="s">
        <v>64</v>
      </c>
      <c r="S10" s="4" t="s">
        <v>65</v>
      </c>
      <c r="T10" s="4" t="s">
        <v>66</v>
      </c>
      <c r="U10" s="4" t="s">
        <v>67</v>
      </c>
      <c r="V10" s="4"/>
      <c r="W10" s="4" t="s">
        <v>6</v>
      </c>
      <c r="X10" s="4" t="s">
        <v>6</v>
      </c>
      <c r="Y10" s="4" t="s">
        <v>66</v>
      </c>
      <c r="Z10" s="4" t="s">
        <v>69</v>
      </c>
      <c r="AA10" s="4" t="s">
        <v>69</v>
      </c>
      <c r="AB10" s="4" t="s">
        <v>9</v>
      </c>
      <c r="AC10" s="12" t="s">
        <v>28</v>
      </c>
      <c r="AD10" s="12" t="s">
        <v>70</v>
      </c>
      <c r="AE10" s="12" t="s">
        <v>71</v>
      </c>
      <c r="AF10" s="12" t="s">
        <v>39</v>
      </c>
      <c r="AG10" s="12" t="s">
        <v>41</v>
      </c>
    </row>
    <row r="11" spans="1:28" ht="12">
      <c r="A11" s="27" t="s">
        <v>73</v>
      </c>
      <c r="B11" s="27" t="s">
        <v>74</v>
      </c>
      <c r="C11" s="28" t="s">
        <v>75</v>
      </c>
      <c r="D11" s="27" t="s">
        <v>49</v>
      </c>
      <c r="E11" s="27" t="s">
        <v>76</v>
      </c>
      <c r="F11" s="29" t="s">
        <v>52</v>
      </c>
      <c r="G11" s="15" t="s">
        <v>77</v>
      </c>
      <c r="H11" s="27" t="s">
        <v>78</v>
      </c>
      <c r="I11" s="27" t="s">
        <v>79</v>
      </c>
      <c r="J11" s="30" t="s">
        <v>6</v>
      </c>
      <c r="K11" s="27" t="s">
        <v>4</v>
      </c>
      <c r="L11" s="31" t="s">
        <v>77</v>
      </c>
      <c r="M11" s="27" t="s">
        <v>4</v>
      </c>
      <c r="N11" s="31" t="s">
        <v>77</v>
      </c>
      <c r="O11" s="27" t="s">
        <v>4</v>
      </c>
      <c r="P11" s="27" t="s">
        <v>6</v>
      </c>
      <c r="Q11" s="27" t="s">
        <v>6</v>
      </c>
      <c r="R11" s="31" t="s">
        <v>77</v>
      </c>
      <c r="S11" s="4" t="s">
        <v>80</v>
      </c>
      <c r="T11" s="27" t="s">
        <v>77</v>
      </c>
      <c r="U11" s="4" t="s">
        <v>69</v>
      </c>
      <c r="V11" s="4"/>
      <c r="W11" s="32">
        <f>'[9]Depr Summary'!F5</f>
        <v>42736</v>
      </c>
      <c r="X11" s="32">
        <f>+C3</f>
        <v>43100</v>
      </c>
      <c r="Y11" s="4" t="s">
        <v>52</v>
      </c>
      <c r="Z11" s="33">
        <f>'[9]Depr Summary'!F5</f>
        <v>42736</v>
      </c>
      <c r="AA11" s="33">
        <f>+C3</f>
        <v>43100</v>
      </c>
      <c r="AB11" s="34">
        <f>C3</f>
        <v>43100</v>
      </c>
    </row>
    <row r="12" spans="1:33" s="7" customFormat="1" ht="12">
      <c r="A12" s="35"/>
      <c r="B12" s="44"/>
      <c r="C12" s="44" t="s">
        <v>113</v>
      </c>
      <c r="D12" s="35">
        <v>1998</v>
      </c>
      <c r="E12" s="35">
        <v>5</v>
      </c>
      <c r="F12" s="85">
        <v>0</v>
      </c>
      <c r="H12" s="35" t="s">
        <v>82</v>
      </c>
      <c r="I12" s="94">
        <v>10</v>
      </c>
      <c r="J12" s="39">
        <f aca="true" t="shared" si="0" ref="J12:J32">D12+I12</f>
        <v>2008</v>
      </c>
      <c r="M12" s="45">
        <v>10093</v>
      </c>
      <c r="O12" s="41">
        <f aca="true" t="shared" si="1" ref="O12:O35">M12-M12*F12</f>
        <v>10093</v>
      </c>
      <c r="P12" s="41">
        <f aca="true" t="shared" si="2" ref="P12:P35">O12/I12/12</f>
        <v>84.10833333333333</v>
      </c>
      <c r="Q12" s="41">
        <f aca="true" t="shared" si="3" ref="Q12:Q35">IF(N12&gt;0,0,IF(OR(AC12&gt;AD12,AE12&lt;AF12),0,IF(AND(AE12&gt;=AF12,AE12&lt;=AD12),P12*((AE12-AF12)*12),IF(AND(AF12&lt;=AC12,AD12&gt;=AC12),((AD12-AC12)*12)*P12,IF(AE12&gt;AD12,12*P12,0)))))</f>
        <v>0</v>
      </c>
      <c r="R12" s="41">
        <f aca="true" t="shared" si="4" ref="R12:R35">IF(N12=0,0,IF(AND(AG12&gt;=AF12,AG12&lt;=AE12),((AG12-AF12)*12)*P12,0))</f>
        <v>0</v>
      </c>
      <c r="S12" s="41">
        <f aca="true" t="shared" si="5" ref="S12:S35">IF(R12&gt;0,R12,Q12)</f>
        <v>0</v>
      </c>
      <c r="T12" s="41">
        <v>1</v>
      </c>
      <c r="U12" s="41">
        <f aca="true" t="shared" si="6" ref="U12:U35">T12*SUM(Q12:R12)</f>
        <v>0</v>
      </c>
      <c r="V12" s="41"/>
      <c r="W12" s="41">
        <f aca="true" t="shared" si="7" ref="W12:W35">IF(AC12&gt;AD12,0,IF(AE12&lt;AF12,O12,IF(AND(AE12&gt;=AF12,AE12&lt;=AD12),(O12-S12),IF(AND(AF12&lt;=AC12,AD12&gt;=AC12),0,IF(AE12&gt;AD12,((AF12-AC12)*12)*P12,0)))))</f>
        <v>10093</v>
      </c>
      <c r="X12" s="41">
        <f aca="true" t="shared" si="8" ref="X12:X35">W12*T12</f>
        <v>10093</v>
      </c>
      <c r="Y12" s="41">
        <v>1</v>
      </c>
      <c r="Z12" s="41">
        <f aca="true" t="shared" si="9" ref="Z12:Z35">X12*Y12</f>
        <v>10093</v>
      </c>
      <c r="AA12" s="41">
        <f aca="true" t="shared" si="10" ref="AA12:AA35">IF(N12&gt;0,0,Z12+U12*Y12)*Y12</f>
        <v>10093</v>
      </c>
      <c r="AB12" s="41">
        <f aca="true" t="shared" si="11" ref="AB12:AB35">IF(N12&gt;0,(M12-Z12)/2,IF(AC12&gt;=AF12,(((M12*T12)*Y12)-AA12)/2,((((M12*T12)*Y12)-Z12)+(((M12*T12)*Y12)-AA12))/2))</f>
        <v>0</v>
      </c>
      <c r="AC12" s="41">
        <f aca="true" t="shared" si="12" ref="AC12:AC41">$D12+(($E12-1)/12)</f>
        <v>1998.3333333333333</v>
      </c>
      <c r="AD12" s="41">
        <f aca="true" t="shared" si="13" ref="AD12:AD41">($O$5+1)-($O$2/12)</f>
        <v>2018</v>
      </c>
      <c r="AE12" s="41">
        <f aca="true" t="shared" si="14" ref="AE12:AE41">$J12+(($E12-1)/12)</f>
        <v>2008.3333333333333</v>
      </c>
      <c r="AF12" s="41">
        <f aca="true" t="shared" si="15" ref="AF12:AF41">$O$4+($O$3/12)</f>
        <v>2017</v>
      </c>
      <c r="AG12" s="41">
        <f aca="true" t="shared" si="16" ref="AG12:AG41">$K12+(($L12-1)/12)</f>
        <v>-0.08333333333333333</v>
      </c>
    </row>
    <row r="13" spans="1:33" s="7" customFormat="1" ht="12">
      <c r="A13" s="35"/>
      <c r="B13" s="44"/>
      <c r="C13" s="44" t="s">
        <v>113</v>
      </c>
      <c r="D13" s="35">
        <v>1998</v>
      </c>
      <c r="E13" s="35">
        <v>7</v>
      </c>
      <c r="F13" s="85">
        <v>0</v>
      </c>
      <c r="H13" s="35" t="s">
        <v>82</v>
      </c>
      <c r="I13" s="94">
        <v>10</v>
      </c>
      <c r="J13" s="39">
        <f t="shared" si="0"/>
        <v>2008</v>
      </c>
      <c r="M13" s="45">
        <v>9888</v>
      </c>
      <c r="O13" s="41">
        <f t="shared" si="1"/>
        <v>9888</v>
      </c>
      <c r="P13" s="41">
        <f t="shared" si="2"/>
        <v>82.39999999999999</v>
      </c>
      <c r="Q13" s="41">
        <f t="shared" si="3"/>
        <v>0</v>
      </c>
      <c r="R13" s="41">
        <f t="shared" si="4"/>
        <v>0</v>
      </c>
      <c r="S13" s="41">
        <f t="shared" si="5"/>
        <v>0</v>
      </c>
      <c r="T13" s="41">
        <v>1</v>
      </c>
      <c r="U13" s="41">
        <f t="shared" si="6"/>
        <v>0</v>
      </c>
      <c r="V13" s="41"/>
      <c r="W13" s="41">
        <f t="shared" si="7"/>
        <v>9888</v>
      </c>
      <c r="X13" s="41">
        <f t="shared" si="8"/>
        <v>9888</v>
      </c>
      <c r="Y13" s="41">
        <v>1</v>
      </c>
      <c r="Z13" s="41">
        <f t="shared" si="9"/>
        <v>9888</v>
      </c>
      <c r="AA13" s="41">
        <f t="shared" si="10"/>
        <v>9888</v>
      </c>
      <c r="AB13" s="41">
        <f t="shared" si="11"/>
        <v>0</v>
      </c>
      <c r="AC13" s="41">
        <f t="shared" si="12"/>
        <v>1998.5</v>
      </c>
      <c r="AD13" s="41">
        <f t="shared" si="13"/>
        <v>2018</v>
      </c>
      <c r="AE13" s="41">
        <f t="shared" si="14"/>
        <v>2008.5</v>
      </c>
      <c r="AF13" s="41">
        <f t="shared" si="15"/>
        <v>2017</v>
      </c>
      <c r="AG13" s="41">
        <f t="shared" si="16"/>
        <v>-0.08333333333333333</v>
      </c>
    </row>
    <row r="14" spans="1:33" s="7" customFormat="1" ht="12">
      <c r="A14" s="35"/>
      <c r="B14" s="44"/>
      <c r="C14" s="44" t="s">
        <v>113</v>
      </c>
      <c r="D14" s="35">
        <v>1998</v>
      </c>
      <c r="E14" s="35">
        <v>9</v>
      </c>
      <c r="F14" s="85">
        <v>0</v>
      </c>
      <c r="H14" s="35" t="s">
        <v>82</v>
      </c>
      <c r="I14" s="94">
        <v>10</v>
      </c>
      <c r="J14" s="39">
        <f t="shared" si="0"/>
        <v>2008</v>
      </c>
      <c r="M14" s="45">
        <v>9908</v>
      </c>
      <c r="O14" s="41">
        <f t="shared" si="1"/>
        <v>9908</v>
      </c>
      <c r="P14" s="41">
        <f t="shared" si="2"/>
        <v>82.56666666666666</v>
      </c>
      <c r="Q14" s="41">
        <f t="shared" si="3"/>
        <v>0</v>
      </c>
      <c r="R14" s="41">
        <f t="shared" si="4"/>
        <v>0</v>
      </c>
      <c r="S14" s="41">
        <f t="shared" si="5"/>
        <v>0</v>
      </c>
      <c r="T14" s="41">
        <v>1</v>
      </c>
      <c r="U14" s="41">
        <f t="shared" si="6"/>
        <v>0</v>
      </c>
      <c r="V14" s="41"/>
      <c r="W14" s="41">
        <f t="shared" si="7"/>
        <v>9908</v>
      </c>
      <c r="X14" s="41">
        <f t="shared" si="8"/>
        <v>9908</v>
      </c>
      <c r="Y14" s="41">
        <v>1</v>
      </c>
      <c r="Z14" s="41">
        <f t="shared" si="9"/>
        <v>9908</v>
      </c>
      <c r="AA14" s="41">
        <f t="shared" si="10"/>
        <v>9908</v>
      </c>
      <c r="AB14" s="41">
        <f t="shared" si="11"/>
        <v>0</v>
      </c>
      <c r="AC14" s="41">
        <f t="shared" si="12"/>
        <v>1998.6666666666667</v>
      </c>
      <c r="AD14" s="41">
        <f t="shared" si="13"/>
        <v>2018</v>
      </c>
      <c r="AE14" s="41">
        <f t="shared" si="14"/>
        <v>2008.6666666666667</v>
      </c>
      <c r="AF14" s="41">
        <f t="shared" si="15"/>
        <v>2017</v>
      </c>
      <c r="AG14" s="41">
        <f t="shared" si="16"/>
        <v>-0.08333333333333333</v>
      </c>
    </row>
    <row r="15" spans="1:33" s="7" customFormat="1" ht="12">
      <c r="A15" s="145"/>
      <c r="B15" s="36">
        <v>12</v>
      </c>
      <c r="C15" s="44" t="s">
        <v>114</v>
      </c>
      <c r="D15" s="35">
        <v>2000</v>
      </c>
      <c r="E15" s="35">
        <v>7</v>
      </c>
      <c r="F15" s="85">
        <v>0</v>
      </c>
      <c r="G15" s="41"/>
      <c r="H15" s="35" t="s">
        <v>82</v>
      </c>
      <c r="I15" s="38">
        <v>10</v>
      </c>
      <c r="J15" s="39">
        <f t="shared" si="0"/>
        <v>2010</v>
      </c>
      <c r="M15" s="40">
        <v>6034</v>
      </c>
      <c r="N15" s="42">
        <v>0</v>
      </c>
      <c r="O15" s="41">
        <f t="shared" si="1"/>
        <v>6034</v>
      </c>
      <c r="P15" s="41">
        <f t="shared" si="2"/>
        <v>50.28333333333333</v>
      </c>
      <c r="Q15" s="41">
        <f t="shared" si="3"/>
        <v>0</v>
      </c>
      <c r="R15" s="41">
        <f t="shared" si="4"/>
        <v>0</v>
      </c>
      <c r="S15" s="41">
        <f t="shared" si="5"/>
        <v>0</v>
      </c>
      <c r="T15" s="41">
        <v>1</v>
      </c>
      <c r="U15" s="41">
        <f t="shared" si="6"/>
        <v>0</v>
      </c>
      <c r="V15" s="41"/>
      <c r="W15" s="41">
        <f t="shared" si="7"/>
        <v>6034</v>
      </c>
      <c r="X15" s="41">
        <f t="shared" si="8"/>
        <v>6034</v>
      </c>
      <c r="Y15" s="41">
        <v>1</v>
      </c>
      <c r="Z15" s="41">
        <f t="shared" si="9"/>
        <v>6034</v>
      </c>
      <c r="AA15" s="41">
        <f t="shared" si="10"/>
        <v>6034</v>
      </c>
      <c r="AB15" s="41">
        <f t="shared" si="11"/>
        <v>0</v>
      </c>
      <c r="AC15" s="41">
        <f t="shared" si="12"/>
        <v>2000.5</v>
      </c>
      <c r="AD15" s="41">
        <f t="shared" si="13"/>
        <v>2018</v>
      </c>
      <c r="AE15" s="41">
        <f t="shared" si="14"/>
        <v>2010.5</v>
      </c>
      <c r="AF15" s="41">
        <f t="shared" si="15"/>
        <v>2017</v>
      </c>
      <c r="AG15" s="41">
        <f t="shared" si="16"/>
        <v>-0.08333333333333333</v>
      </c>
    </row>
    <row r="16" spans="1:33" s="7" customFormat="1" ht="12">
      <c r="A16" s="145"/>
      <c r="B16" s="36">
        <v>12</v>
      </c>
      <c r="C16" s="44" t="s">
        <v>115</v>
      </c>
      <c r="D16" s="35">
        <v>2000</v>
      </c>
      <c r="E16" s="35">
        <v>7</v>
      </c>
      <c r="F16" s="85">
        <v>0</v>
      </c>
      <c r="G16" s="41"/>
      <c r="H16" s="35" t="s">
        <v>82</v>
      </c>
      <c r="I16" s="38">
        <v>10</v>
      </c>
      <c r="J16" s="39">
        <f t="shared" si="0"/>
        <v>2010</v>
      </c>
      <c r="M16" s="45">
        <v>6425</v>
      </c>
      <c r="N16" s="42">
        <v>0</v>
      </c>
      <c r="O16" s="41">
        <f t="shared" si="1"/>
        <v>6425</v>
      </c>
      <c r="P16" s="41">
        <f t="shared" si="2"/>
        <v>53.541666666666664</v>
      </c>
      <c r="Q16" s="41">
        <f t="shared" si="3"/>
        <v>0</v>
      </c>
      <c r="R16" s="41">
        <f t="shared" si="4"/>
        <v>0</v>
      </c>
      <c r="S16" s="41">
        <f t="shared" si="5"/>
        <v>0</v>
      </c>
      <c r="T16" s="41">
        <v>1</v>
      </c>
      <c r="U16" s="41">
        <f t="shared" si="6"/>
        <v>0</v>
      </c>
      <c r="V16" s="41"/>
      <c r="W16" s="41">
        <f t="shared" si="7"/>
        <v>6425</v>
      </c>
      <c r="X16" s="41">
        <f t="shared" si="8"/>
        <v>6425</v>
      </c>
      <c r="Y16" s="41">
        <v>1</v>
      </c>
      <c r="Z16" s="41">
        <f t="shared" si="9"/>
        <v>6425</v>
      </c>
      <c r="AA16" s="41">
        <f t="shared" si="10"/>
        <v>6425</v>
      </c>
      <c r="AB16" s="41">
        <f t="shared" si="11"/>
        <v>0</v>
      </c>
      <c r="AC16" s="41">
        <f t="shared" si="12"/>
        <v>2000.5</v>
      </c>
      <c r="AD16" s="41">
        <f t="shared" si="13"/>
        <v>2018</v>
      </c>
      <c r="AE16" s="41">
        <f t="shared" si="14"/>
        <v>2010.5</v>
      </c>
      <c r="AF16" s="41">
        <f t="shared" si="15"/>
        <v>2017</v>
      </c>
      <c r="AG16" s="41">
        <f t="shared" si="16"/>
        <v>-0.08333333333333333</v>
      </c>
    </row>
    <row r="17" spans="1:33" s="7" customFormat="1" ht="12">
      <c r="A17" s="145"/>
      <c r="B17" s="36">
        <v>12</v>
      </c>
      <c r="C17" s="44" t="s">
        <v>114</v>
      </c>
      <c r="D17" s="35">
        <v>2003</v>
      </c>
      <c r="E17" s="35">
        <v>1</v>
      </c>
      <c r="F17" s="85">
        <v>0</v>
      </c>
      <c r="G17" s="41"/>
      <c r="H17" s="35" t="s">
        <v>82</v>
      </c>
      <c r="I17" s="38">
        <v>10</v>
      </c>
      <c r="J17" s="39">
        <f t="shared" si="0"/>
        <v>2013</v>
      </c>
      <c r="M17" s="40">
        <v>4896</v>
      </c>
      <c r="N17" s="42">
        <v>0</v>
      </c>
      <c r="O17" s="41">
        <f t="shared" si="1"/>
        <v>4896</v>
      </c>
      <c r="P17" s="41">
        <f t="shared" si="2"/>
        <v>40.800000000000004</v>
      </c>
      <c r="Q17" s="41">
        <f t="shared" si="3"/>
        <v>0</v>
      </c>
      <c r="R17" s="41">
        <f t="shared" si="4"/>
        <v>0</v>
      </c>
      <c r="S17" s="41">
        <f t="shared" si="5"/>
        <v>0</v>
      </c>
      <c r="T17" s="41">
        <v>1</v>
      </c>
      <c r="U17" s="41">
        <f t="shared" si="6"/>
        <v>0</v>
      </c>
      <c r="V17" s="41"/>
      <c r="W17" s="41">
        <f t="shared" si="7"/>
        <v>4896</v>
      </c>
      <c r="X17" s="41">
        <f t="shared" si="8"/>
        <v>4896</v>
      </c>
      <c r="Y17" s="41">
        <v>1</v>
      </c>
      <c r="Z17" s="41">
        <f t="shared" si="9"/>
        <v>4896</v>
      </c>
      <c r="AA17" s="41">
        <f t="shared" si="10"/>
        <v>4896</v>
      </c>
      <c r="AB17" s="41">
        <f t="shared" si="11"/>
        <v>0</v>
      </c>
      <c r="AC17" s="41">
        <f t="shared" si="12"/>
        <v>2003</v>
      </c>
      <c r="AD17" s="41">
        <f t="shared" si="13"/>
        <v>2018</v>
      </c>
      <c r="AE17" s="41">
        <f t="shared" si="14"/>
        <v>2013</v>
      </c>
      <c r="AF17" s="41">
        <f t="shared" si="15"/>
        <v>2017</v>
      </c>
      <c r="AG17" s="41">
        <f t="shared" si="16"/>
        <v>-0.08333333333333333</v>
      </c>
    </row>
    <row r="18" spans="1:33" s="7" customFormat="1" ht="12">
      <c r="A18" s="145"/>
      <c r="B18" s="36">
        <v>12</v>
      </c>
      <c r="C18" s="44" t="s">
        <v>116</v>
      </c>
      <c r="D18" s="35">
        <v>2003</v>
      </c>
      <c r="E18" s="35">
        <v>1</v>
      </c>
      <c r="F18" s="85">
        <v>0</v>
      </c>
      <c r="G18" s="41"/>
      <c r="H18" s="35" t="s">
        <v>82</v>
      </c>
      <c r="I18" s="38">
        <v>10</v>
      </c>
      <c r="J18" s="39">
        <f t="shared" si="0"/>
        <v>2013</v>
      </c>
      <c r="M18" s="40">
        <v>5962</v>
      </c>
      <c r="N18" s="42">
        <v>0</v>
      </c>
      <c r="O18" s="41">
        <f t="shared" si="1"/>
        <v>5962</v>
      </c>
      <c r="P18" s="41">
        <f t="shared" si="2"/>
        <v>49.68333333333334</v>
      </c>
      <c r="Q18" s="41">
        <f t="shared" si="3"/>
        <v>0</v>
      </c>
      <c r="R18" s="41">
        <f t="shared" si="4"/>
        <v>0</v>
      </c>
      <c r="S18" s="41">
        <f t="shared" si="5"/>
        <v>0</v>
      </c>
      <c r="T18" s="41">
        <v>1</v>
      </c>
      <c r="U18" s="41">
        <f t="shared" si="6"/>
        <v>0</v>
      </c>
      <c r="V18" s="41"/>
      <c r="W18" s="41">
        <f t="shared" si="7"/>
        <v>5962</v>
      </c>
      <c r="X18" s="41">
        <f t="shared" si="8"/>
        <v>5962</v>
      </c>
      <c r="Y18" s="41">
        <v>1</v>
      </c>
      <c r="Z18" s="41">
        <f t="shared" si="9"/>
        <v>5962</v>
      </c>
      <c r="AA18" s="41">
        <f t="shared" si="10"/>
        <v>5962</v>
      </c>
      <c r="AB18" s="41">
        <f t="shared" si="11"/>
        <v>0</v>
      </c>
      <c r="AC18" s="41">
        <f t="shared" si="12"/>
        <v>2003</v>
      </c>
      <c r="AD18" s="41">
        <f t="shared" si="13"/>
        <v>2018</v>
      </c>
      <c r="AE18" s="41">
        <f t="shared" si="14"/>
        <v>2013</v>
      </c>
      <c r="AF18" s="41">
        <f t="shared" si="15"/>
        <v>2017</v>
      </c>
      <c r="AG18" s="41">
        <f t="shared" si="16"/>
        <v>-0.08333333333333333</v>
      </c>
    </row>
    <row r="19" spans="1:33" s="7" customFormat="1" ht="12">
      <c r="A19" s="145"/>
      <c r="B19" s="36">
        <v>12</v>
      </c>
      <c r="C19" s="44" t="s">
        <v>116</v>
      </c>
      <c r="D19" s="35">
        <v>2005</v>
      </c>
      <c r="E19" s="35">
        <v>7</v>
      </c>
      <c r="F19" s="85">
        <v>0</v>
      </c>
      <c r="G19" s="41"/>
      <c r="H19" s="35" t="s">
        <v>82</v>
      </c>
      <c r="I19" s="38">
        <v>10</v>
      </c>
      <c r="J19" s="39">
        <f t="shared" si="0"/>
        <v>2015</v>
      </c>
      <c r="M19" s="40">
        <v>7768.32</v>
      </c>
      <c r="N19" s="42">
        <v>0</v>
      </c>
      <c r="O19" s="41">
        <f t="shared" si="1"/>
        <v>7768.32</v>
      </c>
      <c r="P19" s="41">
        <f t="shared" si="2"/>
        <v>64.736</v>
      </c>
      <c r="Q19" s="41">
        <f t="shared" si="3"/>
        <v>0</v>
      </c>
      <c r="R19" s="41">
        <f t="shared" si="4"/>
        <v>0</v>
      </c>
      <c r="S19" s="41">
        <f t="shared" si="5"/>
        <v>0</v>
      </c>
      <c r="T19" s="41">
        <v>1</v>
      </c>
      <c r="U19" s="41">
        <f t="shared" si="6"/>
        <v>0</v>
      </c>
      <c r="V19" s="41"/>
      <c r="W19" s="41">
        <f t="shared" si="7"/>
        <v>7768.32</v>
      </c>
      <c r="X19" s="41">
        <f t="shared" si="8"/>
        <v>7768.32</v>
      </c>
      <c r="Y19" s="41">
        <v>1</v>
      </c>
      <c r="Z19" s="41">
        <f t="shared" si="9"/>
        <v>7768.32</v>
      </c>
      <c r="AA19" s="41">
        <f t="shared" si="10"/>
        <v>7768.32</v>
      </c>
      <c r="AB19" s="41">
        <f t="shared" si="11"/>
        <v>0</v>
      </c>
      <c r="AC19" s="41">
        <f t="shared" si="12"/>
        <v>2005.5</v>
      </c>
      <c r="AD19" s="41">
        <f t="shared" si="13"/>
        <v>2018</v>
      </c>
      <c r="AE19" s="41">
        <f t="shared" si="14"/>
        <v>2015.5</v>
      </c>
      <c r="AF19" s="41">
        <f t="shared" si="15"/>
        <v>2017</v>
      </c>
      <c r="AG19" s="41">
        <f t="shared" si="16"/>
        <v>-0.08333333333333333</v>
      </c>
    </row>
    <row r="20" spans="1:33" s="7" customFormat="1" ht="12">
      <c r="A20" s="145"/>
      <c r="B20" s="36">
        <v>12</v>
      </c>
      <c r="C20" s="44" t="s">
        <v>114</v>
      </c>
      <c r="D20" s="35">
        <v>2005</v>
      </c>
      <c r="E20" s="35">
        <v>9</v>
      </c>
      <c r="F20" s="85">
        <v>0</v>
      </c>
      <c r="G20" s="41"/>
      <c r="H20" s="35" t="s">
        <v>82</v>
      </c>
      <c r="I20" s="38">
        <v>10</v>
      </c>
      <c r="J20" s="39">
        <f t="shared" si="0"/>
        <v>2015</v>
      </c>
      <c r="M20" s="40">
        <v>6780</v>
      </c>
      <c r="N20" s="42">
        <v>0</v>
      </c>
      <c r="O20" s="41">
        <f t="shared" si="1"/>
        <v>6780</v>
      </c>
      <c r="P20" s="41">
        <f t="shared" si="2"/>
        <v>56.5</v>
      </c>
      <c r="Q20" s="41">
        <f t="shared" si="3"/>
        <v>0</v>
      </c>
      <c r="R20" s="41">
        <f t="shared" si="4"/>
        <v>0</v>
      </c>
      <c r="S20" s="41">
        <f t="shared" si="5"/>
        <v>0</v>
      </c>
      <c r="T20" s="41">
        <v>1</v>
      </c>
      <c r="U20" s="41">
        <f t="shared" si="6"/>
        <v>0</v>
      </c>
      <c r="V20" s="41"/>
      <c r="W20" s="41">
        <f t="shared" si="7"/>
        <v>6780</v>
      </c>
      <c r="X20" s="41">
        <f t="shared" si="8"/>
        <v>6780</v>
      </c>
      <c r="Y20" s="41">
        <v>1</v>
      </c>
      <c r="Z20" s="41">
        <f t="shared" si="9"/>
        <v>6780</v>
      </c>
      <c r="AA20" s="41">
        <f t="shared" si="10"/>
        <v>6780</v>
      </c>
      <c r="AB20" s="41">
        <f t="shared" si="11"/>
        <v>0</v>
      </c>
      <c r="AC20" s="41">
        <f t="shared" si="12"/>
        <v>2005.6666666666667</v>
      </c>
      <c r="AD20" s="41">
        <f t="shared" si="13"/>
        <v>2018</v>
      </c>
      <c r="AE20" s="41">
        <f t="shared" si="14"/>
        <v>2015.6666666666667</v>
      </c>
      <c r="AF20" s="41">
        <f t="shared" si="15"/>
        <v>2017</v>
      </c>
      <c r="AG20" s="41">
        <f t="shared" si="16"/>
        <v>-0.08333333333333333</v>
      </c>
    </row>
    <row r="21" spans="1:33" s="7" customFormat="1" ht="12">
      <c r="A21" s="145"/>
      <c r="B21" s="36">
        <v>12</v>
      </c>
      <c r="C21" s="44" t="s">
        <v>115</v>
      </c>
      <c r="D21" s="35">
        <v>2005</v>
      </c>
      <c r="E21" s="35">
        <v>9</v>
      </c>
      <c r="F21" s="85">
        <v>0</v>
      </c>
      <c r="G21" s="41"/>
      <c r="H21" s="35" t="s">
        <v>82</v>
      </c>
      <c r="I21" s="38">
        <v>10</v>
      </c>
      <c r="J21" s="39">
        <f t="shared" si="0"/>
        <v>2015</v>
      </c>
      <c r="M21" s="40">
        <v>7050.24</v>
      </c>
      <c r="N21" s="42">
        <v>0</v>
      </c>
      <c r="O21" s="41">
        <f t="shared" si="1"/>
        <v>7050.24</v>
      </c>
      <c r="P21" s="41">
        <f t="shared" si="2"/>
        <v>58.752</v>
      </c>
      <c r="Q21" s="41">
        <f t="shared" si="3"/>
        <v>0</v>
      </c>
      <c r="R21" s="41">
        <f t="shared" si="4"/>
        <v>0</v>
      </c>
      <c r="S21" s="41">
        <f t="shared" si="5"/>
        <v>0</v>
      </c>
      <c r="T21" s="41">
        <v>1</v>
      </c>
      <c r="U21" s="41">
        <f t="shared" si="6"/>
        <v>0</v>
      </c>
      <c r="V21" s="41"/>
      <c r="W21" s="41">
        <f t="shared" si="7"/>
        <v>7050.24</v>
      </c>
      <c r="X21" s="41">
        <f t="shared" si="8"/>
        <v>7050.24</v>
      </c>
      <c r="Y21" s="41">
        <v>1</v>
      </c>
      <c r="Z21" s="41">
        <f t="shared" si="9"/>
        <v>7050.24</v>
      </c>
      <c r="AA21" s="41">
        <f t="shared" si="10"/>
        <v>7050.24</v>
      </c>
      <c r="AB21" s="41">
        <f t="shared" si="11"/>
        <v>0</v>
      </c>
      <c r="AC21" s="41">
        <f t="shared" si="12"/>
        <v>2005.6666666666667</v>
      </c>
      <c r="AD21" s="41">
        <f t="shared" si="13"/>
        <v>2018</v>
      </c>
      <c r="AE21" s="41">
        <f t="shared" si="14"/>
        <v>2015.6666666666667</v>
      </c>
      <c r="AF21" s="41">
        <f t="shared" si="15"/>
        <v>2017</v>
      </c>
      <c r="AG21" s="41">
        <f t="shared" si="16"/>
        <v>-0.08333333333333333</v>
      </c>
    </row>
    <row r="22" spans="1:33" s="7" customFormat="1" ht="12">
      <c r="A22" s="145"/>
      <c r="B22" s="36">
        <v>12</v>
      </c>
      <c r="C22" s="44" t="s">
        <v>117</v>
      </c>
      <c r="D22" s="35">
        <v>2006</v>
      </c>
      <c r="E22" s="35">
        <v>8</v>
      </c>
      <c r="F22" s="85">
        <v>0</v>
      </c>
      <c r="G22" s="41"/>
      <c r="H22" s="35" t="s">
        <v>82</v>
      </c>
      <c r="I22" s="38">
        <v>10</v>
      </c>
      <c r="J22" s="39">
        <f t="shared" si="0"/>
        <v>2016</v>
      </c>
      <c r="M22" s="40">
        <v>5287.68</v>
      </c>
      <c r="N22" s="42">
        <v>0</v>
      </c>
      <c r="O22" s="41">
        <f t="shared" si="1"/>
        <v>5287.68</v>
      </c>
      <c r="P22" s="41">
        <f t="shared" si="2"/>
        <v>44.064</v>
      </c>
      <c r="Q22" s="41">
        <f t="shared" si="3"/>
        <v>0</v>
      </c>
      <c r="R22" s="41">
        <f t="shared" si="4"/>
        <v>0</v>
      </c>
      <c r="S22" s="41">
        <f t="shared" si="5"/>
        <v>0</v>
      </c>
      <c r="T22" s="41">
        <v>1</v>
      </c>
      <c r="U22" s="41">
        <f t="shared" si="6"/>
        <v>0</v>
      </c>
      <c r="V22" s="41"/>
      <c r="W22" s="41">
        <f t="shared" si="7"/>
        <v>5287.68</v>
      </c>
      <c r="X22" s="41">
        <f t="shared" si="8"/>
        <v>5287.68</v>
      </c>
      <c r="Y22" s="41">
        <v>1</v>
      </c>
      <c r="Z22" s="41">
        <f t="shared" si="9"/>
        <v>5287.68</v>
      </c>
      <c r="AA22" s="41">
        <f t="shared" si="10"/>
        <v>5287.68</v>
      </c>
      <c r="AB22" s="41">
        <f t="shared" si="11"/>
        <v>0</v>
      </c>
      <c r="AC22" s="41">
        <f t="shared" si="12"/>
        <v>2006.5833333333333</v>
      </c>
      <c r="AD22" s="41">
        <f t="shared" si="13"/>
        <v>2018</v>
      </c>
      <c r="AE22" s="41">
        <f t="shared" si="14"/>
        <v>2016.5833333333333</v>
      </c>
      <c r="AF22" s="41">
        <f t="shared" si="15"/>
        <v>2017</v>
      </c>
      <c r="AG22" s="41">
        <f t="shared" si="16"/>
        <v>-0.08333333333333333</v>
      </c>
    </row>
    <row r="23" spans="1:33" ht="12">
      <c r="A23" s="144"/>
      <c r="B23" s="55">
        <v>12</v>
      </c>
      <c r="C23" s="143" t="s">
        <v>118</v>
      </c>
      <c r="D23" s="12">
        <v>2006</v>
      </c>
      <c r="E23" s="12">
        <v>8</v>
      </c>
      <c r="F23" s="56">
        <v>0</v>
      </c>
      <c r="G23" s="15"/>
      <c r="H23" s="12" t="s">
        <v>82</v>
      </c>
      <c r="I23" s="57">
        <v>10</v>
      </c>
      <c r="J23" s="23">
        <f t="shared" si="0"/>
        <v>2016</v>
      </c>
      <c r="M23" s="58">
        <v>5418.24</v>
      </c>
      <c r="N23" s="142">
        <v>0</v>
      </c>
      <c r="O23" s="15">
        <f t="shared" si="1"/>
        <v>5418.24</v>
      </c>
      <c r="P23" s="15">
        <f t="shared" si="2"/>
        <v>45.151999999999994</v>
      </c>
      <c r="Q23" s="15">
        <f t="shared" si="3"/>
        <v>0</v>
      </c>
      <c r="R23" s="15">
        <f t="shared" si="4"/>
        <v>0</v>
      </c>
      <c r="S23" s="15">
        <f t="shared" si="5"/>
        <v>0</v>
      </c>
      <c r="T23" s="15">
        <v>1</v>
      </c>
      <c r="U23" s="15">
        <f t="shared" si="6"/>
        <v>0</v>
      </c>
      <c r="V23" s="15"/>
      <c r="W23" s="15">
        <f t="shared" si="7"/>
        <v>5418.24</v>
      </c>
      <c r="X23" s="15">
        <f t="shared" si="8"/>
        <v>5418.24</v>
      </c>
      <c r="Y23" s="15">
        <v>1</v>
      </c>
      <c r="Z23" s="15">
        <f t="shared" si="9"/>
        <v>5418.24</v>
      </c>
      <c r="AA23" s="15">
        <f t="shared" si="10"/>
        <v>5418.24</v>
      </c>
      <c r="AB23" s="15">
        <f t="shared" si="11"/>
        <v>0</v>
      </c>
      <c r="AC23" s="15">
        <f t="shared" si="12"/>
        <v>2006.5833333333333</v>
      </c>
      <c r="AD23" s="15">
        <f t="shared" si="13"/>
        <v>2018</v>
      </c>
      <c r="AE23" s="15">
        <f t="shared" si="14"/>
        <v>2016.5833333333333</v>
      </c>
      <c r="AF23" s="15">
        <f t="shared" si="15"/>
        <v>2017</v>
      </c>
      <c r="AG23" s="15">
        <f t="shared" si="16"/>
        <v>-0.08333333333333333</v>
      </c>
    </row>
    <row r="24" spans="1:33" ht="12">
      <c r="A24" s="144"/>
      <c r="B24" s="55">
        <v>12</v>
      </c>
      <c r="C24" s="143" t="s">
        <v>119</v>
      </c>
      <c r="D24" s="12">
        <v>2006</v>
      </c>
      <c r="E24" s="12">
        <v>9</v>
      </c>
      <c r="F24" s="56">
        <v>0</v>
      </c>
      <c r="G24" s="15"/>
      <c r="H24" s="12" t="s">
        <v>82</v>
      </c>
      <c r="I24" s="57">
        <v>10</v>
      </c>
      <c r="J24" s="23">
        <f t="shared" si="0"/>
        <v>2016</v>
      </c>
      <c r="M24" s="58">
        <v>5679.36</v>
      </c>
      <c r="N24" s="142">
        <v>0</v>
      </c>
      <c r="O24" s="15">
        <f t="shared" si="1"/>
        <v>5679.36</v>
      </c>
      <c r="P24" s="15">
        <f t="shared" si="2"/>
        <v>47.327999999999996</v>
      </c>
      <c r="Q24" s="15">
        <f t="shared" si="3"/>
        <v>0</v>
      </c>
      <c r="R24" s="15">
        <f t="shared" si="4"/>
        <v>0</v>
      </c>
      <c r="S24" s="15">
        <f t="shared" si="5"/>
        <v>0</v>
      </c>
      <c r="T24" s="15">
        <v>1</v>
      </c>
      <c r="U24" s="15">
        <f t="shared" si="6"/>
        <v>0</v>
      </c>
      <c r="V24" s="15"/>
      <c r="W24" s="15">
        <f t="shared" si="7"/>
        <v>5679.36</v>
      </c>
      <c r="X24" s="15">
        <f t="shared" si="8"/>
        <v>5679.36</v>
      </c>
      <c r="Y24" s="15">
        <v>1</v>
      </c>
      <c r="Z24" s="15">
        <f t="shared" si="9"/>
        <v>5679.36</v>
      </c>
      <c r="AA24" s="15">
        <f t="shared" si="10"/>
        <v>5679.36</v>
      </c>
      <c r="AB24" s="15">
        <f t="shared" si="11"/>
        <v>0</v>
      </c>
      <c r="AC24" s="15">
        <f t="shared" si="12"/>
        <v>2006.6666666666667</v>
      </c>
      <c r="AD24" s="15">
        <f t="shared" si="13"/>
        <v>2018</v>
      </c>
      <c r="AE24" s="15">
        <f t="shared" si="14"/>
        <v>2016.6666666666667</v>
      </c>
      <c r="AF24" s="15">
        <f t="shared" si="15"/>
        <v>2017</v>
      </c>
      <c r="AG24" s="15">
        <f t="shared" si="16"/>
        <v>-0.08333333333333333</v>
      </c>
    </row>
    <row r="25" spans="1:33" ht="12">
      <c r="A25" s="144"/>
      <c r="B25" s="55">
        <v>31</v>
      </c>
      <c r="C25" s="143" t="s">
        <v>119</v>
      </c>
      <c r="D25" s="12">
        <v>2007</v>
      </c>
      <c r="E25" s="12">
        <v>8</v>
      </c>
      <c r="F25" s="56">
        <v>0</v>
      </c>
      <c r="G25" s="15"/>
      <c r="H25" s="12" t="s">
        <v>82</v>
      </c>
      <c r="I25" s="57">
        <v>10</v>
      </c>
      <c r="J25" s="23">
        <f t="shared" si="0"/>
        <v>2017</v>
      </c>
      <c r="M25" s="58">
        <f>1894.36+1894.36+2368.58+2842.29+5684.58</f>
        <v>14684.17</v>
      </c>
      <c r="N25" s="142">
        <v>0</v>
      </c>
      <c r="O25" s="15">
        <f t="shared" si="1"/>
        <v>14684.17</v>
      </c>
      <c r="P25" s="15">
        <f t="shared" si="2"/>
        <v>122.36808333333333</v>
      </c>
      <c r="Q25" s="15">
        <f t="shared" si="3"/>
        <v>856.5765833332221</v>
      </c>
      <c r="R25" s="15">
        <f t="shared" si="4"/>
        <v>0</v>
      </c>
      <c r="S25" s="15">
        <f t="shared" si="5"/>
        <v>856.5765833332221</v>
      </c>
      <c r="T25" s="15">
        <v>1</v>
      </c>
      <c r="U25" s="15">
        <f t="shared" si="6"/>
        <v>856.5765833332221</v>
      </c>
      <c r="V25" s="15"/>
      <c r="W25" s="15">
        <f t="shared" si="7"/>
        <v>13827.593416666778</v>
      </c>
      <c r="X25" s="15">
        <f t="shared" si="8"/>
        <v>13827.593416666778</v>
      </c>
      <c r="Y25" s="15">
        <v>1</v>
      </c>
      <c r="Z25" s="15">
        <f t="shared" si="9"/>
        <v>13827.593416666778</v>
      </c>
      <c r="AA25" s="15">
        <f t="shared" si="10"/>
        <v>14684.17</v>
      </c>
      <c r="AB25" s="15">
        <f t="shared" si="11"/>
        <v>428.28829166661126</v>
      </c>
      <c r="AC25" s="15">
        <f t="shared" si="12"/>
        <v>2007.5833333333333</v>
      </c>
      <c r="AD25" s="15">
        <f t="shared" si="13"/>
        <v>2018</v>
      </c>
      <c r="AE25" s="15">
        <f t="shared" si="14"/>
        <v>2017.5833333333333</v>
      </c>
      <c r="AF25" s="15">
        <f t="shared" si="15"/>
        <v>2017</v>
      </c>
      <c r="AG25" s="15">
        <f t="shared" si="16"/>
        <v>-0.08333333333333333</v>
      </c>
    </row>
    <row r="26" spans="1:33" ht="12">
      <c r="A26" s="144"/>
      <c r="B26" s="55">
        <v>15</v>
      </c>
      <c r="C26" s="143" t="s">
        <v>119</v>
      </c>
      <c r="D26" s="12">
        <v>2010</v>
      </c>
      <c r="E26" s="12">
        <v>8</v>
      </c>
      <c r="F26" s="56">
        <v>0</v>
      </c>
      <c r="G26" s="15"/>
      <c r="H26" s="12" t="s">
        <v>82</v>
      </c>
      <c r="I26" s="57">
        <v>10</v>
      </c>
      <c r="J26" s="23">
        <f t="shared" si="0"/>
        <v>2020</v>
      </c>
      <c r="M26" s="58">
        <v>7314.42</v>
      </c>
      <c r="N26" s="142">
        <v>0</v>
      </c>
      <c r="O26" s="15">
        <f t="shared" si="1"/>
        <v>7314.42</v>
      </c>
      <c r="P26" s="15">
        <f t="shared" si="2"/>
        <v>60.9535</v>
      </c>
      <c r="Q26" s="15">
        <f t="shared" si="3"/>
        <v>731.442</v>
      </c>
      <c r="R26" s="15">
        <f t="shared" si="4"/>
        <v>0</v>
      </c>
      <c r="S26" s="15">
        <f t="shared" si="5"/>
        <v>731.442</v>
      </c>
      <c r="T26" s="15">
        <v>1</v>
      </c>
      <c r="U26" s="15">
        <f t="shared" si="6"/>
        <v>731.442</v>
      </c>
      <c r="V26" s="15"/>
      <c r="W26" s="15">
        <f t="shared" si="7"/>
        <v>4693.419500000055</v>
      </c>
      <c r="X26" s="15">
        <f t="shared" si="8"/>
        <v>4693.419500000055</v>
      </c>
      <c r="Y26" s="15">
        <v>1</v>
      </c>
      <c r="Z26" s="15">
        <f t="shared" si="9"/>
        <v>4693.419500000055</v>
      </c>
      <c r="AA26" s="15">
        <f t="shared" si="10"/>
        <v>5424.8615000000555</v>
      </c>
      <c r="AB26" s="15">
        <f t="shared" si="11"/>
        <v>2255.2794999999446</v>
      </c>
      <c r="AC26" s="15">
        <f t="shared" si="12"/>
        <v>2010.5833333333333</v>
      </c>
      <c r="AD26" s="15">
        <f t="shared" si="13"/>
        <v>2018</v>
      </c>
      <c r="AE26" s="15">
        <f t="shared" si="14"/>
        <v>2020.5833333333333</v>
      </c>
      <c r="AF26" s="15">
        <f t="shared" si="15"/>
        <v>2017</v>
      </c>
      <c r="AG26" s="15">
        <f t="shared" si="16"/>
        <v>-0.08333333333333333</v>
      </c>
    </row>
    <row r="27" spans="1:33" ht="12">
      <c r="A27" s="144"/>
      <c r="B27" s="55">
        <v>15</v>
      </c>
      <c r="C27" s="143" t="s">
        <v>118</v>
      </c>
      <c r="D27" s="12">
        <v>2010</v>
      </c>
      <c r="E27" s="12">
        <v>8</v>
      </c>
      <c r="F27" s="56">
        <v>0</v>
      </c>
      <c r="G27" s="15"/>
      <c r="H27" s="12" t="s">
        <v>82</v>
      </c>
      <c r="I27" s="57">
        <v>10</v>
      </c>
      <c r="J27" s="23">
        <f t="shared" si="0"/>
        <v>2020</v>
      </c>
      <c r="M27" s="58">
        <v>7102.46</v>
      </c>
      <c r="N27" s="142">
        <v>0</v>
      </c>
      <c r="O27" s="15">
        <f t="shared" si="1"/>
        <v>7102.46</v>
      </c>
      <c r="P27" s="15">
        <f t="shared" si="2"/>
        <v>59.18716666666666</v>
      </c>
      <c r="Q27" s="15">
        <f t="shared" si="3"/>
        <v>710.246</v>
      </c>
      <c r="R27" s="15">
        <f t="shared" si="4"/>
        <v>0</v>
      </c>
      <c r="S27" s="15">
        <f t="shared" si="5"/>
        <v>710.246</v>
      </c>
      <c r="T27" s="15">
        <v>1</v>
      </c>
      <c r="U27" s="15">
        <f t="shared" si="6"/>
        <v>710.246</v>
      </c>
      <c r="V27" s="15"/>
      <c r="W27" s="15">
        <f t="shared" si="7"/>
        <v>4557.411833333387</v>
      </c>
      <c r="X27" s="15">
        <f t="shared" si="8"/>
        <v>4557.411833333387</v>
      </c>
      <c r="Y27" s="15">
        <v>1</v>
      </c>
      <c r="Z27" s="15">
        <f t="shared" si="9"/>
        <v>4557.411833333387</v>
      </c>
      <c r="AA27" s="15">
        <f t="shared" si="10"/>
        <v>5267.657833333387</v>
      </c>
      <c r="AB27" s="15">
        <f t="shared" si="11"/>
        <v>2189.9251666666128</v>
      </c>
      <c r="AC27" s="15">
        <f t="shared" si="12"/>
        <v>2010.5833333333333</v>
      </c>
      <c r="AD27" s="15">
        <f t="shared" si="13"/>
        <v>2018</v>
      </c>
      <c r="AE27" s="15">
        <f t="shared" si="14"/>
        <v>2020.5833333333333</v>
      </c>
      <c r="AF27" s="15">
        <f t="shared" si="15"/>
        <v>2017</v>
      </c>
      <c r="AG27" s="15">
        <f t="shared" si="16"/>
        <v>-0.08333333333333333</v>
      </c>
    </row>
    <row r="28" spans="1:33" ht="12">
      <c r="A28" s="144"/>
      <c r="B28" s="55">
        <v>15</v>
      </c>
      <c r="C28" s="143" t="s">
        <v>119</v>
      </c>
      <c r="D28" s="12">
        <v>2011</v>
      </c>
      <c r="E28" s="12">
        <v>12</v>
      </c>
      <c r="F28" s="56">
        <v>0</v>
      </c>
      <c r="G28" s="15"/>
      <c r="H28" s="12" t="s">
        <v>82</v>
      </c>
      <c r="I28" s="57">
        <v>10</v>
      </c>
      <c r="J28" s="23">
        <f t="shared" si="0"/>
        <v>2021</v>
      </c>
      <c r="M28" s="58">
        <v>7391.25</v>
      </c>
      <c r="N28" s="142">
        <v>0</v>
      </c>
      <c r="O28" s="15">
        <f t="shared" si="1"/>
        <v>7391.25</v>
      </c>
      <c r="P28" s="15">
        <f t="shared" si="2"/>
        <v>61.59375</v>
      </c>
      <c r="Q28" s="15">
        <f t="shared" si="3"/>
        <v>739.125</v>
      </c>
      <c r="R28" s="15">
        <f t="shared" si="4"/>
        <v>0</v>
      </c>
      <c r="S28" s="15">
        <f t="shared" si="5"/>
        <v>739.125</v>
      </c>
      <c r="T28" s="15">
        <v>1</v>
      </c>
      <c r="U28" s="15">
        <f t="shared" si="6"/>
        <v>739.125</v>
      </c>
      <c r="V28" s="15"/>
      <c r="W28" s="15">
        <f t="shared" si="7"/>
        <v>3757.218749999944</v>
      </c>
      <c r="X28" s="15">
        <f t="shared" si="8"/>
        <v>3757.218749999944</v>
      </c>
      <c r="Y28" s="15">
        <v>1</v>
      </c>
      <c r="Z28" s="15">
        <f t="shared" si="9"/>
        <v>3757.218749999944</v>
      </c>
      <c r="AA28" s="15">
        <f t="shared" si="10"/>
        <v>4496.343749999944</v>
      </c>
      <c r="AB28" s="15">
        <f t="shared" si="11"/>
        <v>3264.4687500000564</v>
      </c>
      <c r="AC28" s="15">
        <f t="shared" si="12"/>
        <v>2011.9166666666667</v>
      </c>
      <c r="AD28" s="15">
        <f t="shared" si="13"/>
        <v>2018</v>
      </c>
      <c r="AE28" s="15">
        <f t="shared" si="14"/>
        <v>2021.9166666666667</v>
      </c>
      <c r="AF28" s="15">
        <f t="shared" si="15"/>
        <v>2017</v>
      </c>
      <c r="AG28" s="15">
        <f t="shared" si="16"/>
        <v>-0.08333333333333333</v>
      </c>
    </row>
    <row r="29" spans="1:33" ht="12">
      <c r="A29" s="144"/>
      <c r="B29" s="3">
        <v>30</v>
      </c>
      <c r="C29" s="143" t="s">
        <v>120</v>
      </c>
      <c r="D29" s="12">
        <v>2011</v>
      </c>
      <c r="E29" s="12">
        <v>8</v>
      </c>
      <c r="F29" s="56">
        <v>0</v>
      </c>
      <c r="H29" s="12" t="s">
        <v>82</v>
      </c>
      <c r="I29" s="57">
        <v>10</v>
      </c>
      <c r="J29" s="23">
        <f t="shared" si="0"/>
        <v>2021</v>
      </c>
      <c r="M29" s="58">
        <f>9610.17+7756.83</f>
        <v>17367</v>
      </c>
      <c r="O29" s="15">
        <f t="shared" si="1"/>
        <v>17367</v>
      </c>
      <c r="P29" s="15">
        <f t="shared" si="2"/>
        <v>144.725</v>
      </c>
      <c r="Q29" s="15">
        <f t="shared" si="3"/>
        <v>1736.6999999999998</v>
      </c>
      <c r="R29" s="15">
        <f t="shared" si="4"/>
        <v>0</v>
      </c>
      <c r="S29" s="15">
        <f t="shared" si="5"/>
        <v>1736.6999999999998</v>
      </c>
      <c r="T29" s="15">
        <v>1</v>
      </c>
      <c r="U29" s="15">
        <f t="shared" si="6"/>
        <v>1736.6999999999998</v>
      </c>
      <c r="V29" s="15"/>
      <c r="W29" s="15">
        <f t="shared" si="7"/>
        <v>9407.125000000131</v>
      </c>
      <c r="X29" s="15">
        <f t="shared" si="8"/>
        <v>9407.125000000131</v>
      </c>
      <c r="Y29" s="15">
        <v>1</v>
      </c>
      <c r="Z29" s="15">
        <f t="shared" si="9"/>
        <v>9407.125000000131</v>
      </c>
      <c r="AA29" s="15">
        <f t="shared" si="10"/>
        <v>11143.825000000132</v>
      </c>
      <c r="AB29" s="15">
        <f t="shared" si="11"/>
        <v>7091.524999999869</v>
      </c>
      <c r="AC29" s="15">
        <f t="shared" si="12"/>
        <v>2011.5833333333333</v>
      </c>
      <c r="AD29" s="15">
        <f t="shared" si="13"/>
        <v>2018</v>
      </c>
      <c r="AE29" s="15">
        <f t="shared" si="14"/>
        <v>2021.5833333333333</v>
      </c>
      <c r="AF29" s="15">
        <f t="shared" si="15"/>
        <v>2017</v>
      </c>
      <c r="AG29" s="15">
        <f t="shared" si="16"/>
        <v>-0.08333333333333333</v>
      </c>
    </row>
    <row r="30" spans="1:33" ht="12">
      <c r="A30" s="144">
        <v>113799</v>
      </c>
      <c r="B30" s="3">
        <v>18</v>
      </c>
      <c r="C30" s="143" t="s">
        <v>118</v>
      </c>
      <c r="D30" s="12">
        <v>2014</v>
      </c>
      <c r="E30" s="12">
        <v>6</v>
      </c>
      <c r="F30" s="56">
        <v>0</v>
      </c>
      <c r="H30" s="12" t="s">
        <v>82</v>
      </c>
      <c r="I30" s="57">
        <v>10</v>
      </c>
      <c r="J30" s="23">
        <f t="shared" si="0"/>
        <v>2024</v>
      </c>
      <c r="M30" s="58">
        <v>9276.46</v>
      </c>
      <c r="O30" s="15">
        <f t="shared" si="1"/>
        <v>9276.46</v>
      </c>
      <c r="P30" s="15">
        <f t="shared" si="2"/>
        <v>77.30383333333333</v>
      </c>
      <c r="Q30" s="15">
        <f t="shared" si="3"/>
        <v>927.646</v>
      </c>
      <c r="R30" s="15">
        <f t="shared" si="4"/>
        <v>0</v>
      </c>
      <c r="S30" s="15">
        <f t="shared" si="5"/>
        <v>927.646</v>
      </c>
      <c r="T30" s="15">
        <v>1</v>
      </c>
      <c r="U30" s="15">
        <f t="shared" si="6"/>
        <v>927.646</v>
      </c>
      <c r="V30" s="15"/>
      <c r="W30" s="15">
        <f t="shared" si="7"/>
        <v>2396.418833333263</v>
      </c>
      <c r="X30" s="15">
        <f t="shared" si="8"/>
        <v>2396.418833333263</v>
      </c>
      <c r="Y30" s="15">
        <v>1</v>
      </c>
      <c r="Z30" s="15">
        <f t="shared" si="9"/>
        <v>2396.418833333263</v>
      </c>
      <c r="AA30" s="15">
        <f t="shared" si="10"/>
        <v>3324.064833333263</v>
      </c>
      <c r="AB30" s="15">
        <f t="shared" si="11"/>
        <v>6416.218166666737</v>
      </c>
      <c r="AC30" s="15">
        <f t="shared" si="12"/>
        <v>2014.4166666666667</v>
      </c>
      <c r="AD30" s="15">
        <f t="shared" si="13"/>
        <v>2018</v>
      </c>
      <c r="AE30" s="15">
        <f t="shared" si="14"/>
        <v>2024.4166666666667</v>
      </c>
      <c r="AF30" s="15">
        <f t="shared" si="15"/>
        <v>2017</v>
      </c>
      <c r="AG30" s="15">
        <f t="shared" si="16"/>
        <v>-0.08333333333333333</v>
      </c>
    </row>
    <row r="31" spans="1:33" ht="12">
      <c r="A31" s="144">
        <v>113798</v>
      </c>
      <c r="B31" s="3">
        <v>18</v>
      </c>
      <c r="C31" s="143" t="s">
        <v>117</v>
      </c>
      <c r="D31" s="12">
        <v>2014</v>
      </c>
      <c r="E31" s="12">
        <v>6</v>
      </c>
      <c r="F31" s="56">
        <v>0</v>
      </c>
      <c r="H31" s="12" t="s">
        <v>82</v>
      </c>
      <c r="I31" s="57">
        <v>10</v>
      </c>
      <c r="J31" s="23">
        <f t="shared" si="0"/>
        <v>2024</v>
      </c>
      <c r="M31" s="58">
        <v>8669.91</v>
      </c>
      <c r="O31" s="15">
        <f t="shared" si="1"/>
        <v>8669.91</v>
      </c>
      <c r="P31" s="15">
        <f t="shared" si="2"/>
        <v>72.24925</v>
      </c>
      <c r="Q31" s="15">
        <f t="shared" si="3"/>
        <v>866.991</v>
      </c>
      <c r="R31" s="15">
        <f t="shared" si="4"/>
        <v>0</v>
      </c>
      <c r="S31" s="15">
        <f t="shared" si="5"/>
        <v>866.991</v>
      </c>
      <c r="T31" s="15">
        <v>1</v>
      </c>
      <c r="U31" s="15">
        <f t="shared" si="6"/>
        <v>866.991</v>
      </c>
      <c r="V31" s="15"/>
      <c r="W31" s="15">
        <f t="shared" si="7"/>
        <v>2239.7267499999343</v>
      </c>
      <c r="X31" s="15">
        <f t="shared" si="8"/>
        <v>2239.7267499999343</v>
      </c>
      <c r="Y31" s="15">
        <v>1</v>
      </c>
      <c r="Z31" s="15">
        <f t="shared" si="9"/>
        <v>2239.7267499999343</v>
      </c>
      <c r="AA31" s="15">
        <f t="shared" si="10"/>
        <v>3106.7177499999343</v>
      </c>
      <c r="AB31" s="15">
        <f t="shared" si="11"/>
        <v>5996.6877500000655</v>
      </c>
      <c r="AC31" s="15">
        <f t="shared" si="12"/>
        <v>2014.4166666666667</v>
      </c>
      <c r="AD31" s="15">
        <f t="shared" si="13"/>
        <v>2018</v>
      </c>
      <c r="AE31" s="15">
        <f t="shared" si="14"/>
        <v>2024.4166666666667</v>
      </c>
      <c r="AF31" s="15">
        <f t="shared" si="15"/>
        <v>2017</v>
      </c>
      <c r="AG31" s="15">
        <f t="shared" si="16"/>
        <v>-0.08333333333333333</v>
      </c>
    </row>
    <row r="32" spans="1:33" ht="12">
      <c r="A32" s="144">
        <v>114392</v>
      </c>
      <c r="B32" s="3">
        <v>17</v>
      </c>
      <c r="C32" s="143" t="s">
        <v>119</v>
      </c>
      <c r="D32" s="12">
        <v>2014</v>
      </c>
      <c r="E32" s="12">
        <v>7</v>
      </c>
      <c r="F32" s="56">
        <v>0</v>
      </c>
      <c r="H32" s="12" t="s">
        <v>82</v>
      </c>
      <c r="I32" s="57">
        <v>10</v>
      </c>
      <c r="J32" s="23">
        <f t="shared" si="0"/>
        <v>2024</v>
      </c>
      <c r="M32" s="58">
        <v>9582.99</v>
      </c>
      <c r="O32" s="15">
        <f t="shared" si="1"/>
        <v>9582.99</v>
      </c>
      <c r="P32" s="15">
        <f t="shared" si="2"/>
        <v>79.85825</v>
      </c>
      <c r="Q32" s="15">
        <f t="shared" si="3"/>
        <v>958.299</v>
      </c>
      <c r="R32" s="15">
        <f t="shared" si="4"/>
        <v>0</v>
      </c>
      <c r="S32" s="15">
        <f t="shared" si="5"/>
        <v>958.299</v>
      </c>
      <c r="T32" s="15">
        <v>1</v>
      </c>
      <c r="U32" s="15">
        <f t="shared" si="6"/>
        <v>958.299</v>
      </c>
      <c r="V32" s="15"/>
      <c r="W32" s="15">
        <f t="shared" si="7"/>
        <v>2395.7475</v>
      </c>
      <c r="X32" s="15">
        <f t="shared" si="8"/>
        <v>2395.7475</v>
      </c>
      <c r="Y32" s="15">
        <v>1</v>
      </c>
      <c r="Z32" s="15">
        <f t="shared" si="9"/>
        <v>2395.7475</v>
      </c>
      <c r="AA32" s="15">
        <f t="shared" si="10"/>
        <v>3354.0465</v>
      </c>
      <c r="AB32" s="15">
        <f t="shared" si="11"/>
        <v>6708.093</v>
      </c>
      <c r="AC32" s="15">
        <f t="shared" si="12"/>
        <v>2014.5</v>
      </c>
      <c r="AD32" s="15">
        <f t="shared" si="13"/>
        <v>2018</v>
      </c>
      <c r="AE32" s="15">
        <f t="shared" si="14"/>
        <v>2024.5</v>
      </c>
      <c r="AF32" s="15">
        <f t="shared" si="15"/>
        <v>2017</v>
      </c>
      <c r="AG32" s="15">
        <f t="shared" si="16"/>
        <v>-0.08333333333333333</v>
      </c>
    </row>
    <row r="33" spans="1:33" ht="12">
      <c r="A33" s="144">
        <v>124519</v>
      </c>
      <c r="B33" s="3">
        <v>25</v>
      </c>
      <c r="C33" s="143" t="s">
        <v>117</v>
      </c>
      <c r="D33" s="12">
        <v>2015</v>
      </c>
      <c r="E33" s="12">
        <v>12</v>
      </c>
      <c r="F33" s="56">
        <v>0</v>
      </c>
      <c r="H33" s="12" t="s">
        <v>82</v>
      </c>
      <c r="I33" s="57">
        <v>10</v>
      </c>
      <c r="J33" s="23">
        <f>D33+I33</f>
        <v>2025</v>
      </c>
      <c r="M33" s="58">
        <v>11680.91</v>
      </c>
      <c r="O33" s="15">
        <f t="shared" si="1"/>
        <v>11680.91</v>
      </c>
      <c r="P33" s="15">
        <f t="shared" si="2"/>
        <v>97.34091666666666</v>
      </c>
      <c r="Q33" s="15">
        <f t="shared" si="3"/>
        <v>1168.091</v>
      </c>
      <c r="R33" s="15">
        <f t="shared" si="4"/>
        <v>0</v>
      </c>
      <c r="S33" s="15">
        <f t="shared" si="5"/>
        <v>1168.091</v>
      </c>
      <c r="T33" s="15">
        <v>1</v>
      </c>
      <c r="U33" s="15">
        <f t="shared" si="6"/>
        <v>1168.091</v>
      </c>
      <c r="V33" s="15"/>
      <c r="W33" s="15">
        <f t="shared" si="7"/>
        <v>1265.431916666578</v>
      </c>
      <c r="X33" s="15">
        <f t="shared" si="8"/>
        <v>1265.431916666578</v>
      </c>
      <c r="Y33" s="15">
        <v>1</v>
      </c>
      <c r="Z33" s="15">
        <f t="shared" si="9"/>
        <v>1265.431916666578</v>
      </c>
      <c r="AA33" s="15">
        <f t="shared" si="10"/>
        <v>2433.5229166665777</v>
      </c>
      <c r="AB33" s="15">
        <f t="shared" si="11"/>
        <v>9831.432583333422</v>
      </c>
      <c r="AC33" s="15">
        <f t="shared" si="12"/>
        <v>2015.9166666666667</v>
      </c>
      <c r="AD33" s="15">
        <f t="shared" si="13"/>
        <v>2018</v>
      </c>
      <c r="AE33" s="15">
        <f t="shared" si="14"/>
        <v>2025.9166666666667</v>
      </c>
      <c r="AF33" s="15">
        <f t="shared" si="15"/>
        <v>2017</v>
      </c>
      <c r="AG33" s="15">
        <f t="shared" si="16"/>
        <v>-0.08333333333333333</v>
      </c>
    </row>
    <row r="34" spans="1:33" ht="12">
      <c r="A34" s="144">
        <v>124520</v>
      </c>
      <c r="B34" s="3">
        <v>20</v>
      </c>
      <c r="C34" s="143" t="s">
        <v>119</v>
      </c>
      <c r="D34" s="12">
        <v>2015</v>
      </c>
      <c r="E34" s="12">
        <v>12</v>
      </c>
      <c r="F34" s="56">
        <v>0</v>
      </c>
      <c r="H34" s="12" t="s">
        <v>82</v>
      </c>
      <c r="I34" s="57">
        <v>10</v>
      </c>
      <c r="J34" s="23">
        <f>D34+I34</f>
        <v>2025</v>
      </c>
      <c r="M34" s="58">
        <v>10745</v>
      </c>
      <c r="O34" s="15">
        <f t="shared" si="1"/>
        <v>10745</v>
      </c>
      <c r="P34" s="15">
        <f t="shared" si="2"/>
        <v>89.54166666666667</v>
      </c>
      <c r="Q34" s="15">
        <f t="shared" si="3"/>
        <v>1074.5</v>
      </c>
      <c r="R34" s="15">
        <f t="shared" si="4"/>
        <v>0</v>
      </c>
      <c r="S34" s="15">
        <f t="shared" si="5"/>
        <v>1074.5</v>
      </c>
      <c r="T34" s="15">
        <v>1</v>
      </c>
      <c r="U34" s="15">
        <f t="shared" si="6"/>
        <v>1074.5</v>
      </c>
      <c r="V34" s="15"/>
      <c r="W34" s="15">
        <f t="shared" si="7"/>
        <v>1164.0416666665853</v>
      </c>
      <c r="X34" s="15">
        <f t="shared" si="8"/>
        <v>1164.0416666665853</v>
      </c>
      <c r="Y34" s="15">
        <v>1</v>
      </c>
      <c r="Z34" s="15">
        <f t="shared" si="9"/>
        <v>1164.0416666665853</v>
      </c>
      <c r="AA34" s="15">
        <f t="shared" si="10"/>
        <v>2238.541666666585</v>
      </c>
      <c r="AB34" s="15">
        <f t="shared" si="11"/>
        <v>9043.708333333416</v>
      </c>
      <c r="AC34" s="15">
        <f t="shared" si="12"/>
        <v>2015.9166666666667</v>
      </c>
      <c r="AD34" s="15">
        <f t="shared" si="13"/>
        <v>2018</v>
      </c>
      <c r="AE34" s="15">
        <f t="shared" si="14"/>
        <v>2025.9166666666667</v>
      </c>
      <c r="AF34" s="15">
        <f t="shared" si="15"/>
        <v>2017</v>
      </c>
      <c r="AG34" s="15">
        <f t="shared" si="16"/>
        <v>-0.08333333333333333</v>
      </c>
    </row>
    <row r="35" spans="1:33" ht="12">
      <c r="A35" s="144">
        <v>124521</v>
      </c>
      <c r="B35" s="3">
        <v>20</v>
      </c>
      <c r="C35" s="143" t="s">
        <v>118</v>
      </c>
      <c r="D35" s="12">
        <v>2015</v>
      </c>
      <c r="E35" s="12">
        <v>12</v>
      </c>
      <c r="F35" s="56">
        <v>0</v>
      </c>
      <c r="H35" s="12" t="s">
        <v>82</v>
      </c>
      <c r="I35" s="57">
        <v>10</v>
      </c>
      <c r="J35" s="23">
        <f>D35+I35</f>
        <v>2025</v>
      </c>
      <c r="M35" s="58">
        <v>9767.24</v>
      </c>
      <c r="O35" s="15">
        <f t="shared" si="1"/>
        <v>9767.24</v>
      </c>
      <c r="P35" s="15">
        <f t="shared" si="2"/>
        <v>81.39366666666666</v>
      </c>
      <c r="Q35" s="15">
        <f t="shared" si="3"/>
        <v>976.7239999999999</v>
      </c>
      <c r="R35" s="15">
        <f t="shared" si="4"/>
        <v>0</v>
      </c>
      <c r="S35" s="15">
        <f t="shared" si="5"/>
        <v>976.7239999999999</v>
      </c>
      <c r="T35" s="15">
        <v>1</v>
      </c>
      <c r="U35" s="15">
        <f t="shared" si="6"/>
        <v>976.7239999999999</v>
      </c>
      <c r="V35" s="15"/>
      <c r="W35" s="15">
        <f t="shared" si="7"/>
        <v>1058.1176666665926</v>
      </c>
      <c r="X35" s="15">
        <f t="shared" si="8"/>
        <v>1058.1176666665926</v>
      </c>
      <c r="Y35" s="15">
        <v>1</v>
      </c>
      <c r="Z35" s="15">
        <f t="shared" si="9"/>
        <v>1058.1176666665926</v>
      </c>
      <c r="AA35" s="15">
        <f t="shared" si="10"/>
        <v>2034.8416666665926</v>
      </c>
      <c r="AB35" s="15">
        <f t="shared" si="11"/>
        <v>8220.760333333408</v>
      </c>
      <c r="AC35" s="15">
        <f t="shared" si="12"/>
        <v>2015.9166666666667</v>
      </c>
      <c r="AD35" s="15">
        <f t="shared" si="13"/>
        <v>2018</v>
      </c>
      <c r="AE35" s="15">
        <f t="shared" si="14"/>
        <v>2025.9166666666667</v>
      </c>
      <c r="AF35" s="15">
        <f t="shared" si="15"/>
        <v>2017</v>
      </c>
      <c r="AG35" s="15">
        <f t="shared" si="16"/>
        <v>-0.08333333333333333</v>
      </c>
    </row>
    <row r="36" spans="1:33" ht="12">
      <c r="A36" s="144"/>
      <c r="C36" s="143"/>
      <c r="F36" s="56"/>
      <c r="H36" s="12"/>
      <c r="I36" s="57"/>
      <c r="J36" s="23"/>
      <c r="M36" s="58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ht="12">
      <c r="A37" s="145">
        <v>169975</v>
      </c>
      <c r="B37" s="3">
        <v>44</v>
      </c>
      <c r="C37" s="143" t="s">
        <v>118</v>
      </c>
      <c r="D37" s="12">
        <v>2016</v>
      </c>
      <c r="E37" s="12">
        <v>11</v>
      </c>
      <c r="F37" s="56">
        <v>0</v>
      </c>
      <c r="H37" s="12" t="s">
        <v>82</v>
      </c>
      <c r="I37" s="57">
        <v>12</v>
      </c>
      <c r="J37" s="23">
        <f>D37+I37</f>
        <v>2028</v>
      </c>
      <c r="M37" s="58">
        <v>22819.4</v>
      </c>
      <c r="O37" s="15">
        <f>M37-M37*F37</f>
        <v>22819.4</v>
      </c>
      <c r="P37" s="15">
        <f>O37/I37/12</f>
        <v>158.46805555555557</v>
      </c>
      <c r="Q37" s="15">
        <f>IF(N37&gt;0,0,IF(OR(AC37&gt;AD37,AE37&lt;AF37),0,IF(AND(AE37&gt;=AF37,AE37&lt;=AD37),P37*((AE37-AF37)*12),IF(AND(AF37&lt;=AC37,AD37&gt;=AC37),((AD37-AC37)*12)*P37,IF(AE37&gt;AD37,12*P37,0)))))</f>
        <v>1901.6166666666668</v>
      </c>
      <c r="R37" s="15">
        <f>IF(N37=0,0,IF(AND(AG37&gt;=AF37,AG37&lt;=AE37),((AG37-AF37)*12)*P37,0))</f>
        <v>0</v>
      </c>
      <c r="S37" s="15">
        <f>IF(R37&gt;0,R37,Q37)</f>
        <v>1901.6166666666668</v>
      </c>
      <c r="T37" s="15">
        <v>1</v>
      </c>
      <c r="U37" s="15">
        <f>T37*SUM(Q37:R37)</f>
        <v>1901.6166666666668</v>
      </c>
      <c r="V37" s="15"/>
      <c r="W37" s="15">
        <f>IF(AC37&gt;AD37,0,IF(AE37&lt;AF37,O37,IF(AND(AE37&gt;=AF37,AE37&lt;=AD37),(O37-S37),IF(AND(AF37&lt;=AC37,AD37&gt;=AC37),0,IF(AE37&gt;AD37,((AF37-AC37)*12)*P37,0)))))</f>
        <v>316.93611111125523</v>
      </c>
      <c r="X37" s="15">
        <f>W37*T37</f>
        <v>316.93611111125523</v>
      </c>
      <c r="Y37" s="15">
        <v>1</v>
      </c>
      <c r="Z37" s="15">
        <f>X37*Y37</f>
        <v>316.93611111125523</v>
      </c>
      <c r="AA37" s="15">
        <f>IF(N37&gt;0,0,Z37+U37*Y37)*Y37</f>
        <v>2218.552777777922</v>
      </c>
      <c r="AB37" s="15">
        <f>IF(N37&gt;0,(M37-Z37)/2,IF(AC37&gt;=AF37,(((M37*T37)*Y37)-AA37)/2,((((M37*T37)*Y37)-Z37)+(((M37*T37)*Y37)-AA37))/2))</f>
        <v>21551.655555555415</v>
      </c>
      <c r="AC37" s="15">
        <f t="shared" si="12"/>
        <v>2016.8333333333333</v>
      </c>
      <c r="AD37" s="15">
        <f t="shared" si="13"/>
        <v>2018</v>
      </c>
      <c r="AE37" s="15">
        <f t="shared" si="14"/>
        <v>2028.8333333333333</v>
      </c>
      <c r="AF37" s="15">
        <f t="shared" si="15"/>
        <v>2017</v>
      </c>
      <c r="AG37" s="15">
        <f t="shared" si="16"/>
        <v>-0.08333333333333333</v>
      </c>
    </row>
    <row r="38" spans="1:33" ht="12">
      <c r="A38" s="145">
        <v>169976</v>
      </c>
      <c r="B38" s="3">
        <v>22</v>
      </c>
      <c r="C38" s="143" t="s">
        <v>119</v>
      </c>
      <c r="D38" s="12">
        <v>2016</v>
      </c>
      <c r="E38" s="12">
        <v>11</v>
      </c>
      <c r="F38" s="56">
        <v>0</v>
      </c>
      <c r="H38" s="12" t="s">
        <v>82</v>
      </c>
      <c r="I38" s="57">
        <v>12</v>
      </c>
      <c r="J38" s="23">
        <f>D38+I38</f>
        <v>2028</v>
      </c>
      <c r="M38" s="58">
        <v>12799.44</v>
      </c>
      <c r="O38" s="15">
        <f>M38-M38*F38</f>
        <v>12799.44</v>
      </c>
      <c r="P38" s="15">
        <f>O38/I38/12</f>
        <v>88.885</v>
      </c>
      <c r="Q38" s="15">
        <f>IF(N38&gt;0,0,IF(OR(AC38&gt;AD38,AE38&lt;AF38),0,IF(AND(AE38&gt;=AF38,AE38&lt;=AD38),P38*((AE38-AF38)*12),IF(AND(AF38&lt;=AC38,AD38&gt;=AC38),((AD38-AC38)*12)*P38,IF(AE38&gt;AD38,12*P38,0)))))</f>
        <v>1066.6200000000001</v>
      </c>
      <c r="R38" s="15">
        <f>IF(N38=0,0,IF(AND(AG38&gt;=AF38,AG38&lt;=AE38),((AG38-AF38)*12)*P38,0))</f>
        <v>0</v>
      </c>
      <c r="S38" s="15">
        <f>IF(R38&gt;0,R38,Q38)</f>
        <v>1066.6200000000001</v>
      </c>
      <c r="T38" s="15">
        <v>1</v>
      </c>
      <c r="U38" s="15">
        <f>T38*SUM(Q38:R38)</f>
        <v>1066.6200000000001</v>
      </c>
      <c r="V38" s="15"/>
      <c r="W38" s="15">
        <f>IF(AC38&gt;AD38,0,IF(AE38&lt;AF38,O38,IF(AND(AE38&gt;=AF38,AE38&lt;=AD38),(O38-S38),IF(AND(AF38&lt;=AC38,AD38&gt;=AC38),0,IF(AE38&gt;AD38,((AF38-AC38)*12)*P38,0)))))</f>
        <v>177.77000000008084</v>
      </c>
      <c r="X38" s="15">
        <f>W38*T38</f>
        <v>177.77000000008084</v>
      </c>
      <c r="Y38" s="15">
        <v>1</v>
      </c>
      <c r="Z38" s="15">
        <f>X38*Y38</f>
        <v>177.77000000008084</v>
      </c>
      <c r="AA38" s="15">
        <f>IF(N38&gt;0,0,Z38+U38*Y38)*Y38</f>
        <v>1244.390000000081</v>
      </c>
      <c r="AB38" s="15">
        <f>IF(N38&gt;0,(M38-Z38)/2,IF(AC38&gt;=AF38,(((M38*T38)*Y38)-AA38)/2,((((M38*T38)*Y38)-Z38)+(((M38*T38)*Y38)-AA38))/2))</f>
        <v>12088.35999999992</v>
      </c>
      <c r="AC38" s="15">
        <f t="shared" si="12"/>
        <v>2016.8333333333333</v>
      </c>
      <c r="AD38" s="15">
        <f t="shared" si="13"/>
        <v>2018</v>
      </c>
      <c r="AE38" s="15">
        <f t="shared" si="14"/>
        <v>2028.8333333333333</v>
      </c>
      <c r="AF38" s="15">
        <f t="shared" si="15"/>
        <v>2017</v>
      </c>
      <c r="AG38" s="15">
        <f t="shared" si="16"/>
        <v>-0.08333333333333333</v>
      </c>
    </row>
    <row r="39" spans="1:33" s="190" customFormat="1" ht="12">
      <c r="A39" s="193">
        <v>187316</v>
      </c>
      <c r="B39" s="190">
        <v>20</v>
      </c>
      <c r="C39" s="191" t="s">
        <v>264</v>
      </c>
      <c r="D39" s="194">
        <v>2017</v>
      </c>
      <c r="E39" s="194">
        <v>9</v>
      </c>
      <c r="F39" s="188">
        <v>0</v>
      </c>
      <c r="H39" s="194" t="s">
        <v>82</v>
      </c>
      <c r="I39" s="195">
        <v>12</v>
      </c>
      <c r="J39" s="189">
        <f>D39+I39</f>
        <v>2029</v>
      </c>
      <c r="M39" s="196">
        <v>9984.1</v>
      </c>
      <c r="O39" s="197">
        <f>M39-M39*F39</f>
        <v>9984.1</v>
      </c>
      <c r="P39" s="197">
        <f>O39/I39/12</f>
        <v>69.33402777777778</v>
      </c>
      <c r="Q39" s="197">
        <f>IF(N39&gt;0,0,IF(OR(AC39&gt;AD39,AE39&lt;AF39),0,IF(AND(AE39&gt;=AF39,AE39&lt;=AD39),P39*((AE39-AF39)*12),IF(AND(AF39&lt;=AC39,AD39&gt;=AC39),((AD39-AC39)*12)*P39,IF(AE39&gt;AD39,12*P39,0)))))</f>
        <v>277.33611111104807</v>
      </c>
      <c r="R39" s="197">
        <f>IF(N39=0,0,IF(AND(AG39&gt;=AF39,AG39&lt;=AE39),((AG39-AF39)*12)*P39,0))</f>
        <v>0</v>
      </c>
      <c r="S39" s="197">
        <f>IF(R39&gt;0,R39,Q39)</f>
        <v>277.33611111104807</v>
      </c>
      <c r="T39" s="197">
        <v>1</v>
      </c>
      <c r="U39" s="197">
        <f>T39*SUM(Q39:R39)</f>
        <v>277.33611111104807</v>
      </c>
      <c r="V39" s="197"/>
      <c r="W39" s="197">
        <f>IF(AC39&gt;AD39,0,IF(AE39&lt;AF39,O39,IF(AND(AE39&gt;=AF39,AE39&lt;=AD39),(O39-S39),IF(AND(AF39&lt;=AC39,AD39&gt;=AC39),0,IF(AE39&gt;AD39,((AF39-AC39)*12)*P39,0)))))</f>
        <v>0</v>
      </c>
      <c r="X39" s="197">
        <f>W39*T39</f>
        <v>0</v>
      </c>
      <c r="Y39" s="197">
        <v>1</v>
      </c>
      <c r="Z39" s="197">
        <f>X39*Y39</f>
        <v>0</v>
      </c>
      <c r="AA39" s="197">
        <f>IF(N39&gt;0,0,Z39+U39*Y39)*Y39</f>
        <v>277.33611111104807</v>
      </c>
      <c r="AB39" s="197">
        <f>IF(N39&gt;0,(M39-Z39)/2,IF(AC39&gt;=AF39,(((M39*T39)*Y39)-AA39)/2,((((M39*T39)*Y39)-Z39)+(((M39*T39)*Y39)-AA39))/2))</f>
        <v>4853.381944444476</v>
      </c>
      <c r="AC39" s="197">
        <f t="shared" si="12"/>
        <v>2017.6666666666667</v>
      </c>
      <c r="AD39" s="197">
        <f t="shared" si="13"/>
        <v>2018</v>
      </c>
      <c r="AE39" s="197">
        <f t="shared" si="14"/>
        <v>2029.6666666666667</v>
      </c>
      <c r="AF39" s="197">
        <f t="shared" si="15"/>
        <v>2017</v>
      </c>
      <c r="AG39" s="197">
        <f t="shared" si="16"/>
        <v>-0.08333333333333333</v>
      </c>
    </row>
    <row r="40" spans="1:33" s="190" customFormat="1" ht="12">
      <c r="A40" s="193">
        <v>187317</v>
      </c>
      <c r="B40" s="190">
        <v>23</v>
      </c>
      <c r="C40" s="191" t="s">
        <v>265</v>
      </c>
      <c r="D40" s="194">
        <v>2017</v>
      </c>
      <c r="E40" s="194">
        <v>9</v>
      </c>
      <c r="F40" s="188">
        <v>0</v>
      </c>
      <c r="H40" s="194" t="s">
        <v>82</v>
      </c>
      <c r="I40" s="195">
        <v>12</v>
      </c>
      <c r="J40" s="189">
        <f>D40+I40</f>
        <v>2029</v>
      </c>
      <c r="M40" s="196">
        <v>11745.04</v>
      </c>
      <c r="O40" s="197">
        <f>M40-M40*F40</f>
        <v>11745.04</v>
      </c>
      <c r="P40" s="197">
        <f>O40/I40/12</f>
        <v>81.56277777777778</v>
      </c>
      <c r="Q40" s="197">
        <f>IF(N40&gt;0,0,IF(OR(AC40&gt;AD40,AE40&lt;AF40),0,IF(AND(AE40&gt;=AF40,AE40&lt;=AD40),P40*((AE40-AF40)*12),IF(AND(AF40&lt;=AC40,AD40&gt;=AC40),((AD40-AC40)*12)*P40,IF(AE40&gt;AD40,12*P40,0)))))</f>
        <v>326.25111111103695</v>
      </c>
      <c r="R40" s="197">
        <f>IF(N40=0,0,IF(AND(AG40&gt;=AF40,AG40&lt;=AE40),((AG40-AF40)*12)*P40,0))</f>
        <v>0</v>
      </c>
      <c r="S40" s="197">
        <f>IF(R40&gt;0,R40,Q40)</f>
        <v>326.25111111103695</v>
      </c>
      <c r="T40" s="197">
        <v>1</v>
      </c>
      <c r="U40" s="197">
        <f>T40*SUM(Q40:R40)</f>
        <v>326.25111111103695</v>
      </c>
      <c r="V40" s="197"/>
      <c r="W40" s="197">
        <f>IF(AC40&gt;AD40,0,IF(AE40&lt;AF40,O40,IF(AND(AE40&gt;=AF40,AE40&lt;=AD40),(O40-S40),IF(AND(AF40&lt;=AC40,AD40&gt;=AC40),0,IF(AE40&gt;AD40,((AF40-AC40)*12)*P40,0)))))</f>
        <v>0</v>
      </c>
      <c r="X40" s="197">
        <f>W40*T40</f>
        <v>0</v>
      </c>
      <c r="Y40" s="197">
        <v>1</v>
      </c>
      <c r="Z40" s="197">
        <f>X40*Y40</f>
        <v>0</v>
      </c>
      <c r="AA40" s="197">
        <f>IF(N40&gt;0,0,Z40+U40*Y40)*Y40</f>
        <v>326.25111111103695</v>
      </c>
      <c r="AB40" s="197">
        <f>IF(N40&gt;0,(M40-Z40)/2,IF(AC40&gt;=AF40,(((M40*T40)*Y40)-AA40)/2,((((M40*T40)*Y40)-Z40)+(((M40*T40)*Y40)-AA40))/2))</f>
        <v>5709.394444444482</v>
      </c>
      <c r="AC40" s="197">
        <f t="shared" si="12"/>
        <v>2017.6666666666667</v>
      </c>
      <c r="AD40" s="197">
        <f t="shared" si="13"/>
        <v>2018</v>
      </c>
      <c r="AE40" s="197">
        <f t="shared" si="14"/>
        <v>2029.6666666666667</v>
      </c>
      <c r="AF40" s="197">
        <f t="shared" si="15"/>
        <v>2017</v>
      </c>
      <c r="AG40" s="197">
        <f t="shared" si="16"/>
        <v>-0.08333333333333333</v>
      </c>
    </row>
    <row r="41" spans="1:33" s="190" customFormat="1" ht="12">
      <c r="A41" s="193">
        <v>187318</v>
      </c>
      <c r="B41" s="190">
        <v>25</v>
      </c>
      <c r="C41" s="191" t="s">
        <v>266</v>
      </c>
      <c r="D41" s="194">
        <v>2017</v>
      </c>
      <c r="E41" s="194">
        <v>9</v>
      </c>
      <c r="F41" s="188">
        <v>0</v>
      </c>
      <c r="H41" s="194" t="s">
        <v>82</v>
      </c>
      <c r="I41" s="195">
        <v>12</v>
      </c>
      <c r="J41" s="189">
        <f>D41+I41</f>
        <v>2029</v>
      </c>
      <c r="M41" s="196">
        <v>13859.26</v>
      </c>
      <c r="O41" s="197">
        <f>M41-M41*F41</f>
        <v>13859.26</v>
      </c>
      <c r="P41" s="197">
        <f>O41/I41/12</f>
        <v>96.2448611111111</v>
      </c>
      <c r="Q41" s="197">
        <f>IF(N41&gt;0,0,IF(OR(AC41&gt;AD41,AE41&lt;AF41),0,IF(AND(AE41&gt;=AF41,AE41&lt;=AD41),P41*((AE41-AF41)*12),IF(AND(AF41&lt;=AC41,AD41&gt;=AC41),((AD41-AC41)*12)*P41,IF(AE41&gt;AD41,12*P41,0)))))</f>
        <v>384.9794444443569</v>
      </c>
      <c r="R41" s="197">
        <f>IF(N41=0,0,IF(AND(AG41&gt;=AF41,AG41&lt;=AE41),((AG41-AF41)*12)*P41,0))</f>
        <v>0</v>
      </c>
      <c r="S41" s="197">
        <f>IF(R41&gt;0,R41,Q41)</f>
        <v>384.9794444443569</v>
      </c>
      <c r="T41" s="197">
        <v>1</v>
      </c>
      <c r="U41" s="197">
        <f>T41*SUM(Q41:R41)</f>
        <v>384.9794444443569</v>
      </c>
      <c r="V41" s="197"/>
      <c r="W41" s="197">
        <f>IF(AC41&gt;AD41,0,IF(AE41&lt;AF41,O41,IF(AND(AE41&gt;=AF41,AE41&lt;=AD41),(O41-S41),IF(AND(AF41&lt;=AC41,AD41&gt;=AC41),0,IF(AE41&gt;AD41,((AF41-AC41)*12)*P41,0)))))</f>
        <v>0</v>
      </c>
      <c r="X41" s="197">
        <f>W41*T41</f>
        <v>0</v>
      </c>
      <c r="Y41" s="197">
        <v>1</v>
      </c>
      <c r="Z41" s="197">
        <f>X41*Y41</f>
        <v>0</v>
      </c>
      <c r="AA41" s="197">
        <f>IF(N41&gt;0,0,Z41+U41*Y41)*Y41</f>
        <v>384.9794444443569</v>
      </c>
      <c r="AB41" s="197">
        <f>IF(N41&gt;0,(M41-Z41)/2,IF(AC41&gt;=AF41,(((M41*T41)*Y41)-AA41)/2,((((M41*T41)*Y41)-Z41)+(((M41*T41)*Y41)-AA41))/2))</f>
        <v>6737.140277777822</v>
      </c>
      <c r="AC41" s="197">
        <f t="shared" si="12"/>
        <v>2017.6666666666667</v>
      </c>
      <c r="AD41" s="197">
        <f t="shared" si="13"/>
        <v>2018</v>
      </c>
      <c r="AE41" s="197">
        <f t="shared" si="14"/>
        <v>2029.6666666666667</v>
      </c>
      <c r="AF41" s="197">
        <f t="shared" si="15"/>
        <v>2017</v>
      </c>
      <c r="AG41" s="197">
        <f t="shared" si="16"/>
        <v>-0.08333333333333333</v>
      </c>
    </row>
    <row r="42" spans="1:33" ht="12">
      <c r="A42" s="144"/>
      <c r="B42" s="55"/>
      <c r="C42" s="143"/>
      <c r="F42" s="56"/>
      <c r="G42" s="15"/>
      <c r="H42" s="12"/>
      <c r="I42" s="57"/>
      <c r="J42" s="23"/>
      <c r="M42" s="58"/>
      <c r="N42" s="142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ht="12">
      <c r="A43" s="144"/>
      <c r="B43" s="12"/>
      <c r="C43" s="24" t="s">
        <v>121</v>
      </c>
      <c r="D43" s="4"/>
      <c r="E43" s="56"/>
      <c r="F43" s="56"/>
      <c r="H43" s="12"/>
      <c r="I43" s="57"/>
      <c r="J43" s="23"/>
      <c r="M43" s="141">
        <f>SUM(M12:M42)</f>
        <v>275978.89</v>
      </c>
      <c r="O43" s="141">
        <f>SUM(O12:O42)</f>
        <v>275978.89</v>
      </c>
      <c r="P43" s="141">
        <f>SUM(P12:P42)</f>
        <v>2200.925138888889</v>
      </c>
      <c r="Q43" s="141">
        <f>SUM(Q12:Q42)</f>
        <v>14703.14391666633</v>
      </c>
      <c r="R43" s="141">
        <f>SUM(R12:R42)</f>
        <v>0</v>
      </c>
      <c r="S43" s="141">
        <f>SUM(S12:S42)</f>
        <v>14703.14391666633</v>
      </c>
      <c r="T43" s="141"/>
      <c r="U43" s="141">
        <f>SUM(U12:U42)</f>
        <v>14703.14391666633</v>
      </c>
      <c r="V43" s="141"/>
      <c r="W43" s="141">
        <f aca="true" t="shared" si="17" ref="W43:AB43">SUM(W12:W42)</f>
        <v>138446.7989444446</v>
      </c>
      <c r="X43" s="141">
        <f t="shared" si="17"/>
        <v>138446.7989444446</v>
      </c>
      <c r="Y43" s="141">
        <f t="shared" si="17"/>
        <v>29</v>
      </c>
      <c r="Z43" s="141">
        <f t="shared" si="17"/>
        <v>138446.7989444446</v>
      </c>
      <c r="AA43" s="141">
        <f t="shared" si="17"/>
        <v>153149.94286111093</v>
      </c>
      <c r="AB43" s="141">
        <f t="shared" si="17"/>
        <v>112386.31909722228</v>
      </c>
      <c r="AC43" s="141"/>
      <c r="AD43" s="15"/>
      <c r="AE43" s="15"/>
      <c r="AF43" s="15"/>
      <c r="AG43" s="15"/>
    </row>
    <row r="44" spans="1:33" ht="12">
      <c r="A44" s="144"/>
      <c r="B44" s="12"/>
      <c r="C44" s="24"/>
      <c r="D44" s="4"/>
      <c r="E44" s="56"/>
      <c r="F44" s="56"/>
      <c r="H44" s="12"/>
      <c r="I44" s="57"/>
      <c r="J44" s="23"/>
      <c r="M44" s="141"/>
      <c r="O44" s="15"/>
      <c r="P44" s="15"/>
      <c r="Q44" s="15" t="s">
        <v>13</v>
      </c>
      <c r="R44" s="15"/>
      <c r="S44" s="15"/>
      <c r="T44" s="15"/>
      <c r="U44" s="15"/>
      <c r="V44" s="15"/>
      <c r="W44" s="15"/>
      <c r="X44" s="15"/>
      <c r="Y44" s="15"/>
      <c r="Z44" s="15" t="s">
        <v>13</v>
      </c>
      <c r="AA44" s="15"/>
      <c r="AB44" s="15"/>
      <c r="AC44" s="15"/>
      <c r="AD44" s="15"/>
      <c r="AE44" s="15"/>
      <c r="AF44" s="15"/>
      <c r="AG44" s="15"/>
    </row>
    <row r="45" spans="1:33" ht="12">
      <c r="A45" s="144"/>
      <c r="B45" s="12"/>
      <c r="C45" s="24" t="s">
        <v>122</v>
      </c>
      <c r="D45" s="4"/>
      <c r="E45" s="56"/>
      <c r="F45" s="56"/>
      <c r="H45" s="12"/>
      <c r="I45" s="57"/>
      <c r="J45" s="23"/>
      <c r="M45" s="141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1:33" ht="12">
      <c r="A46" s="12"/>
      <c r="B46" s="3">
        <v>26019</v>
      </c>
      <c r="C46" s="14" t="s">
        <v>123</v>
      </c>
      <c r="D46" s="12">
        <v>1992</v>
      </c>
      <c r="E46" s="12">
        <v>5</v>
      </c>
      <c r="F46" s="56">
        <v>0</v>
      </c>
      <c r="H46" s="12" t="s">
        <v>82</v>
      </c>
      <c r="I46" s="57">
        <v>10</v>
      </c>
      <c r="J46" s="23">
        <f aca="true" t="shared" si="18" ref="J46:J78">D46+I46</f>
        <v>2002</v>
      </c>
      <c r="M46" s="58">
        <v>19045</v>
      </c>
      <c r="O46" s="15">
        <f aca="true" t="shared" si="19" ref="O46:O79">M46-M46*F46</f>
        <v>19045</v>
      </c>
      <c r="P46" s="15">
        <f aca="true" t="shared" si="20" ref="P46:P79">O46/I46/12</f>
        <v>158.70833333333334</v>
      </c>
      <c r="Q46" s="15">
        <f aca="true" t="shared" si="21" ref="Q46:Q76">IF(N46&gt;0,0,IF(OR(AC46&gt;AD46,AE46&lt;AF46),0,IF(AND(AE46&gt;=AF46,AE46&lt;=AD46),P46*((AE46-AF46)*12),IF(AND(AF46&lt;=AC46,AD46&gt;=AC46),((AD46-AC46)*12)*P46,IF(AE46&gt;AD46,12*P46,0)))))</f>
        <v>0</v>
      </c>
      <c r="R46" s="15">
        <f aca="true" t="shared" si="22" ref="R46:R76">IF(N46=0,0,IF(AND(AG46&gt;=AF46,AG46&lt;=AE46),((AG46-AF46)*12)*P46,0))</f>
        <v>0</v>
      </c>
      <c r="S46" s="15">
        <f aca="true" t="shared" si="23" ref="S46:S76">IF(R46&gt;0,R46,Q46)</f>
        <v>0</v>
      </c>
      <c r="T46" s="15">
        <v>1</v>
      </c>
      <c r="U46" s="15">
        <f aca="true" t="shared" si="24" ref="U46:U76">T46*SUM(Q46:R46)</f>
        <v>0</v>
      </c>
      <c r="V46" s="15"/>
      <c r="W46" s="15">
        <f aca="true" t="shared" si="25" ref="W46:W76">IF(AC46&gt;AD46,0,IF(AE46&lt;AF46,O46,IF(AND(AE46&gt;=AF46,AE46&lt;=AD46),(O46-S46),IF(AND(AF46&lt;=AC46,AD46&gt;=AC46),0,IF(AE46&gt;AD46,((AF46-AC46)*12)*P46,0)))))</f>
        <v>19045</v>
      </c>
      <c r="X46" s="15">
        <f aca="true" t="shared" si="26" ref="X46:X76">W46*T46</f>
        <v>19045</v>
      </c>
      <c r="Y46" s="15">
        <v>1</v>
      </c>
      <c r="Z46" s="15">
        <f aca="true" t="shared" si="27" ref="Z46:Z76">X46*Y46</f>
        <v>19045</v>
      </c>
      <c r="AA46" s="15">
        <f aca="true" t="shared" si="28" ref="AA46:AA76">IF(N46&gt;0,0,Z46+U46*Y46)*Y46</f>
        <v>19045</v>
      </c>
      <c r="AB46" s="15">
        <f aca="true" t="shared" si="29" ref="AB46:AB76">IF(N46&gt;0,(M46-Z46)/2,IF(AC46&gt;=AF46,(((M46*T46)*Y46)-AA46)/2,((((M46*T46)*Y46)-Z46)+(((M46*T46)*Y46)-AA46))/2))</f>
        <v>0</v>
      </c>
      <c r="AC46" s="15">
        <f aca="true" t="shared" si="30" ref="AC46:AC87">$D46+(($E46-1)/12)</f>
        <v>1992.3333333333333</v>
      </c>
      <c r="AD46" s="15">
        <f aca="true" t="shared" si="31" ref="AD46:AD87">($O$5+1)-($O$2/12)</f>
        <v>2018</v>
      </c>
      <c r="AE46" s="15">
        <f aca="true" t="shared" si="32" ref="AE46:AE87">$J46+(($E46-1)/12)</f>
        <v>2002.3333333333333</v>
      </c>
      <c r="AF46" s="15">
        <f aca="true" t="shared" si="33" ref="AF46:AF87">$O$4+($O$3/12)</f>
        <v>2017</v>
      </c>
      <c r="AG46" s="15">
        <f aca="true" t="shared" si="34" ref="AG46:AG87">$K46+(($L46-1)/12)</f>
        <v>-0.08333333333333333</v>
      </c>
    </row>
    <row r="47" spans="1:33" ht="12">
      <c r="A47" s="144"/>
      <c r="B47" s="3">
        <v>26021</v>
      </c>
      <c r="C47" s="14" t="s">
        <v>124</v>
      </c>
      <c r="D47" s="12">
        <v>1993</v>
      </c>
      <c r="E47" s="12">
        <v>3</v>
      </c>
      <c r="F47" s="56">
        <v>0</v>
      </c>
      <c r="H47" s="12" t="s">
        <v>82</v>
      </c>
      <c r="I47" s="57">
        <v>10</v>
      </c>
      <c r="J47" s="23">
        <f t="shared" si="18"/>
        <v>2003</v>
      </c>
      <c r="M47" s="58">
        <v>13123</v>
      </c>
      <c r="O47" s="15">
        <f t="shared" si="19"/>
        <v>13123</v>
      </c>
      <c r="P47" s="15">
        <f t="shared" si="20"/>
        <v>109.35833333333333</v>
      </c>
      <c r="Q47" s="15">
        <f t="shared" si="21"/>
        <v>0</v>
      </c>
      <c r="R47" s="15">
        <f t="shared" si="22"/>
        <v>0</v>
      </c>
      <c r="S47" s="15">
        <f t="shared" si="23"/>
        <v>0</v>
      </c>
      <c r="T47" s="15">
        <v>1</v>
      </c>
      <c r="U47" s="15">
        <f t="shared" si="24"/>
        <v>0</v>
      </c>
      <c r="V47" s="15"/>
      <c r="W47" s="15">
        <f t="shared" si="25"/>
        <v>13123</v>
      </c>
      <c r="X47" s="15">
        <f t="shared" si="26"/>
        <v>13123</v>
      </c>
      <c r="Y47" s="15">
        <v>1</v>
      </c>
      <c r="Z47" s="15">
        <f t="shared" si="27"/>
        <v>13123</v>
      </c>
      <c r="AA47" s="15">
        <f t="shared" si="28"/>
        <v>13123</v>
      </c>
      <c r="AB47" s="15">
        <f t="shared" si="29"/>
        <v>0</v>
      </c>
      <c r="AC47" s="15">
        <f t="shared" si="30"/>
        <v>1993.1666666666667</v>
      </c>
      <c r="AD47" s="15">
        <f t="shared" si="31"/>
        <v>2018</v>
      </c>
      <c r="AE47" s="15">
        <f t="shared" si="32"/>
        <v>2003.1666666666667</v>
      </c>
      <c r="AF47" s="15">
        <f t="shared" si="33"/>
        <v>2017</v>
      </c>
      <c r="AG47" s="15">
        <f t="shared" si="34"/>
        <v>-0.08333333333333333</v>
      </c>
    </row>
    <row r="48" spans="1:33" ht="12">
      <c r="A48" s="144"/>
      <c r="B48" s="3">
        <v>26023</v>
      </c>
      <c r="C48" s="14" t="s">
        <v>125</v>
      </c>
      <c r="D48" s="12">
        <v>1993</v>
      </c>
      <c r="E48" s="12">
        <v>11</v>
      </c>
      <c r="F48" s="56">
        <v>0</v>
      </c>
      <c r="H48" s="12" t="s">
        <v>82</v>
      </c>
      <c r="I48" s="57">
        <v>10</v>
      </c>
      <c r="J48" s="23">
        <f t="shared" si="18"/>
        <v>2003</v>
      </c>
      <c r="M48" s="58">
        <v>8300</v>
      </c>
      <c r="O48" s="15">
        <f t="shared" si="19"/>
        <v>8300</v>
      </c>
      <c r="P48" s="15">
        <f t="shared" si="20"/>
        <v>69.16666666666667</v>
      </c>
      <c r="Q48" s="15">
        <f t="shared" si="21"/>
        <v>0</v>
      </c>
      <c r="R48" s="15">
        <f t="shared" si="22"/>
        <v>0</v>
      </c>
      <c r="S48" s="15">
        <f t="shared" si="23"/>
        <v>0</v>
      </c>
      <c r="T48" s="15">
        <v>1</v>
      </c>
      <c r="U48" s="15">
        <f t="shared" si="24"/>
        <v>0</v>
      </c>
      <c r="V48" s="15"/>
      <c r="W48" s="15">
        <f t="shared" si="25"/>
        <v>8300</v>
      </c>
      <c r="X48" s="15">
        <f t="shared" si="26"/>
        <v>8300</v>
      </c>
      <c r="Y48" s="15">
        <v>1</v>
      </c>
      <c r="Z48" s="15">
        <f t="shared" si="27"/>
        <v>8300</v>
      </c>
      <c r="AA48" s="15">
        <f t="shared" si="28"/>
        <v>8300</v>
      </c>
      <c r="AB48" s="15">
        <f t="shared" si="29"/>
        <v>0</v>
      </c>
      <c r="AC48" s="15">
        <f t="shared" si="30"/>
        <v>1993.8333333333333</v>
      </c>
      <c r="AD48" s="15">
        <f t="shared" si="31"/>
        <v>2018</v>
      </c>
      <c r="AE48" s="15">
        <f t="shared" si="32"/>
        <v>2003.8333333333333</v>
      </c>
      <c r="AF48" s="15">
        <f t="shared" si="33"/>
        <v>2017</v>
      </c>
      <c r="AG48" s="15">
        <f t="shared" si="34"/>
        <v>-0.08333333333333333</v>
      </c>
    </row>
    <row r="49" spans="1:33" ht="12">
      <c r="A49" s="144"/>
      <c r="B49" s="3">
        <v>26024</v>
      </c>
      <c r="C49" s="14" t="s">
        <v>125</v>
      </c>
      <c r="D49" s="12">
        <v>1994</v>
      </c>
      <c r="E49" s="12">
        <v>2</v>
      </c>
      <c r="F49" s="56">
        <v>0</v>
      </c>
      <c r="H49" s="12" t="s">
        <v>82</v>
      </c>
      <c r="I49" s="57">
        <v>10</v>
      </c>
      <c r="J49" s="23">
        <f t="shared" si="18"/>
        <v>2004</v>
      </c>
      <c r="M49" s="58">
        <v>8115</v>
      </c>
      <c r="O49" s="15">
        <f t="shared" si="19"/>
        <v>8115</v>
      </c>
      <c r="P49" s="15">
        <f t="shared" si="20"/>
        <v>67.625</v>
      </c>
      <c r="Q49" s="15">
        <f t="shared" si="21"/>
        <v>0</v>
      </c>
      <c r="R49" s="15">
        <f t="shared" si="22"/>
        <v>0</v>
      </c>
      <c r="S49" s="15">
        <f t="shared" si="23"/>
        <v>0</v>
      </c>
      <c r="T49" s="15">
        <v>1</v>
      </c>
      <c r="U49" s="15">
        <f t="shared" si="24"/>
        <v>0</v>
      </c>
      <c r="V49" s="15"/>
      <c r="W49" s="15">
        <f t="shared" si="25"/>
        <v>8115</v>
      </c>
      <c r="X49" s="15">
        <f t="shared" si="26"/>
        <v>8115</v>
      </c>
      <c r="Y49" s="15">
        <v>1</v>
      </c>
      <c r="Z49" s="15">
        <f t="shared" si="27"/>
        <v>8115</v>
      </c>
      <c r="AA49" s="15">
        <f t="shared" si="28"/>
        <v>8115</v>
      </c>
      <c r="AB49" s="15">
        <f t="shared" si="29"/>
        <v>0</v>
      </c>
      <c r="AC49" s="15">
        <f t="shared" si="30"/>
        <v>1994.0833333333333</v>
      </c>
      <c r="AD49" s="15">
        <f t="shared" si="31"/>
        <v>2018</v>
      </c>
      <c r="AE49" s="15">
        <f t="shared" si="32"/>
        <v>2004.0833333333333</v>
      </c>
      <c r="AF49" s="15">
        <f t="shared" si="33"/>
        <v>2017</v>
      </c>
      <c r="AG49" s="15">
        <f t="shared" si="34"/>
        <v>-0.08333333333333333</v>
      </c>
    </row>
    <row r="50" spans="1:33" ht="12">
      <c r="A50" s="144"/>
      <c r="B50" s="3">
        <v>26025</v>
      </c>
      <c r="C50" s="14" t="s">
        <v>126</v>
      </c>
      <c r="D50" s="12">
        <v>1994</v>
      </c>
      <c r="E50" s="12">
        <v>3</v>
      </c>
      <c r="F50" s="56">
        <v>0</v>
      </c>
      <c r="H50" s="12" t="s">
        <v>82</v>
      </c>
      <c r="I50" s="57">
        <v>10</v>
      </c>
      <c r="J50" s="23">
        <f t="shared" si="18"/>
        <v>2004</v>
      </c>
      <c r="M50" s="58">
        <v>10046</v>
      </c>
      <c r="O50" s="15">
        <f t="shared" si="19"/>
        <v>10046</v>
      </c>
      <c r="P50" s="15">
        <f t="shared" si="20"/>
        <v>83.71666666666667</v>
      </c>
      <c r="Q50" s="15">
        <f t="shared" si="21"/>
        <v>0</v>
      </c>
      <c r="R50" s="15">
        <f t="shared" si="22"/>
        <v>0</v>
      </c>
      <c r="S50" s="15">
        <f t="shared" si="23"/>
        <v>0</v>
      </c>
      <c r="T50" s="15">
        <v>1</v>
      </c>
      <c r="U50" s="15">
        <f t="shared" si="24"/>
        <v>0</v>
      </c>
      <c r="V50" s="15"/>
      <c r="W50" s="15">
        <f t="shared" si="25"/>
        <v>10046</v>
      </c>
      <c r="X50" s="15">
        <f t="shared" si="26"/>
        <v>10046</v>
      </c>
      <c r="Y50" s="15">
        <v>1</v>
      </c>
      <c r="Z50" s="15">
        <f t="shared" si="27"/>
        <v>10046</v>
      </c>
      <c r="AA50" s="15">
        <f t="shared" si="28"/>
        <v>10046</v>
      </c>
      <c r="AB50" s="15">
        <f t="shared" si="29"/>
        <v>0</v>
      </c>
      <c r="AC50" s="15">
        <f t="shared" si="30"/>
        <v>1994.1666666666667</v>
      </c>
      <c r="AD50" s="15">
        <f t="shared" si="31"/>
        <v>2018</v>
      </c>
      <c r="AE50" s="15">
        <f t="shared" si="32"/>
        <v>2004.1666666666667</v>
      </c>
      <c r="AF50" s="15">
        <f t="shared" si="33"/>
        <v>2017</v>
      </c>
      <c r="AG50" s="15">
        <f t="shared" si="34"/>
        <v>-0.08333333333333333</v>
      </c>
    </row>
    <row r="51" spans="1:33" ht="12">
      <c r="A51" s="144"/>
      <c r="B51" s="3">
        <v>26026</v>
      </c>
      <c r="C51" s="14" t="s">
        <v>127</v>
      </c>
      <c r="D51" s="12">
        <v>1994</v>
      </c>
      <c r="E51" s="12">
        <v>1</v>
      </c>
      <c r="F51" s="56">
        <v>0</v>
      </c>
      <c r="H51" s="12" t="s">
        <v>82</v>
      </c>
      <c r="I51" s="57">
        <v>10</v>
      </c>
      <c r="J51" s="23">
        <f t="shared" si="18"/>
        <v>2004</v>
      </c>
      <c r="M51" s="58">
        <v>656</v>
      </c>
      <c r="O51" s="15">
        <f t="shared" si="19"/>
        <v>656</v>
      </c>
      <c r="P51" s="15">
        <f t="shared" si="20"/>
        <v>5.466666666666666</v>
      </c>
      <c r="Q51" s="15">
        <f t="shared" si="21"/>
        <v>0</v>
      </c>
      <c r="R51" s="15">
        <f t="shared" si="22"/>
        <v>0</v>
      </c>
      <c r="S51" s="15">
        <f t="shared" si="23"/>
        <v>0</v>
      </c>
      <c r="T51" s="15">
        <v>1</v>
      </c>
      <c r="U51" s="15">
        <f t="shared" si="24"/>
        <v>0</v>
      </c>
      <c r="V51" s="15"/>
      <c r="W51" s="15">
        <f t="shared" si="25"/>
        <v>656</v>
      </c>
      <c r="X51" s="15">
        <f t="shared" si="26"/>
        <v>656</v>
      </c>
      <c r="Y51" s="15">
        <v>1</v>
      </c>
      <c r="Z51" s="15">
        <f t="shared" si="27"/>
        <v>656</v>
      </c>
      <c r="AA51" s="15">
        <f t="shared" si="28"/>
        <v>656</v>
      </c>
      <c r="AB51" s="15">
        <f t="shared" si="29"/>
        <v>0</v>
      </c>
      <c r="AC51" s="15">
        <f t="shared" si="30"/>
        <v>1994</v>
      </c>
      <c r="AD51" s="15">
        <f t="shared" si="31"/>
        <v>2018</v>
      </c>
      <c r="AE51" s="15">
        <f t="shared" si="32"/>
        <v>2004</v>
      </c>
      <c r="AF51" s="15">
        <f t="shared" si="33"/>
        <v>2017</v>
      </c>
      <c r="AG51" s="15">
        <f t="shared" si="34"/>
        <v>-0.08333333333333333</v>
      </c>
    </row>
    <row r="52" spans="1:33" ht="12">
      <c r="A52" s="144"/>
      <c r="B52" s="3">
        <v>26030</v>
      </c>
      <c r="C52" s="14" t="s">
        <v>128</v>
      </c>
      <c r="D52" s="12">
        <v>1995</v>
      </c>
      <c r="E52" s="12">
        <v>9</v>
      </c>
      <c r="F52" s="56">
        <v>0</v>
      </c>
      <c r="H52" s="12" t="s">
        <v>82</v>
      </c>
      <c r="I52" s="57">
        <v>10</v>
      </c>
      <c r="J52" s="23">
        <f t="shared" si="18"/>
        <v>2005</v>
      </c>
      <c r="M52" s="58">
        <v>21575</v>
      </c>
      <c r="O52" s="15">
        <f t="shared" si="19"/>
        <v>21575</v>
      </c>
      <c r="P52" s="15">
        <f t="shared" si="20"/>
        <v>179.79166666666666</v>
      </c>
      <c r="Q52" s="15">
        <f t="shared" si="21"/>
        <v>0</v>
      </c>
      <c r="R52" s="15">
        <f t="shared" si="22"/>
        <v>0</v>
      </c>
      <c r="S52" s="15">
        <f t="shared" si="23"/>
        <v>0</v>
      </c>
      <c r="T52" s="15">
        <v>1</v>
      </c>
      <c r="U52" s="15">
        <f t="shared" si="24"/>
        <v>0</v>
      </c>
      <c r="V52" s="15"/>
      <c r="W52" s="15">
        <f t="shared" si="25"/>
        <v>21575</v>
      </c>
      <c r="X52" s="15">
        <f t="shared" si="26"/>
        <v>21575</v>
      </c>
      <c r="Y52" s="15">
        <v>1</v>
      </c>
      <c r="Z52" s="15">
        <f t="shared" si="27"/>
        <v>21575</v>
      </c>
      <c r="AA52" s="15">
        <f t="shared" si="28"/>
        <v>21575</v>
      </c>
      <c r="AB52" s="15">
        <f t="shared" si="29"/>
        <v>0</v>
      </c>
      <c r="AC52" s="15">
        <f t="shared" si="30"/>
        <v>1995.6666666666667</v>
      </c>
      <c r="AD52" s="15">
        <f t="shared" si="31"/>
        <v>2018</v>
      </c>
      <c r="AE52" s="15">
        <f t="shared" si="32"/>
        <v>2005.6666666666667</v>
      </c>
      <c r="AF52" s="15">
        <f t="shared" si="33"/>
        <v>2017</v>
      </c>
      <c r="AG52" s="15">
        <f t="shared" si="34"/>
        <v>-0.08333333333333333</v>
      </c>
    </row>
    <row r="53" spans="1:33" ht="12">
      <c r="A53" s="12"/>
      <c r="B53" s="3">
        <v>26034</v>
      </c>
      <c r="C53" s="14" t="s">
        <v>129</v>
      </c>
      <c r="D53" s="12">
        <v>1998</v>
      </c>
      <c r="E53" s="12">
        <v>4</v>
      </c>
      <c r="F53" s="56">
        <v>0</v>
      </c>
      <c r="H53" s="12" t="s">
        <v>82</v>
      </c>
      <c r="I53" s="57">
        <v>10</v>
      </c>
      <c r="J53" s="23">
        <f t="shared" si="18"/>
        <v>2008</v>
      </c>
      <c r="M53" s="58">
        <v>8873</v>
      </c>
      <c r="O53" s="15">
        <f t="shared" si="19"/>
        <v>8873</v>
      </c>
      <c r="P53" s="15">
        <f t="shared" si="20"/>
        <v>73.94166666666666</v>
      </c>
      <c r="Q53" s="15">
        <f t="shared" si="21"/>
        <v>0</v>
      </c>
      <c r="R53" s="15">
        <f t="shared" si="22"/>
        <v>0</v>
      </c>
      <c r="S53" s="15">
        <f t="shared" si="23"/>
        <v>0</v>
      </c>
      <c r="T53" s="15">
        <v>1</v>
      </c>
      <c r="U53" s="15">
        <f t="shared" si="24"/>
        <v>0</v>
      </c>
      <c r="V53" s="15"/>
      <c r="W53" s="15">
        <f t="shared" si="25"/>
        <v>8873</v>
      </c>
      <c r="X53" s="15">
        <f t="shared" si="26"/>
        <v>8873</v>
      </c>
      <c r="Y53" s="15">
        <v>1</v>
      </c>
      <c r="Z53" s="15">
        <f t="shared" si="27"/>
        <v>8873</v>
      </c>
      <c r="AA53" s="15">
        <f t="shared" si="28"/>
        <v>8873</v>
      </c>
      <c r="AB53" s="15">
        <f t="shared" si="29"/>
        <v>0</v>
      </c>
      <c r="AC53" s="15">
        <f t="shared" si="30"/>
        <v>1998.25</v>
      </c>
      <c r="AD53" s="15">
        <f t="shared" si="31"/>
        <v>2018</v>
      </c>
      <c r="AE53" s="15">
        <f t="shared" si="32"/>
        <v>2008.25</v>
      </c>
      <c r="AF53" s="15">
        <f t="shared" si="33"/>
        <v>2017</v>
      </c>
      <c r="AG53" s="15">
        <f t="shared" si="34"/>
        <v>-0.08333333333333333</v>
      </c>
    </row>
    <row r="54" spans="1:33" ht="12">
      <c r="A54" s="12"/>
      <c r="B54" s="3">
        <v>26036</v>
      </c>
      <c r="C54" s="14" t="s">
        <v>126</v>
      </c>
      <c r="D54" s="12">
        <v>1998</v>
      </c>
      <c r="E54" s="12">
        <v>7</v>
      </c>
      <c r="F54" s="56">
        <v>0</v>
      </c>
      <c r="H54" s="12" t="s">
        <v>82</v>
      </c>
      <c r="I54" s="57">
        <v>10</v>
      </c>
      <c r="J54" s="23">
        <f t="shared" si="18"/>
        <v>2008</v>
      </c>
      <c r="M54" s="58">
        <v>10670</v>
      </c>
      <c r="O54" s="15">
        <f t="shared" si="19"/>
        <v>10670</v>
      </c>
      <c r="P54" s="15">
        <f t="shared" si="20"/>
        <v>88.91666666666667</v>
      </c>
      <c r="Q54" s="15">
        <f t="shared" si="21"/>
        <v>0</v>
      </c>
      <c r="R54" s="15">
        <f t="shared" si="22"/>
        <v>0</v>
      </c>
      <c r="S54" s="15">
        <f t="shared" si="23"/>
        <v>0</v>
      </c>
      <c r="T54" s="15">
        <v>1</v>
      </c>
      <c r="U54" s="15">
        <f t="shared" si="24"/>
        <v>0</v>
      </c>
      <c r="V54" s="15"/>
      <c r="W54" s="15">
        <f t="shared" si="25"/>
        <v>10670</v>
      </c>
      <c r="X54" s="15">
        <f t="shared" si="26"/>
        <v>10670</v>
      </c>
      <c r="Y54" s="15">
        <v>1</v>
      </c>
      <c r="Z54" s="15">
        <f t="shared" si="27"/>
        <v>10670</v>
      </c>
      <c r="AA54" s="15">
        <f t="shared" si="28"/>
        <v>10670</v>
      </c>
      <c r="AB54" s="15">
        <f t="shared" si="29"/>
        <v>0</v>
      </c>
      <c r="AC54" s="15">
        <f t="shared" si="30"/>
        <v>1998.5</v>
      </c>
      <c r="AD54" s="15">
        <f t="shared" si="31"/>
        <v>2018</v>
      </c>
      <c r="AE54" s="15">
        <f t="shared" si="32"/>
        <v>2008.5</v>
      </c>
      <c r="AF54" s="15">
        <f t="shared" si="33"/>
        <v>2017</v>
      </c>
      <c r="AG54" s="15">
        <f t="shared" si="34"/>
        <v>-0.08333333333333333</v>
      </c>
    </row>
    <row r="55" spans="1:33" ht="12">
      <c r="A55" s="12"/>
      <c r="B55" s="3">
        <v>26038</v>
      </c>
      <c r="C55" s="14" t="s">
        <v>126</v>
      </c>
      <c r="D55" s="12">
        <v>1998</v>
      </c>
      <c r="E55" s="12">
        <v>8</v>
      </c>
      <c r="F55" s="56">
        <v>0</v>
      </c>
      <c r="H55" s="12" t="s">
        <v>82</v>
      </c>
      <c r="I55" s="57">
        <v>10</v>
      </c>
      <c r="J55" s="23">
        <f t="shared" si="18"/>
        <v>2008</v>
      </c>
      <c r="M55" s="58">
        <v>10670</v>
      </c>
      <c r="O55" s="15">
        <f t="shared" si="19"/>
        <v>10670</v>
      </c>
      <c r="P55" s="15">
        <f t="shared" si="20"/>
        <v>88.91666666666667</v>
      </c>
      <c r="Q55" s="15">
        <f t="shared" si="21"/>
        <v>0</v>
      </c>
      <c r="R55" s="15">
        <f t="shared" si="22"/>
        <v>0</v>
      </c>
      <c r="S55" s="15">
        <f t="shared" si="23"/>
        <v>0</v>
      </c>
      <c r="T55" s="15">
        <v>1</v>
      </c>
      <c r="U55" s="15">
        <f t="shared" si="24"/>
        <v>0</v>
      </c>
      <c r="V55" s="15"/>
      <c r="W55" s="15">
        <f t="shared" si="25"/>
        <v>10670</v>
      </c>
      <c r="X55" s="15">
        <f t="shared" si="26"/>
        <v>10670</v>
      </c>
      <c r="Y55" s="15">
        <v>1</v>
      </c>
      <c r="Z55" s="15">
        <f t="shared" si="27"/>
        <v>10670</v>
      </c>
      <c r="AA55" s="15">
        <f t="shared" si="28"/>
        <v>10670</v>
      </c>
      <c r="AB55" s="15">
        <f t="shared" si="29"/>
        <v>0</v>
      </c>
      <c r="AC55" s="15">
        <f t="shared" si="30"/>
        <v>1998.5833333333333</v>
      </c>
      <c r="AD55" s="15">
        <f t="shared" si="31"/>
        <v>2018</v>
      </c>
      <c r="AE55" s="15">
        <f t="shared" si="32"/>
        <v>2008.5833333333333</v>
      </c>
      <c r="AF55" s="15">
        <f t="shared" si="33"/>
        <v>2017</v>
      </c>
      <c r="AG55" s="15">
        <f t="shared" si="34"/>
        <v>-0.08333333333333333</v>
      </c>
    </row>
    <row r="56" spans="1:33" ht="12">
      <c r="A56" s="12"/>
      <c r="B56" s="3">
        <v>26040</v>
      </c>
      <c r="C56" s="14" t="s">
        <v>126</v>
      </c>
      <c r="D56" s="12">
        <v>1998</v>
      </c>
      <c r="E56" s="12">
        <v>10</v>
      </c>
      <c r="F56" s="56">
        <v>0</v>
      </c>
      <c r="H56" s="12" t="s">
        <v>82</v>
      </c>
      <c r="I56" s="57">
        <v>10</v>
      </c>
      <c r="J56" s="23">
        <f t="shared" si="18"/>
        <v>2008</v>
      </c>
      <c r="M56" s="58">
        <v>10804</v>
      </c>
      <c r="O56" s="15">
        <f t="shared" si="19"/>
        <v>10804</v>
      </c>
      <c r="P56" s="15">
        <f t="shared" si="20"/>
        <v>90.03333333333335</v>
      </c>
      <c r="Q56" s="15">
        <f t="shared" si="21"/>
        <v>0</v>
      </c>
      <c r="R56" s="15">
        <f t="shared" si="22"/>
        <v>0</v>
      </c>
      <c r="S56" s="15">
        <f t="shared" si="23"/>
        <v>0</v>
      </c>
      <c r="T56" s="15">
        <v>1</v>
      </c>
      <c r="U56" s="15">
        <f t="shared" si="24"/>
        <v>0</v>
      </c>
      <c r="V56" s="15"/>
      <c r="W56" s="15">
        <f t="shared" si="25"/>
        <v>10804</v>
      </c>
      <c r="X56" s="15">
        <f t="shared" si="26"/>
        <v>10804</v>
      </c>
      <c r="Y56" s="15">
        <v>1</v>
      </c>
      <c r="Z56" s="15">
        <f t="shared" si="27"/>
        <v>10804</v>
      </c>
      <c r="AA56" s="15">
        <f t="shared" si="28"/>
        <v>10804</v>
      </c>
      <c r="AB56" s="15">
        <f t="shared" si="29"/>
        <v>0</v>
      </c>
      <c r="AC56" s="15">
        <f t="shared" si="30"/>
        <v>1998.75</v>
      </c>
      <c r="AD56" s="15">
        <f t="shared" si="31"/>
        <v>2018</v>
      </c>
      <c r="AE56" s="15">
        <f t="shared" si="32"/>
        <v>2008.75</v>
      </c>
      <c r="AF56" s="15">
        <f t="shared" si="33"/>
        <v>2017</v>
      </c>
      <c r="AG56" s="15">
        <f t="shared" si="34"/>
        <v>-0.08333333333333333</v>
      </c>
    </row>
    <row r="57" spans="1:33" ht="12">
      <c r="A57" s="144"/>
      <c r="B57" s="3">
        <v>26041</v>
      </c>
      <c r="C57" s="14" t="s">
        <v>124</v>
      </c>
      <c r="D57" s="12">
        <v>1998</v>
      </c>
      <c r="E57" s="12">
        <v>10</v>
      </c>
      <c r="F57" s="56">
        <v>0</v>
      </c>
      <c r="H57" s="12" t="s">
        <v>82</v>
      </c>
      <c r="I57" s="57">
        <v>10</v>
      </c>
      <c r="J57" s="23">
        <f t="shared" si="18"/>
        <v>2008</v>
      </c>
      <c r="M57" s="58">
        <v>14313</v>
      </c>
      <c r="O57" s="15">
        <f t="shared" si="19"/>
        <v>14313</v>
      </c>
      <c r="P57" s="15">
        <f t="shared" si="20"/>
        <v>119.27499999999999</v>
      </c>
      <c r="Q57" s="15">
        <f t="shared" si="21"/>
        <v>0</v>
      </c>
      <c r="R57" s="15">
        <f t="shared" si="22"/>
        <v>0</v>
      </c>
      <c r="S57" s="15">
        <f t="shared" si="23"/>
        <v>0</v>
      </c>
      <c r="T57" s="15">
        <v>1</v>
      </c>
      <c r="U57" s="15">
        <f t="shared" si="24"/>
        <v>0</v>
      </c>
      <c r="V57" s="15"/>
      <c r="W57" s="15">
        <f t="shared" si="25"/>
        <v>14313</v>
      </c>
      <c r="X57" s="15">
        <f t="shared" si="26"/>
        <v>14313</v>
      </c>
      <c r="Y57" s="15">
        <v>1</v>
      </c>
      <c r="Z57" s="15">
        <f t="shared" si="27"/>
        <v>14313</v>
      </c>
      <c r="AA57" s="15">
        <f t="shared" si="28"/>
        <v>14313</v>
      </c>
      <c r="AB57" s="15">
        <f t="shared" si="29"/>
        <v>0</v>
      </c>
      <c r="AC57" s="15">
        <f t="shared" si="30"/>
        <v>1998.75</v>
      </c>
      <c r="AD57" s="15">
        <f t="shared" si="31"/>
        <v>2018</v>
      </c>
      <c r="AE57" s="15">
        <f t="shared" si="32"/>
        <v>2008.75</v>
      </c>
      <c r="AF57" s="15">
        <f t="shared" si="33"/>
        <v>2017</v>
      </c>
      <c r="AG57" s="15">
        <f t="shared" si="34"/>
        <v>-0.08333333333333333</v>
      </c>
    </row>
    <row r="58" spans="1:33" ht="12">
      <c r="A58" s="144"/>
      <c r="B58" s="3">
        <v>26044</v>
      </c>
      <c r="C58" s="14" t="s">
        <v>130</v>
      </c>
      <c r="D58" s="12">
        <v>1999</v>
      </c>
      <c r="E58" s="12">
        <v>1</v>
      </c>
      <c r="F58" s="56">
        <v>0</v>
      </c>
      <c r="H58" s="12" t="s">
        <v>82</v>
      </c>
      <c r="I58" s="57">
        <v>10</v>
      </c>
      <c r="J58" s="23">
        <f t="shared" si="18"/>
        <v>2009</v>
      </c>
      <c r="M58" s="58">
        <v>9635</v>
      </c>
      <c r="O58" s="15">
        <f t="shared" si="19"/>
        <v>9635</v>
      </c>
      <c r="P58" s="15">
        <f t="shared" si="20"/>
        <v>80.29166666666667</v>
      </c>
      <c r="Q58" s="15">
        <f t="shared" si="21"/>
        <v>0</v>
      </c>
      <c r="R58" s="15">
        <f t="shared" si="22"/>
        <v>0</v>
      </c>
      <c r="S58" s="15">
        <f t="shared" si="23"/>
        <v>0</v>
      </c>
      <c r="T58" s="15">
        <v>1</v>
      </c>
      <c r="U58" s="15">
        <f t="shared" si="24"/>
        <v>0</v>
      </c>
      <c r="V58" s="15"/>
      <c r="W58" s="15">
        <f t="shared" si="25"/>
        <v>9635</v>
      </c>
      <c r="X58" s="15">
        <f t="shared" si="26"/>
        <v>9635</v>
      </c>
      <c r="Y58" s="15">
        <v>1</v>
      </c>
      <c r="Z58" s="15">
        <f t="shared" si="27"/>
        <v>9635</v>
      </c>
      <c r="AA58" s="15">
        <f t="shared" si="28"/>
        <v>9635</v>
      </c>
      <c r="AB58" s="15">
        <f t="shared" si="29"/>
        <v>0</v>
      </c>
      <c r="AC58" s="15">
        <f t="shared" si="30"/>
        <v>1999</v>
      </c>
      <c r="AD58" s="15">
        <f t="shared" si="31"/>
        <v>2018</v>
      </c>
      <c r="AE58" s="15">
        <f t="shared" si="32"/>
        <v>2009</v>
      </c>
      <c r="AF58" s="15">
        <f t="shared" si="33"/>
        <v>2017</v>
      </c>
      <c r="AG58" s="15">
        <f t="shared" si="34"/>
        <v>-0.08333333333333333</v>
      </c>
    </row>
    <row r="59" spans="1:33" ht="12">
      <c r="A59" s="144"/>
      <c r="B59" s="3">
        <v>26045</v>
      </c>
      <c r="C59" s="14" t="s">
        <v>128</v>
      </c>
      <c r="D59" s="12">
        <v>1999</v>
      </c>
      <c r="E59" s="12">
        <v>6</v>
      </c>
      <c r="F59" s="56">
        <v>0</v>
      </c>
      <c r="H59" s="12" t="s">
        <v>82</v>
      </c>
      <c r="I59" s="57">
        <v>10</v>
      </c>
      <c r="J59" s="23">
        <f t="shared" si="18"/>
        <v>2009</v>
      </c>
      <c r="M59" s="58">
        <v>34729</v>
      </c>
      <c r="O59" s="15">
        <f t="shared" si="19"/>
        <v>34729</v>
      </c>
      <c r="P59" s="15">
        <f t="shared" si="20"/>
        <v>289.40833333333336</v>
      </c>
      <c r="Q59" s="15">
        <f t="shared" si="21"/>
        <v>0</v>
      </c>
      <c r="R59" s="15">
        <f t="shared" si="22"/>
        <v>0</v>
      </c>
      <c r="S59" s="15">
        <f t="shared" si="23"/>
        <v>0</v>
      </c>
      <c r="T59" s="15">
        <v>1</v>
      </c>
      <c r="U59" s="15">
        <f t="shared" si="24"/>
        <v>0</v>
      </c>
      <c r="V59" s="15"/>
      <c r="W59" s="15">
        <f t="shared" si="25"/>
        <v>34729</v>
      </c>
      <c r="X59" s="15">
        <f t="shared" si="26"/>
        <v>34729</v>
      </c>
      <c r="Y59" s="15">
        <v>1</v>
      </c>
      <c r="Z59" s="15">
        <f t="shared" si="27"/>
        <v>34729</v>
      </c>
      <c r="AA59" s="15">
        <f t="shared" si="28"/>
        <v>34729</v>
      </c>
      <c r="AB59" s="15">
        <f t="shared" si="29"/>
        <v>0</v>
      </c>
      <c r="AC59" s="15">
        <f t="shared" si="30"/>
        <v>1999.4166666666667</v>
      </c>
      <c r="AD59" s="15">
        <f t="shared" si="31"/>
        <v>2018</v>
      </c>
      <c r="AE59" s="15">
        <f t="shared" si="32"/>
        <v>2009.4166666666667</v>
      </c>
      <c r="AF59" s="15">
        <f t="shared" si="33"/>
        <v>2017</v>
      </c>
      <c r="AG59" s="15">
        <f t="shared" si="34"/>
        <v>-0.08333333333333333</v>
      </c>
    </row>
    <row r="60" spans="1:33" ht="12">
      <c r="A60" s="144"/>
      <c r="B60" s="3">
        <v>26046</v>
      </c>
      <c r="C60" s="14" t="s">
        <v>131</v>
      </c>
      <c r="D60" s="12">
        <v>1999</v>
      </c>
      <c r="E60" s="12">
        <v>9</v>
      </c>
      <c r="F60" s="56">
        <v>0</v>
      </c>
      <c r="H60" s="12" t="s">
        <v>82</v>
      </c>
      <c r="I60" s="57">
        <v>10</v>
      </c>
      <c r="J60" s="23">
        <f t="shared" si="18"/>
        <v>2009</v>
      </c>
      <c r="M60" s="58">
        <v>10735</v>
      </c>
      <c r="O60" s="15">
        <f t="shared" si="19"/>
        <v>10735</v>
      </c>
      <c r="P60" s="15">
        <f t="shared" si="20"/>
        <v>89.45833333333333</v>
      </c>
      <c r="Q60" s="15">
        <f t="shared" si="21"/>
        <v>0</v>
      </c>
      <c r="R60" s="15">
        <f t="shared" si="22"/>
        <v>0</v>
      </c>
      <c r="S60" s="15">
        <f t="shared" si="23"/>
        <v>0</v>
      </c>
      <c r="T60" s="15">
        <v>1</v>
      </c>
      <c r="U60" s="15">
        <f t="shared" si="24"/>
        <v>0</v>
      </c>
      <c r="V60" s="15"/>
      <c r="W60" s="15">
        <f t="shared" si="25"/>
        <v>10735</v>
      </c>
      <c r="X60" s="15">
        <f t="shared" si="26"/>
        <v>10735</v>
      </c>
      <c r="Y60" s="15">
        <v>1</v>
      </c>
      <c r="Z60" s="15">
        <f t="shared" si="27"/>
        <v>10735</v>
      </c>
      <c r="AA60" s="15">
        <f t="shared" si="28"/>
        <v>10735</v>
      </c>
      <c r="AB60" s="15">
        <f t="shared" si="29"/>
        <v>0</v>
      </c>
      <c r="AC60" s="15">
        <f t="shared" si="30"/>
        <v>1999.6666666666667</v>
      </c>
      <c r="AD60" s="15">
        <f t="shared" si="31"/>
        <v>2018</v>
      </c>
      <c r="AE60" s="15">
        <f t="shared" si="32"/>
        <v>2009.6666666666667</v>
      </c>
      <c r="AF60" s="15">
        <f t="shared" si="33"/>
        <v>2017</v>
      </c>
      <c r="AG60" s="15">
        <f t="shared" si="34"/>
        <v>-0.08333333333333333</v>
      </c>
    </row>
    <row r="61" spans="1:33" ht="12">
      <c r="A61" s="144"/>
      <c r="B61" s="3">
        <v>26047</v>
      </c>
      <c r="C61" s="14" t="s">
        <v>129</v>
      </c>
      <c r="D61" s="12">
        <v>1999</v>
      </c>
      <c r="E61" s="12">
        <v>11</v>
      </c>
      <c r="F61" s="56">
        <v>0</v>
      </c>
      <c r="H61" s="12" t="s">
        <v>82</v>
      </c>
      <c r="I61" s="57">
        <v>10</v>
      </c>
      <c r="J61" s="23">
        <f t="shared" si="18"/>
        <v>2009</v>
      </c>
      <c r="M61" s="58">
        <v>9668</v>
      </c>
      <c r="O61" s="15">
        <f t="shared" si="19"/>
        <v>9668</v>
      </c>
      <c r="P61" s="15">
        <f t="shared" si="20"/>
        <v>80.56666666666666</v>
      </c>
      <c r="Q61" s="15">
        <f t="shared" si="21"/>
        <v>0</v>
      </c>
      <c r="R61" s="15">
        <f t="shared" si="22"/>
        <v>0</v>
      </c>
      <c r="S61" s="15">
        <f t="shared" si="23"/>
        <v>0</v>
      </c>
      <c r="T61" s="15">
        <v>1</v>
      </c>
      <c r="U61" s="15">
        <f t="shared" si="24"/>
        <v>0</v>
      </c>
      <c r="V61" s="15"/>
      <c r="W61" s="15">
        <f t="shared" si="25"/>
        <v>9668</v>
      </c>
      <c r="X61" s="15">
        <f t="shared" si="26"/>
        <v>9668</v>
      </c>
      <c r="Y61" s="15">
        <v>1</v>
      </c>
      <c r="Z61" s="15">
        <f t="shared" si="27"/>
        <v>9668</v>
      </c>
      <c r="AA61" s="15">
        <f t="shared" si="28"/>
        <v>9668</v>
      </c>
      <c r="AB61" s="15">
        <f t="shared" si="29"/>
        <v>0</v>
      </c>
      <c r="AC61" s="15">
        <f t="shared" si="30"/>
        <v>1999.8333333333333</v>
      </c>
      <c r="AD61" s="15">
        <f t="shared" si="31"/>
        <v>2018</v>
      </c>
      <c r="AE61" s="15">
        <f t="shared" si="32"/>
        <v>2009.8333333333333</v>
      </c>
      <c r="AF61" s="15">
        <f t="shared" si="33"/>
        <v>2017</v>
      </c>
      <c r="AG61" s="15">
        <f t="shared" si="34"/>
        <v>-0.08333333333333333</v>
      </c>
    </row>
    <row r="62" spans="1:33" ht="12">
      <c r="A62" s="144"/>
      <c r="B62" s="3">
        <v>3</v>
      </c>
      <c r="C62" s="143" t="s">
        <v>126</v>
      </c>
      <c r="D62" s="35">
        <v>2000</v>
      </c>
      <c r="E62" s="35">
        <v>9</v>
      </c>
      <c r="F62" s="56">
        <v>0</v>
      </c>
      <c r="H62" s="12" t="s">
        <v>82</v>
      </c>
      <c r="I62" s="57">
        <v>10</v>
      </c>
      <c r="J62" s="23">
        <f t="shared" si="18"/>
        <v>2010</v>
      </c>
      <c r="M62" s="40">
        <v>10735</v>
      </c>
      <c r="O62" s="15">
        <f t="shared" si="19"/>
        <v>10735</v>
      </c>
      <c r="P62" s="15">
        <f t="shared" si="20"/>
        <v>89.45833333333333</v>
      </c>
      <c r="Q62" s="15">
        <f t="shared" si="21"/>
        <v>0</v>
      </c>
      <c r="R62" s="15">
        <f t="shared" si="22"/>
        <v>0</v>
      </c>
      <c r="S62" s="15">
        <f t="shared" si="23"/>
        <v>0</v>
      </c>
      <c r="T62" s="15">
        <v>1</v>
      </c>
      <c r="U62" s="15">
        <f t="shared" si="24"/>
        <v>0</v>
      </c>
      <c r="V62" s="15"/>
      <c r="W62" s="15">
        <f t="shared" si="25"/>
        <v>10735</v>
      </c>
      <c r="X62" s="15">
        <f t="shared" si="26"/>
        <v>10735</v>
      </c>
      <c r="Y62" s="15">
        <v>1</v>
      </c>
      <c r="Z62" s="15">
        <f t="shared" si="27"/>
        <v>10735</v>
      </c>
      <c r="AA62" s="15">
        <f t="shared" si="28"/>
        <v>10735</v>
      </c>
      <c r="AB62" s="15">
        <f t="shared" si="29"/>
        <v>0</v>
      </c>
      <c r="AC62" s="15">
        <f t="shared" si="30"/>
        <v>2000.6666666666667</v>
      </c>
      <c r="AD62" s="15">
        <f t="shared" si="31"/>
        <v>2018</v>
      </c>
      <c r="AE62" s="15">
        <f t="shared" si="32"/>
        <v>2010.6666666666667</v>
      </c>
      <c r="AF62" s="15">
        <f t="shared" si="33"/>
        <v>2017</v>
      </c>
      <c r="AG62" s="15">
        <f t="shared" si="34"/>
        <v>-0.08333333333333333</v>
      </c>
    </row>
    <row r="63" spans="1:33" ht="12">
      <c r="A63" s="144"/>
      <c r="B63" s="3">
        <v>2</v>
      </c>
      <c r="C63" s="143" t="s">
        <v>132</v>
      </c>
      <c r="D63" s="12">
        <v>2000</v>
      </c>
      <c r="E63" s="12">
        <v>6</v>
      </c>
      <c r="F63" s="56">
        <v>0</v>
      </c>
      <c r="H63" s="12" t="s">
        <v>82</v>
      </c>
      <c r="I63" s="57">
        <v>10</v>
      </c>
      <c r="J63" s="23">
        <f t="shared" si="18"/>
        <v>2010</v>
      </c>
      <c r="M63" s="58">
        <v>8873</v>
      </c>
      <c r="O63" s="15">
        <f t="shared" si="19"/>
        <v>8873</v>
      </c>
      <c r="P63" s="15">
        <f t="shared" si="20"/>
        <v>73.94166666666666</v>
      </c>
      <c r="Q63" s="15">
        <f t="shared" si="21"/>
        <v>0</v>
      </c>
      <c r="R63" s="15">
        <f t="shared" si="22"/>
        <v>0</v>
      </c>
      <c r="S63" s="15">
        <f t="shared" si="23"/>
        <v>0</v>
      </c>
      <c r="T63" s="15">
        <v>1</v>
      </c>
      <c r="U63" s="15">
        <f t="shared" si="24"/>
        <v>0</v>
      </c>
      <c r="V63" s="15"/>
      <c r="W63" s="15">
        <f t="shared" si="25"/>
        <v>8873</v>
      </c>
      <c r="X63" s="15">
        <f t="shared" si="26"/>
        <v>8873</v>
      </c>
      <c r="Y63" s="15">
        <v>1</v>
      </c>
      <c r="Z63" s="15">
        <f t="shared" si="27"/>
        <v>8873</v>
      </c>
      <c r="AA63" s="15">
        <f t="shared" si="28"/>
        <v>8873</v>
      </c>
      <c r="AB63" s="15">
        <f t="shared" si="29"/>
        <v>0</v>
      </c>
      <c r="AC63" s="15">
        <f t="shared" si="30"/>
        <v>2000.4166666666667</v>
      </c>
      <c r="AD63" s="15">
        <f t="shared" si="31"/>
        <v>2018</v>
      </c>
      <c r="AE63" s="15">
        <f t="shared" si="32"/>
        <v>2010.4166666666667</v>
      </c>
      <c r="AF63" s="15">
        <f t="shared" si="33"/>
        <v>2017</v>
      </c>
      <c r="AG63" s="15">
        <f t="shared" si="34"/>
        <v>-0.08333333333333333</v>
      </c>
    </row>
    <row r="64" spans="1:33" ht="12">
      <c r="A64" s="144"/>
      <c r="B64" s="3">
        <v>3</v>
      </c>
      <c r="C64" s="143" t="s">
        <v>133</v>
      </c>
      <c r="D64" s="12">
        <v>2000</v>
      </c>
      <c r="E64" s="12">
        <v>9</v>
      </c>
      <c r="F64" s="56">
        <v>0</v>
      </c>
      <c r="H64" s="12" t="s">
        <v>82</v>
      </c>
      <c r="I64" s="57">
        <v>10</v>
      </c>
      <c r="J64" s="23">
        <f t="shared" si="18"/>
        <v>2010</v>
      </c>
      <c r="M64" s="58">
        <v>10963</v>
      </c>
      <c r="O64" s="15">
        <f t="shared" si="19"/>
        <v>10963</v>
      </c>
      <c r="P64" s="15">
        <f t="shared" si="20"/>
        <v>91.35833333333333</v>
      </c>
      <c r="Q64" s="15">
        <f t="shared" si="21"/>
        <v>0</v>
      </c>
      <c r="R64" s="15">
        <f t="shared" si="22"/>
        <v>0</v>
      </c>
      <c r="S64" s="15">
        <f t="shared" si="23"/>
        <v>0</v>
      </c>
      <c r="T64" s="15">
        <v>1</v>
      </c>
      <c r="U64" s="15">
        <f t="shared" si="24"/>
        <v>0</v>
      </c>
      <c r="V64" s="15"/>
      <c r="W64" s="15">
        <f t="shared" si="25"/>
        <v>10963</v>
      </c>
      <c r="X64" s="15">
        <f t="shared" si="26"/>
        <v>10963</v>
      </c>
      <c r="Y64" s="15">
        <v>1</v>
      </c>
      <c r="Z64" s="15">
        <f t="shared" si="27"/>
        <v>10963</v>
      </c>
      <c r="AA64" s="15">
        <f t="shared" si="28"/>
        <v>10963</v>
      </c>
      <c r="AB64" s="15">
        <f t="shared" si="29"/>
        <v>0</v>
      </c>
      <c r="AC64" s="15">
        <f t="shared" si="30"/>
        <v>2000.6666666666667</v>
      </c>
      <c r="AD64" s="15">
        <f t="shared" si="31"/>
        <v>2018</v>
      </c>
      <c r="AE64" s="15">
        <f t="shared" si="32"/>
        <v>2010.6666666666667</v>
      </c>
      <c r="AF64" s="15">
        <f t="shared" si="33"/>
        <v>2017</v>
      </c>
      <c r="AG64" s="15">
        <f t="shared" si="34"/>
        <v>-0.08333333333333333</v>
      </c>
    </row>
    <row r="65" spans="1:33" ht="12">
      <c r="A65" s="144"/>
      <c r="B65" s="3">
        <v>9</v>
      </c>
      <c r="C65" s="143" t="s">
        <v>134</v>
      </c>
      <c r="D65" s="12">
        <v>2001</v>
      </c>
      <c r="E65" s="12">
        <v>5</v>
      </c>
      <c r="F65" s="56">
        <v>0</v>
      </c>
      <c r="H65" s="12" t="s">
        <v>82</v>
      </c>
      <c r="I65" s="57">
        <v>10</v>
      </c>
      <c r="J65" s="23">
        <f t="shared" si="18"/>
        <v>2011</v>
      </c>
      <c r="M65" s="10">
        <v>38995</v>
      </c>
      <c r="O65" s="15">
        <f t="shared" si="19"/>
        <v>38995</v>
      </c>
      <c r="P65" s="15">
        <f t="shared" si="20"/>
        <v>324.9583333333333</v>
      </c>
      <c r="Q65" s="15">
        <f t="shared" si="21"/>
        <v>0</v>
      </c>
      <c r="R65" s="15">
        <f t="shared" si="22"/>
        <v>0</v>
      </c>
      <c r="S65" s="15">
        <f t="shared" si="23"/>
        <v>0</v>
      </c>
      <c r="T65" s="15">
        <v>1</v>
      </c>
      <c r="U65" s="15">
        <f t="shared" si="24"/>
        <v>0</v>
      </c>
      <c r="V65" s="15"/>
      <c r="W65" s="15">
        <f t="shared" si="25"/>
        <v>38995</v>
      </c>
      <c r="X65" s="15">
        <f t="shared" si="26"/>
        <v>38995</v>
      </c>
      <c r="Y65" s="15">
        <v>1</v>
      </c>
      <c r="Z65" s="15">
        <f t="shared" si="27"/>
        <v>38995</v>
      </c>
      <c r="AA65" s="15">
        <f t="shared" si="28"/>
        <v>38995</v>
      </c>
      <c r="AB65" s="15">
        <f t="shared" si="29"/>
        <v>0</v>
      </c>
      <c r="AC65" s="15">
        <f t="shared" si="30"/>
        <v>2001.3333333333333</v>
      </c>
      <c r="AD65" s="15">
        <f t="shared" si="31"/>
        <v>2018</v>
      </c>
      <c r="AE65" s="15">
        <f t="shared" si="32"/>
        <v>2011.3333333333333</v>
      </c>
      <c r="AF65" s="15">
        <f t="shared" si="33"/>
        <v>2017</v>
      </c>
      <c r="AG65" s="15">
        <f t="shared" si="34"/>
        <v>-0.08333333333333333</v>
      </c>
    </row>
    <row r="66" spans="1:33" ht="12">
      <c r="A66" s="144"/>
      <c r="B66" s="3">
        <v>6</v>
      </c>
      <c r="C66" s="143" t="s">
        <v>135</v>
      </c>
      <c r="D66" s="12">
        <v>2001</v>
      </c>
      <c r="E66" s="12">
        <v>8</v>
      </c>
      <c r="F66" s="56">
        <v>0</v>
      </c>
      <c r="H66" s="12" t="s">
        <v>82</v>
      </c>
      <c r="I66" s="57">
        <v>10</v>
      </c>
      <c r="J66" s="23">
        <f t="shared" si="18"/>
        <v>2011</v>
      </c>
      <c r="M66" s="10">
        <v>21967</v>
      </c>
      <c r="O66" s="15">
        <f t="shared" si="19"/>
        <v>21967</v>
      </c>
      <c r="P66" s="15">
        <f t="shared" si="20"/>
        <v>183.0583333333333</v>
      </c>
      <c r="Q66" s="15">
        <f t="shared" si="21"/>
        <v>0</v>
      </c>
      <c r="R66" s="15">
        <f t="shared" si="22"/>
        <v>0</v>
      </c>
      <c r="S66" s="15">
        <f t="shared" si="23"/>
        <v>0</v>
      </c>
      <c r="T66" s="15">
        <v>1</v>
      </c>
      <c r="U66" s="15">
        <f t="shared" si="24"/>
        <v>0</v>
      </c>
      <c r="V66" s="15"/>
      <c r="W66" s="15">
        <f t="shared" si="25"/>
        <v>21967</v>
      </c>
      <c r="X66" s="15">
        <f t="shared" si="26"/>
        <v>21967</v>
      </c>
      <c r="Y66" s="15">
        <v>1</v>
      </c>
      <c r="Z66" s="15">
        <f t="shared" si="27"/>
        <v>21967</v>
      </c>
      <c r="AA66" s="15">
        <f t="shared" si="28"/>
        <v>21967</v>
      </c>
      <c r="AB66" s="15">
        <f t="shared" si="29"/>
        <v>0</v>
      </c>
      <c r="AC66" s="15">
        <f t="shared" si="30"/>
        <v>2001.5833333333333</v>
      </c>
      <c r="AD66" s="15">
        <f t="shared" si="31"/>
        <v>2018</v>
      </c>
      <c r="AE66" s="15">
        <f t="shared" si="32"/>
        <v>2011.5833333333333</v>
      </c>
      <c r="AF66" s="15">
        <f t="shared" si="33"/>
        <v>2017</v>
      </c>
      <c r="AG66" s="15">
        <f t="shared" si="34"/>
        <v>-0.08333333333333333</v>
      </c>
    </row>
    <row r="67" spans="1:33" ht="12">
      <c r="A67" s="144"/>
      <c r="B67" s="3">
        <v>3</v>
      </c>
      <c r="C67" s="143" t="s">
        <v>133</v>
      </c>
      <c r="D67" s="12">
        <v>2003</v>
      </c>
      <c r="E67" s="12">
        <v>1</v>
      </c>
      <c r="F67" s="56">
        <v>0</v>
      </c>
      <c r="H67" s="12" t="s">
        <v>82</v>
      </c>
      <c r="I67" s="57">
        <v>10</v>
      </c>
      <c r="J67" s="23">
        <f t="shared" si="18"/>
        <v>2013</v>
      </c>
      <c r="M67" s="58">
        <v>10113</v>
      </c>
      <c r="O67" s="15">
        <f t="shared" si="19"/>
        <v>10113</v>
      </c>
      <c r="P67" s="15">
        <f t="shared" si="20"/>
        <v>84.27499999999999</v>
      </c>
      <c r="Q67" s="15">
        <f t="shared" si="21"/>
        <v>0</v>
      </c>
      <c r="R67" s="15">
        <f t="shared" si="22"/>
        <v>0</v>
      </c>
      <c r="S67" s="15">
        <f t="shared" si="23"/>
        <v>0</v>
      </c>
      <c r="T67" s="15">
        <v>1</v>
      </c>
      <c r="U67" s="15">
        <f t="shared" si="24"/>
        <v>0</v>
      </c>
      <c r="V67" s="15"/>
      <c r="W67" s="15">
        <f t="shared" si="25"/>
        <v>10113</v>
      </c>
      <c r="X67" s="15">
        <f t="shared" si="26"/>
        <v>10113</v>
      </c>
      <c r="Y67" s="15">
        <v>1</v>
      </c>
      <c r="Z67" s="15">
        <f t="shared" si="27"/>
        <v>10113</v>
      </c>
      <c r="AA67" s="15">
        <f t="shared" si="28"/>
        <v>10113</v>
      </c>
      <c r="AB67" s="15">
        <f t="shared" si="29"/>
        <v>0</v>
      </c>
      <c r="AC67" s="15">
        <f t="shared" si="30"/>
        <v>2003</v>
      </c>
      <c r="AD67" s="15">
        <f t="shared" si="31"/>
        <v>2018</v>
      </c>
      <c r="AE67" s="15">
        <f t="shared" si="32"/>
        <v>2013</v>
      </c>
      <c r="AF67" s="15">
        <f t="shared" si="33"/>
        <v>2017</v>
      </c>
      <c r="AG67" s="15">
        <f t="shared" si="34"/>
        <v>-0.08333333333333333</v>
      </c>
    </row>
    <row r="68" spans="1:33" ht="12">
      <c r="A68" s="144"/>
      <c r="B68" s="3">
        <v>3</v>
      </c>
      <c r="C68" s="143" t="s">
        <v>136</v>
      </c>
      <c r="D68" s="12">
        <v>2005</v>
      </c>
      <c r="E68" s="12">
        <v>7</v>
      </c>
      <c r="F68" s="56">
        <v>0</v>
      </c>
      <c r="H68" s="12" t="s">
        <v>82</v>
      </c>
      <c r="I68" s="57">
        <v>10</v>
      </c>
      <c r="J68" s="23">
        <f t="shared" si="18"/>
        <v>2015</v>
      </c>
      <c r="M68" s="58">
        <v>17054.4</v>
      </c>
      <c r="O68" s="15">
        <f t="shared" si="19"/>
        <v>17054.4</v>
      </c>
      <c r="P68" s="15">
        <f t="shared" si="20"/>
        <v>142.12</v>
      </c>
      <c r="Q68" s="15">
        <f t="shared" si="21"/>
        <v>0</v>
      </c>
      <c r="R68" s="15">
        <f t="shared" si="22"/>
        <v>0</v>
      </c>
      <c r="S68" s="15">
        <f t="shared" si="23"/>
        <v>0</v>
      </c>
      <c r="T68" s="15">
        <v>1</v>
      </c>
      <c r="U68" s="15">
        <f t="shared" si="24"/>
        <v>0</v>
      </c>
      <c r="V68" s="15"/>
      <c r="W68" s="15">
        <f t="shared" si="25"/>
        <v>17054.4</v>
      </c>
      <c r="X68" s="15">
        <f t="shared" si="26"/>
        <v>17054.4</v>
      </c>
      <c r="Y68" s="15">
        <v>1</v>
      </c>
      <c r="Z68" s="15">
        <f t="shared" si="27"/>
        <v>17054.4</v>
      </c>
      <c r="AA68" s="15">
        <f t="shared" si="28"/>
        <v>17054.4</v>
      </c>
      <c r="AB68" s="15">
        <f t="shared" si="29"/>
        <v>0</v>
      </c>
      <c r="AC68" s="15">
        <f t="shared" si="30"/>
        <v>2005.5</v>
      </c>
      <c r="AD68" s="15">
        <f t="shared" si="31"/>
        <v>2018</v>
      </c>
      <c r="AE68" s="15">
        <f t="shared" si="32"/>
        <v>2015.5</v>
      </c>
      <c r="AF68" s="15">
        <f t="shared" si="33"/>
        <v>2017</v>
      </c>
      <c r="AG68" s="15">
        <f t="shared" si="34"/>
        <v>-0.08333333333333333</v>
      </c>
    </row>
    <row r="69" spans="1:33" ht="12">
      <c r="A69" s="144"/>
      <c r="B69" s="3">
        <v>3</v>
      </c>
      <c r="C69" s="143" t="s">
        <v>137</v>
      </c>
      <c r="D69" s="12">
        <v>2006</v>
      </c>
      <c r="E69" s="12">
        <v>9</v>
      </c>
      <c r="F69" s="56">
        <v>0</v>
      </c>
      <c r="H69" s="12" t="s">
        <v>82</v>
      </c>
      <c r="I69" s="57">
        <v>10</v>
      </c>
      <c r="J69" s="23">
        <f t="shared" si="18"/>
        <v>2016</v>
      </c>
      <c r="M69" s="58">
        <v>15365.34</v>
      </c>
      <c r="O69" s="15">
        <f t="shared" si="19"/>
        <v>15365.34</v>
      </c>
      <c r="P69" s="15">
        <f t="shared" si="20"/>
        <v>128.0445</v>
      </c>
      <c r="Q69" s="15">
        <f t="shared" si="21"/>
        <v>0</v>
      </c>
      <c r="R69" s="15">
        <f t="shared" si="22"/>
        <v>0</v>
      </c>
      <c r="S69" s="15">
        <f t="shared" si="23"/>
        <v>0</v>
      </c>
      <c r="T69" s="15">
        <v>1</v>
      </c>
      <c r="U69" s="15">
        <f t="shared" si="24"/>
        <v>0</v>
      </c>
      <c r="V69" s="15"/>
      <c r="W69" s="15">
        <f t="shared" si="25"/>
        <v>15365.34</v>
      </c>
      <c r="X69" s="15">
        <f t="shared" si="26"/>
        <v>15365.34</v>
      </c>
      <c r="Y69" s="15">
        <v>1</v>
      </c>
      <c r="Z69" s="15">
        <f t="shared" si="27"/>
        <v>15365.34</v>
      </c>
      <c r="AA69" s="15">
        <f t="shared" si="28"/>
        <v>15365.34</v>
      </c>
      <c r="AB69" s="15">
        <f t="shared" si="29"/>
        <v>0</v>
      </c>
      <c r="AC69" s="15">
        <f t="shared" si="30"/>
        <v>2006.6666666666667</v>
      </c>
      <c r="AD69" s="15">
        <f t="shared" si="31"/>
        <v>2018</v>
      </c>
      <c r="AE69" s="15">
        <f t="shared" si="32"/>
        <v>2016.6666666666667</v>
      </c>
      <c r="AF69" s="15">
        <f t="shared" si="33"/>
        <v>2017</v>
      </c>
      <c r="AG69" s="15">
        <f t="shared" si="34"/>
        <v>-0.08333333333333333</v>
      </c>
    </row>
    <row r="70" spans="1:33" ht="12">
      <c r="A70" s="144"/>
      <c r="B70" s="3">
        <v>20</v>
      </c>
      <c r="C70" s="143" t="s">
        <v>137</v>
      </c>
      <c r="D70" s="12">
        <v>2006</v>
      </c>
      <c r="E70" s="12">
        <v>11</v>
      </c>
      <c r="F70" s="56">
        <v>0</v>
      </c>
      <c r="H70" s="12" t="s">
        <v>82</v>
      </c>
      <c r="I70" s="57">
        <v>10</v>
      </c>
      <c r="J70" s="23">
        <f t="shared" si="18"/>
        <v>2016</v>
      </c>
      <c r="M70" s="58">
        <v>99878.4</v>
      </c>
      <c r="O70" s="15">
        <f t="shared" si="19"/>
        <v>99878.4</v>
      </c>
      <c r="P70" s="15">
        <f t="shared" si="20"/>
        <v>832.32</v>
      </c>
      <c r="Q70" s="15">
        <f t="shared" si="21"/>
        <v>0</v>
      </c>
      <c r="R70" s="15">
        <f t="shared" si="22"/>
        <v>0</v>
      </c>
      <c r="S70" s="15">
        <f t="shared" si="23"/>
        <v>0</v>
      </c>
      <c r="T70" s="15">
        <v>1</v>
      </c>
      <c r="U70" s="15">
        <f t="shared" si="24"/>
        <v>0</v>
      </c>
      <c r="V70" s="15"/>
      <c r="W70" s="15">
        <f t="shared" si="25"/>
        <v>99878.4</v>
      </c>
      <c r="X70" s="15">
        <f t="shared" si="26"/>
        <v>99878.4</v>
      </c>
      <c r="Y70" s="15">
        <v>1</v>
      </c>
      <c r="Z70" s="15">
        <f t="shared" si="27"/>
        <v>99878.4</v>
      </c>
      <c r="AA70" s="15">
        <f t="shared" si="28"/>
        <v>99878.4</v>
      </c>
      <c r="AB70" s="15">
        <f t="shared" si="29"/>
        <v>0</v>
      </c>
      <c r="AC70" s="15">
        <f t="shared" si="30"/>
        <v>2006.8333333333333</v>
      </c>
      <c r="AD70" s="15">
        <f t="shared" si="31"/>
        <v>2018</v>
      </c>
      <c r="AE70" s="15">
        <f t="shared" si="32"/>
        <v>2016.8333333333333</v>
      </c>
      <c r="AF70" s="15">
        <f t="shared" si="33"/>
        <v>2017</v>
      </c>
      <c r="AG70" s="15">
        <f t="shared" si="34"/>
        <v>-0.08333333333333333</v>
      </c>
    </row>
    <row r="71" spans="1:33" ht="12">
      <c r="A71" s="144"/>
      <c r="B71" s="3">
        <v>15</v>
      </c>
      <c r="C71" s="143" t="s">
        <v>137</v>
      </c>
      <c r="D71" s="12">
        <v>2006</v>
      </c>
      <c r="E71" s="12">
        <v>11</v>
      </c>
      <c r="F71" s="56">
        <v>0</v>
      </c>
      <c r="H71" s="12" t="s">
        <v>82</v>
      </c>
      <c r="I71" s="57">
        <v>10</v>
      </c>
      <c r="J71" s="23">
        <f t="shared" si="18"/>
        <v>2016</v>
      </c>
      <c r="M71" s="58">
        <v>74908.8</v>
      </c>
      <c r="O71" s="15">
        <f t="shared" si="19"/>
        <v>74908.8</v>
      </c>
      <c r="P71" s="15">
        <f t="shared" si="20"/>
        <v>624.24</v>
      </c>
      <c r="Q71" s="15">
        <f t="shared" si="21"/>
        <v>0</v>
      </c>
      <c r="R71" s="15">
        <f t="shared" si="22"/>
        <v>0</v>
      </c>
      <c r="S71" s="15">
        <f t="shared" si="23"/>
        <v>0</v>
      </c>
      <c r="T71" s="15">
        <v>1</v>
      </c>
      <c r="U71" s="15">
        <f t="shared" si="24"/>
        <v>0</v>
      </c>
      <c r="V71" s="15"/>
      <c r="W71" s="15">
        <f t="shared" si="25"/>
        <v>74908.8</v>
      </c>
      <c r="X71" s="15">
        <f t="shared" si="26"/>
        <v>74908.8</v>
      </c>
      <c r="Y71" s="15">
        <v>1</v>
      </c>
      <c r="Z71" s="15">
        <f t="shared" si="27"/>
        <v>74908.8</v>
      </c>
      <c r="AA71" s="15">
        <f t="shared" si="28"/>
        <v>74908.8</v>
      </c>
      <c r="AB71" s="15">
        <f t="shared" si="29"/>
        <v>0</v>
      </c>
      <c r="AC71" s="15">
        <f t="shared" si="30"/>
        <v>2006.8333333333333</v>
      </c>
      <c r="AD71" s="15">
        <f t="shared" si="31"/>
        <v>2018</v>
      </c>
      <c r="AE71" s="15">
        <f t="shared" si="32"/>
        <v>2016.8333333333333</v>
      </c>
      <c r="AF71" s="15">
        <f t="shared" si="33"/>
        <v>2017</v>
      </c>
      <c r="AG71" s="15">
        <f t="shared" si="34"/>
        <v>-0.08333333333333333</v>
      </c>
    </row>
    <row r="72" spans="1:33" ht="12">
      <c r="A72" s="144"/>
      <c r="B72" s="3">
        <v>20</v>
      </c>
      <c r="C72" s="143" t="s">
        <v>137</v>
      </c>
      <c r="D72" s="12">
        <v>2007</v>
      </c>
      <c r="E72" s="12">
        <v>8</v>
      </c>
      <c r="F72" s="56">
        <v>0</v>
      </c>
      <c r="H72" s="12" t="s">
        <v>82</v>
      </c>
      <c r="I72" s="57">
        <v>10</v>
      </c>
      <c r="J72" s="23">
        <f t="shared" si="18"/>
        <v>2017</v>
      </c>
      <c r="M72" s="58">
        <f>4998.51*20</f>
        <v>99970.20000000001</v>
      </c>
      <c r="O72" s="15">
        <f t="shared" si="19"/>
        <v>99970.20000000001</v>
      </c>
      <c r="P72" s="15">
        <f t="shared" si="20"/>
        <v>833.085</v>
      </c>
      <c r="Q72" s="15">
        <f t="shared" si="21"/>
        <v>5831.594999999243</v>
      </c>
      <c r="R72" s="15">
        <f t="shared" si="22"/>
        <v>0</v>
      </c>
      <c r="S72" s="15">
        <f t="shared" si="23"/>
        <v>5831.594999999243</v>
      </c>
      <c r="T72" s="15">
        <v>1</v>
      </c>
      <c r="U72" s="15">
        <f t="shared" si="24"/>
        <v>5831.594999999243</v>
      </c>
      <c r="V72" s="15"/>
      <c r="W72" s="15">
        <f t="shared" si="25"/>
        <v>94138.60500000077</v>
      </c>
      <c r="X72" s="15">
        <f t="shared" si="26"/>
        <v>94138.60500000077</v>
      </c>
      <c r="Y72" s="15">
        <v>1</v>
      </c>
      <c r="Z72" s="15">
        <f t="shared" si="27"/>
        <v>94138.60500000077</v>
      </c>
      <c r="AA72" s="15">
        <f t="shared" si="28"/>
        <v>99970.20000000001</v>
      </c>
      <c r="AB72" s="15">
        <f t="shared" si="29"/>
        <v>2915.7974999996222</v>
      </c>
      <c r="AC72" s="15">
        <f t="shared" si="30"/>
        <v>2007.5833333333333</v>
      </c>
      <c r="AD72" s="15">
        <f t="shared" si="31"/>
        <v>2018</v>
      </c>
      <c r="AE72" s="15">
        <f t="shared" si="32"/>
        <v>2017.5833333333333</v>
      </c>
      <c r="AF72" s="15">
        <f t="shared" si="33"/>
        <v>2017</v>
      </c>
      <c r="AG72" s="15">
        <f t="shared" si="34"/>
        <v>-0.08333333333333333</v>
      </c>
    </row>
    <row r="73" spans="1:33" ht="12">
      <c r="A73" s="144"/>
      <c r="B73" s="3">
        <v>2</v>
      </c>
      <c r="C73" s="143" t="s">
        <v>138</v>
      </c>
      <c r="D73" s="12">
        <v>2011</v>
      </c>
      <c r="E73" s="12">
        <v>8</v>
      </c>
      <c r="F73" s="56">
        <v>0</v>
      </c>
      <c r="H73" s="12" t="s">
        <v>82</v>
      </c>
      <c r="I73" s="57">
        <v>10</v>
      </c>
      <c r="J73" s="23">
        <f t="shared" si="18"/>
        <v>2021</v>
      </c>
      <c r="M73" s="58">
        <v>14039.69</v>
      </c>
      <c r="O73" s="15">
        <f t="shared" si="19"/>
        <v>14039.69</v>
      </c>
      <c r="P73" s="15">
        <f t="shared" si="20"/>
        <v>116.99741666666667</v>
      </c>
      <c r="Q73" s="15">
        <f t="shared" si="21"/>
        <v>1403.969</v>
      </c>
      <c r="R73" s="15">
        <f t="shared" si="22"/>
        <v>0</v>
      </c>
      <c r="S73" s="15">
        <f t="shared" si="23"/>
        <v>1403.969</v>
      </c>
      <c r="T73" s="15">
        <v>1</v>
      </c>
      <c r="U73" s="15">
        <f t="shared" si="24"/>
        <v>1403.969</v>
      </c>
      <c r="V73" s="15"/>
      <c r="W73" s="15">
        <f t="shared" si="25"/>
        <v>7604.83208333344</v>
      </c>
      <c r="X73" s="15">
        <f t="shared" si="26"/>
        <v>7604.83208333344</v>
      </c>
      <c r="Y73" s="15">
        <v>1</v>
      </c>
      <c r="Z73" s="15">
        <f t="shared" si="27"/>
        <v>7604.83208333344</v>
      </c>
      <c r="AA73" s="15">
        <f t="shared" si="28"/>
        <v>9008.801083333441</v>
      </c>
      <c r="AB73" s="15">
        <f t="shared" si="29"/>
        <v>5732.87341666656</v>
      </c>
      <c r="AC73" s="15">
        <f t="shared" si="30"/>
        <v>2011.5833333333333</v>
      </c>
      <c r="AD73" s="15">
        <f t="shared" si="31"/>
        <v>2018</v>
      </c>
      <c r="AE73" s="15">
        <f t="shared" si="32"/>
        <v>2021.5833333333333</v>
      </c>
      <c r="AF73" s="15">
        <f t="shared" si="33"/>
        <v>2017</v>
      </c>
      <c r="AG73" s="15">
        <f t="shared" si="34"/>
        <v>-0.08333333333333333</v>
      </c>
    </row>
    <row r="74" spans="1:33" ht="12">
      <c r="A74" s="144"/>
      <c r="B74" s="3">
        <v>4</v>
      </c>
      <c r="C74" s="143" t="s">
        <v>139</v>
      </c>
      <c r="D74" s="12">
        <v>2011</v>
      </c>
      <c r="E74" s="12">
        <v>8</v>
      </c>
      <c r="F74" s="56">
        <v>0</v>
      </c>
      <c r="H74" s="12" t="s">
        <v>82</v>
      </c>
      <c r="I74" s="57">
        <v>10</v>
      </c>
      <c r="J74" s="23">
        <f t="shared" si="18"/>
        <v>2021</v>
      </c>
      <c r="M74" s="58">
        <f>6173.07+18896.41</f>
        <v>25069.48</v>
      </c>
      <c r="O74" s="15">
        <f t="shared" si="19"/>
        <v>25069.48</v>
      </c>
      <c r="P74" s="15">
        <f t="shared" si="20"/>
        <v>208.91233333333332</v>
      </c>
      <c r="Q74" s="15">
        <f t="shared" si="21"/>
        <v>2506.948</v>
      </c>
      <c r="R74" s="15">
        <f t="shared" si="22"/>
        <v>0</v>
      </c>
      <c r="S74" s="15">
        <f t="shared" si="23"/>
        <v>2506.948</v>
      </c>
      <c r="T74" s="15">
        <v>1</v>
      </c>
      <c r="U74" s="15">
        <f t="shared" si="24"/>
        <v>2506.948</v>
      </c>
      <c r="V74" s="15"/>
      <c r="W74" s="15">
        <f t="shared" si="25"/>
        <v>13579.301666666855</v>
      </c>
      <c r="X74" s="15">
        <f t="shared" si="26"/>
        <v>13579.301666666855</v>
      </c>
      <c r="Y74" s="15">
        <v>1</v>
      </c>
      <c r="Z74" s="15">
        <f t="shared" si="27"/>
        <v>13579.301666666855</v>
      </c>
      <c r="AA74" s="15">
        <f t="shared" si="28"/>
        <v>16086.249666666856</v>
      </c>
      <c r="AB74" s="15">
        <f t="shared" si="29"/>
        <v>10236.704333333144</v>
      </c>
      <c r="AC74" s="15">
        <f t="shared" si="30"/>
        <v>2011.5833333333333</v>
      </c>
      <c r="AD74" s="15">
        <f t="shared" si="31"/>
        <v>2018</v>
      </c>
      <c r="AE74" s="15">
        <f t="shared" si="32"/>
        <v>2021.5833333333333</v>
      </c>
      <c r="AF74" s="15">
        <f t="shared" si="33"/>
        <v>2017</v>
      </c>
      <c r="AG74" s="15">
        <f t="shared" si="34"/>
        <v>-0.08333333333333333</v>
      </c>
    </row>
    <row r="75" spans="1:33" ht="12">
      <c r="A75" s="144"/>
      <c r="B75" s="3">
        <v>3</v>
      </c>
      <c r="C75" s="143" t="s">
        <v>138</v>
      </c>
      <c r="D75" s="12">
        <v>2011</v>
      </c>
      <c r="E75" s="12">
        <v>9</v>
      </c>
      <c r="F75" s="56">
        <v>0</v>
      </c>
      <c r="H75" s="12" t="s">
        <v>82</v>
      </c>
      <c r="I75" s="57">
        <v>10</v>
      </c>
      <c r="J75" s="23">
        <f t="shared" si="18"/>
        <v>2021</v>
      </c>
      <c r="M75" s="58">
        <v>20211.68</v>
      </c>
      <c r="O75" s="15">
        <f t="shared" si="19"/>
        <v>20211.68</v>
      </c>
      <c r="P75" s="15">
        <f t="shared" si="20"/>
        <v>168.43066666666667</v>
      </c>
      <c r="Q75" s="15">
        <f t="shared" si="21"/>
        <v>2021.1680000000001</v>
      </c>
      <c r="R75" s="15">
        <f t="shared" si="22"/>
        <v>0</v>
      </c>
      <c r="S75" s="15">
        <f t="shared" si="23"/>
        <v>2021.1680000000001</v>
      </c>
      <c r="T75" s="15">
        <v>1</v>
      </c>
      <c r="U75" s="15">
        <f t="shared" si="24"/>
        <v>2021.1680000000001</v>
      </c>
      <c r="V75" s="15"/>
      <c r="W75" s="15">
        <f t="shared" si="25"/>
        <v>10779.562666666514</v>
      </c>
      <c r="X75" s="15">
        <f t="shared" si="26"/>
        <v>10779.562666666514</v>
      </c>
      <c r="Y75" s="15">
        <v>1</v>
      </c>
      <c r="Z75" s="15">
        <f t="shared" si="27"/>
        <v>10779.562666666514</v>
      </c>
      <c r="AA75" s="15">
        <f t="shared" si="28"/>
        <v>12800.730666666514</v>
      </c>
      <c r="AB75" s="15">
        <f t="shared" si="29"/>
        <v>8421.533333333486</v>
      </c>
      <c r="AC75" s="15">
        <f t="shared" si="30"/>
        <v>2011.6666666666667</v>
      </c>
      <c r="AD75" s="15">
        <f t="shared" si="31"/>
        <v>2018</v>
      </c>
      <c r="AE75" s="15">
        <f t="shared" si="32"/>
        <v>2021.6666666666667</v>
      </c>
      <c r="AF75" s="15">
        <f t="shared" si="33"/>
        <v>2017</v>
      </c>
      <c r="AG75" s="15">
        <f t="shared" si="34"/>
        <v>-0.08333333333333333</v>
      </c>
    </row>
    <row r="76" spans="1:33" ht="12">
      <c r="A76" s="144"/>
      <c r="B76" s="3">
        <v>1</v>
      </c>
      <c r="C76" s="143" t="s">
        <v>138</v>
      </c>
      <c r="D76" s="12">
        <v>2011</v>
      </c>
      <c r="E76" s="12">
        <v>10</v>
      </c>
      <c r="F76" s="56">
        <v>0</v>
      </c>
      <c r="H76" s="12" t="s">
        <v>82</v>
      </c>
      <c r="I76" s="57">
        <v>10</v>
      </c>
      <c r="J76" s="23">
        <f t="shared" si="18"/>
        <v>2021</v>
      </c>
      <c r="M76" s="58">
        <v>6737.23</v>
      </c>
      <c r="O76" s="15">
        <f t="shared" si="19"/>
        <v>6737.23</v>
      </c>
      <c r="P76" s="15">
        <f t="shared" si="20"/>
        <v>56.14358333333333</v>
      </c>
      <c r="Q76" s="15">
        <f t="shared" si="21"/>
        <v>673.723</v>
      </c>
      <c r="R76" s="15">
        <f t="shared" si="22"/>
        <v>0</v>
      </c>
      <c r="S76" s="15">
        <f t="shared" si="23"/>
        <v>673.723</v>
      </c>
      <c r="T76" s="15">
        <v>1</v>
      </c>
      <c r="U76" s="15">
        <f t="shared" si="24"/>
        <v>673.723</v>
      </c>
      <c r="V76" s="15"/>
      <c r="W76" s="15">
        <f t="shared" si="25"/>
        <v>3537.0457499999998</v>
      </c>
      <c r="X76" s="15">
        <f t="shared" si="26"/>
        <v>3537.0457499999998</v>
      </c>
      <c r="Y76" s="15">
        <v>1</v>
      </c>
      <c r="Z76" s="15">
        <f t="shared" si="27"/>
        <v>3537.0457499999998</v>
      </c>
      <c r="AA76" s="15">
        <f t="shared" si="28"/>
        <v>4210.768749999999</v>
      </c>
      <c r="AB76" s="15">
        <f t="shared" si="29"/>
        <v>2863.3227500000003</v>
      </c>
      <c r="AC76" s="15">
        <f t="shared" si="30"/>
        <v>2011.75</v>
      </c>
      <c r="AD76" s="15">
        <f t="shared" si="31"/>
        <v>2018</v>
      </c>
      <c r="AE76" s="15">
        <f t="shared" si="32"/>
        <v>2021.75</v>
      </c>
      <c r="AF76" s="15">
        <f t="shared" si="33"/>
        <v>2017</v>
      </c>
      <c r="AG76" s="15">
        <f t="shared" si="34"/>
        <v>-0.08333333333333333</v>
      </c>
    </row>
    <row r="77" spans="1:33" ht="12">
      <c r="A77" s="144">
        <v>109810</v>
      </c>
      <c r="B77" s="3">
        <v>4</v>
      </c>
      <c r="C77" s="143" t="s">
        <v>208</v>
      </c>
      <c r="D77" s="12">
        <v>2013</v>
      </c>
      <c r="E77" s="12">
        <v>12</v>
      </c>
      <c r="F77" s="56">
        <v>0</v>
      </c>
      <c r="H77" s="12" t="s">
        <v>82</v>
      </c>
      <c r="I77" s="57">
        <v>10</v>
      </c>
      <c r="J77" s="23">
        <f t="shared" si="18"/>
        <v>2023</v>
      </c>
      <c r="M77" s="58">
        <v>21616.08</v>
      </c>
      <c r="O77" s="15">
        <f t="shared" si="19"/>
        <v>21616.08</v>
      </c>
      <c r="P77" s="15">
        <f t="shared" si="20"/>
        <v>180.13400000000001</v>
      </c>
      <c r="Q77" s="15">
        <f>IF(N77&gt;0,0,IF(OR(AC77&gt;AD77,AE77&lt;AF77),0,IF(AND(AE77&gt;=AF77,AE77&lt;=AD77),P77*((AE77-AF77)*12),IF(AND(AF77&lt;=AC77,AD77&gt;=AC77),((AD77-AC77)*12)*P77,IF(AE77&gt;AD77,12*P77,0)))))</f>
        <v>2161.608</v>
      </c>
      <c r="R77" s="15">
        <f>IF(N77=0,0,IF(AND(AG77&gt;=AF77,AG77&lt;=AE77),((AG77-AF77)*12)*P77,0))</f>
        <v>0</v>
      </c>
      <c r="S77" s="15">
        <f>IF(R77&gt;0,R77,Q77)</f>
        <v>2161.608</v>
      </c>
      <c r="T77" s="15">
        <v>1</v>
      </c>
      <c r="U77" s="15">
        <f>T77*SUM(Q77:R77)</f>
        <v>2161.608</v>
      </c>
      <c r="V77" s="15"/>
      <c r="W77" s="15">
        <f>IF(AC77&gt;AD77,0,IF(AE77&lt;AF77,O77,IF(AND(AE77&gt;=AF77,AE77&lt;=AD77),(O77-S77),IF(AND(AF77&lt;=AC77,AD77&gt;=AC77),0,IF(AE77&gt;AD77,((AF77-AC77)*12)*P77,0)))))</f>
        <v>6664.957999999837</v>
      </c>
      <c r="X77" s="15">
        <f>W77*T77</f>
        <v>6664.957999999837</v>
      </c>
      <c r="Y77" s="15">
        <v>1</v>
      </c>
      <c r="Z77" s="15">
        <f>X77*Y77</f>
        <v>6664.957999999837</v>
      </c>
      <c r="AA77" s="15">
        <f>IF(N77&gt;0,0,Z77+U77*Y77)*Y77</f>
        <v>8826.565999999837</v>
      </c>
      <c r="AB77" s="15">
        <f>IF(N77&gt;0,(M77-Z77)/2,IF(AC77&gt;=AF77,(((M77*T77)*Y77)-AA77)/2,((((M77*T77)*Y77)-Z77)+(((M77*T77)*Y77)-AA77))/2))</f>
        <v>13870.318000000165</v>
      </c>
      <c r="AC77" s="15">
        <f t="shared" si="30"/>
        <v>2013.9166666666667</v>
      </c>
      <c r="AD77" s="15">
        <f t="shared" si="31"/>
        <v>2018</v>
      </c>
      <c r="AE77" s="15">
        <f t="shared" si="32"/>
        <v>2023.9166666666667</v>
      </c>
      <c r="AF77" s="15">
        <f t="shared" si="33"/>
        <v>2017</v>
      </c>
      <c r="AG77" s="15">
        <f t="shared" si="34"/>
        <v>-0.08333333333333333</v>
      </c>
    </row>
    <row r="78" spans="1:33" ht="12">
      <c r="A78" s="144">
        <v>118362</v>
      </c>
      <c r="B78" s="3">
        <v>2</v>
      </c>
      <c r="C78" s="143" t="s">
        <v>139</v>
      </c>
      <c r="D78" s="12">
        <v>2014</v>
      </c>
      <c r="E78" s="12">
        <v>12</v>
      </c>
      <c r="F78" s="56">
        <v>0</v>
      </c>
      <c r="H78" s="12" t="s">
        <v>82</v>
      </c>
      <c r="I78" s="57">
        <v>10</v>
      </c>
      <c r="J78" s="23">
        <f t="shared" si="18"/>
        <v>2024</v>
      </c>
      <c r="M78" s="58">
        <v>13174.44</v>
      </c>
      <c r="O78" s="15">
        <f t="shared" si="19"/>
        <v>13174.44</v>
      </c>
      <c r="P78" s="15">
        <f t="shared" si="20"/>
        <v>109.78699999999999</v>
      </c>
      <c r="Q78" s="15">
        <f>IF(N78&gt;0,0,IF(OR(AC78&gt;AD78,AE78&lt;AF78),0,IF(AND(AE78&gt;=AF78,AE78&lt;=AD78),P78*((AE78-AF78)*12),IF(AND(AF78&lt;=AC78,AD78&gt;=AC78),((AD78-AC78)*12)*P78,IF(AE78&gt;AD78,12*P78,0)))))</f>
        <v>1317.444</v>
      </c>
      <c r="R78" s="15">
        <f>IF(N78=0,0,IF(AND(AG78&gt;=AF78,AG78&lt;=AE78),((AG78-AF78)*12)*P78,0))</f>
        <v>0</v>
      </c>
      <c r="S78" s="15">
        <f>IF(R78&gt;0,R78,Q78)</f>
        <v>1317.444</v>
      </c>
      <c r="T78" s="15">
        <v>1</v>
      </c>
      <c r="U78" s="15">
        <f>T78*SUM(Q78:R78)</f>
        <v>1317.444</v>
      </c>
      <c r="V78" s="15"/>
      <c r="W78" s="15">
        <f>IF(AC78&gt;AD78,0,IF(AE78&lt;AF78,O78,IF(AND(AE78&gt;=AF78,AE78&lt;=AD78),(O78-S78),IF(AND(AF78&lt;=AC78,AD78&gt;=AC78),0,IF(AE78&gt;AD78,((AF78-AC78)*12)*P78,0)))))</f>
        <v>2744.6749999999</v>
      </c>
      <c r="X78" s="15">
        <f>W78*T78</f>
        <v>2744.6749999999</v>
      </c>
      <c r="Y78" s="15">
        <v>1</v>
      </c>
      <c r="Z78" s="15">
        <f>X78*Y78</f>
        <v>2744.6749999999</v>
      </c>
      <c r="AA78" s="15">
        <f>IF(N78&gt;0,0,Z78+U78*Y78)*Y78</f>
        <v>4062.1189999999</v>
      </c>
      <c r="AB78" s="15">
        <f>IF(N78&gt;0,(M78-Z78)/2,IF(AC78&gt;=AF78,(((M78*T78)*Y78)-AA78)/2,((((M78*T78)*Y78)-Z78)+(((M78*T78)*Y78)-AA78))/2))</f>
        <v>9771.0430000001</v>
      </c>
      <c r="AC78" s="15">
        <f t="shared" si="30"/>
        <v>2014.9166666666667</v>
      </c>
      <c r="AD78" s="15">
        <f t="shared" si="31"/>
        <v>2018</v>
      </c>
      <c r="AE78" s="15">
        <f t="shared" si="32"/>
        <v>2024.9166666666667</v>
      </c>
      <c r="AF78" s="15">
        <f t="shared" si="33"/>
        <v>2017</v>
      </c>
      <c r="AG78" s="15">
        <f t="shared" si="34"/>
        <v>-0.08333333333333333</v>
      </c>
    </row>
    <row r="79" spans="1:33" ht="12">
      <c r="A79" s="144">
        <v>124463</v>
      </c>
      <c r="B79" s="3">
        <v>2</v>
      </c>
      <c r="C79" s="143" t="s">
        <v>224</v>
      </c>
      <c r="D79" s="12">
        <v>2015</v>
      </c>
      <c r="E79" s="12">
        <v>8</v>
      </c>
      <c r="F79" s="56">
        <v>0</v>
      </c>
      <c r="H79" s="12" t="s">
        <v>82</v>
      </c>
      <c r="I79" s="57">
        <v>10</v>
      </c>
      <c r="J79" s="23">
        <f>D79+I79</f>
        <v>2025</v>
      </c>
      <c r="M79" s="58">
        <v>0</v>
      </c>
      <c r="O79" s="15">
        <f t="shared" si="19"/>
        <v>0</v>
      </c>
      <c r="P79" s="15">
        <f t="shared" si="20"/>
        <v>0</v>
      </c>
      <c r="Q79" s="15">
        <f>IF(N79&gt;0,0,IF(OR(AC79&gt;AD79,AE79&lt;AF79),0,IF(AND(AE79&gt;=AF79,AE79&lt;=AD79),P79*((AE79-AF79)*12),IF(AND(AF79&lt;=AC79,AD79&gt;=AC79),((AD79-AC79)*12)*P79,IF(AE79&gt;AD79,12*P79,0)))))</f>
        <v>0</v>
      </c>
      <c r="R79" s="15">
        <f>IF(N79=0,0,IF(AND(AG79&gt;=AF79,AG79&lt;=AE79),((AG79-AF79)*12)*P79,0))</f>
        <v>0</v>
      </c>
      <c r="S79" s="15">
        <f>IF(R79&gt;0,R79,Q79)</f>
        <v>0</v>
      </c>
      <c r="T79" s="15">
        <v>1</v>
      </c>
      <c r="U79" s="15">
        <f>T79*SUM(Q79:R79)</f>
        <v>0</v>
      </c>
      <c r="V79" s="15"/>
      <c r="W79" s="15">
        <f>IF(AC79&gt;AD79,0,IF(AE79&lt;AF79,O79,IF(AND(AE79&gt;=AF79,AE79&lt;=AD79),(O79-S79),IF(AND(AF79&lt;=AC79,AD79&gt;=AC79),0,IF(AE79&gt;AD79,((AF79-AC79)*12)*P79,0)))))</f>
        <v>0</v>
      </c>
      <c r="X79" s="15">
        <f>W79*T79</f>
        <v>0</v>
      </c>
      <c r="Y79" s="15">
        <v>1</v>
      </c>
      <c r="Z79" s="15">
        <f>X79*Y79</f>
        <v>0</v>
      </c>
      <c r="AA79" s="15">
        <f>IF(N79&gt;0,0,Z79+U79*Y79)*Y79</f>
        <v>0</v>
      </c>
      <c r="AB79" s="15">
        <f>IF(N79&gt;0,(M79-Z79)/2,IF(AC79&gt;=AF79,(((M79*T79)*Y79)-AA79)/2,((((M79*T79)*Y79)-Z79)+(((M79*T79)*Y79)-AA79))/2))</f>
        <v>0</v>
      </c>
      <c r="AC79" s="15">
        <f t="shared" si="30"/>
        <v>2015.5833333333333</v>
      </c>
      <c r="AD79" s="15">
        <f t="shared" si="31"/>
        <v>2018</v>
      </c>
      <c r="AE79" s="15">
        <f t="shared" si="32"/>
        <v>2025.5833333333333</v>
      </c>
      <c r="AF79" s="15">
        <f t="shared" si="33"/>
        <v>2017</v>
      </c>
      <c r="AG79" s="15">
        <f t="shared" si="34"/>
        <v>-0.08333333333333333</v>
      </c>
    </row>
    <row r="80" spans="1:33" ht="12">
      <c r="A80" s="144"/>
      <c r="C80" s="143"/>
      <c r="F80" s="56"/>
      <c r="H80" s="12"/>
      <c r="I80" s="57"/>
      <c r="J80" s="23"/>
      <c r="M80" s="58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1:33" ht="12">
      <c r="A81" s="145">
        <v>167136</v>
      </c>
      <c r="B81" s="3">
        <v>3</v>
      </c>
      <c r="C81" s="143" t="s">
        <v>232</v>
      </c>
      <c r="D81" s="12">
        <v>2016</v>
      </c>
      <c r="E81" s="12">
        <v>9</v>
      </c>
      <c r="F81" s="56">
        <v>0</v>
      </c>
      <c r="H81" s="12" t="s">
        <v>82</v>
      </c>
      <c r="I81" s="57">
        <v>12</v>
      </c>
      <c r="J81" s="23">
        <f>D81+I81</f>
        <v>2028</v>
      </c>
      <c r="M81" s="58">
        <v>15700</v>
      </c>
      <c r="O81" s="15">
        <f>M81-M81*F81</f>
        <v>15700</v>
      </c>
      <c r="P81" s="15">
        <f>O81/I81/12</f>
        <v>109.02777777777777</v>
      </c>
      <c r="Q81" s="15">
        <f>IF(N81&gt;0,0,IF(OR(AC81&gt;AD81,AE81&lt;AF81),0,IF(AND(AE81&gt;=AF81,AE81&lt;=AD81),P81*((AE81-AF81)*12),IF(AND(AF81&lt;=AC81,AD81&gt;=AC81),((AD81-AC81)*12)*P81,IF(AE81&gt;AD81,12*P81,0)))))</f>
        <v>1308.3333333333333</v>
      </c>
      <c r="R81" s="15">
        <f>IF(N81=0,0,IF(AND(AG81&gt;=AF81,AG81&lt;=AE81),((AG81-AF81)*12)*P81,0))</f>
        <v>0</v>
      </c>
      <c r="S81" s="15">
        <f>IF(R81&gt;0,R81,Q81)</f>
        <v>1308.3333333333333</v>
      </c>
      <c r="T81" s="15">
        <v>1</v>
      </c>
      <c r="U81" s="15">
        <f>T81*SUM(Q81:R81)</f>
        <v>1308.3333333333333</v>
      </c>
      <c r="V81" s="15"/>
      <c r="W81" s="15">
        <f>IF(AC81&gt;AD81,0,IF(AE81&lt;AF81,O81,IF(AND(AE81&gt;=AF81,AE81&lt;=AD81),(O81-S81),IF(AND(AF81&lt;=AC81,AD81&gt;=AC81),0,IF(AE81&gt;AD81,((AF81-AC81)*12)*P81,0)))))</f>
        <v>436.11111111101195</v>
      </c>
      <c r="X81" s="15">
        <f>W81*T81</f>
        <v>436.11111111101195</v>
      </c>
      <c r="Y81" s="15">
        <v>1</v>
      </c>
      <c r="Z81" s="15">
        <f>X81*Y81</f>
        <v>436.11111111101195</v>
      </c>
      <c r="AA81" s="15">
        <f>IF(N81&gt;0,0,Z81+U81*Y81)*Y81</f>
        <v>1744.4444444443452</v>
      </c>
      <c r="AB81" s="15">
        <f>IF(N81&gt;0,(M81-Z81)/2,IF(AC81&gt;=AF81,(((M81*T81)*Y81)-AA81)/2,((((M81*T81)*Y81)-Z81)+(((M81*T81)*Y81)-AA81))/2))</f>
        <v>14609.72222222232</v>
      </c>
      <c r="AC81" s="15">
        <f t="shared" si="30"/>
        <v>2016.6666666666667</v>
      </c>
      <c r="AD81" s="15">
        <f t="shared" si="31"/>
        <v>2018</v>
      </c>
      <c r="AE81" s="15">
        <f t="shared" si="32"/>
        <v>2028.6666666666667</v>
      </c>
      <c r="AF81" s="15">
        <f t="shared" si="33"/>
        <v>2017</v>
      </c>
      <c r="AG81" s="15">
        <f t="shared" si="34"/>
        <v>-0.08333333333333333</v>
      </c>
    </row>
    <row r="82" spans="1:33" ht="12">
      <c r="A82" s="145">
        <v>167137</v>
      </c>
      <c r="B82" s="3">
        <v>3</v>
      </c>
      <c r="C82" s="143" t="s">
        <v>233</v>
      </c>
      <c r="D82" s="12">
        <v>2016</v>
      </c>
      <c r="E82" s="12">
        <v>9</v>
      </c>
      <c r="F82" s="56">
        <v>0</v>
      </c>
      <c r="H82" s="12" t="s">
        <v>82</v>
      </c>
      <c r="I82" s="57">
        <v>12</v>
      </c>
      <c r="J82" s="23">
        <f>D82+I82</f>
        <v>2028</v>
      </c>
      <c r="M82" s="58">
        <v>17845</v>
      </c>
      <c r="O82" s="15">
        <v>17845</v>
      </c>
      <c r="P82" s="15">
        <f>O82/I82/12</f>
        <v>123.9236111111111</v>
      </c>
      <c r="Q82" s="15">
        <f>IF(N82&gt;0,0,IF(OR(AC82&gt;AD82,AE82&lt;AF82),0,IF(AND(AE82&gt;=AF82,AE82&lt;=AD82),P82*((AE82-AF82)*12),IF(AND(AF82&lt;=AC82,AD82&gt;=AC82),((AD82-AC82)*12)*P82,IF(AE82&gt;AD82,12*P82,0)))))</f>
        <v>1487.0833333333333</v>
      </c>
      <c r="R82" s="15">
        <f>IF(N82=0,0,IF(AND(AG82&gt;=AF82,AG82&lt;=AE82),((AG82-AF82)*12)*P82,0))</f>
        <v>0</v>
      </c>
      <c r="S82" s="15">
        <f>IF(R82&gt;0,R82,Q82)</f>
        <v>1487.0833333333333</v>
      </c>
      <c r="T82" s="15">
        <v>1</v>
      </c>
      <c r="U82" s="15">
        <f>T82*SUM(Q82:R82)</f>
        <v>1487.0833333333333</v>
      </c>
      <c r="V82" s="15"/>
      <c r="W82" s="15">
        <f>IF(AC82&gt;AD82,0,IF(AE82&lt;AF82,O82,IF(AND(AE82&gt;=AF82,AE82&lt;=AD82),(O82-S82),IF(AND(AF82&lt;=AC82,AD82&gt;=AC82),0,IF(AE82&gt;AD82,((AF82-AC82)*12)*P82,0)))))</f>
        <v>495.6944444443317</v>
      </c>
      <c r="X82" s="15">
        <f>W82*T82</f>
        <v>495.6944444443317</v>
      </c>
      <c r="Y82" s="15">
        <v>1</v>
      </c>
      <c r="Z82" s="15">
        <f>X82*Y82</f>
        <v>495.6944444443317</v>
      </c>
      <c r="AA82" s="15">
        <f>IF(N82&gt;0,0,Z82+U82*Y82)*Y82</f>
        <v>1982.777777777665</v>
      </c>
      <c r="AB82" s="15">
        <f>IF(N82&gt;0,(M82-Z82)/2,IF(AC82&gt;=AF82,(((M82*T82)*Y82)-AA82)/2,((((M82*T82)*Y82)-Z82)+(((M82*T82)*Y82)-AA82))/2))</f>
        <v>16605.763888889</v>
      </c>
      <c r="AC82" s="15">
        <f t="shared" si="30"/>
        <v>2016.6666666666667</v>
      </c>
      <c r="AD82" s="15">
        <f t="shared" si="31"/>
        <v>2018</v>
      </c>
      <c r="AE82" s="15">
        <f t="shared" si="32"/>
        <v>2028.6666666666667</v>
      </c>
      <c r="AF82" s="15">
        <f t="shared" si="33"/>
        <v>2017</v>
      </c>
      <c r="AG82" s="15">
        <f t="shared" si="34"/>
        <v>-0.08333333333333333</v>
      </c>
    </row>
    <row r="83" spans="1:33" ht="12">
      <c r="A83" s="145">
        <v>170769</v>
      </c>
      <c r="B83" s="3">
        <v>2</v>
      </c>
      <c r="C83" s="143" t="s">
        <v>224</v>
      </c>
      <c r="D83" s="12">
        <v>2016</v>
      </c>
      <c r="E83" s="12">
        <v>12</v>
      </c>
      <c r="F83" s="56">
        <v>0</v>
      </c>
      <c r="H83" s="12" t="s">
        <v>82</v>
      </c>
      <c r="I83" s="57">
        <v>12</v>
      </c>
      <c r="J83" s="23">
        <f>D83+I83</f>
        <v>2028</v>
      </c>
      <c r="M83" s="58">
        <v>14636</v>
      </c>
      <c r="O83" s="15">
        <v>17845</v>
      </c>
      <c r="P83" s="15">
        <f>O83/I83/12</f>
        <v>123.9236111111111</v>
      </c>
      <c r="Q83" s="15">
        <f>IF(N83&gt;0,0,IF(OR(AC83&gt;AD83,AE83&lt;AF83),0,IF(AND(AE83&gt;=AF83,AE83&lt;=AD83),P83*((AE83-AF83)*12),IF(AND(AF83&lt;=AC83,AD83&gt;=AC83),((AD83-AC83)*12)*P83,IF(AE83&gt;AD83,12*P83,0)))))</f>
        <v>1487.0833333333333</v>
      </c>
      <c r="R83" s="15">
        <f>IF(N83=0,0,IF(AND(AG83&gt;=AF83,AG83&lt;=AE83),((AG83-AF83)*12)*P83,0))</f>
        <v>0</v>
      </c>
      <c r="S83" s="15">
        <f>IF(R83&gt;0,R83,Q83)</f>
        <v>1487.0833333333333</v>
      </c>
      <c r="T83" s="15">
        <v>1</v>
      </c>
      <c r="U83" s="15">
        <f>T83*SUM(Q83:R83)</f>
        <v>1487.0833333333333</v>
      </c>
      <c r="V83" s="15"/>
      <c r="W83" s="15">
        <f>IF(AC83&gt;AD83,0,IF(AE83&lt;AF83,O83,IF(AND(AE83&gt;=AF83,AE83&lt;=AD83),(O83-S83),IF(AND(AF83&lt;=AC83,AD83&gt;=AC83),0,IF(AE83&gt;AD83,((AF83-AC83)*12)*P83,0)))))</f>
        <v>123.9236111109984</v>
      </c>
      <c r="X83" s="15">
        <f>W83*T83</f>
        <v>123.9236111109984</v>
      </c>
      <c r="Y83" s="15">
        <v>1</v>
      </c>
      <c r="Z83" s="15">
        <f>X83*Y83</f>
        <v>123.9236111109984</v>
      </c>
      <c r="AA83" s="15">
        <f>IF(N83&gt;0,0,Z83+U83*Y83)*Y83</f>
        <v>1611.0069444443316</v>
      </c>
      <c r="AB83" s="15">
        <f>IF(N83&gt;0,(M83-Z83)/2,IF(AC83&gt;=AF83,(((M83*T83)*Y83)-AA83)/2,((((M83*T83)*Y83)-Z83)+(((M83*T83)*Y83)-AA83))/2))</f>
        <v>13768.534722222335</v>
      </c>
      <c r="AC83" s="15">
        <f t="shared" si="30"/>
        <v>2016.9166666666667</v>
      </c>
      <c r="AD83" s="15">
        <f t="shared" si="31"/>
        <v>2018</v>
      </c>
      <c r="AE83" s="15">
        <f t="shared" si="32"/>
        <v>2028.9166666666667</v>
      </c>
      <c r="AF83" s="15">
        <f t="shared" si="33"/>
        <v>2017</v>
      </c>
      <c r="AG83" s="15">
        <f t="shared" si="34"/>
        <v>-0.08333333333333333</v>
      </c>
    </row>
    <row r="84" spans="1:33" ht="12">
      <c r="A84" s="145">
        <v>171065</v>
      </c>
      <c r="B84" s="3">
        <v>2</v>
      </c>
      <c r="C84" s="143" t="s">
        <v>224</v>
      </c>
      <c r="D84" s="12">
        <v>2016</v>
      </c>
      <c r="E84" s="12">
        <v>12</v>
      </c>
      <c r="F84" s="56">
        <v>0</v>
      </c>
      <c r="H84" s="12" t="s">
        <v>82</v>
      </c>
      <c r="I84" s="57">
        <v>12</v>
      </c>
      <c r="J84" s="23">
        <f>D84+I84</f>
        <v>2028</v>
      </c>
      <c r="M84" s="58">
        <v>14636</v>
      </c>
      <c r="O84" s="15">
        <v>17845</v>
      </c>
      <c r="P84" s="15">
        <f>O84/I84/12</f>
        <v>123.9236111111111</v>
      </c>
      <c r="Q84" s="15">
        <f>IF(N84&gt;0,0,IF(OR(AC84&gt;AD84,AE84&lt;AF84),0,IF(AND(AE84&gt;=AF84,AE84&lt;=AD84),P84*((AE84-AF84)*12),IF(AND(AF84&lt;=AC84,AD84&gt;=AC84),((AD84-AC84)*12)*P84,IF(AE84&gt;AD84,12*P84,0)))))</f>
        <v>1487.0833333333333</v>
      </c>
      <c r="R84" s="15">
        <f>IF(N84=0,0,IF(AND(AG84&gt;=AF84,AG84&lt;=AE84),((AG84-AF84)*12)*P84,0))</f>
        <v>0</v>
      </c>
      <c r="S84" s="15">
        <f>IF(R84&gt;0,R84,Q84)</f>
        <v>1487.0833333333333</v>
      </c>
      <c r="T84" s="15">
        <v>1</v>
      </c>
      <c r="U84" s="15">
        <f>T84*SUM(Q84:R84)</f>
        <v>1487.0833333333333</v>
      </c>
      <c r="V84" s="15"/>
      <c r="W84" s="15">
        <f>IF(AC84&gt;AD84,0,IF(AE84&lt;AF84,O84,IF(AND(AE84&gt;=AF84,AE84&lt;=AD84),(O84-S84),IF(AND(AF84&lt;=AC84,AD84&gt;=AC84),0,IF(AE84&gt;AD84,((AF84-AC84)*12)*P84,0)))))</f>
        <v>123.9236111109984</v>
      </c>
      <c r="X84" s="15">
        <f>W84*T84</f>
        <v>123.9236111109984</v>
      </c>
      <c r="Y84" s="15">
        <v>1</v>
      </c>
      <c r="Z84" s="15">
        <f>X84*Y84</f>
        <v>123.9236111109984</v>
      </c>
      <c r="AA84" s="15">
        <f>IF(N84&gt;0,0,Z84+U84*Y84)*Y84</f>
        <v>1611.0069444443316</v>
      </c>
      <c r="AB84" s="15">
        <f>IF(N84&gt;0,(M84-Z84)/2,IF(AC84&gt;=AF84,(((M84*T84)*Y84)-AA84)/2,((((M84*T84)*Y84)-Z84)+(((M84*T84)*Y84)-AA84))/2))</f>
        <v>13768.534722222335</v>
      </c>
      <c r="AC84" s="15">
        <f t="shared" si="30"/>
        <v>2016.9166666666667</v>
      </c>
      <c r="AD84" s="15">
        <f t="shared" si="31"/>
        <v>2018</v>
      </c>
      <c r="AE84" s="15">
        <f t="shared" si="32"/>
        <v>2028.9166666666667</v>
      </c>
      <c r="AF84" s="15">
        <f t="shared" si="33"/>
        <v>2017</v>
      </c>
      <c r="AG84" s="15">
        <f t="shared" si="34"/>
        <v>-0.08333333333333333</v>
      </c>
    </row>
    <row r="85" spans="1:33" ht="12">
      <c r="A85" s="145"/>
      <c r="C85" s="143"/>
      <c r="F85" s="56"/>
      <c r="H85" s="12"/>
      <c r="I85" s="57"/>
      <c r="J85" s="23"/>
      <c r="M85" s="58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</row>
    <row r="86" spans="1:33" ht="12">
      <c r="A86" s="140">
        <v>185139</v>
      </c>
      <c r="B86" s="3">
        <v>7</v>
      </c>
      <c r="C86" s="143" t="s">
        <v>246</v>
      </c>
      <c r="D86" s="12">
        <v>2017</v>
      </c>
      <c r="E86" s="12">
        <v>8</v>
      </c>
      <c r="F86" s="56">
        <v>0</v>
      </c>
      <c r="H86" s="12" t="s">
        <v>82</v>
      </c>
      <c r="I86" s="57">
        <v>12</v>
      </c>
      <c r="J86" s="23">
        <f>D86+I86</f>
        <v>2029</v>
      </c>
      <c r="M86" s="58">
        <v>40160</v>
      </c>
      <c r="O86" s="15">
        <v>17845</v>
      </c>
      <c r="P86" s="15">
        <f>O86/I86/12</f>
        <v>123.9236111111111</v>
      </c>
      <c r="Q86" s="15">
        <f>IF(N86&gt;0,0,IF(OR(AC86&gt;AD86,AE86&lt;AF86),0,IF(AND(AE86&gt;=AF86,AE86&lt;=AD86),P86*((AE86-AF86)*12),IF(AND(AF86&lt;=AC86,AD86&gt;=AC86),((AD86-AC86)*12)*P86,IF(AE86&gt;AD86,12*P86,0)))))</f>
        <v>619.6180555556682</v>
      </c>
      <c r="R86" s="15">
        <f>IF(N86=0,0,IF(AND(AG86&gt;=AF86,AG86&lt;=AE86),((AG86-AF86)*12)*P86,0))</f>
        <v>0</v>
      </c>
      <c r="S86" s="15">
        <f>IF(R86&gt;0,R86,Q86)</f>
        <v>619.6180555556682</v>
      </c>
      <c r="T86" s="15">
        <v>1</v>
      </c>
      <c r="U86" s="15">
        <f>T86*SUM(Q86:R86)</f>
        <v>619.6180555556682</v>
      </c>
      <c r="V86" s="15"/>
      <c r="W86" s="15">
        <f>IF(AC86&gt;AD86,0,IF(AE86&lt;AF86,O86,IF(AND(AE86&gt;=AF86,AE86&lt;=AD86),(O86-S86),IF(AND(AF86&lt;=AC86,AD86&gt;=AC86),0,IF(AE86&gt;AD86,((AF86-AC86)*12)*P86,0)))))</f>
        <v>0</v>
      </c>
      <c r="X86" s="15">
        <f>W86*T86</f>
        <v>0</v>
      </c>
      <c r="Y86" s="15">
        <v>1</v>
      </c>
      <c r="Z86" s="15">
        <f>X86*Y86</f>
        <v>0</v>
      </c>
      <c r="AA86" s="15">
        <f>IF(N86&gt;0,0,Z86+U86*Y86)*Y86</f>
        <v>619.6180555556682</v>
      </c>
      <c r="AB86" s="15">
        <f>IF(N86&gt;0,(M86-Z86)/2,IF(AC86&gt;=AF86,(((M86*T86)*Y86)-AA86)/2,((((M86*T86)*Y86)-Z86)+(((M86*T86)*Y86)-AA86))/2))</f>
        <v>19770.190972222164</v>
      </c>
      <c r="AC86" s="15">
        <f t="shared" si="30"/>
        <v>2017.5833333333333</v>
      </c>
      <c r="AD86" s="15">
        <f t="shared" si="31"/>
        <v>2018</v>
      </c>
      <c r="AE86" s="15">
        <f t="shared" si="32"/>
        <v>2029.5833333333333</v>
      </c>
      <c r="AF86" s="15">
        <f t="shared" si="33"/>
        <v>2017</v>
      </c>
      <c r="AG86" s="15">
        <f t="shared" si="34"/>
        <v>-0.08333333333333333</v>
      </c>
    </row>
    <row r="87" spans="1:33" ht="12">
      <c r="A87" s="140">
        <v>185140</v>
      </c>
      <c r="B87" s="3">
        <v>2</v>
      </c>
      <c r="C87" s="143" t="s">
        <v>247</v>
      </c>
      <c r="D87" s="12">
        <v>2017</v>
      </c>
      <c r="E87" s="12">
        <v>8</v>
      </c>
      <c r="F87" s="56">
        <v>0</v>
      </c>
      <c r="H87" s="12" t="s">
        <v>82</v>
      </c>
      <c r="I87" s="57">
        <v>12</v>
      </c>
      <c r="J87" s="23">
        <f>D87+I87</f>
        <v>2029</v>
      </c>
      <c r="M87" s="58">
        <v>15035</v>
      </c>
      <c r="O87" s="15">
        <v>17845</v>
      </c>
      <c r="P87" s="15">
        <f>O87/I87/12</f>
        <v>123.9236111111111</v>
      </c>
      <c r="Q87" s="15">
        <f>IF(N87&gt;0,0,IF(OR(AC87&gt;AD87,AE87&lt;AF87),0,IF(AND(AE87&gt;=AF87,AE87&lt;=AD87),P87*((AE87-AF87)*12),IF(AND(AF87&lt;=AC87,AD87&gt;=AC87),((AD87-AC87)*12)*P87,IF(AE87&gt;AD87,12*P87,0)))))</f>
        <v>619.6180555556682</v>
      </c>
      <c r="R87" s="15">
        <f>IF(N87=0,0,IF(AND(AG87&gt;=AF87,AG87&lt;=AE87),((AG87-AF87)*12)*P87,0))</f>
        <v>0</v>
      </c>
      <c r="S87" s="15">
        <f>IF(R87&gt;0,R87,Q87)</f>
        <v>619.6180555556682</v>
      </c>
      <c r="T87" s="15">
        <v>1</v>
      </c>
      <c r="U87" s="15">
        <f>T87*SUM(Q87:R87)</f>
        <v>619.6180555556682</v>
      </c>
      <c r="V87" s="15"/>
      <c r="W87" s="15">
        <f>IF(AC87&gt;AD87,0,IF(AE87&lt;AF87,O87,IF(AND(AE87&gt;=AF87,AE87&lt;=AD87),(O87-S87),IF(AND(AF87&lt;=AC87,AD87&gt;=AC87),0,IF(AE87&gt;AD87,((AF87-AC87)*12)*P87,0)))))</f>
        <v>0</v>
      </c>
      <c r="X87" s="15">
        <f>W87*T87</f>
        <v>0</v>
      </c>
      <c r="Y87" s="15">
        <v>1</v>
      </c>
      <c r="Z87" s="15">
        <f>X87*Y87</f>
        <v>0</v>
      </c>
      <c r="AA87" s="15">
        <f>IF(N87&gt;0,0,Z87+U87*Y87)*Y87</f>
        <v>619.6180555556682</v>
      </c>
      <c r="AB87" s="15">
        <f>IF(N87&gt;0,(M87-Z87)/2,IF(AC87&gt;=AF87,(((M87*T87)*Y87)-AA87)/2,((((M87*T87)*Y87)-Z87)+(((M87*T87)*Y87)-AA87))/2))</f>
        <v>7207.690972222166</v>
      </c>
      <c r="AC87" s="15">
        <f t="shared" si="30"/>
        <v>2017.5833333333333</v>
      </c>
      <c r="AD87" s="15">
        <f t="shared" si="31"/>
        <v>2018</v>
      </c>
      <c r="AE87" s="15">
        <f t="shared" si="32"/>
        <v>2029.5833333333333</v>
      </c>
      <c r="AF87" s="15">
        <f t="shared" si="33"/>
        <v>2017</v>
      </c>
      <c r="AG87" s="15">
        <f t="shared" si="34"/>
        <v>-0.08333333333333333</v>
      </c>
    </row>
    <row r="88" spans="1:33" ht="12">
      <c r="A88" s="145"/>
      <c r="C88" s="143"/>
      <c r="F88" s="56"/>
      <c r="H88" s="12"/>
      <c r="I88" s="57"/>
      <c r="J88" s="23"/>
      <c r="M88" s="58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</row>
    <row r="89" spans="1:33" ht="12">
      <c r="A89" s="144"/>
      <c r="F89" s="56"/>
      <c r="H89" s="12"/>
      <c r="I89" s="57"/>
      <c r="J89" s="23"/>
      <c r="M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</row>
    <row r="90" spans="1:33" s="1" customFormat="1" ht="12">
      <c r="A90" s="139"/>
      <c r="C90" s="1" t="s">
        <v>140</v>
      </c>
      <c r="D90" s="4"/>
      <c r="E90" s="4"/>
      <c r="F90" s="138"/>
      <c r="H90" s="4"/>
      <c r="I90" s="4"/>
      <c r="J90" s="21"/>
      <c r="M90" s="141">
        <f>SUM(M46:M89)</f>
        <v>828640.7399999999</v>
      </c>
      <c r="O90" s="141">
        <f>SUM(O46:O89)</f>
        <v>815553.7399999999</v>
      </c>
      <c r="P90" s="141">
        <f>SUM(P46:P89)</f>
        <v>6650.552000000002</v>
      </c>
      <c r="Q90" s="141">
        <f>SUM(Q46:Q89)</f>
        <v>22925.274444443905</v>
      </c>
      <c r="R90" s="141">
        <f>SUM(R46:R89)</f>
        <v>0</v>
      </c>
      <c r="S90" s="141">
        <f>SUM(S46:S89)</f>
        <v>22925.274444443905</v>
      </c>
      <c r="T90" s="141"/>
      <c r="U90" s="141">
        <f>SUM(U46:U89)</f>
        <v>22925.274444443905</v>
      </c>
      <c r="V90" s="141"/>
      <c r="W90" s="141"/>
      <c r="X90" s="141"/>
      <c r="Y90" s="141"/>
      <c r="Z90" s="141">
        <f>SUM(Z46:Z89)</f>
        <v>650038.5729444447</v>
      </c>
      <c r="AA90" s="141">
        <f>SUM(AA46:AA89)</f>
        <v>672963.8473888887</v>
      </c>
      <c r="AB90" s="141">
        <f>SUM(AB46:AB89)</f>
        <v>139542.0298333334</v>
      </c>
      <c r="AC90" s="141"/>
      <c r="AD90" s="141"/>
      <c r="AE90" s="141"/>
      <c r="AF90" s="141"/>
      <c r="AG90" s="141"/>
    </row>
    <row r="91" spans="1:13" ht="12">
      <c r="A91" s="144"/>
      <c r="E91" s="188"/>
      <c r="F91" s="189" t="s">
        <v>259</v>
      </c>
      <c r="G91" s="190"/>
      <c r="H91" s="190"/>
      <c r="I91" s="227">
        <f>+SUMIF($J$12:$J$89,2016,$U$12:$U$89)</f>
        <v>0</v>
      </c>
      <c r="J91" s="137"/>
      <c r="M91" s="141"/>
    </row>
    <row r="92" spans="1:28" ht="12">
      <c r="A92" s="144"/>
      <c r="E92" s="188"/>
      <c r="F92" s="189" t="s">
        <v>260</v>
      </c>
      <c r="G92" s="190"/>
      <c r="H92" s="190"/>
      <c r="I92" s="227">
        <f>+SUMIF($J$12:$J$89,2017,$U$12:$U$89)</f>
        <v>6688.171583332465</v>
      </c>
      <c r="J92" s="137"/>
      <c r="M92" s="141"/>
      <c r="O92" s="141"/>
      <c r="P92" s="141"/>
      <c r="Q92" s="141"/>
      <c r="R92" s="141"/>
      <c r="S92" s="141"/>
      <c r="T92" s="136"/>
      <c r="U92" s="141"/>
      <c r="V92" s="136"/>
      <c r="W92" s="136"/>
      <c r="X92" s="136"/>
      <c r="Y92" s="136"/>
      <c r="Z92" s="141"/>
      <c r="AA92" s="141"/>
      <c r="AB92" s="141"/>
    </row>
    <row r="93" spans="1:33" ht="12">
      <c r="A93" s="144"/>
      <c r="E93" s="188"/>
      <c r="F93" s="191"/>
      <c r="G93" s="190"/>
      <c r="H93" s="190"/>
      <c r="I93" s="192">
        <f>+I91+I92</f>
        <v>6688.171583332465</v>
      </c>
      <c r="J93" s="23"/>
      <c r="M93" s="58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</row>
    <row r="94" spans="1:33" ht="12">
      <c r="A94" s="144"/>
      <c r="F94" s="56"/>
      <c r="H94" s="12"/>
      <c r="I94" s="57"/>
      <c r="J94" s="23"/>
      <c r="M94" s="58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</row>
    <row r="95" spans="1:33" ht="12">
      <c r="A95" s="144"/>
      <c r="C95" s="1" t="s">
        <v>22</v>
      </c>
      <c r="F95" s="56"/>
      <c r="H95" s="12"/>
      <c r="I95" s="57"/>
      <c r="J95" s="23"/>
      <c r="M95" s="58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</row>
    <row r="96" spans="1:33" ht="12">
      <c r="A96" s="144"/>
      <c r="B96" s="55">
        <v>1800</v>
      </c>
      <c r="C96" s="143" t="s">
        <v>141</v>
      </c>
      <c r="D96" s="12">
        <v>2010</v>
      </c>
      <c r="E96" s="12">
        <v>11</v>
      </c>
      <c r="F96" s="56">
        <v>0</v>
      </c>
      <c r="G96" s="15"/>
      <c r="H96" s="12" t="s">
        <v>82</v>
      </c>
      <c r="I96" s="57">
        <v>10</v>
      </c>
      <c r="J96" s="23">
        <f>D96+I96</f>
        <v>2020</v>
      </c>
      <c r="M96" s="58">
        <v>89944.88</v>
      </c>
      <c r="N96" s="142">
        <v>0</v>
      </c>
      <c r="O96" s="15">
        <f>M96-M96*F96</f>
        <v>89944.88</v>
      </c>
      <c r="P96" s="15">
        <f>O96/I96/12</f>
        <v>749.5406666666668</v>
      </c>
      <c r="Q96" s="15">
        <f>IF(N96&gt;0,0,IF(OR(AC96&gt;AD96,AE96&lt;AF96),0,IF(AND(AE96&gt;=AF96,AE96&lt;=AD96),P96*((AE96-AF96)*12),IF(AND(AF96&lt;=AC96,AD96&gt;=AC96),((AD96-AC96)*12)*P96,IF(AE96&gt;AD96,12*P96,0)))))</f>
        <v>8994.488000000001</v>
      </c>
      <c r="R96" s="15">
        <f>IF(N96=0,0,IF(AND(AG96&gt;=AF96,AG96&lt;=AE96),((AG96-AF96)*12)*P96,0))</f>
        <v>0</v>
      </c>
      <c r="S96" s="15">
        <f>IF(R96&gt;0,R96,Q96)</f>
        <v>8994.488000000001</v>
      </c>
      <c r="T96" s="15">
        <v>1</v>
      </c>
      <c r="U96" s="15">
        <f>T96*SUM(Q96:R96)</f>
        <v>8994.488000000001</v>
      </c>
      <c r="V96" s="15"/>
      <c r="W96" s="15">
        <f>IF(AC96&gt;AD96,0,IF(AE96&lt;AF96,O96,IF(AND(AE96&gt;=AF96,AE96&lt;=AD96),(O96-S96),IF(AND(AF96&lt;=AC96,AD96&gt;=AC96),0,IF(AE96&gt;AD96,((AF96-AC96)*12)*P96,0)))))</f>
        <v>55466.00933333402</v>
      </c>
      <c r="X96" s="15">
        <f>W96*T96</f>
        <v>55466.00933333402</v>
      </c>
      <c r="Y96" s="15">
        <v>1</v>
      </c>
      <c r="Z96" s="15">
        <f>X96*Y96</f>
        <v>55466.00933333402</v>
      </c>
      <c r="AA96" s="15">
        <f>IF(N96&gt;0,0,Z96+U96*Y96)*Y96</f>
        <v>64460.49733333402</v>
      </c>
      <c r="AB96" s="15">
        <f>IF(N96&gt;0,(M96-Z96)/2,IF(AC96&gt;=AF96,(((M96*T96)*Y96)-AA96)/2,((((M96*T96)*Y96)-Z96)+(((M96*T96)*Y96)-AA96))/2))</f>
        <v>29981.626666665987</v>
      </c>
      <c r="AC96" s="15">
        <f>$D96+(($E96-1)/12)</f>
        <v>2010.8333333333333</v>
      </c>
      <c r="AD96" s="15">
        <f>($O$5+1)-($O$2/12)</f>
        <v>2018</v>
      </c>
      <c r="AE96" s="15">
        <f>$J96+(($E96-1)/12)</f>
        <v>2020.8333333333333</v>
      </c>
      <c r="AF96" s="15">
        <f>$O$4+($O$3/12)</f>
        <v>2017</v>
      </c>
      <c r="AG96" s="15">
        <f>$K96+(($L96-1)/12)</f>
        <v>-0.08333333333333333</v>
      </c>
    </row>
    <row r="97" spans="1:33" ht="12">
      <c r="A97" s="144"/>
      <c r="B97" s="55">
        <v>1800</v>
      </c>
      <c r="C97" s="143" t="s">
        <v>142</v>
      </c>
      <c r="D97" s="12">
        <v>2010</v>
      </c>
      <c r="E97" s="12">
        <v>11</v>
      </c>
      <c r="F97" s="56">
        <v>0</v>
      </c>
      <c r="G97" s="15"/>
      <c r="H97" s="12" t="s">
        <v>82</v>
      </c>
      <c r="I97" s="57">
        <v>10</v>
      </c>
      <c r="J97" s="23">
        <f>D97+I97</f>
        <v>2020</v>
      </c>
      <c r="M97" s="58">
        <v>76072.61</v>
      </c>
      <c r="N97" s="142">
        <v>0</v>
      </c>
      <c r="O97" s="15">
        <f>M97-M97*F97</f>
        <v>76072.61</v>
      </c>
      <c r="P97" s="15">
        <f>O97/I97/12</f>
        <v>633.9384166666667</v>
      </c>
      <c r="Q97" s="15">
        <f>IF(N97&gt;0,0,IF(OR(AC97&gt;AD97,AE97&lt;AF97),0,IF(AND(AE97&gt;=AF97,AE97&lt;=AD97),P97*((AE97-AF97)*12),IF(AND(AF97&lt;=AC97,AD97&gt;=AC97),((AD97-AC97)*12)*P97,IF(AE97&gt;AD97,12*P97,0)))))</f>
        <v>7607.261</v>
      </c>
      <c r="R97" s="15">
        <f>IF(N97=0,0,IF(AND(AG97&gt;=AF97,AG97&lt;=AE97),((AG97-AF97)*12)*P97,0))</f>
        <v>0</v>
      </c>
      <c r="S97" s="15">
        <f>IF(R97&gt;0,R97,Q97)</f>
        <v>7607.261</v>
      </c>
      <c r="T97" s="15">
        <v>1</v>
      </c>
      <c r="U97" s="15">
        <f>T97*SUM(Q97:R97)</f>
        <v>7607.261</v>
      </c>
      <c r="V97" s="15"/>
      <c r="W97" s="15">
        <f>IF(AC97&gt;AD97,0,IF(AE97&lt;AF97,O97,IF(AND(AE97&gt;=AF97,AE97&lt;=AD97),(O97-S97),IF(AND(AF97&lt;=AC97,AD97&gt;=AC97),0,IF(AE97&gt;AD97,((AF97-AC97)*12)*P97,0)))))</f>
        <v>46911.44283333392</v>
      </c>
      <c r="X97" s="15">
        <f>W97*T97</f>
        <v>46911.44283333392</v>
      </c>
      <c r="Y97" s="15">
        <v>1</v>
      </c>
      <c r="Z97" s="15">
        <f>X97*Y97</f>
        <v>46911.44283333392</v>
      </c>
      <c r="AA97" s="15">
        <f>IF(N97&gt;0,0,Z97+U97*Y97)*Y97</f>
        <v>54518.703833333915</v>
      </c>
      <c r="AB97" s="15">
        <f>IF(N97&gt;0,(M97-Z97)/2,IF(AC97&gt;=AF97,(((M97*T97)*Y97)-AA97)/2,((((M97*T97)*Y97)-Z97)+(((M97*T97)*Y97)-AA97))/2))</f>
        <v>25357.536666666085</v>
      </c>
      <c r="AC97" s="15">
        <f>$D97+(($E97-1)/12)</f>
        <v>2010.8333333333333</v>
      </c>
      <c r="AD97" s="15">
        <f>($O$5+1)-($O$2/12)</f>
        <v>2018</v>
      </c>
      <c r="AE97" s="15">
        <f>$J97+(($E97-1)/12)</f>
        <v>2020.8333333333333</v>
      </c>
      <c r="AF97" s="15">
        <f>$O$4+($O$3/12)</f>
        <v>2017</v>
      </c>
      <c r="AG97" s="15">
        <f>$K97+(($L97-1)/12)</f>
        <v>-0.08333333333333333</v>
      </c>
    </row>
    <row r="98" spans="1:33" ht="12">
      <c r="A98" s="144"/>
      <c r="B98" s="55">
        <f>486+164</f>
        <v>650</v>
      </c>
      <c r="C98" s="143" t="s">
        <v>141</v>
      </c>
      <c r="D98" s="12">
        <v>2012</v>
      </c>
      <c r="E98" s="12">
        <v>12</v>
      </c>
      <c r="F98" s="56">
        <v>0</v>
      </c>
      <c r="G98" s="15"/>
      <c r="H98" s="12" t="s">
        <v>82</v>
      </c>
      <c r="I98" s="57">
        <v>10</v>
      </c>
      <c r="J98" s="23">
        <f>D98+I98</f>
        <v>2022</v>
      </c>
      <c r="M98" s="58">
        <f>26171.15+8889.48</f>
        <v>35060.630000000005</v>
      </c>
      <c r="N98" s="142">
        <v>0</v>
      </c>
      <c r="O98" s="15">
        <f>M98-M98*F98</f>
        <v>35060.630000000005</v>
      </c>
      <c r="P98" s="15">
        <f>O98/I98/12</f>
        <v>292.17191666666673</v>
      </c>
      <c r="Q98" s="15">
        <f>IF(N98&gt;0,0,IF(OR(AC98&gt;AD98,AE98&lt;AF98),0,IF(AND(AE98&gt;=AF98,AE98&lt;=AD98),P98*((AE98-AF98)*12),IF(AND(AF98&lt;=AC98,AD98&gt;=AC98),((AD98-AC98)*12)*P98,IF(AE98&gt;AD98,12*P98,0)))))</f>
        <v>3506.063000000001</v>
      </c>
      <c r="R98" s="15">
        <f>IF(N98=0,0,IF(AND(AG98&gt;=AF98,AG98&lt;=AE98),((AG98-AF98)*12)*P98,0))</f>
        <v>0</v>
      </c>
      <c r="S98" s="15">
        <f>IF(R98&gt;0,R98,Q98)</f>
        <v>3506.063000000001</v>
      </c>
      <c r="T98" s="15">
        <v>1</v>
      </c>
      <c r="U98" s="15">
        <f>T98*SUM(Q98:R98)</f>
        <v>3506.063000000001</v>
      </c>
      <c r="V98" s="15"/>
      <c r="W98" s="15">
        <f>IF(AC98&gt;AD98,0,IF(AE98&lt;AF98,O98,IF(AND(AE98&gt;=AF98,AE98&lt;=AD98),(O98-S98),IF(AND(AF98&lt;=AC98,AD98&gt;=AC98),0,IF(AE98&gt;AD98,((AF98-AC98)*12)*P98,0)))))</f>
        <v>14316.423916666405</v>
      </c>
      <c r="X98" s="15">
        <f>W98*T98</f>
        <v>14316.423916666405</v>
      </c>
      <c r="Y98" s="15">
        <v>1</v>
      </c>
      <c r="Z98" s="15">
        <f>X98*Y98</f>
        <v>14316.423916666405</v>
      </c>
      <c r="AA98" s="15">
        <f>IF(N98&gt;0,0,Z98+U98*Y98)*Y98</f>
        <v>17822.486916666407</v>
      </c>
      <c r="AB98" s="15">
        <f>IF(N98&gt;0,(M98-Z98)/2,IF(AC98&gt;=AF98,(((M98*T98)*Y98)-AA98)/2,((((M98*T98)*Y98)-Z98)+(((M98*T98)*Y98)-AA98))/2))</f>
        <v>18991.1745833336</v>
      </c>
      <c r="AC98" s="15">
        <f>$D98+(($E98-1)/12)</f>
        <v>2012.9166666666667</v>
      </c>
      <c r="AD98" s="15">
        <f>($O$5+1)-($O$2/12)</f>
        <v>2018</v>
      </c>
      <c r="AE98" s="15">
        <f>$J98+(($E98-1)/12)</f>
        <v>2022.9166666666667</v>
      </c>
      <c r="AF98" s="15">
        <f>$O$4+($O$3/12)</f>
        <v>2017</v>
      </c>
      <c r="AG98" s="15">
        <f>$K98+(($L98-1)/12)</f>
        <v>-0.08333333333333333</v>
      </c>
    </row>
    <row r="99" spans="1:33" ht="12">
      <c r="A99" s="144"/>
      <c r="B99" s="55"/>
      <c r="C99" s="143"/>
      <c r="F99" s="56"/>
      <c r="G99" s="15"/>
      <c r="H99" s="12"/>
      <c r="I99" s="57"/>
      <c r="J99" s="23"/>
      <c r="M99" s="58"/>
      <c r="N99" s="142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</row>
    <row r="100" spans="13:29" ht="12">
      <c r="M100" s="135">
        <f>SUM(M96:M99)</f>
        <v>201078.12</v>
      </c>
      <c r="O100" s="135">
        <f aca="true" t="shared" si="35" ref="O100:AB100">SUM(O96:O99)</f>
        <v>201078.12</v>
      </c>
      <c r="P100" s="135">
        <f t="shared" si="35"/>
        <v>1675.6510000000003</v>
      </c>
      <c r="Q100" s="135">
        <f t="shared" si="35"/>
        <v>20107.812000000005</v>
      </c>
      <c r="R100" s="135">
        <f t="shared" si="35"/>
        <v>0</v>
      </c>
      <c r="S100" s="135">
        <f t="shared" si="35"/>
        <v>20107.812000000005</v>
      </c>
      <c r="T100" s="135"/>
      <c r="U100" s="135">
        <f t="shared" si="35"/>
        <v>20107.812000000005</v>
      </c>
      <c r="V100" s="135">
        <f t="shared" si="35"/>
        <v>0</v>
      </c>
      <c r="W100" s="135">
        <f t="shared" si="35"/>
        <v>116693.87608333434</v>
      </c>
      <c r="X100" s="135">
        <f t="shared" si="35"/>
        <v>116693.87608333434</v>
      </c>
      <c r="Y100" s="135"/>
      <c r="Z100" s="135">
        <f t="shared" si="35"/>
        <v>116693.87608333434</v>
      </c>
      <c r="AA100" s="135">
        <f t="shared" si="35"/>
        <v>136801.68808333433</v>
      </c>
      <c r="AB100" s="135">
        <f t="shared" si="35"/>
        <v>74330.33791666567</v>
      </c>
      <c r="AC100" s="135"/>
    </row>
    <row r="101" spans="13:29" ht="12">
      <c r="M101" s="135"/>
      <c r="O101" s="135"/>
      <c r="P101" s="135"/>
      <c r="Q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</row>
    <row r="102" spans="1:33" ht="12">
      <c r="A102" s="144"/>
      <c r="B102" s="3">
        <v>10</v>
      </c>
      <c r="C102" s="143" t="s">
        <v>137</v>
      </c>
      <c r="D102" s="12">
        <v>2007</v>
      </c>
      <c r="E102" s="12">
        <v>8</v>
      </c>
      <c r="F102" s="56">
        <v>0</v>
      </c>
      <c r="H102" s="12" t="s">
        <v>82</v>
      </c>
      <c r="I102" s="57">
        <v>10</v>
      </c>
      <c r="J102" s="23">
        <f>D102+I102</f>
        <v>2017</v>
      </c>
      <c r="M102" s="58">
        <f>4998.51*10</f>
        <v>49985.100000000006</v>
      </c>
      <c r="O102" s="15">
        <f>M102-M102*F102</f>
        <v>49985.100000000006</v>
      </c>
      <c r="P102" s="15">
        <f>O102/I102/12</f>
        <v>416.5425</v>
      </c>
      <c r="Q102" s="15">
        <f>IF(N102&gt;0,0,IF(OR(AC102&gt;AD102,AE102&lt;AF102),0,IF(AND(AE102&gt;=AF102,AE102&lt;=AD102),P102*((AE102-AF102)*12),IF(AND(AF102&lt;=AC102,AD102&gt;=AC102),((AD102-AC102)*12)*P102,IF(AE102&gt;AD102,12*P102,0)))))</f>
        <v>2915.7974999996213</v>
      </c>
      <c r="R102" s="15">
        <f>IF(N102=0,0,IF(AND(AG102&gt;=AF102,AG102&lt;=AE102),((AG102-AF102)*12)*P102,0))</f>
        <v>0</v>
      </c>
      <c r="S102" s="15">
        <f>IF(R102&gt;0,R102,Q102)</f>
        <v>2915.7974999996213</v>
      </c>
      <c r="T102" s="15">
        <v>1</v>
      </c>
      <c r="U102" s="15">
        <f>T102*SUM(Q102:R102)</f>
        <v>2915.7974999996213</v>
      </c>
      <c r="V102" s="15"/>
      <c r="W102" s="15">
        <f>IF(AC102&gt;AD102,0,IF(AE102&lt;AF102,O102,IF(AND(AE102&gt;=AF102,AE102&lt;=AD102),(O102-S102),IF(AND(AF102&lt;=AC102,AD102&gt;=AC102),0,IF(AE102&gt;AD102,((AF102-AC102)*12)*P102,0)))))</f>
        <v>47069.30250000038</v>
      </c>
      <c r="X102" s="15">
        <f>W102*T102</f>
        <v>47069.30250000038</v>
      </c>
      <c r="Y102" s="15">
        <v>1</v>
      </c>
      <c r="Z102" s="15">
        <f>X102*Y102</f>
        <v>47069.30250000038</v>
      </c>
      <c r="AA102" s="15">
        <f>IF(N102&gt;0,0,Z102+U102*Y102)*Y102</f>
        <v>49985.100000000006</v>
      </c>
      <c r="AB102" s="15">
        <f>IF(N102&gt;0,(M102-Z102)/2,IF(AC102&gt;=AF102,(((M102*T102)*Y102)-AA102)/2,((((M102*T102)*Y102)-Z102)+(((M102*T102)*Y102)-AA102))/2))</f>
        <v>1457.8987499998111</v>
      </c>
      <c r="AC102" s="15">
        <f>$D102+(($E102-1)/12)</f>
        <v>2007.5833333333333</v>
      </c>
      <c r="AD102" s="15">
        <f>($O$5+1)-($O$2/12)</f>
        <v>2018</v>
      </c>
      <c r="AE102" s="15">
        <f>$J102+(($E102-1)/12)</f>
        <v>2017.5833333333333</v>
      </c>
      <c r="AF102" s="15">
        <f>$O$4+($O$3/12)</f>
        <v>2017</v>
      </c>
      <c r="AG102" s="15">
        <f>$K102+(($L102-1)/12)</f>
        <v>-0.08333333333333333</v>
      </c>
    </row>
    <row r="103" spans="1:33" ht="12">
      <c r="A103" s="144"/>
      <c r="B103" s="55">
        <v>4</v>
      </c>
      <c r="C103" s="143" t="s">
        <v>143</v>
      </c>
      <c r="D103" s="12">
        <v>2010</v>
      </c>
      <c r="E103" s="12">
        <v>11</v>
      </c>
      <c r="F103" s="56">
        <v>0</v>
      </c>
      <c r="G103" s="15"/>
      <c r="H103" s="12" t="s">
        <v>82</v>
      </c>
      <c r="I103" s="57">
        <v>10</v>
      </c>
      <c r="J103" s="23">
        <f>D103+I103</f>
        <v>2020</v>
      </c>
      <c r="M103" s="58">
        <v>28940.29</v>
      </c>
      <c r="N103" s="142">
        <v>0</v>
      </c>
      <c r="O103" s="15">
        <f>M103-M103*F103</f>
        <v>28940.29</v>
      </c>
      <c r="P103" s="15">
        <f>O103/I103/12</f>
        <v>241.16908333333333</v>
      </c>
      <c r="Q103" s="15">
        <f>IF(N103&gt;0,0,IF(OR(AC103&gt;AD103,AE103&lt;AF103),0,IF(AND(AE103&gt;=AF103,AE103&lt;=AD103),P103*((AE103-AF103)*12),IF(AND(AF103&lt;=AC103,AD103&gt;=AC103),((AD103-AC103)*12)*P103,IF(AE103&gt;AD103,12*P103,0)))))</f>
        <v>2894.029</v>
      </c>
      <c r="R103" s="15">
        <f>IF(N103=0,0,IF(AND(AG103&gt;=AF103,AG103&lt;=AE103),((AG103-AF103)*12)*P103,0))</f>
        <v>0</v>
      </c>
      <c r="S103" s="15">
        <f>IF(R103&gt;0,R103,Q103)</f>
        <v>2894.029</v>
      </c>
      <c r="T103" s="15">
        <v>1</v>
      </c>
      <c r="U103" s="15">
        <f>T103*SUM(Q103:R103)</f>
        <v>2894.029</v>
      </c>
      <c r="V103" s="15"/>
      <c r="W103" s="15">
        <f>IF(AC103&gt;AD103,0,IF(AE103&lt;AF103,O103,IF(AND(AE103&gt;=AF103,AE103&lt;=AD103),(O103-S103),IF(AND(AF103&lt;=AC103,AD103&gt;=AC103),0,IF(AE103&gt;AD103,((AF103-AC103)*12)*P103,0)))))</f>
        <v>17846.512166666886</v>
      </c>
      <c r="X103" s="15">
        <f>W103*T103</f>
        <v>17846.512166666886</v>
      </c>
      <c r="Y103" s="15">
        <v>1</v>
      </c>
      <c r="Z103" s="15">
        <f>X103*Y103</f>
        <v>17846.512166666886</v>
      </c>
      <c r="AA103" s="15">
        <f>IF(N103&gt;0,0,Z103+U103*Y103)*Y103</f>
        <v>20740.541166666884</v>
      </c>
      <c r="AB103" s="15">
        <f>IF(N103&gt;0,(M103-Z103)/2,IF(AC103&gt;=AF103,(((M103*T103)*Y103)-AA103)/2,((((M103*T103)*Y103)-Z103)+(((M103*T103)*Y103)-AA103))/2))</f>
        <v>9646.763333333116</v>
      </c>
      <c r="AC103" s="15">
        <f>$D103+(($E103-1)/12)</f>
        <v>2010.8333333333333</v>
      </c>
      <c r="AD103" s="15">
        <f>($O$5+1)-($O$2/12)</f>
        <v>2018</v>
      </c>
      <c r="AE103" s="15">
        <f>$J103+(($E103-1)/12)</f>
        <v>2020.8333333333333</v>
      </c>
      <c r="AF103" s="15">
        <f>$O$4+($O$3/12)</f>
        <v>2017</v>
      </c>
      <c r="AG103" s="15">
        <f>$K103+(($L103-1)/12)</f>
        <v>-0.08333333333333333</v>
      </c>
    </row>
    <row r="104" ht="12">
      <c r="M104" s="20"/>
    </row>
    <row r="105" spans="13:28" ht="12">
      <c r="M105" s="135">
        <f>SUM(M102:M104)</f>
        <v>78925.39000000001</v>
      </c>
      <c r="O105" s="135">
        <f aca="true" t="shared" si="36" ref="O105:AB105">SUM(O102:O104)</f>
        <v>78925.39000000001</v>
      </c>
      <c r="P105" s="135">
        <f t="shared" si="36"/>
        <v>657.7115833333334</v>
      </c>
      <c r="Q105" s="135">
        <f t="shared" si="36"/>
        <v>5809.826499999621</v>
      </c>
      <c r="R105" s="135">
        <f t="shared" si="36"/>
        <v>0</v>
      </c>
      <c r="S105" s="135">
        <f t="shared" si="36"/>
        <v>5809.826499999621</v>
      </c>
      <c r="T105" s="135"/>
      <c r="U105" s="135">
        <f t="shared" si="36"/>
        <v>5809.826499999621</v>
      </c>
      <c r="V105" s="135">
        <f t="shared" si="36"/>
        <v>0</v>
      </c>
      <c r="W105" s="135">
        <f t="shared" si="36"/>
        <v>64915.81466666727</v>
      </c>
      <c r="X105" s="135">
        <f t="shared" si="36"/>
        <v>64915.81466666727</v>
      </c>
      <c r="Y105" s="135"/>
      <c r="Z105" s="135">
        <f t="shared" si="36"/>
        <v>64915.81466666727</v>
      </c>
      <c r="AA105" s="135">
        <f t="shared" si="36"/>
        <v>70725.64116666689</v>
      </c>
      <c r="AB105" s="135">
        <f t="shared" si="36"/>
        <v>11104.662083332927</v>
      </c>
    </row>
    <row r="107" ht="12">
      <c r="M107" s="10"/>
    </row>
    <row r="109" ht="11.25" customHeight="1">
      <c r="C109" s="134" t="s">
        <v>222</v>
      </c>
    </row>
    <row r="110" spans="1:33" s="7" customFormat="1" ht="12">
      <c r="A110" s="145">
        <v>13311</v>
      </c>
      <c r="B110" s="36">
        <v>12</v>
      </c>
      <c r="C110" s="44" t="s">
        <v>114</v>
      </c>
      <c r="D110" s="35">
        <v>2000</v>
      </c>
      <c r="E110" s="35">
        <v>7</v>
      </c>
      <c r="F110" s="85">
        <v>0</v>
      </c>
      <c r="G110" s="41"/>
      <c r="H110" s="35" t="s">
        <v>82</v>
      </c>
      <c r="I110" s="38">
        <v>10</v>
      </c>
      <c r="J110" s="39">
        <f>D110+I110</f>
        <v>2010</v>
      </c>
      <c r="M110" s="40">
        <v>6034</v>
      </c>
      <c r="N110" s="42">
        <v>0</v>
      </c>
      <c r="O110" s="41">
        <f>M110-M110*F110</f>
        <v>6034</v>
      </c>
      <c r="P110" s="41">
        <f>O110/I110/12</f>
        <v>50.28333333333333</v>
      </c>
      <c r="Q110" s="41">
        <f>IF(N110&gt;0,0,IF(OR(AC110&gt;AD110,AE110&lt;AF110),0,IF(AND(AE110&gt;=AF110,AE110&lt;=AD110),P110*((AE110-AF110)*12),IF(AND(AF110&lt;=AC110,AD110&gt;=AC110),((AD110-AC110)*12)*P110,IF(AE110&gt;AD110,12*P110,0)))))</f>
        <v>0</v>
      </c>
      <c r="R110" s="41">
        <f>IF(N110=0,0,IF(AND(AG110&gt;=AF110,AG110&lt;=AE110),((AG110-AF110)*12)*P110,0))</f>
        <v>0</v>
      </c>
      <c r="S110" s="41">
        <f>IF(R110&gt;0,R110,Q110)</f>
        <v>0</v>
      </c>
      <c r="T110" s="41">
        <v>1</v>
      </c>
      <c r="U110" s="41">
        <f>T110*SUM(Q110:R110)</f>
        <v>0</v>
      </c>
      <c r="V110" s="41"/>
      <c r="W110" s="41">
        <f>IF(AC110&gt;AD110,0,IF(AE110&lt;AF110,O110,IF(AND(AE110&gt;=AF110,AE110&lt;=AD110),(O110-S110),IF(AND(AF110&lt;=AC110,AD110&gt;=AC110),0,IF(AE110&gt;AD110,((AF110-AC110)*12)*P110,0)))))</f>
        <v>6034</v>
      </c>
      <c r="X110" s="41">
        <f>W110*T110</f>
        <v>6034</v>
      </c>
      <c r="Y110" s="41">
        <v>1</v>
      </c>
      <c r="Z110" s="41">
        <f>X110*Y110</f>
        <v>6034</v>
      </c>
      <c r="AA110" s="41">
        <f>IF(N110&gt;0,0,Z110+U110*Y110)*Y110</f>
        <v>6034</v>
      </c>
      <c r="AB110" s="41">
        <f>IF(N110&gt;0,(M110-Z110)/2,IF(AC110&gt;=AF110,(((M110*T110)*Y110)-AA110)/2,((((M110*T110)*Y110)-Z110)+(((M110*T110)*Y110)-AA110))/2))</f>
        <v>0</v>
      </c>
      <c r="AC110" s="41">
        <f>$D110+(($E110-1)/12)</f>
        <v>2000.5</v>
      </c>
      <c r="AD110" s="41">
        <f>($O$5+1)-($O$2/12)</f>
        <v>2018</v>
      </c>
      <c r="AE110" s="41">
        <f>$J110+(($E110-1)/12)</f>
        <v>2010.5</v>
      </c>
      <c r="AF110" s="41">
        <f>$O$4+($O$3/12)</f>
        <v>2017</v>
      </c>
      <c r="AG110" s="41">
        <f>$K110+(($L110-1)/12)</f>
        <v>-0.08333333333333333</v>
      </c>
    </row>
    <row r="111" spans="1:33" s="7" customFormat="1" ht="12">
      <c r="A111" s="35"/>
      <c r="B111" s="36"/>
      <c r="C111" s="44"/>
      <c r="D111" s="133"/>
      <c r="E111" s="133"/>
      <c r="F111" s="85"/>
      <c r="G111" s="41"/>
      <c r="H111" s="35"/>
      <c r="I111" s="94"/>
      <c r="J111" s="39"/>
      <c r="M111" s="45"/>
      <c r="N111" s="42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</row>
    <row r="112" spans="1:33" s="7" customFormat="1" ht="12">
      <c r="A112" s="35"/>
      <c r="B112" s="36"/>
      <c r="C112" s="44"/>
      <c r="D112" s="38"/>
      <c r="E112" s="38"/>
      <c r="F112" s="85"/>
      <c r="G112" s="41"/>
      <c r="H112" s="35"/>
      <c r="I112" s="38"/>
      <c r="J112" s="39"/>
      <c r="M112" s="40"/>
      <c r="N112" s="42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</row>
    <row r="113" spans="1:33" s="7" customFormat="1" ht="12">
      <c r="A113" s="35"/>
      <c r="B113" s="36"/>
      <c r="C113" s="44"/>
      <c r="D113" s="38"/>
      <c r="E113" s="38"/>
      <c r="F113" s="85"/>
      <c r="G113" s="41"/>
      <c r="H113" s="35"/>
      <c r="I113" s="38"/>
      <c r="J113" s="39"/>
      <c r="M113" s="40"/>
      <c r="N113" s="42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</row>
    <row r="114" spans="1:33" s="7" customFormat="1" ht="12">
      <c r="A114" s="35"/>
      <c r="B114" s="36"/>
      <c r="C114" s="44"/>
      <c r="D114" s="35"/>
      <c r="E114" s="35"/>
      <c r="F114" s="85"/>
      <c r="G114" s="41"/>
      <c r="H114" s="35"/>
      <c r="I114" s="38"/>
      <c r="J114" s="39"/>
      <c r="M114" s="40"/>
      <c r="N114" s="42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</row>
    <row r="115" spans="1:33" s="7" customFormat="1" ht="12">
      <c r="A115" s="35"/>
      <c r="B115" s="36"/>
      <c r="C115" s="44"/>
      <c r="D115" s="35"/>
      <c r="E115" s="35"/>
      <c r="F115" s="85"/>
      <c r="G115" s="41"/>
      <c r="H115" s="35"/>
      <c r="I115" s="38"/>
      <c r="J115" s="39"/>
      <c r="M115" s="40"/>
      <c r="N115" s="42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</row>
    <row r="116" spans="1:33" s="7" customFormat="1" ht="12">
      <c r="A116" s="35"/>
      <c r="B116" s="36"/>
      <c r="C116" s="44"/>
      <c r="D116" s="35"/>
      <c r="E116" s="35"/>
      <c r="F116" s="85"/>
      <c r="G116" s="41"/>
      <c r="H116" s="35"/>
      <c r="I116" s="38"/>
      <c r="J116" s="39"/>
      <c r="M116" s="40"/>
      <c r="N116" s="42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</row>
    <row r="117" spans="1:33" s="7" customFormat="1" ht="12">
      <c r="A117" s="35"/>
      <c r="B117" s="36"/>
      <c r="C117" s="44"/>
      <c r="D117" s="35"/>
      <c r="E117" s="35"/>
      <c r="F117" s="85"/>
      <c r="G117" s="41"/>
      <c r="H117" s="35"/>
      <c r="I117" s="38"/>
      <c r="J117" s="39"/>
      <c r="M117" s="40"/>
      <c r="N117" s="42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</row>
    <row r="118" spans="1:33" s="7" customFormat="1" ht="12">
      <c r="A118" s="35"/>
      <c r="B118" s="36"/>
      <c r="C118" s="44"/>
      <c r="D118" s="35"/>
      <c r="E118" s="35"/>
      <c r="F118" s="85"/>
      <c r="G118" s="41"/>
      <c r="H118" s="35"/>
      <c r="I118" s="38"/>
      <c r="J118" s="39"/>
      <c r="M118" s="67"/>
      <c r="N118" s="42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</row>
    <row r="119" spans="1:33" s="7" customFormat="1" ht="12">
      <c r="A119" s="35"/>
      <c r="B119" s="36"/>
      <c r="C119" s="44"/>
      <c r="D119" s="35"/>
      <c r="E119" s="35"/>
      <c r="F119" s="85"/>
      <c r="G119" s="41"/>
      <c r="H119" s="35"/>
      <c r="I119" s="38"/>
      <c r="J119" s="39"/>
      <c r="M119" s="67"/>
      <c r="N119" s="42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</row>
    <row r="120" spans="1:33" s="7" customFormat="1" ht="12">
      <c r="A120" s="35"/>
      <c r="B120" s="36"/>
      <c r="C120" s="44"/>
      <c r="D120" s="35"/>
      <c r="E120" s="35"/>
      <c r="F120" s="85"/>
      <c r="G120" s="41"/>
      <c r="H120" s="35"/>
      <c r="I120" s="38"/>
      <c r="J120" s="39"/>
      <c r="M120" s="40"/>
      <c r="N120" s="42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</row>
    <row r="121" spans="1:33" s="7" customFormat="1" ht="12">
      <c r="A121" s="35"/>
      <c r="B121" s="36"/>
      <c r="C121" s="44"/>
      <c r="D121" s="35"/>
      <c r="E121" s="35"/>
      <c r="F121" s="85"/>
      <c r="G121" s="41"/>
      <c r="H121" s="35"/>
      <c r="I121" s="38"/>
      <c r="J121" s="39"/>
      <c r="M121" s="40"/>
      <c r="N121" s="42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</row>
    <row r="122" spans="1:33" s="7" customFormat="1" ht="12" customHeight="1">
      <c r="A122" s="35"/>
      <c r="B122" s="36"/>
      <c r="C122" s="44"/>
      <c r="D122" s="35"/>
      <c r="E122" s="35"/>
      <c r="F122" s="85"/>
      <c r="G122" s="41"/>
      <c r="H122" s="35"/>
      <c r="I122" s="38"/>
      <c r="J122" s="39"/>
      <c r="M122" s="40"/>
      <c r="N122" s="42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</row>
    <row r="123" spans="4:10" s="7" customFormat="1" ht="12">
      <c r="D123" s="35"/>
      <c r="E123" s="35"/>
      <c r="I123" s="35"/>
      <c r="J123" s="44"/>
    </row>
    <row r="124" spans="1:33" s="7" customFormat="1" ht="12">
      <c r="A124" s="35"/>
      <c r="D124" s="35"/>
      <c r="E124" s="35"/>
      <c r="F124" s="85"/>
      <c r="H124" s="35"/>
      <c r="I124" s="38"/>
      <c r="J124" s="39"/>
      <c r="M124" s="40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</row>
    <row r="125" spans="1:33" s="7" customFormat="1" ht="12">
      <c r="A125" s="35"/>
      <c r="C125" s="44"/>
      <c r="D125" s="35"/>
      <c r="E125" s="35"/>
      <c r="F125" s="85"/>
      <c r="H125" s="35"/>
      <c r="I125" s="38"/>
      <c r="J125" s="39"/>
      <c r="M125" s="40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</row>
    <row r="126" spans="1:33" s="7" customFormat="1" ht="12">
      <c r="A126" s="145"/>
      <c r="C126" s="44"/>
      <c r="D126" s="35"/>
      <c r="E126" s="35"/>
      <c r="F126" s="85"/>
      <c r="H126" s="35"/>
      <c r="I126" s="38"/>
      <c r="J126" s="39"/>
      <c r="M126" s="40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</row>
    <row r="127" spans="4:10" s="7" customFormat="1" ht="12">
      <c r="D127" s="35"/>
      <c r="E127" s="35"/>
      <c r="I127" s="35"/>
      <c r="J127" s="44"/>
    </row>
    <row r="128" spans="4:10" s="7" customFormat="1" ht="12">
      <c r="D128" s="35"/>
      <c r="E128" s="35"/>
      <c r="I128" s="35"/>
      <c r="J128" s="44"/>
    </row>
    <row r="129" spans="4:10" s="7" customFormat="1" ht="12">
      <c r="D129" s="35"/>
      <c r="E129" s="35"/>
      <c r="I129" s="35"/>
      <c r="J129" s="44"/>
    </row>
    <row r="130" spans="4:10" s="7" customFormat="1" ht="12">
      <c r="D130" s="35"/>
      <c r="E130" s="35"/>
      <c r="I130" s="35"/>
      <c r="J130" s="44"/>
    </row>
    <row r="131" spans="4:10" s="7" customFormat="1" ht="12">
      <c r="D131" s="35"/>
      <c r="E131" s="35"/>
      <c r="I131" s="35"/>
      <c r="J131" s="44"/>
    </row>
    <row r="132" spans="4:10" s="7" customFormat="1" ht="12">
      <c r="D132" s="35"/>
      <c r="E132" s="35"/>
      <c r="I132" s="35"/>
      <c r="J132" s="44"/>
    </row>
    <row r="133" spans="4:10" s="7" customFormat="1" ht="12">
      <c r="D133" s="35"/>
      <c r="E133" s="35"/>
      <c r="I133" s="35"/>
      <c r="J133" s="44"/>
    </row>
    <row r="134" spans="4:10" s="7" customFormat="1" ht="12">
      <c r="D134" s="35"/>
      <c r="E134" s="35"/>
      <c r="I134" s="35"/>
      <c r="J134" s="44"/>
    </row>
    <row r="135" spans="4:10" s="7" customFormat="1" ht="12">
      <c r="D135" s="35"/>
      <c r="E135" s="35"/>
      <c r="I135" s="35"/>
      <c r="J135" s="44"/>
    </row>
    <row r="136" spans="4:10" s="7" customFormat="1" ht="12">
      <c r="D136" s="35"/>
      <c r="E136" s="35"/>
      <c r="I136" s="35"/>
      <c r="J136" s="44"/>
    </row>
    <row r="137" spans="4:10" s="7" customFormat="1" ht="12">
      <c r="D137" s="35"/>
      <c r="E137" s="35"/>
      <c r="I137" s="35"/>
      <c r="J137" s="44"/>
    </row>
    <row r="138" spans="4:10" s="7" customFormat="1" ht="12">
      <c r="D138" s="35"/>
      <c r="E138" s="35"/>
      <c r="I138" s="35"/>
      <c r="J138" s="44"/>
    </row>
    <row r="139" spans="4:10" s="7" customFormat="1" ht="12">
      <c r="D139" s="35"/>
      <c r="E139" s="35"/>
      <c r="I139" s="35"/>
      <c r="J139" s="44"/>
    </row>
    <row r="140" spans="4:10" s="7" customFormat="1" ht="12">
      <c r="D140" s="35"/>
      <c r="E140" s="35"/>
      <c r="I140" s="35"/>
      <c r="J140" s="44"/>
    </row>
    <row r="141" spans="4:10" s="7" customFormat="1" ht="12">
      <c r="D141" s="35"/>
      <c r="E141" s="35"/>
      <c r="I141" s="35"/>
      <c r="J141" s="44"/>
    </row>
    <row r="142" spans="4:10" s="7" customFormat="1" ht="12">
      <c r="D142" s="35"/>
      <c r="E142" s="35"/>
      <c r="I142" s="35"/>
      <c r="J142" s="44"/>
    </row>
    <row r="143" spans="4:10" s="7" customFormat="1" ht="12">
      <c r="D143" s="35"/>
      <c r="E143" s="35"/>
      <c r="I143" s="35"/>
      <c r="J143" s="44"/>
    </row>
    <row r="144" spans="4:10" s="7" customFormat="1" ht="12">
      <c r="D144" s="35"/>
      <c r="E144" s="35"/>
      <c r="I144" s="35"/>
      <c r="J144" s="44"/>
    </row>
    <row r="145" spans="4:10" s="7" customFormat="1" ht="12">
      <c r="D145" s="35"/>
      <c r="E145" s="35"/>
      <c r="I145" s="35"/>
      <c r="J145" s="44"/>
    </row>
    <row r="146" spans="4:10" s="7" customFormat="1" ht="12">
      <c r="D146" s="35"/>
      <c r="E146" s="35"/>
      <c r="I146" s="35"/>
      <c r="J146" s="44"/>
    </row>
    <row r="147" spans="4:10" s="7" customFormat="1" ht="12">
      <c r="D147" s="35"/>
      <c r="E147" s="35"/>
      <c r="I147" s="35"/>
      <c r="J147" s="44"/>
    </row>
    <row r="148" spans="4:10" s="7" customFormat="1" ht="12">
      <c r="D148" s="35"/>
      <c r="E148" s="35"/>
      <c r="I148" s="35"/>
      <c r="J148" s="44"/>
    </row>
    <row r="149" spans="4:10" s="7" customFormat="1" ht="12">
      <c r="D149" s="35"/>
      <c r="E149" s="35"/>
      <c r="I149" s="35"/>
      <c r="J149" s="44"/>
    </row>
    <row r="150" spans="4:10" s="7" customFormat="1" ht="12">
      <c r="D150" s="35"/>
      <c r="E150" s="35"/>
      <c r="I150" s="35"/>
      <c r="J150" s="44"/>
    </row>
    <row r="151" spans="4:10" s="7" customFormat="1" ht="12">
      <c r="D151" s="35"/>
      <c r="E151" s="35"/>
      <c r="I151" s="35"/>
      <c r="J151" s="44"/>
    </row>
    <row r="152" spans="4:10" s="7" customFormat="1" ht="12">
      <c r="D152" s="35"/>
      <c r="E152" s="35"/>
      <c r="I152" s="35"/>
      <c r="J152" s="44"/>
    </row>
    <row r="153" spans="4:10" s="7" customFormat="1" ht="12">
      <c r="D153" s="35"/>
      <c r="E153" s="35"/>
      <c r="I153" s="35"/>
      <c r="J153" s="44"/>
    </row>
    <row r="154" spans="4:10" s="7" customFormat="1" ht="12">
      <c r="D154" s="35"/>
      <c r="E154" s="35"/>
      <c r="I154" s="35"/>
      <c r="J154" s="44"/>
    </row>
    <row r="155" spans="4:10" s="7" customFormat="1" ht="12">
      <c r="D155" s="35"/>
      <c r="E155" s="35"/>
      <c r="I155" s="35"/>
      <c r="J155" s="44"/>
    </row>
    <row r="156" spans="4:10" s="7" customFormat="1" ht="12">
      <c r="D156" s="35"/>
      <c r="E156" s="35"/>
      <c r="I156" s="35"/>
      <c r="J156" s="44"/>
    </row>
    <row r="157" spans="4:10" s="7" customFormat="1" ht="12">
      <c r="D157" s="35"/>
      <c r="E157" s="35"/>
      <c r="I157" s="35"/>
      <c r="J157" s="44"/>
    </row>
    <row r="158" spans="4:10" s="7" customFormat="1" ht="12">
      <c r="D158" s="35"/>
      <c r="E158" s="35"/>
      <c r="I158" s="35"/>
      <c r="J158" s="44"/>
    </row>
    <row r="159" spans="4:10" s="7" customFormat="1" ht="12">
      <c r="D159" s="35"/>
      <c r="E159" s="35"/>
      <c r="I159" s="35"/>
      <c r="J159" s="44"/>
    </row>
  </sheetData>
  <sheetProtection/>
  <printOptions/>
  <pageMargins left="0.75" right="0.75" top="1" bottom="1" header="0.5" footer="0.5"/>
  <pageSetup horizontalDpi="300" verticalDpi="300" orientation="landscape" scale="58" r:id="rId3"/>
  <colBreaks count="1" manualBreakCount="1">
    <brk id="28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66"/>
  <sheetViews>
    <sheetView zoomScalePageLayoutView="0" workbookViewId="0" topLeftCell="A31">
      <selection activeCell="P6" sqref="P6"/>
    </sheetView>
  </sheetViews>
  <sheetFormatPr defaultColWidth="11.421875" defaultRowHeight="15"/>
  <cols>
    <col min="1" max="1" width="3.8515625" style="3" customWidth="1"/>
    <col min="2" max="2" width="5.8515625" style="3" customWidth="1"/>
    <col min="3" max="3" width="7.00390625" style="132" bestFit="1" customWidth="1"/>
    <col min="4" max="4" width="23.7109375" style="3" customWidth="1"/>
    <col min="5" max="5" width="8.00390625" style="3" customWidth="1"/>
    <col min="6" max="6" width="4.140625" style="3" customWidth="1"/>
    <col min="7" max="7" width="6.8515625" style="3" customWidth="1"/>
    <col min="8" max="8" width="2.140625" style="3" customWidth="1"/>
    <col min="9" max="9" width="7.421875" style="3" customWidth="1"/>
    <col min="10" max="10" width="6.421875" style="12" customWidth="1"/>
    <col min="11" max="11" width="5.00390625" style="137" bestFit="1" customWidth="1"/>
    <col min="12" max="12" width="5.7109375" style="3" bestFit="1" customWidth="1"/>
    <col min="13" max="13" width="4.140625" style="3" bestFit="1" customWidth="1"/>
    <col min="14" max="14" width="10.140625" style="3" customWidth="1"/>
    <col min="15" max="15" width="8.140625" style="3" bestFit="1" customWidth="1"/>
    <col min="16" max="16" width="10.28125" style="3" customWidth="1"/>
    <col min="17" max="17" width="10.00390625" style="3" customWidth="1"/>
    <col min="18" max="18" width="9.7109375" style="3" customWidth="1"/>
    <col min="19" max="19" width="8.140625" style="3" bestFit="1" customWidth="1"/>
    <col min="20" max="20" width="10.28125" style="3" customWidth="1"/>
    <col min="21" max="21" width="4.421875" style="3" bestFit="1" customWidth="1"/>
    <col min="22" max="22" width="8.57421875" style="3" bestFit="1" customWidth="1"/>
    <col min="23" max="23" width="1.28515625" style="3" customWidth="1"/>
    <col min="24" max="24" width="9.00390625" style="3" bestFit="1" customWidth="1"/>
    <col min="25" max="25" width="8.8515625" style="3" bestFit="1" customWidth="1"/>
    <col min="26" max="26" width="6.57421875" style="3" bestFit="1" customWidth="1"/>
    <col min="27" max="27" width="8.8515625" style="3" bestFit="1" customWidth="1"/>
    <col min="28" max="28" width="9.8515625" style="3" bestFit="1" customWidth="1"/>
    <col min="29" max="29" width="10.00390625" style="3" bestFit="1" customWidth="1"/>
    <col min="30" max="31" width="7.8515625" style="3" bestFit="1" customWidth="1"/>
    <col min="32" max="32" width="10.8515625" style="3" customWidth="1"/>
    <col min="33" max="33" width="7.8515625" style="3" bestFit="1" customWidth="1"/>
    <col min="34" max="34" width="5.00390625" style="3" bestFit="1" customWidth="1"/>
    <col min="35" max="35" width="11.421875" style="3" customWidth="1"/>
    <col min="36" max="36" width="13.421875" style="3" bestFit="1" customWidth="1"/>
    <col min="37" max="37" width="2.57421875" style="3" customWidth="1"/>
    <col min="38" max="38" width="17.57421875" style="3" bestFit="1" customWidth="1"/>
    <col min="39" max="39" width="2.7109375" style="3" customWidth="1"/>
    <col min="40" max="40" width="16.28125" style="3" bestFit="1" customWidth="1"/>
    <col min="41" max="41" width="2.7109375" style="3" customWidth="1"/>
    <col min="42" max="42" width="18.28125" style="3" bestFit="1" customWidth="1"/>
    <col min="43" max="43" width="2.7109375" style="3" customWidth="1"/>
    <col min="44" max="44" width="13.421875" style="3" bestFit="1" customWidth="1"/>
    <col min="45" max="16384" width="11.421875" style="3" customWidth="1"/>
  </cols>
  <sheetData>
    <row r="1" spans="4:31" ht="12">
      <c r="D1" s="13" t="s">
        <v>110</v>
      </c>
      <c r="P1" s="15"/>
      <c r="Q1" s="15"/>
      <c r="AE1" s="16">
        <v>40909</v>
      </c>
    </row>
    <row r="2" spans="4:17" ht="12">
      <c r="D2" s="13" t="s">
        <v>24</v>
      </c>
      <c r="P2" s="17">
        <f>+'2144 Trks Orig'!P2</f>
        <v>12</v>
      </c>
      <c r="Q2" s="18" t="s">
        <v>25</v>
      </c>
    </row>
    <row r="3" spans="4:32" ht="12">
      <c r="D3" s="222">
        <f>'[9]Depr Summary'!H5</f>
        <v>43100</v>
      </c>
      <c r="P3" s="17">
        <f>+'2144 Trks Orig'!P3</f>
        <v>0</v>
      </c>
      <c r="Q3" s="18" t="s">
        <v>27</v>
      </c>
      <c r="AE3" s="3" t="s">
        <v>28</v>
      </c>
      <c r="AF3" s="3" t="s">
        <v>29</v>
      </c>
    </row>
    <row r="4" spans="16:32" ht="12">
      <c r="P4" s="21">
        <v>2017</v>
      </c>
      <c r="Q4" s="18" t="s">
        <v>30</v>
      </c>
      <c r="AE4" s="3" t="s">
        <v>31</v>
      </c>
      <c r="AF4" s="3" t="s">
        <v>32</v>
      </c>
    </row>
    <row r="5" spans="16:44" ht="12">
      <c r="P5" s="21">
        <v>2018</v>
      </c>
      <c r="Q5" s="18" t="s">
        <v>35</v>
      </c>
      <c r="AE5" s="3" t="s">
        <v>36</v>
      </c>
      <c r="AF5" s="3" t="s">
        <v>37</v>
      </c>
      <c r="AJ5" s="380" t="s">
        <v>248</v>
      </c>
      <c r="AK5" s="380"/>
      <c r="AL5" s="380"/>
      <c r="AM5" s="380"/>
      <c r="AN5" s="380"/>
      <c r="AO5" s="380"/>
      <c r="AP5" s="380"/>
      <c r="AQ5" s="380"/>
      <c r="AR5" s="380"/>
    </row>
    <row r="6" spans="31:44" ht="12">
      <c r="AE6" s="3" t="s">
        <v>39</v>
      </c>
      <c r="AF6" s="3" t="s">
        <v>40</v>
      </c>
      <c r="AJ6" s="380"/>
      <c r="AK6" s="380"/>
      <c r="AL6" s="380"/>
      <c r="AM6" s="380"/>
      <c r="AN6" s="380"/>
      <c r="AO6" s="380"/>
      <c r="AP6" s="380"/>
      <c r="AQ6" s="380"/>
      <c r="AR6" s="380"/>
    </row>
    <row r="7" spans="31:44" ht="12.75">
      <c r="AE7" s="3" t="s">
        <v>41</v>
      </c>
      <c r="AF7" s="3" t="s">
        <v>42</v>
      </c>
      <c r="AJ7" s="223"/>
      <c r="AK7" s="223"/>
      <c r="AL7" s="223"/>
      <c r="AM7" s="223"/>
      <c r="AN7" s="223"/>
      <c r="AO7" s="223"/>
      <c r="AP7" s="223"/>
      <c r="AQ7" s="223"/>
      <c r="AR7" s="223"/>
    </row>
    <row r="8" spans="2:44" ht="15">
      <c r="B8" s="15"/>
      <c r="C8" s="131"/>
      <c r="D8" s="15"/>
      <c r="E8" s="15"/>
      <c r="F8" s="15"/>
      <c r="G8" s="15"/>
      <c r="H8" s="15"/>
      <c r="I8" s="15"/>
      <c r="J8" s="22"/>
      <c r="S8" s="12" t="s">
        <v>44</v>
      </c>
      <c r="V8" s="4" t="s">
        <v>45</v>
      </c>
      <c r="X8" s="4" t="s">
        <v>0</v>
      </c>
      <c r="Y8" s="4" t="s">
        <v>1</v>
      </c>
      <c r="AA8" s="4" t="s">
        <v>46</v>
      </c>
      <c r="AB8" s="4" t="s">
        <v>46</v>
      </c>
      <c r="AC8" s="4"/>
      <c r="AJ8" s="223"/>
      <c r="AK8" s="223"/>
      <c r="AL8" s="223"/>
      <c r="AM8" s="223"/>
      <c r="AN8" s="147" t="s">
        <v>249</v>
      </c>
      <c r="AO8" s="223"/>
      <c r="AP8" s="147" t="s">
        <v>249</v>
      </c>
      <c r="AQ8" s="223"/>
      <c r="AR8" s="223"/>
    </row>
    <row r="9" spans="1:44" ht="15">
      <c r="A9" s="4"/>
      <c r="B9" s="4" t="s">
        <v>13</v>
      </c>
      <c r="C9" s="130"/>
      <c r="D9" s="24"/>
      <c r="E9" s="4" t="s">
        <v>48</v>
      </c>
      <c r="F9" s="4"/>
      <c r="G9" s="25" t="s">
        <v>5</v>
      </c>
      <c r="H9" s="15"/>
      <c r="I9" s="4" t="s">
        <v>13</v>
      </c>
      <c r="J9" s="4"/>
      <c r="K9" s="26" t="s">
        <v>49</v>
      </c>
      <c r="L9" s="4" t="s">
        <v>13</v>
      </c>
      <c r="N9" s="4" t="s">
        <v>13</v>
      </c>
      <c r="O9" s="12" t="s">
        <v>50</v>
      </c>
      <c r="P9" s="24" t="s">
        <v>13</v>
      </c>
      <c r="Q9" s="24"/>
      <c r="R9" s="4" t="s">
        <v>51</v>
      </c>
      <c r="S9" s="12" t="s">
        <v>49</v>
      </c>
      <c r="T9" s="4" t="s">
        <v>45</v>
      </c>
      <c r="U9" s="4" t="s">
        <v>52</v>
      </c>
      <c r="V9" s="4" t="s">
        <v>46</v>
      </c>
      <c r="X9" s="4" t="s">
        <v>111</v>
      </c>
      <c r="Y9" s="4" t="s">
        <v>111</v>
      </c>
      <c r="Z9" s="12" t="s">
        <v>54</v>
      </c>
      <c r="AA9" s="4" t="s">
        <v>55</v>
      </c>
      <c r="AB9" s="4" t="s">
        <v>55</v>
      </c>
      <c r="AC9" s="4" t="s">
        <v>2</v>
      </c>
      <c r="AJ9" s="148" t="s">
        <v>250</v>
      </c>
      <c r="AK9" s="149"/>
      <c r="AL9" s="148" t="s">
        <v>251</v>
      </c>
      <c r="AM9" s="149"/>
      <c r="AN9" s="148" t="s">
        <v>252</v>
      </c>
      <c r="AO9" s="149"/>
      <c r="AP9" s="148" t="s">
        <v>252</v>
      </c>
      <c r="AQ9" s="149"/>
      <c r="AR9" s="148" t="s">
        <v>253</v>
      </c>
    </row>
    <row r="10" spans="1:44" ht="15">
      <c r="A10" s="4"/>
      <c r="B10" s="4" t="s">
        <v>112</v>
      </c>
      <c r="C10" s="130"/>
      <c r="D10" s="24" t="s">
        <v>17</v>
      </c>
      <c r="E10" s="4" t="s">
        <v>57</v>
      </c>
      <c r="F10" s="4"/>
      <c r="G10" s="25" t="s">
        <v>58</v>
      </c>
      <c r="H10" s="15"/>
      <c r="I10" s="4" t="s">
        <v>59</v>
      </c>
      <c r="J10" s="4" t="s">
        <v>60</v>
      </c>
      <c r="K10" s="26" t="s">
        <v>61</v>
      </c>
      <c r="L10" s="4" t="s">
        <v>50</v>
      </c>
      <c r="M10" s="3" t="s">
        <v>62</v>
      </c>
      <c r="N10" s="4" t="s">
        <v>50</v>
      </c>
      <c r="O10" s="12" t="s">
        <v>44</v>
      </c>
      <c r="P10" s="4" t="s">
        <v>6</v>
      </c>
      <c r="Q10" s="4" t="s">
        <v>63</v>
      </c>
      <c r="R10" s="4" t="s">
        <v>49</v>
      </c>
      <c r="S10" s="12" t="s">
        <v>64</v>
      </c>
      <c r="T10" s="4" t="s">
        <v>65</v>
      </c>
      <c r="U10" s="4" t="s">
        <v>66</v>
      </c>
      <c r="V10" s="4" t="s">
        <v>67</v>
      </c>
      <c r="W10" s="4"/>
      <c r="X10" s="4" t="s">
        <v>6</v>
      </c>
      <c r="Y10" s="4" t="s">
        <v>6</v>
      </c>
      <c r="Z10" s="4" t="s">
        <v>66</v>
      </c>
      <c r="AA10" s="4" t="s">
        <v>69</v>
      </c>
      <c r="AB10" s="4" t="s">
        <v>69</v>
      </c>
      <c r="AC10" s="4" t="s">
        <v>9</v>
      </c>
      <c r="AD10" s="12" t="s">
        <v>28</v>
      </c>
      <c r="AE10" s="12" t="s">
        <v>70</v>
      </c>
      <c r="AF10" s="12" t="s">
        <v>71</v>
      </c>
      <c r="AG10" s="12" t="s">
        <v>39</v>
      </c>
      <c r="AH10" s="12" t="s">
        <v>41</v>
      </c>
      <c r="AJ10" s="148" t="s">
        <v>254</v>
      </c>
      <c r="AK10" s="149"/>
      <c r="AL10" s="148" t="s">
        <v>255</v>
      </c>
      <c r="AM10" s="149"/>
      <c r="AN10" s="150" t="s">
        <v>256</v>
      </c>
      <c r="AO10" s="149"/>
      <c r="AP10" s="148" t="s">
        <v>257</v>
      </c>
      <c r="AQ10" s="149"/>
      <c r="AR10" s="148" t="s">
        <v>9</v>
      </c>
    </row>
    <row r="11" spans="1:29" ht="12">
      <c r="A11" s="27" t="s">
        <v>73</v>
      </c>
      <c r="B11" s="27" t="s">
        <v>74</v>
      </c>
      <c r="C11" s="129" t="s">
        <v>144</v>
      </c>
      <c r="D11" s="28" t="s">
        <v>75</v>
      </c>
      <c r="E11" s="27" t="s">
        <v>49</v>
      </c>
      <c r="F11" s="27" t="s">
        <v>76</v>
      </c>
      <c r="G11" s="29" t="s">
        <v>52</v>
      </c>
      <c r="H11" s="15" t="s">
        <v>77</v>
      </c>
      <c r="I11" s="27" t="s">
        <v>78</v>
      </c>
      <c r="J11" s="27" t="s">
        <v>79</v>
      </c>
      <c r="K11" s="30" t="s">
        <v>6</v>
      </c>
      <c r="L11" s="27" t="s">
        <v>4</v>
      </c>
      <c r="M11" s="31" t="s">
        <v>77</v>
      </c>
      <c r="N11" s="27" t="s">
        <v>4</v>
      </c>
      <c r="O11" s="31" t="s">
        <v>77</v>
      </c>
      <c r="P11" s="27" t="s">
        <v>4</v>
      </c>
      <c r="Q11" s="27" t="s">
        <v>6</v>
      </c>
      <c r="R11" s="27" t="s">
        <v>6</v>
      </c>
      <c r="S11" s="31" t="s">
        <v>77</v>
      </c>
      <c r="T11" s="4" t="s">
        <v>80</v>
      </c>
      <c r="U11" s="27" t="s">
        <v>77</v>
      </c>
      <c r="V11" s="4" t="s">
        <v>69</v>
      </c>
      <c r="W11" s="4"/>
      <c r="X11" s="32">
        <f>'[9]Depr Summary'!F5</f>
        <v>42736</v>
      </c>
      <c r="Y11" s="32">
        <f>+D3</f>
        <v>43100</v>
      </c>
      <c r="Z11" s="4" t="s">
        <v>52</v>
      </c>
      <c r="AA11" s="33">
        <f>'[9]Depr Summary'!F5</f>
        <v>42736</v>
      </c>
      <c r="AB11" s="33">
        <f>+D3</f>
        <v>43100</v>
      </c>
      <c r="AC11" s="34">
        <f>D3</f>
        <v>43100</v>
      </c>
    </row>
    <row r="12" spans="1:44" ht="12">
      <c r="A12" s="12"/>
      <c r="B12" s="12"/>
      <c r="C12" s="128"/>
      <c r="D12" s="14" t="s">
        <v>145</v>
      </c>
      <c r="E12" s="10">
        <v>1975</v>
      </c>
      <c r="F12" s="10">
        <v>10</v>
      </c>
      <c r="G12" s="56">
        <v>0</v>
      </c>
      <c r="H12" s="15"/>
      <c r="I12" s="12" t="s">
        <v>82</v>
      </c>
      <c r="J12" s="137">
        <v>4</v>
      </c>
      <c r="K12" s="137">
        <f aca="true" t="shared" si="0" ref="K12:K32">E12+J12</f>
        <v>1979</v>
      </c>
      <c r="N12" s="10">
        <v>512</v>
      </c>
      <c r="O12" s="142">
        <v>0</v>
      </c>
      <c r="P12" s="15">
        <f aca="true" t="shared" si="1" ref="P12:P32">N12-N12*G12</f>
        <v>512</v>
      </c>
      <c r="Q12" s="15">
        <f aca="true" t="shared" si="2" ref="Q12:Q32">P12/J12/12</f>
        <v>10.666666666666666</v>
      </c>
      <c r="R12" s="15">
        <f aca="true" t="shared" si="3" ref="R12:R32">IF(O12&gt;0,0,IF(OR(AD12&gt;AE12,AF12&lt;AG12),0,IF(AND(AF12&gt;=AG12,AF12&lt;=AE12),Q12*((AF12-AG12)*12),IF(AND(AG12&lt;=AD12,AE12&gt;=AD12),((AE12-AD12)*12)*Q12,IF(AF12&gt;AE12,12*Q12,0)))))</f>
        <v>0</v>
      </c>
      <c r="S12" s="15">
        <f aca="true" t="shared" si="4" ref="S12:S32">IF(O12=0,0,IF(AND(AH12&gt;=AG12,AH12&lt;=AF12),((AH12-AG12)*12)*Q12,0))</f>
        <v>0</v>
      </c>
      <c r="T12" s="15">
        <f aca="true" t="shared" si="5" ref="T12:T32">IF(S12&gt;0,S12,R12)</f>
        <v>0</v>
      </c>
      <c r="U12" s="15">
        <v>1</v>
      </c>
      <c r="V12" s="15">
        <f aca="true" t="shared" si="6" ref="V12:V32">U12*SUM(R12:S12)</f>
        <v>0</v>
      </c>
      <c r="W12" s="15"/>
      <c r="X12" s="15">
        <f aca="true" t="shared" si="7" ref="X12:X32">IF(AD12&gt;AE12,0,IF(AF12&lt;AG12,P12,IF(AND(AF12&gt;=AG12,AF12&lt;=AE12),(P12-T12),IF(AND(AG12&lt;=AD12,AE12&gt;=AD12),0,IF(AF12&gt;AE12,((AG12-AD12)*12)*Q12,0)))))</f>
        <v>512</v>
      </c>
      <c r="Y12" s="15">
        <f aca="true" t="shared" si="8" ref="Y12:Y32">X12*U12</f>
        <v>512</v>
      </c>
      <c r="Z12" s="15">
        <v>1</v>
      </c>
      <c r="AA12" s="15">
        <f aca="true" t="shared" si="9" ref="AA12:AA32">Y12*Z12</f>
        <v>512</v>
      </c>
      <c r="AB12" s="15">
        <f aca="true" t="shared" si="10" ref="AB12:AB32">IF(O12&gt;0,0,AA12+V12*Z12)*Z12</f>
        <v>512</v>
      </c>
      <c r="AC12" s="15">
        <f aca="true" t="shared" si="11" ref="AC12:AC32">IF(O12&gt;0,(N12-AA12)/2,IF(AD12&gt;=AG12,(((N12*U12)*Z12)-AB12)/2,((((N12*U12)*Z12)-AA12)+(((N12*U12)*Z12)-AB12))/2))</f>
        <v>0</v>
      </c>
      <c r="AD12" s="15">
        <f aca="true" t="shared" si="12" ref="AD12:AD32">$E12+(($F12-1)/12)</f>
        <v>1975.75</v>
      </c>
      <c r="AE12" s="15">
        <f aca="true" t="shared" si="13" ref="AE12:AE34">($P$5+1)-($P$2/12)</f>
        <v>2018</v>
      </c>
      <c r="AF12" s="15">
        <f aca="true" t="shared" si="14" ref="AF12:AF32">$K12+(($F12-1)/12)</f>
        <v>1979.75</v>
      </c>
      <c r="AG12" s="15">
        <f aca="true" t="shared" si="15" ref="AG12:AG34">$P$4+($P$3/12)</f>
        <v>2017</v>
      </c>
      <c r="AH12" s="15">
        <f aca="true" t="shared" si="16" ref="AH12:AH32">$L12+(($M12-1)/12)</f>
        <v>-0.08333333333333333</v>
      </c>
      <c r="AJ12" s="224">
        <f>+IF((AF12-AG12)&gt;3,((N12-P12)/(AF12-AG12)),(N12-P12)/3)</f>
        <v>0</v>
      </c>
      <c r="AK12" s="7"/>
      <c r="AL12" s="224">
        <f>+AJ12+T12</f>
        <v>0</v>
      </c>
      <c r="AM12" s="7"/>
      <c r="AN12" s="224">
        <f>+IF(AF12&lt;AG12,-AC12,0)</f>
        <v>0</v>
      </c>
      <c r="AO12" s="7"/>
      <c r="AP12" s="224">
        <f>IF(AF12&gt;AG12,IF(AJ12&gt;0,IF(O12&gt;0,(N12-AA12)/2,IF(AD12&gt;=AG12,(((N12*U12)*Z12)-(AB12+AJ12))/2,((((N12*U12)*Z12)-AA12)+(((N12*U12)*Z12)-(AB12+AJ12)))/2)),0),0)</f>
        <v>0</v>
      </c>
      <c r="AQ12" s="7"/>
      <c r="AR12" s="146">
        <f>+AC12+AN12+(IF(AP12&gt;0,(AP12-AC12),0))</f>
        <v>0</v>
      </c>
    </row>
    <row r="13" spans="1:44" ht="12">
      <c r="A13" s="12"/>
      <c r="B13" s="12"/>
      <c r="C13" s="128"/>
      <c r="D13" s="14" t="s">
        <v>145</v>
      </c>
      <c r="E13" s="55">
        <v>1976</v>
      </c>
      <c r="F13" s="55">
        <v>3</v>
      </c>
      <c r="G13" s="56">
        <v>0</v>
      </c>
      <c r="H13" s="15"/>
      <c r="I13" s="12" t="s">
        <v>82</v>
      </c>
      <c r="J13" s="57">
        <v>6</v>
      </c>
      <c r="K13" s="137">
        <f t="shared" si="0"/>
        <v>1982</v>
      </c>
      <c r="N13" s="58">
        <v>654</v>
      </c>
      <c r="O13" s="142">
        <v>0</v>
      </c>
      <c r="P13" s="15">
        <f t="shared" si="1"/>
        <v>654</v>
      </c>
      <c r="Q13" s="15">
        <f t="shared" si="2"/>
        <v>9.083333333333334</v>
      </c>
      <c r="R13" s="15">
        <f t="shared" si="3"/>
        <v>0</v>
      </c>
      <c r="S13" s="15">
        <f t="shared" si="4"/>
        <v>0</v>
      </c>
      <c r="T13" s="15">
        <f t="shared" si="5"/>
        <v>0</v>
      </c>
      <c r="U13" s="15">
        <v>1</v>
      </c>
      <c r="V13" s="15">
        <f t="shared" si="6"/>
        <v>0</v>
      </c>
      <c r="W13" s="15"/>
      <c r="X13" s="15">
        <f t="shared" si="7"/>
        <v>654</v>
      </c>
      <c r="Y13" s="15">
        <f t="shared" si="8"/>
        <v>654</v>
      </c>
      <c r="Z13" s="15">
        <v>1</v>
      </c>
      <c r="AA13" s="15">
        <f t="shared" si="9"/>
        <v>654</v>
      </c>
      <c r="AB13" s="15">
        <f t="shared" si="10"/>
        <v>654</v>
      </c>
      <c r="AC13" s="15">
        <f t="shared" si="11"/>
        <v>0</v>
      </c>
      <c r="AD13" s="15">
        <f t="shared" si="12"/>
        <v>1976.1666666666667</v>
      </c>
      <c r="AE13" s="15">
        <f t="shared" si="13"/>
        <v>2018</v>
      </c>
      <c r="AF13" s="15">
        <f t="shared" si="14"/>
        <v>1982.1666666666667</v>
      </c>
      <c r="AG13" s="15">
        <f t="shared" si="15"/>
        <v>2017</v>
      </c>
      <c r="AH13" s="15">
        <f t="shared" si="16"/>
        <v>-0.08333333333333333</v>
      </c>
      <c r="AJ13" s="224">
        <f aca="true" t="shared" si="17" ref="AJ13:AJ36">+IF((AF13-AG13)&gt;3,((N13-P13)/(AF13-AG13)),(N13-P13)/3)</f>
        <v>0</v>
      </c>
      <c r="AK13" s="7"/>
      <c r="AL13" s="224">
        <f aca="true" t="shared" si="18" ref="AL13:AL36">+AJ13+T13</f>
        <v>0</v>
      </c>
      <c r="AM13" s="7"/>
      <c r="AN13" s="224">
        <f aca="true" t="shared" si="19" ref="AN13:AN36">+IF(AF13&lt;AG13,-AC13,0)</f>
        <v>0</v>
      </c>
      <c r="AO13" s="7"/>
      <c r="AP13" s="224">
        <f aca="true" t="shared" si="20" ref="AP13:AP36">IF(AF13&gt;AG13,IF(AJ13&gt;0,IF(O13&gt;0,(N13-AA13)/2,IF(AD13&gt;=AG13,(((N13*U13)*Z13)-(AB13+AJ13))/2,((((N13*U13)*Z13)-AA13)+(((N13*U13)*Z13)-(AB13+AJ13)))/2)),0),0)</f>
        <v>0</v>
      </c>
      <c r="AQ13" s="7"/>
      <c r="AR13" s="146">
        <f aca="true" t="shared" si="21" ref="AR13:AR36">+AC13+AN13+(IF(AP13&gt;0,(AP13-AC13),0))</f>
        <v>0</v>
      </c>
    </row>
    <row r="14" spans="1:44" ht="12">
      <c r="A14" s="12"/>
      <c r="B14" s="12"/>
      <c r="C14" s="128"/>
      <c r="D14" s="14" t="s">
        <v>145</v>
      </c>
      <c r="E14" s="55">
        <v>1977</v>
      </c>
      <c r="F14" s="55">
        <v>5</v>
      </c>
      <c r="G14" s="56">
        <v>0</v>
      </c>
      <c r="H14" s="15"/>
      <c r="I14" s="12" t="s">
        <v>82</v>
      </c>
      <c r="J14" s="57">
        <v>5</v>
      </c>
      <c r="K14" s="137">
        <f t="shared" si="0"/>
        <v>1982</v>
      </c>
      <c r="N14" s="58">
        <v>100</v>
      </c>
      <c r="O14" s="142">
        <v>0</v>
      </c>
      <c r="P14" s="15">
        <f t="shared" si="1"/>
        <v>100</v>
      </c>
      <c r="Q14" s="15">
        <f t="shared" si="2"/>
        <v>1.6666666666666667</v>
      </c>
      <c r="R14" s="15">
        <f t="shared" si="3"/>
        <v>0</v>
      </c>
      <c r="S14" s="15">
        <f t="shared" si="4"/>
        <v>0</v>
      </c>
      <c r="T14" s="15">
        <f t="shared" si="5"/>
        <v>0</v>
      </c>
      <c r="U14" s="15">
        <v>1</v>
      </c>
      <c r="V14" s="15">
        <f t="shared" si="6"/>
        <v>0</v>
      </c>
      <c r="W14" s="15"/>
      <c r="X14" s="15">
        <f t="shared" si="7"/>
        <v>100</v>
      </c>
      <c r="Y14" s="15">
        <f t="shared" si="8"/>
        <v>100</v>
      </c>
      <c r="Z14" s="15">
        <v>1</v>
      </c>
      <c r="AA14" s="15">
        <f t="shared" si="9"/>
        <v>100</v>
      </c>
      <c r="AB14" s="15">
        <f t="shared" si="10"/>
        <v>100</v>
      </c>
      <c r="AC14" s="15">
        <f t="shared" si="11"/>
        <v>0</v>
      </c>
      <c r="AD14" s="15">
        <f t="shared" si="12"/>
        <v>1977.3333333333333</v>
      </c>
      <c r="AE14" s="15">
        <f t="shared" si="13"/>
        <v>2018</v>
      </c>
      <c r="AF14" s="15">
        <f t="shared" si="14"/>
        <v>1982.3333333333333</v>
      </c>
      <c r="AG14" s="15">
        <f t="shared" si="15"/>
        <v>2017</v>
      </c>
      <c r="AH14" s="15">
        <f t="shared" si="16"/>
        <v>-0.08333333333333333</v>
      </c>
      <c r="AJ14" s="224">
        <f t="shared" si="17"/>
        <v>0</v>
      </c>
      <c r="AK14" s="7"/>
      <c r="AL14" s="224">
        <f t="shared" si="18"/>
        <v>0</v>
      </c>
      <c r="AM14" s="7"/>
      <c r="AN14" s="224">
        <f t="shared" si="19"/>
        <v>0</v>
      </c>
      <c r="AO14" s="7"/>
      <c r="AP14" s="224">
        <f t="shared" si="20"/>
        <v>0</v>
      </c>
      <c r="AQ14" s="7"/>
      <c r="AR14" s="146">
        <f t="shared" si="21"/>
        <v>0</v>
      </c>
    </row>
    <row r="15" spans="1:44" ht="12">
      <c r="A15" s="12"/>
      <c r="B15" s="12"/>
      <c r="C15" s="128"/>
      <c r="D15" s="14" t="s">
        <v>145</v>
      </c>
      <c r="E15" s="55">
        <v>1977</v>
      </c>
      <c r="F15" s="55">
        <v>11</v>
      </c>
      <c r="G15" s="56">
        <v>0</v>
      </c>
      <c r="H15" s="15"/>
      <c r="I15" s="12" t="s">
        <v>82</v>
      </c>
      <c r="J15" s="57">
        <v>6</v>
      </c>
      <c r="K15" s="137">
        <f t="shared" si="0"/>
        <v>1983</v>
      </c>
      <c r="N15" s="58">
        <v>157</v>
      </c>
      <c r="O15" s="142">
        <v>0</v>
      </c>
      <c r="P15" s="15">
        <f t="shared" si="1"/>
        <v>157</v>
      </c>
      <c r="Q15" s="15">
        <f t="shared" si="2"/>
        <v>2.180555555555556</v>
      </c>
      <c r="R15" s="15">
        <f t="shared" si="3"/>
        <v>0</v>
      </c>
      <c r="S15" s="15">
        <f t="shared" si="4"/>
        <v>0</v>
      </c>
      <c r="T15" s="15">
        <f t="shared" si="5"/>
        <v>0</v>
      </c>
      <c r="U15" s="15">
        <v>1</v>
      </c>
      <c r="V15" s="15">
        <f t="shared" si="6"/>
        <v>0</v>
      </c>
      <c r="W15" s="15"/>
      <c r="X15" s="15">
        <f t="shared" si="7"/>
        <v>157</v>
      </c>
      <c r="Y15" s="15">
        <f t="shared" si="8"/>
        <v>157</v>
      </c>
      <c r="Z15" s="15">
        <v>1</v>
      </c>
      <c r="AA15" s="15">
        <f t="shared" si="9"/>
        <v>157</v>
      </c>
      <c r="AB15" s="15">
        <f t="shared" si="10"/>
        <v>157</v>
      </c>
      <c r="AC15" s="15">
        <f t="shared" si="11"/>
        <v>0</v>
      </c>
      <c r="AD15" s="15">
        <f t="shared" si="12"/>
        <v>1977.8333333333333</v>
      </c>
      <c r="AE15" s="15">
        <f t="shared" si="13"/>
        <v>2018</v>
      </c>
      <c r="AF15" s="15">
        <f t="shared" si="14"/>
        <v>1983.8333333333333</v>
      </c>
      <c r="AG15" s="15">
        <f t="shared" si="15"/>
        <v>2017</v>
      </c>
      <c r="AH15" s="15">
        <f t="shared" si="16"/>
        <v>-0.08333333333333333</v>
      </c>
      <c r="AJ15" s="224">
        <f t="shared" si="17"/>
        <v>0</v>
      </c>
      <c r="AK15" s="7"/>
      <c r="AL15" s="224">
        <f t="shared" si="18"/>
        <v>0</v>
      </c>
      <c r="AM15" s="7"/>
      <c r="AN15" s="224">
        <f t="shared" si="19"/>
        <v>0</v>
      </c>
      <c r="AO15" s="7"/>
      <c r="AP15" s="224">
        <f t="shared" si="20"/>
        <v>0</v>
      </c>
      <c r="AQ15" s="7"/>
      <c r="AR15" s="146">
        <f t="shared" si="21"/>
        <v>0</v>
      </c>
    </row>
    <row r="16" spans="1:44" ht="12">
      <c r="A16" s="12"/>
      <c r="B16" s="12"/>
      <c r="C16" s="128"/>
      <c r="D16" s="55" t="s">
        <v>146</v>
      </c>
      <c r="E16" s="55">
        <v>1978</v>
      </c>
      <c r="F16" s="55">
        <v>5</v>
      </c>
      <c r="G16" s="56">
        <v>0</v>
      </c>
      <c r="H16" s="15"/>
      <c r="I16" s="12" t="s">
        <v>82</v>
      </c>
      <c r="J16" s="57">
        <v>5</v>
      </c>
      <c r="K16" s="137">
        <f t="shared" si="0"/>
        <v>1983</v>
      </c>
      <c r="N16" s="58">
        <v>800</v>
      </c>
      <c r="O16" s="142">
        <v>0</v>
      </c>
      <c r="P16" s="15">
        <f t="shared" si="1"/>
        <v>800</v>
      </c>
      <c r="Q16" s="15">
        <f t="shared" si="2"/>
        <v>13.333333333333334</v>
      </c>
      <c r="R16" s="15">
        <f t="shared" si="3"/>
        <v>0</v>
      </c>
      <c r="S16" s="15">
        <f t="shared" si="4"/>
        <v>0</v>
      </c>
      <c r="T16" s="15">
        <f t="shared" si="5"/>
        <v>0</v>
      </c>
      <c r="U16" s="15">
        <v>1</v>
      </c>
      <c r="V16" s="15">
        <f t="shared" si="6"/>
        <v>0</v>
      </c>
      <c r="W16" s="15"/>
      <c r="X16" s="15">
        <f t="shared" si="7"/>
        <v>800</v>
      </c>
      <c r="Y16" s="15">
        <f t="shared" si="8"/>
        <v>800</v>
      </c>
      <c r="Z16" s="15">
        <v>1</v>
      </c>
      <c r="AA16" s="15">
        <f t="shared" si="9"/>
        <v>800</v>
      </c>
      <c r="AB16" s="15">
        <f t="shared" si="10"/>
        <v>800</v>
      </c>
      <c r="AC16" s="15">
        <f t="shared" si="11"/>
        <v>0</v>
      </c>
      <c r="AD16" s="15">
        <f t="shared" si="12"/>
        <v>1978.3333333333333</v>
      </c>
      <c r="AE16" s="15">
        <f t="shared" si="13"/>
        <v>2018</v>
      </c>
      <c r="AF16" s="15">
        <f t="shared" si="14"/>
        <v>1983.3333333333333</v>
      </c>
      <c r="AG16" s="15">
        <f t="shared" si="15"/>
        <v>2017</v>
      </c>
      <c r="AH16" s="15">
        <f t="shared" si="16"/>
        <v>-0.08333333333333333</v>
      </c>
      <c r="AJ16" s="224">
        <f t="shared" si="17"/>
        <v>0</v>
      </c>
      <c r="AK16" s="7"/>
      <c r="AL16" s="224">
        <f t="shared" si="18"/>
        <v>0</v>
      </c>
      <c r="AM16" s="7"/>
      <c r="AN16" s="224">
        <f t="shared" si="19"/>
        <v>0</v>
      </c>
      <c r="AO16" s="7"/>
      <c r="AP16" s="224">
        <f t="shared" si="20"/>
        <v>0</v>
      </c>
      <c r="AQ16" s="7"/>
      <c r="AR16" s="146">
        <f t="shared" si="21"/>
        <v>0</v>
      </c>
    </row>
    <row r="17" spans="1:44" ht="12">
      <c r="A17" s="12"/>
      <c r="B17" s="12"/>
      <c r="C17" s="128"/>
      <c r="D17" s="55" t="s">
        <v>147</v>
      </c>
      <c r="E17" s="55">
        <v>1981</v>
      </c>
      <c r="F17" s="55">
        <v>5</v>
      </c>
      <c r="G17" s="56">
        <v>0</v>
      </c>
      <c r="H17" s="15"/>
      <c r="I17" s="12" t="s">
        <v>82</v>
      </c>
      <c r="J17" s="57">
        <v>5</v>
      </c>
      <c r="K17" s="137">
        <f t="shared" si="0"/>
        <v>1986</v>
      </c>
      <c r="N17" s="58">
        <v>1400</v>
      </c>
      <c r="O17" s="142">
        <v>0</v>
      </c>
      <c r="P17" s="15">
        <f t="shared" si="1"/>
        <v>1400</v>
      </c>
      <c r="Q17" s="15">
        <f t="shared" si="2"/>
        <v>23.333333333333332</v>
      </c>
      <c r="R17" s="15">
        <f t="shared" si="3"/>
        <v>0</v>
      </c>
      <c r="S17" s="15">
        <f t="shared" si="4"/>
        <v>0</v>
      </c>
      <c r="T17" s="15">
        <f t="shared" si="5"/>
        <v>0</v>
      </c>
      <c r="U17" s="15">
        <v>1</v>
      </c>
      <c r="V17" s="15">
        <f t="shared" si="6"/>
        <v>0</v>
      </c>
      <c r="W17" s="15"/>
      <c r="X17" s="15">
        <f t="shared" si="7"/>
        <v>1400</v>
      </c>
      <c r="Y17" s="15">
        <f t="shared" si="8"/>
        <v>1400</v>
      </c>
      <c r="Z17" s="15">
        <v>1</v>
      </c>
      <c r="AA17" s="15">
        <f t="shared" si="9"/>
        <v>1400</v>
      </c>
      <c r="AB17" s="15">
        <f t="shared" si="10"/>
        <v>1400</v>
      </c>
      <c r="AC17" s="15">
        <f t="shared" si="11"/>
        <v>0</v>
      </c>
      <c r="AD17" s="15">
        <f t="shared" si="12"/>
        <v>1981.3333333333333</v>
      </c>
      <c r="AE17" s="15">
        <f t="shared" si="13"/>
        <v>2018</v>
      </c>
      <c r="AF17" s="15">
        <f t="shared" si="14"/>
        <v>1986.3333333333333</v>
      </c>
      <c r="AG17" s="15">
        <f t="shared" si="15"/>
        <v>2017</v>
      </c>
      <c r="AH17" s="15">
        <f t="shared" si="16"/>
        <v>-0.08333333333333333</v>
      </c>
      <c r="AJ17" s="224">
        <f t="shared" si="17"/>
        <v>0</v>
      </c>
      <c r="AK17" s="7"/>
      <c r="AL17" s="224">
        <f t="shared" si="18"/>
        <v>0</v>
      </c>
      <c r="AM17" s="7"/>
      <c r="AN17" s="224">
        <f t="shared" si="19"/>
        <v>0</v>
      </c>
      <c r="AO17" s="7"/>
      <c r="AP17" s="224">
        <f t="shared" si="20"/>
        <v>0</v>
      </c>
      <c r="AQ17" s="7"/>
      <c r="AR17" s="146">
        <f t="shared" si="21"/>
        <v>0</v>
      </c>
    </row>
    <row r="18" spans="1:44" ht="12">
      <c r="A18" s="12"/>
      <c r="B18" s="12"/>
      <c r="C18" s="128"/>
      <c r="D18" s="55" t="s">
        <v>148</v>
      </c>
      <c r="E18" s="55">
        <v>1981</v>
      </c>
      <c r="F18" s="55">
        <v>6</v>
      </c>
      <c r="G18" s="56">
        <v>0</v>
      </c>
      <c r="H18" s="15"/>
      <c r="I18" s="12" t="s">
        <v>82</v>
      </c>
      <c r="J18" s="57">
        <v>5</v>
      </c>
      <c r="K18" s="137">
        <f t="shared" si="0"/>
        <v>1986</v>
      </c>
      <c r="N18" s="58">
        <v>75</v>
      </c>
      <c r="O18" s="142">
        <v>0</v>
      </c>
      <c r="P18" s="15">
        <f t="shared" si="1"/>
        <v>75</v>
      </c>
      <c r="Q18" s="15">
        <f t="shared" si="2"/>
        <v>1.25</v>
      </c>
      <c r="R18" s="15">
        <f t="shared" si="3"/>
        <v>0</v>
      </c>
      <c r="S18" s="15">
        <f t="shared" si="4"/>
        <v>0</v>
      </c>
      <c r="T18" s="15">
        <f t="shared" si="5"/>
        <v>0</v>
      </c>
      <c r="U18" s="15">
        <v>1</v>
      </c>
      <c r="V18" s="15">
        <f t="shared" si="6"/>
        <v>0</v>
      </c>
      <c r="W18" s="15"/>
      <c r="X18" s="15">
        <f t="shared" si="7"/>
        <v>75</v>
      </c>
      <c r="Y18" s="15">
        <f t="shared" si="8"/>
        <v>75</v>
      </c>
      <c r="Z18" s="15">
        <v>1</v>
      </c>
      <c r="AA18" s="15">
        <f t="shared" si="9"/>
        <v>75</v>
      </c>
      <c r="AB18" s="15">
        <f t="shared" si="10"/>
        <v>75</v>
      </c>
      <c r="AC18" s="15">
        <f t="shared" si="11"/>
        <v>0</v>
      </c>
      <c r="AD18" s="15">
        <f t="shared" si="12"/>
        <v>1981.4166666666667</v>
      </c>
      <c r="AE18" s="15">
        <f t="shared" si="13"/>
        <v>2018</v>
      </c>
      <c r="AF18" s="15">
        <f t="shared" si="14"/>
        <v>1986.4166666666667</v>
      </c>
      <c r="AG18" s="15">
        <f t="shared" si="15"/>
        <v>2017</v>
      </c>
      <c r="AH18" s="15">
        <f t="shared" si="16"/>
        <v>-0.08333333333333333</v>
      </c>
      <c r="AJ18" s="224">
        <f t="shared" si="17"/>
        <v>0</v>
      </c>
      <c r="AK18" s="7"/>
      <c r="AL18" s="224">
        <f t="shared" si="18"/>
        <v>0</v>
      </c>
      <c r="AM18" s="7"/>
      <c r="AN18" s="224">
        <f t="shared" si="19"/>
        <v>0</v>
      </c>
      <c r="AO18" s="7"/>
      <c r="AP18" s="224">
        <f t="shared" si="20"/>
        <v>0</v>
      </c>
      <c r="AQ18" s="7"/>
      <c r="AR18" s="146">
        <f t="shared" si="21"/>
        <v>0</v>
      </c>
    </row>
    <row r="19" spans="1:44" ht="12">
      <c r="A19" s="12"/>
      <c r="B19" s="12"/>
      <c r="C19" s="128"/>
      <c r="D19" s="55" t="s">
        <v>148</v>
      </c>
      <c r="E19" s="55">
        <v>1981</v>
      </c>
      <c r="F19" s="55">
        <v>9</v>
      </c>
      <c r="G19" s="56">
        <v>0</v>
      </c>
      <c r="H19" s="15"/>
      <c r="I19" s="12" t="s">
        <v>82</v>
      </c>
      <c r="J19" s="57">
        <v>5</v>
      </c>
      <c r="K19" s="137">
        <f t="shared" si="0"/>
        <v>1986</v>
      </c>
      <c r="N19" s="58">
        <v>237</v>
      </c>
      <c r="O19" s="142">
        <v>0</v>
      </c>
      <c r="P19" s="15">
        <f t="shared" si="1"/>
        <v>237</v>
      </c>
      <c r="Q19" s="15">
        <f t="shared" si="2"/>
        <v>3.9499999999999997</v>
      </c>
      <c r="R19" s="15">
        <f t="shared" si="3"/>
        <v>0</v>
      </c>
      <c r="S19" s="15">
        <f t="shared" si="4"/>
        <v>0</v>
      </c>
      <c r="T19" s="15">
        <f t="shared" si="5"/>
        <v>0</v>
      </c>
      <c r="U19" s="15">
        <v>1</v>
      </c>
      <c r="V19" s="15">
        <f t="shared" si="6"/>
        <v>0</v>
      </c>
      <c r="W19" s="15"/>
      <c r="X19" s="15">
        <f t="shared" si="7"/>
        <v>237</v>
      </c>
      <c r="Y19" s="15">
        <f t="shared" si="8"/>
        <v>237</v>
      </c>
      <c r="Z19" s="15">
        <v>1</v>
      </c>
      <c r="AA19" s="15">
        <f t="shared" si="9"/>
        <v>237</v>
      </c>
      <c r="AB19" s="15">
        <f t="shared" si="10"/>
        <v>237</v>
      </c>
      <c r="AC19" s="15">
        <f t="shared" si="11"/>
        <v>0</v>
      </c>
      <c r="AD19" s="15">
        <f t="shared" si="12"/>
        <v>1981.6666666666667</v>
      </c>
      <c r="AE19" s="15">
        <f t="shared" si="13"/>
        <v>2018</v>
      </c>
      <c r="AF19" s="15">
        <f t="shared" si="14"/>
        <v>1986.6666666666667</v>
      </c>
      <c r="AG19" s="15">
        <f t="shared" si="15"/>
        <v>2017</v>
      </c>
      <c r="AH19" s="15">
        <f t="shared" si="16"/>
        <v>-0.08333333333333333</v>
      </c>
      <c r="AJ19" s="224">
        <f t="shared" si="17"/>
        <v>0</v>
      </c>
      <c r="AK19" s="7"/>
      <c r="AL19" s="224">
        <f t="shared" si="18"/>
        <v>0</v>
      </c>
      <c r="AM19" s="7"/>
      <c r="AN19" s="224">
        <f t="shared" si="19"/>
        <v>0</v>
      </c>
      <c r="AO19" s="7"/>
      <c r="AP19" s="224">
        <f t="shared" si="20"/>
        <v>0</v>
      </c>
      <c r="AQ19" s="7"/>
      <c r="AR19" s="146">
        <f t="shared" si="21"/>
        <v>0</v>
      </c>
    </row>
    <row r="20" spans="1:44" ht="12">
      <c r="A20" s="12"/>
      <c r="B20" s="12"/>
      <c r="C20" s="128"/>
      <c r="D20" s="55" t="s">
        <v>149</v>
      </c>
      <c r="E20" s="55">
        <v>1982</v>
      </c>
      <c r="F20" s="55">
        <v>4</v>
      </c>
      <c r="G20" s="56">
        <v>0</v>
      </c>
      <c r="H20" s="15"/>
      <c r="I20" s="12" t="s">
        <v>82</v>
      </c>
      <c r="J20" s="57">
        <v>5</v>
      </c>
      <c r="K20" s="137">
        <f t="shared" si="0"/>
        <v>1987</v>
      </c>
      <c r="N20" s="58">
        <v>269</v>
      </c>
      <c r="O20" s="142">
        <v>0</v>
      </c>
      <c r="P20" s="15">
        <f t="shared" si="1"/>
        <v>269</v>
      </c>
      <c r="Q20" s="15">
        <f t="shared" si="2"/>
        <v>4.483333333333333</v>
      </c>
      <c r="R20" s="15">
        <f t="shared" si="3"/>
        <v>0</v>
      </c>
      <c r="S20" s="15">
        <f t="shared" si="4"/>
        <v>0</v>
      </c>
      <c r="T20" s="15">
        <f t="shared" si="5"/>
        <v>0</v>
      </c>
      <c r="U20" s="15">
        <v>1</v>
      </c>
      <c r="V20" s="15">
        <f t="shared" si="6"/>
        <v>0</v>
      </c>
      <c r="W20" s="15"/>
      <c r="X20" s="15">
        <f t="shared" si="7"/>
        <v>269</v>
      </c>
      <c r="Y20" s="15">
        <f t="shared" si="8"/>
        <v>269</v>
      </c>
      <c r="Z20" s="15">
        <v>1</v>
      </c>
      <c r="AA20" s="15">
        <f t="shared" si="9"/>
        <v>269</v>
      </c>
      <c r="AB20" s="15">
        <f t="shared" si="10"/>
        <v>269</v>
      </c>
      <c r="AC20" s="15">
        <f t="shared" si="11"/>
        <v>0</v>
      </c>
      <c r="AD20" s="15">
        <f t="shared" si="12"/>
        <v>1982.25</v>
      </c>
      <c r="AE20" s="15">
        <f t="shared" si="13"/>
        <v>2018</v>
      </c>
      <c r="AF20" s="15">
        <f t="shared" si="14"/>
        <v>1987.25</v>
      </c>
      <c r="AG20" s="15">
        <f t="shared" si="15"/>
        <v>2017</v>
      </c>
      <c r="AH20" s="15">
        <f t="shared" si="16"/>
        <v>-0.08333333333333333</v>
      </c>
      <c r="AJ20" s="224">
        <f t="shared" si="17"/>
        <v>0</v>
      </c>
      <c r="AK20" s="7"/>
      <c r="AL20" s="224">
        <f t="shared" si="18"/>
        <v>0</v>
      </c>
      <c r="AM20" s="7"/>
      <c r="AN20" s="224">
        <f t="shared" si="19"/>
        <v>0</v>
      </c>
      <c r="AO20" s="7"/>
      <c r="AP20" s="224">
        <f t="shared" si="20"/>
        <v>0</v>
      </c>
      <c r="AQ20" s="7"/>
      <c r="AR20" s="146">
        <f t="shared" si="21"/>
        <v>0</v>
      </c>
    </row>
    <row r="21" spans="1:44" ht="12">
      <c r="A21" s="12"/>
      <c r="B21" s="12"/>
      <c r="C21" s="128"/>
      <c r="D21" s="55" t="s">
        <v>150</v>
      </c>
      <c r="E21" s="55">
        <v>1986</v>
      </c>
      <c r="F21" s="55">
        <v>1</v>
      </c>
      <c r="G21" s="56">
        <v>0</v>
      </c>
      <c r="H21" s="15"/>
      <c r="I21" s="12" t="s">
        <v>82</v>
      </c>
      <c r="J21" s="57">
        <v>5</v>
      </c>
      <c r="K21" s="137">
        <f t="shared" si="0"/>
        <v>1991</v>
      </c>
      <c r="N21" s="58">
        <v>762</v>
      </c>
      <c r="O21" s="142">
        <v>0</v>
      </c>
      <c r="P21" s="15">
        <f t="shared" si="1"/>
        <v>762</v>
      </c>
      <c r="Q21" s="15">
        <f t="shared" si="2"/>
        <v>12.700000000000001</v>
      </c>
      <c r="R21" s="15">
        <f t="shared" si="3"/>
        <v>0</v>
      </c>
      <c r="S21" s="15">
        <f t="shared" si="4"/>
        <v>0</v>
      </c>
      <c r="T21" s="15">
        <f t="shared" si="5"/>
        <v>0</v>
      </c>
      <c r="U21" s="15">
        <v>1</v>
      </c>
      <c r="V21" s="15">
        <f t="shared" si="6"/>
        <v>0</v>
      </c>
      <c r="W21" s="15"/>
      <c r="X21" s="15">
        <f t="shared" si="7"/>
        <v>762</v>
      </c>
      <c r="Y21" s="15">
        <f t="shared" si="8"/>
        <v>762</v>
      </c>
      <c r="Z21" s="15">
        <v>1</v>
      </c>
      <c r="AA21" s="15">
        <f t="shared" si="9"/>
        <v>762</v>
      </c>
      <c r="AB21" s="15">
        <f t="shared" si="10"/>
        <v>762</v>
      </c>
      <c r="AC21" s="15">
        <f t="shared" si="11"/>
        <v>0</v>
      </c>
      <c r="AD21" s="15">
        <f t="shared" si="12"/>
        <v>1986</v>
      </c>
      <c r="AE21" s="15">
        <f t="shared" si="13"/>
        <v>2018</v>
      </c>
      <c r="AF21" s="15">
        <f t="shared" si="14"/>
        <v>1991</v>
      </c>
      <c r="AG21" s="15">
        <f t="shared" si="15"/>
        <v>2017</v>
      </c>
      <c r="AH21" s="15">
        <f t="shared" si="16"/>
        <v>-0.08333333333333333</v>
      </c>
      <c r="AJ21" s="224">
        <f t="shared" si="17"/>
        <v>0</v>
      </c>
      <c r="AK21" s="7"/>
      <c r="AL21" s="224">
        <f t="shared" si="18"/>
        <v>0</v>
      </c>
      <c r="AM21" s="7"/>
      <c r="AN21" s="224">
        <f t="shared" si="19"/>
        <v>0</v>
      </c>
      <c r="AO21" s="7"/>
      <c r="AP21" s="224">
        <f t="shared" si="20"/>
        <v>0</v>
      </c>
      <c r="AQ21" s="7"/>
      <c r="AR21" s="146">
        <f t="shared" si="21"/>
        <v>0</v>
      </c>
    </row>
    <row r="22" spans="1:44" ht="12">
      <c r="A22" s="12"/>
      <c r="B22" s="12"/>
      <c r="C22" s="128"/>
      <c r="D22" s="55" t="s">
        <v>151</v>
      </c>
      <c r="E22" s="55">
        <v>1987</v>
      </c>
      <c r="F22" s="55">
        <v>4</v>
      </c>
      <c r="G22" s="56">
        <v>0</v>
      </c>
      <c r="H22" s="15"/>
      <c r="I22" s="12" t="s">
        <v>82</v>
      </c>
      <c r="J22" s="57">
        <v>5</v>
      </c>
      <c r="K22" s="137">
        <f t="shared" si="0"/>
        <v>1992</v>
      </c>
      <c r="N22" s="58">
        <v>210</v>
      </c>
      <c r="O22" s="142">
        <v>0</v>
      </c>
      <c r="P22" s="15">
        <f t="shared" si="1"/>
        <v>210</v>
      </c>
      <c r="Q22" s="15">
        <f t="shared" si="2"/>
        <v>3.5</v>
      </c>
      <c r="R22" s="15">
        <f t="shared" si="3"/>
        <v>0</v>
      </c>
      <c r="S22" s="15">
        <f t="shared" si="4"/>
        <v>0</v>
      </c>
      <c r="T22" s="15">
        <f t="shared" si="5"/>
        <v>0</v>
      </c>
      <c r="U22" s="15">
        <v>1</v>
      </c>
      <c r="V22" s="15">
        <f t="shared" si="6"/>
        <v>0</v>
      </c>
      <c r="W22" s="15"/>
      <c r="X22" s="15">
        <f t="shared" si="7"/>
        <v>210</v>
      </c>
      <c r="Y22" s="15">
        <f t="shared" si="8"/>
        <v>210</v>
      </c>
      <c r="Z22" s="15">
        <v>1</v>
      </c>
      <c r="AA22" s="15">
        <f t="shared" si="9"/>
        <v>210</v>
      </c>
      <c r="AB22" s="15">
        <f t="shared" si="10"/>
        <v>210</v>
      </c>
      <c r="AC22" s="15">
        <f t="shared" si="11"/>
        <v>0</v>
      </c>
      <c r="AD22" s="15">
        <f t="shared" si="12"/>
        <v>1987.25</v>
      </c>
      <c r="AE22" s="15">
        <f t="shared" si="13"/>
        <v>2018</v>
      </c>
      <c r="AF22" s="15">
        <f t="shared" si="14"/>
        <v>1992.25</v>
      </c>
      <c r="AG22" s="15">
        <f t="shared" si="15"/>
        <v>2017</v>
      </c>
      <c r="AH22" s="15">
        <f t="shared" si="16"/>
        <v>-0.08333333333333333</v>
      </c>
      <c r="AJ22" s="224">
        <f t="shared" si="17"/>
        <v>0</v>
      </c>
      <c r="AK22" s="7"/>
      <c r="AL22" s="224">
        <f t="shared" si="18"/>
        <v>0</v>
      </c>
      <c r="AM22" s="7"/>
      <c r="AN22" s="224">
        <f t="shared" si="19"/>
        <v>0</v>
      </c>
      <c r="AO22" s="7"/>
      <c r="AP22" s="224">
        <f t="shared" si="20"/>
        <v>0</v>
      </c>
      <c r="AQ22" s="7"/>
      <c r="AR22" s="146">
        <f t="shared" si="21"/>
        <v>0</v>
      </c>
    </row>
    <row r="23" spans="1:44" ht="12">
      <c r="A23" s="12"/>
      <c r="B23" s="12"/>
      <c r="C23" s="128"/>
      <c r="D23" s="55" t="s">
        <v>152</v>
      </c>
      <c r="E23" s="55">
        <v>1988</v>
      </c>
      <c r="F23" s="55">
        <v>5</v>
      </c>
      <c r="G23" s="56">
        <v>0</v>
      </c>
      <c r="H23" s="15"/>
      <c r="I23" s="127" t="s">
        <v>82</v>
      </c>
      <c r="J23" s="57">
        <v>5</v>
      </c>
      <c r="K23" s="137">
        <f t="shared" si="0"/>
        <v>1993</v>
      </c>
      <c r="N23" s="58">
        <v>1238</v>
      </c>
      <c r="O23" s="142">
        <v>0</v>
      </c>
      <c r="P23" s="15">
        <f t="shared" si="1"/>
        <v>1238</v>
      </c>
      <c r="Q23" s="15">
        <f t="shared" si="2"/>
        <v>20.633333333333333</v>
      </c>
      <c r="R23" s="15">
        <f t="shared" si="3"/>
        <v>0</v>
      </c>
      <c r="S23" s="15">
        <f t="shared" si="4"/>
        <v>0</v>
      </c>
      <c r="T23" s="15">
        <f t="shared" si="5"/>
        <v>0</v>
      </c>
      <c r="U23" s="15">
        <v>1</v>
      </c>
      <c r="V23" s="15">
        <f t="shared" si="6"/>
        <v>0</v>
      </c>
      <c r="W23" s="15"/>
      <c r="X23" s="15">
        <f t="shared" si="7"/>
        <v>1238</v>
      </c>
      <c r="Y23" s="15">
        <f t="shared" si="8"/>
        <v>1238</v>
      </c>
      <c r="Z23" s="15">
        <v>1</v>
      </c>
      <c r="AA23" s="15">
        <f t="shared" si="9"/>
        <v>1238</v>
      </c>
      <c r="AB23" s="15">
        <f t="shared" si="10"/>
        <v>1238</v>
      </c>
      <c r="AC23" s="15">
        <f t="shared" si="11"/>
        <v>0</v>
      </c>
      <c r="AD23" s="15">
        <f t="shared" si="12"/>
        <v>1988.3333333333333</v>
      </c>
      <c r="AE23" s="15">
        <f t="shared" si="13"/>
        <v>2018</v>
      </c>
      <c r="AF23" s="15">
        <f t="shared" si="14"/>
        <v>1993.3333333333333</v>
      </c>
      <c r="AG23" s="15">
        <f t="shared" si="15"/>
        <v>2017</v>
      </c>
      <c r="AH23" s="15">
        <f t="shared" si="16"/>
        <v>-0.08333333333333333</v>
      </c>
      <c r="AJ23" s="224">
        <f t="shared" si="17"/>
        <v>0</v>
      </c>
      <c r="AK23" s="7"/>
      <c r="AL23" s="224">
        <f t="shared" si="18"/>
        <v>0</v>
      </c>
      <c r="AM23" s="7"/>
      <c r="AN23" s="224">
        <f t="shared" si="19"/>
        <v>0</v>
      </c>
      <c r="AO23" s="7"/>
      <c r="AP23" s="224">
        <f t="shared" si="20"/>
        <v>0</v>
      </c>
      <c r="AQ23" s="7"/>
      <c r="AR23" s="146">
        <f t="shared" si="21"/>
        <v>0</v>
      </c>
    </row>
    <row r="24" spans="1:44" ht="12">
      <c r="A24" s="12"/>
      <c r="B24" s="12"/>
      <c r="C24" s="128"/>
      <c r="D24" s="55" t="s">
        <v>153</v>
      </c>
      <c r="E24" s="55">
        <v>1989</v>
      </c>
      <c r="F24" s="55">
        <v>8</v>
      </c>
      <c r="G24" s="56">
        <v>0</v>
      </c>
      <c r="H24" s="15"/>
      <c r="I24" s="12" t="s">
        <v>82</v>
      </c>
      <c r="J24" s="57">
        <v>5</v>
      </c>
      <c r="K24" s="137">
        <f t="shared" si="0"/>
        <v>1994</v>
      </c>
      <c r="N24" s="58">
        <v>1078</v>
      </c>
      <c r="O24" s="142">
        <v>0</v>
      </c>
      <c r="P24" s="15">
        <f t="shared" si="1"/>
        <v>1078</v>
      </c>
      <c r="Q24" s="15">
        <f t="shared" si="2"/>
        <v>17.966666666666665</v>
      </c>
      <c r="R24" s="15">
        <f t="shared" si="3"/>
        <v>0</v>
      </c>
      <c r="S24" s="15">
        <f t="shared" si="4"/>
        <v>0</v>
      </c>
      <c r="T24" s="15">
        <f t="shared" si="5"/>
        <v>0</v>
      </c>
      <c r="U24" s="15">
        <v>1</v>
      </c>
      <c r="V24" s="15">
        <f t="shared" si="6"/>
        <v>0</v>
      </c>
      <c r="W24" s="15"/>
      <c r="X24" s="15">
        <f t="shared" si="7"/>
        <v>1078</v>
      </c>
      <c r="Y24" s="15">
        <f t="shared" si="8"/>
        <v>1078</v>
      </c>
      <c r="Z24" s="15">
        <v>1</v>
      </c>
      <c r="AA24" s="15">
        <f t="shared" si="9"/>
        <v>1078</v>
      </c>
      <c r="AB24" s="15">
        <f t="shared" si="10"/>
        <v>1078</v>
      </c>
      <c r="AC24" s="15">
        <f t="shared" si="11"/>
        <v>0</v>
      </c>
      <c r="AD24" s="15">
        <f t="shared" si="12"/>
        <v>1989.5833333333333</v>
      </c>
      <c r="AE24" s="15">
        <f t="shared" si="13"/>
        <v>2018</v>
      </c>
      <c r="AF24" s="15">
        <f t="shared" si="14"/>
        <v>1994.5833333333333</v>
      </c>
      <c r="AG24" s="15">
        <f t="shared" si="15"/>
        <v>2017</v>
      </c>
      <c r="AH24" s="15">
        <f t="shared" si="16"/>
        <v>-0.08333333333333333</v>
      </c>
      <c r="AJ24" s="224">
        <f t="shared" si="17"/>
        <v>0</v>
      </c>
      <c r="AK24" s="7"/>
      <c r="AL24" s="224">
        <f t="shared" si="18"/>
        <v>0</v>
      </c>
      <c r="AM24" s="7"/>
      <c r="AN24" s="224">
        <f t="shared" si="19"/>
        <v>0</v>
      </c>
      <c r="AO24" s="7"/>
      <c r="AP24" s="224">
        <f t="shared" si="20"/>
        <v>0</v>
      </c>
      <c r="AQ24" s="7"/>
      <c r="AR24" s="146">
        <f t="shared" si="21"/>
        <v>0</v>
      </c>
    </row>
    <row r="25" spans="1:44" ht="12">
      <c r="A25" s="12"/>
      <c r="B25" s="12"/>
      <c r="C25" s="128"/>
      <c r="D25" s="55" t="s">
        <v>154</v>
      </c>
      <c r="E25" s="55">
        <v>1989</v>
      </c>
      <c r="F25" s="55">
        <v>10</v>
      </c>
      <c r="G25" s="56">
        <v>0</v>
      </c>
      <c r="H25" s="15"/>
      <c r="I25" s="12" t="s">
        <v>82</v>
      </c>
      <c r="J25" s="57">
        <v>5</v>
      </c>
      <c r="K25" s="137">
        <f t="shared" si="0"/>
        <v>1994</v>
      </c>
      <c r="N25" s="58">
        <v>1402</v>
      </c>
      <c r="O25" s="142"/>
      <c r="P25" s="15">
        <f t="shared" si="1"/>
        <v>1402</v>
      </c>
      <c r="Q25" s="15">
        <f t="shared" si="2"/>
        <v>23.366666666666664</v>
      </c>
      <c r="R25" s="15">
        <f t="shared" si="3"/>
        <v>0</v>
      </c>
      <c r="S25" s="15">
        <f t="shared" si="4"/>
        <v>0</v>
      </c>
      <c r="T25" s="15">
        <f t="shared" si="5"/>
        <v>0</v>
      </c>
      <c r="U25" s="15">
        <v>1</v>
      </c>
      <c r="V25" s="15">
        <f t="shared" si="6"/>
        <v>0</v>
      </c>
      <c r="W25" s="15"/>
      <c r="X25" s="15">
        <f t="shared" si="7"/>
        <v>1402</v>
      </c>
      <c r="Y25" s="15">
        <f t="shared" si="8"/>
        <v>1402</v>
      </c>
      <c r="Z25" s="15">
        <v>1</v>
      </c>
      <c r="AA25" s="15">
        <f t="shared" si="9"/>
        <v>1402</v>
      </c>
      <c r="AB25" s="15">
        <f t="shared" si="10"/>
        <v>1402</v>
      </c>
      <c r="AC25" s="15">
        <f t="shared" si="11"/>
        <v>0</v>
      </c>
      <c r="AD25" s="15">
        <f t="shared" si="12"/>
        <v>1989.75</v>
      </c>
      <c r="AE25" s="15">
        <f t="shared" si="13"/>
        <v>2018</v>
      </c>
      <c r="AF25" s="15">
        <f t="shared" si="14"/>
        <v>1994.75</v>
      </c>
      <c r="AG25" s="15">
        <f t="shared" si="15"/>
        <v>2017</v>
      </c>
      <c r="AH25" s="15">
        <f t="shared" si="16"/>
        <v>-0.08333333333333333</v>
      </c>
      <c r="AJ25" s="224">
        <f t="shared" si="17"/>
        <v>0</v>
      </c>
      <c r="AK25" s="7"/>
      <c r="AL25" s="224">
        <f t="shared" si="18"/>
        <v>0</v>
      </c>
      <c r="AM25" s="7"/>
      <c r="AN25" s="224">
        <f t="shared" si="19"/>
        <v>0</v>
      </c>
      <c r="AO25" s="7"/>
      <c r="AP25" s="224">
        <f t="shared" si="20"/>
        <v>0</v>
      </c>
      <c r="AQ25" s="7"/>
      <c r="AR25" s="146">
        <f t="shared" si="21"/>
        <v>0</v>
      </c>
    </row>
    <row r="26" spans="1:44" s="7" customFormat="1" ht="12">
      <c r="A26" s="35"/>
      <c r="B26" s="35"/>
      <c r="C26" s="128">
        <v>18674</v>
      </c>
      <c r="D26" s="36" t="s">
        <v>149</v>
      </c>
      <c r="E26" s="36">
        <v>2000</v>
      </c>
      <c r="F26" s="36">
        <v>6</v>
      </c>
      <c r="G26" s="85">
        <v>0</v>
      </c>
      <c r="H26" s="41"/>
      <c r="I26" s="35" t="s">
        <v>82</v>
      </c>
      <c r="J26" s="38">
        <v>5</v>
      </c>
      <c r="K26" s="94">
        <f t="shared" si="0"/>
        <v>2005</v>
      </c>
      <c r="N26" s="40">
        <v>700</v>
      </c>
      <c r="O26" s="42">
        <v>0</v>
      </c>
      <c r="P26" s="41">
        <f t="shared" si="1"/>
        <v>700</v>
      </c>
      <c r="Q26" s="41">
        <f t="shared" si="2"/>
        <v>11.666666666666666</v>
      </c>
      <c r="R26" s="41">
        <f t="shared" si="3"/>
        <v>0</v>
      </c>
      <c r="S26" s="41">
        <f t="shared" si="4"/>
        <v>0</v>
      </c>
      <c r="T26" s="41">
        <f t="shared" si="5"/>
        <v>0</v>
      </c>
      <c r="U26" s="41">
        <v>1</v>
      </c>
      <c r="V26" s="41">
        <f t="shared" si="6"/>
        <v>0</v>
      </c>
      <c r="W26" s="41"/>
      <c r="X26" s="41">
        <f t="shared" si="7"/>
        <v>700</v>
      </c>
      <c r="Y26" s="41">
        <f t="shared" si="8"/>
        <v>700</v>
      </c>
      <c r="Z26" s="41">
        <v>1</v>
      </c>
      <c r="AA26" s="41">
        <f t="shared" si="9"/>
        <v>700</v>
      </c>
      <c r="AB26" s="41">
        <f t="shared" si="10"/>
        <v>700</v>
      </c>
      <c r="AC26" s="41">
        <f t="shared" si="11"/>
        <v>0</v>
      </c>
      <c r="AD26" s="41">
        <f t="shared" si="12"/>
        <v>2000.4166666666667</v>
      </c>
      <c r="AE26" s="41">
        <f t="shared" si="13"/>
        <v>2018</v>
      </c>
      <c r="AF26" s="41">
        <f t="shared" si="14"/>
        <v>2005.4166666666667</v>
      </c>
      <c r="AG26" s="41">
        <f t="shared" si="15"/>
        <v>2017</v>
      </c>
      <c r="AH26" s="41">
        <f t="shared" si="16"/>
        <v>-0.08333333333333333</v>
      </c>
      <c r="AJ26" s="224">
        <f t="shared" si="17"/>
        <v>0</v>
      </c>
      <c r="AL26" s="224">
        <f t="shared" si="18"/>
        <v>0</v>
      </c>
      <c r="AN26" s="224">
        <f t="shared" si="19"/>
        <v>0</v>
      </c>
      <c r="AP26" s="224">
        <f t="shared" si="20"/>
        <v>0</v>
      </c>
      <c r="AR26" s="146">
        <f t="shared" si="21"/>
        <v>0</v>
      </c>
    </row>
    <row r="27" spans="1:44" s="7" customFormat="1" ht="12">
      <c r="A27" s="35"/>
      <c r="B27" s="35"/>
      <c r="C27" s="128">
        <v>18675</v>
      </c>
      <c r="D27" s="36" t="s">
        <v>155</v>
      </c>
      <c r="E27" s="36">
        <v>2001</v>
      </c>
      <c r="F27" s="36">
        <v>12</v>
      </c>
      <c r="G27" s="85">
        <v>0</v>
      </c>
      <c r="H27" s="41"/>
      <c r="I27" s="35" t="s">
        <v>82</v>
      </c>
      <c r="J27" s="38">
        <v>7</v>
      </c>
      <c r="K27" s="94">
        <f t="shared" si="0"/>
        <v>2008</v>
      </c>
      <c r="N27" s="40">
        <v>46186</v>
      </c>
      <c r="O27" s="42"/>
      <c r="P27" s="41">
        <f t="shared" si="1"/>
        <v>46186</v>
      </c>
      <c r="Q27" s="41">
        <f t="shared" si="2"/>
        <v>549.8333333333334</v>
      </c>
      <c r="R27" s="41">
        <f t="shared" si="3"/>
        <v>0</v>
      </c>
      <c r="S27" s="41">
        <f t="shared" si="4"/>
        <v>0</v>
      </c>
      <c r="T27" s="41">
        <f t="shared" si="5"/>
        <v>0</v>
      </c>
      <c r="U27" s="41">
        <v>1</v>
      </c>
      <c r="V27" s="41">
        <f t="shared" si="6"/>
        <v>0</v>
      </c>
      <c r="W27" s="41"/>
      <c r="X27" s="41">
        <f t="shared" si="7"/>
        <v>46186</v>
      </c>
      <c r="Y27" s="41">
        <f t="shared" si="8"/>
        <v>46186</v>
      </c>
      <c r="Z27" s="41">
        <v>1</v>
      </c>
      <c r="AA27" s="41">
        <f t="shared" si="9"/>
        <v>46186</v>
      </c>
      <c r="AB27" s="41">
        <f t="shared" si="10"/>
        <v>46186</v>
      </c>
      <c r="AC27" s="41">
        <f t="shared" si="11"/>
        <v>0</v>
      </c>
      <c r="AD27" s="41">
        <f t="shared" si="12"/>
        <v>2001.9166666666667</v>
      </c>
      <c r="AE27" s="41">
        <f t="shared" si="13"/>
        <v>2018</v>
      </c>
      <c r="AF27" s="41">
        <f t="shared" si="14"/>
        <v>2008.9166666666667</v>
      </c>
      <c r="AG27" s="41">
        <f t="shared" si="15"/>
        <v>2017</v>
      </c>
      <c r="AH27" s="41">
        <f t="shared" si="16"/>
        <v>-0.08333333333333333</v>
      </c>
      <c r="AJ27" s="224">
        <f t="shared" si="17"/>
        <v>0</v>
      </c>
      <c r="AL27" s="224">
        <f t="shared" si="18"/>
        <v>0</v>
      </c>
      <c r="AN27" s="224">
        <f t="shared" si="19"/>
        <v>0</v>
      </c>
      <c r="AP27" s="224">
        <f t="shared" si="20"/>
        <v>0</v>
      </c>
      <c r="AR27" s="146">
        <f t="shared" si="21"/>
        <v>0</v>
      </c>
    </row>
    <row r="28" spans="1:44" s="7" customFormat="1" ht="12">
      <c r="A28" s="35"/>
      <c r="B28" s="35"/>
      <c r="C28" s="128">
        <v>71541</v>
      </c>
      <c r="D28" s="36" t="s">
        <v>156</v>
      </c>
      <c r="E28" s="36">
        <v>2009</v>
      </c>
      <c r="F28" s="36">
        <v>12</v>
      </c>
      <c r="G28" s="85">
        <v>0</v>
      </c>
      <c r="H28" s="41"/>
      <c r="I28" s="35" t="s">
        <v>82</v>
      </c>
      <c r="J28" s="38">
        <v>7</v>
      </c>
      <c r="K28" s="94">
        <f t="shared" si="0"/>
        <v>2016</v>
      </c>
      <c r="N28" s="40">
        <v>3143.59</v>
      </c>
      <c r="O28" s="42"/>
      <c r="P28" s="41">
        <f t="shared" si="1"/>
        <v>3143.59</v>
      </c>
      <c r="Q28" s="41">
        <f t="shared" si="2"/>
        <v>37.42369047619048</v>
      </c>
      <c r="R28" s="41">
        <f t="shared" si="3"/>
        <v>0</v>
      </c>
      <c r="S28" s="41">
        <f t="shared" si="4"/>
        <v>0</v>
      </c>
      <c r="T28" s="41">
        <f t="shared" si="5"/>
        <v>0</v>
      </c>
      <c r="U28" s="41">
        <v>1</v>
      </c>
      <c r="V28" s="41">
        <f t="shared" si="6"/>
        <v>0</v>
      </c>
      <c r="W28" s="41"/>
      <c r="X28" s="41">
        <f t="shared" si="7"/>
        <v>3143.59</v>
      </c>
      <c r="Y28" s="41">
        <f t="shared" si="8"/>
        <v>3143.59</v>
      </c>
      <c r="Z28" s="41">
        <v>1</v>
      </c>
      <c r="AA28" s="41">
        <f t="shared" si="9"/>
        <v>3143.59</v>
      </c>
      <c r="AB28" s="41">
        <f t="shared" si="10"/>
        <v>3143.59</v>
      </c>
      <c r="AC28" s="41">
        <f t="shared" si="11"/>
        <v>0</v>
      </c>
      <c r="AD28" s="41">
        <f t="shared" si="12"/>
        <v>2009.9166666666667</v>
      </c>
      <c r="AE28" s="41">
        <f t="shared" si="13"/>
        <v>2018</v>
      </c>
      <c r="AF28" s="41">
        <f t="shared" si="14"/>
        <v>2016.9166666666667</v>
      </c>
      <c r="AG28" s="41">
        <f t="shared" si="15"/>
        <v>2017</v>
      </c>
      <c r="AH28" s="41">
        <f t="shared" si="16"/>
        <v>-0.08333333333333333</v>
      </c>
      <c r="AJ28" s="224">
        <f t="shared" si="17"/>
        <v>0</v>
      </c>
      <c r="AL28" s="224">
        <f t="shared" si="18"/>
        <v>0</v>
      </c>
      <c r="AN28" s="224">
        <f t="shared" si="19"/>
        <v>0</v>
      </c>
      <c r="AP28" s="224">
        <f t="shared" si="20"/>
        <v>0</v>
      </c>
      <c r="AR28" s="146">
        <f t="shared" si="21"/>
        <v>0</v>
      </c>
    </row>
    <row r="29" spans="1:44" s="7" customFormat="1" ht="12">
      <c r="A29" s="35"/>
      <c r="B29" s="35"/>
      <c r="C29" s="128">
        <v>88214</v>
      </c>
      <c r="D29" s="36" t="s">
        <v>157</v>
      </c>
      <c r="E29" s="36">
        <v>2011</v>
      </c>
      <c r="F29" s="36">
        <v>12</v>
      </c>
      <c r="G29" s="85">
        <v>0</v>
      </c>
      <c r="H29" s="41"/>
      <c r="I29" s="35" t="s">
        <v>82</v>
      </c>
      <c r="J29" s="38">
        <v>7</v>
      </c>
      <c r="K29" s="94">
        <f t="shared" si="0"/>
        <v>2018</v>
      </c>
      <c r="N29" s="40">
        <v>5261.08</v>
      </c>
      <c r="O29" s="42"/>
      <c r="P29" s="41">
        <f t="shared" si="1"/>
        <v>5261.08</v>
      </c>
      <c r="Q29" s="41">
        <f t="shared" si="2"/>
        <v>62.631904761904764</v>
      </c>
      <c r="R29" s="41">
        <f t="shared" si="3"/>
        <v>751.5828571428572</v>
      </c>
      <c r="S29" s="41">
        <f t="shared" si="4"/>
        <v>0</v>
      </c>
      <c r="T29" s="41">
        <f t="shared" si="5"/>
        <v>751.5828571428572</v>
      </c>
      <c r="U29" s="41">
        <v>1</v>
      </c>
      <c r="V29" s="41">
        <f t="shared" si="6"/>
        <v>751.5828571428572</v>
      </c>
      <c r="W29" s="41"/>
      <c r="X29" s="41">
        <f t="shared" si="7"/>
        <v>3820.5461904761337</v>
      </c>
      <c r="Y29" s="41">
        <f t="shared" si="8"/>
        <v>3820.5461904761337</v>
      </c>
      <c r="Z29" s="41">
        <v>1</v>
      </c>
      <c r="AA29" s="41">
        <f t="shared" si="9"/>
        <v>3820.5461904761337</v>
      </c>
      <c r="AB29" s="41">
        <f t="shared" si="10"/>
        <v>4572.129047618991</v>
      </c>
      <c r="AC29" s="41">
        <f t="shared" si="11"/>
        <v>1064.7423809524378</v>
      </c>
      <c r="AD29" s="41">
        <f t="shared" si="12"/>
        <v>2011.9166666666667</v>
      </c>
      <c r="AE29" s="41">
        <f t="shared" si="13"/>
        <v>2018</v>
      </c>
      <c r="AF29" s="41">
        <f t="shared" si="14"/>
        <v>2018.9166666666667</v>
      </c>
      <c r="AG29" s="41">
        <f t="shared" si="15"/>
        <v>2017</v>
      </c>
      <c r="AH29" s="41">
        <f t="shared" si="16"/>
        <v>-0.08333333333333333</v>
      </c>
      <c r="AJ29" s="224">
        <f t="shared" si="17"/>
        <v>0</v>
      </c>
      <c r="AL29" s="224">
        <f t="shared" si="18"/>
        <v>751.5828571428572</v>
      </c>
      <c r="AN29" s="224">
        <f t="shared" si="19"/>
        <v>0</v>
      </c>
      <c r="AP29" s="224">
        <f t="shared" si="20"/>
        <v>0</v>
      </c>
      <c r="AR29" s="146">
        <f t="shared" si="21"/>
        <v>1064.7423809524378</v>
      </c>
    </row>
    <row r="30" spans="1:44" s="7" customFormat="1" ht="12">
      <c r="A30" s="35"/>
      <c r="B30" s="35"/>
      <c r="C30" s="128">
        <v>88156</v>
      </c>
      <c r="D30" s="36" t="s">
        <v>158</v>
      </c>
      <c r="E30" s="36">
        <v>2011</v>
      </c>
      <c r="F30" s="36">
        <v>12</v>
      </c>
      <c r="G30" s="85">
        <v>0</v>
      </c>
      <c r="H30" s="41"/>
      <c r="I30" s="35" t="s">
        <v>82</v>
      </c>
      <c r="J30" s="38">
        <v>7</v>
      </c>
      <c r="K30" s="94">
        <f t="shared" si="0"/>
        <v>2018</v>
      </c>
      <c r="N30" s="40">
        <v>2771.85</v>
      </c>
      <c r="O30" s="42"/>
      <c r="P30" s="41">
        <f t="shared" si="1"/>
        <v>2771.85</v>
      </c>
      <c r="Q30" s="41">
        <f t="shared" si="2"/>
        <v>32.99821428571428</v>
      </c>
      <c r="R30" s="41">
        <f t="shared" si="3"/>
        <v>395.9785714285714</v>
      </c>
      <c r="S30" s="41">
        <f t="shared" si="4"/>
        <v>0</v>
      </c>
      <c r="T30" s="41">
        <f t="shared" si="5"/>
        <v>395.9785714285714</v>
      </c>
      <c r="U30" s="41">
        <v>1</v>
      </c>
      <c r="V30" s="41">
        <f t="shared" si="6"/>
        <v>395.9785714285714</v>
      </c>
      <c r="W30" s="41"/>
      <c r="X30" s="41">
        <f t="shared" si="7"/>
        <v>2012.8910714285412</v>
      </c>
      <c r="Y30" s="41">
        <f t="shared" si="8"/>
        <v>2012.8910714285412</v>
      </c>
      <c r="Z30" s="41">
        <v>1</v>
      </c>
      <c r="AA30" s="41">
        <f t="shared" si="9"/>
        <v>2012.8910714285412</v>
      </c>
      <c r="AB30" s="41">
        <f t="shared" si="10"/>
        <v>2408.8696428571125</v>
      </c>
      <c r="AC30" s="41">
        <f t="shared" si="11"/>
        <v>560.9696428571731</v>
      </c>
      <c r="AD30" s="41">
        <f t="shared" si="12"/>
        <v>2011.9166666666667</v>
      </c>
      <c r="AE30" s="41">
        <f t="shared" si="13"/>
        <v>2018</v>
      </c>
      <c r="AF30" s="41">
        <f t="shared" si="14"/>
        <v>2018.9166666666667</v>
      </c>
      <c r="AG30" s="41">
        <f t="shared" si="15"/>
        <v>2017</v>
      </c>
      <c r="AH30" s="41">
        <f t="shared" si="16"/>
        <v>-0.08333333333333333</v>
      </c>
      <c r="AJ30" s="224">
        <f t="shared" si="17"/>
        <v>0</v>
      </c>
      <c r="AL30" s="224">
        <f t="shared" si="18"/>
        <v>395.9785714285714</v>
      </c>
      <c r="AN30" s="224">
        <f t="shared" si="19"/>
        <v>0</v>
      </c>
      <c r="AP30" s="224">
        <f t="shared" si="20"/>
        <v>0</v>
      </c>
      <c r="AR30" s="146">
        <f t="shared" si="21"/>
        <v>560.9696428571731</v>
      </c>
    </row>
    <row r="31" spans="1:44" s="7" customFormat="1" ht="12">
      <c r="A31" s="35"/>
      <c r="B31" s="35"/>
      <c r="C31" s="128">
        <v>80814</v>
      </c>
      <c r="D31" s="36" t="s">
        <v>159</v>
      </c>
      <c r="E31" s="36">
        <v>2011</v>
      </c>
      <c r="F31" s="36">
        <v>1</v>
      </c>
      <c r="G31" s="85">
        <v>0</v>
      </c>
      <c r="H31" s="41"/>
      <c r="I31" s="35" t="s">
        <v>82</v>
      </c>
      <c r="J31" s="38">
        <v>5</v>
      </c>
      <c r="K31" s="94">
        <f t="shared" si="0"/>
        <v>2016</v>
      </c>
      <c r="N31" s="40">
        <f>1583.32+5660</f>
        <v>7243.32</v>
      </c>
      <c r="O31" s="42"/>
      <c r="P31" s="41">
        <f t="shared" si="1"/>
        <v>7243.32</v>
      </c>
      <c r="Q31" s="41">
        <f t="shared" si="2"/>
        <v>120.722</v>
      </c>
      <c r="R31" s="41">
        <f t="shared" si="3"/>
        <v>0</v>
      </c>
      <c r="S31" s="41">
        <f t="shared" si="4"/>
        <v>0</v>
      </c>
      <c r="T31" s="41">
        <f t="shared" si="5"/>
        <v>0</v>
      </c>
      <c r="U31" s="41">
        <v>1</v>
      </c>
      <c r="V31" s="41">
        <f t="shared" si="6"/>
        <v>0</v>
      </c>
      <c r="W31" s="41"/>
      <c r="X31" s="41">
        <f t="shared" si="7"/>
        <v>7243.32</v>
      </c>
      <c r="Y31" s="41">
        <f t="shared" si="8"/>
        <v>7243.32</v>
      </c>
      <c r="Z31" s="41">
        <v>1</v>
      </c>
      <c r="AA31" s="41">
        <f t="shared" si="9"/>
        <v>7243.32</v>
      </c>
      <c r="AB31" s="41">
        <f t="shared" si="10"/>
        <v>7243.32</v>
      </c>
      <c r="AC31" s="41">
        <f t="shared" si="11"/>
        <v>0</v>
      </c>
      <c r="AD31" s="41">
        <f t="shared" si="12"/>
        <v>2011</v>
      </c>
      <c r="AE31" s="41">
        <f t="shared" si="13"/>
        <v>2018</v>
      </c>
      <c r="AF31" s="41">
        <f t="shared" si="14"/>
        <v>2016</v>
      </c>
      <c r="AG31" s="41">
        <f t="shared" si="15"/>
        <v>2017</v>
      </c>
      <c r="AH31" s="41">
        <f t="shared" si="16"/>
        <v>-0.08333333333333333</v>
      </c>
      <c r="AJ31" s="224">
        <f t="shared" si="17"/>
        <v>0</v>
      </c>
      <c r="AL31" s="224">
        <f t="shared" si="18"/>
        <v>0</v>
      </c>
      <c r="AN31" s="224">
        <f t="shared" si="19"/>
        <v>0</v>
      </c>
      <c r="AP31" s="224">
        <f t="shared" si="20"/>
        <v>0</v>
      </c>
      <c r="AR31" s="146">
        <f t="shared" si="21"/>
        <v>0</v>
      </c>
    </row>
    <row r="32" spans="1:44" s="7" customFormat="1" ht="12">
      <c r="A32" s="35"/>
      <c r="B32" s="35"/>
      <c r="C32" s="128">
        <v>127407</v>
      </c>
      <c r="D32" s="36" t="s">
        <v>228</v>
      </c>
      <c r="E32" s="36">
        <v>2015</v>
      </c>
      <c r="F32" s="36">
        <v>11</v>
      </c>
      <c r="G32" s="85">
        <v>0</v>
      </c>
      <c r="H32" s="41"/>
      <c r="I32" s="35" t="s">
        <v>82</v>
      </c>
      <c r="J32" s="38">
        <v>10</v>
      </c>
      <c r="K32" s="94">
        <f t="shared" si="0"/>
        <v>2025</v>
      </c>
      <c r="N32" s="40">
        <v>185053.86</v>
      </c>
      <c r="O32" s="42"/>
      <c r="P32" s="41">
        <f t="shared" si="1"/>
        <v>185053.86</v>
      </c>
      <c r="Q32" s="41">
        <f t="shared" si="2"/>
        <v>1542.1154999999999</v>
      </c>
      <c r="R32" s="41">
        <f t="shared" si="3"/>
        <v>18505.386</v>
      </c>
      <c r="S32" s="41">
        <f t="shared" si="4"/>
        <v>0</v>
      </c>
      <c r="T32" s="41">
        <f t="shared" si="5"/>
        <v>18505.386</v>
      </c>
      <c r="U32" s="41">
        <v>1</v>
      </c>
      <c r="V32" s="41">
        <f t="shared" si="6"/>
        <v>18505.386</v>
      </c>
      <c r="W32" s="41"/>
      <c r="X32" s="41">
        <f t="shared" si="7"/>
        <v>21589.617000001403</v>
      </c>
      <c r="Y32" s="41">
        <f t="shared" si="8"/>
        <v>21589.617000001403</v>
      </c>
      <c r="Z32" s="41">
        <v>1</v>
      </c>
      <c r="AA32" s="41">
        <f t="shared" si="9"/>
        <v>21589.617000001403</v>
      </c>
      <c r="AB32" s="41">
        <f t="shared" si="10"/>
        <v>40095.0030000014</v>
      </c>
      <c r="AC32" s="41">
        <f t="shared" si="11"/>
        <v>154211.5499999986</v>
      </c>
      <c r="AD32" s="41">
        <f t="shared" si="12"/>
        <v>2015.8333333333333</v>
      </c>
      <c r="AE32" s="41">
        <f t="shared" si="13"/>
        <v>2018</v>
      </c>
      <c r="AF32" s="41">
        <f t="shared" si="14"/>
        <v>2025.8333333333333</v>
      </c>
      <c r="AG32" s="41">
        <f t="shared" si="15"/>
        <v>2017</v>
      </c>
      <c r="AH32" s="41">
        <f t="shared" si="16"/>
        <v>-0.08333333333333333</v>
      </c>
      <c r="AJ32" s="224">
        <f t="shared" si="17"/>
        <v>0</v>
      </c>
      <c r="AL32" s="224">
        <f t="shared" si="18"/>
        <v>18505.386</v>
      </c>
      <c r="AN32" s="224">
        <f t="shared" si="19"/>
        <v>0</v>
      </c>
      <c r="AP32" s="224">
        <f t="shared" si="20"/>
        <v>0</v>
      </c>
      <c r="AR32" s="146">
        <f t="shared" si="21"/>
        <v>154211.5499999986</v>
      </c>
    </row>
    <row r="33" spans="1:44" s="7" customFormat="1" ht="12">
      <c r="A33" s="35"/>
      <c r="B33" s="35"/>
      <c r="C33" s="128"/>
      <c r="D33" s="36"/>
      <c r="E33" s="36"/>
      <c r="F33" s="36"/>
      <c r="G33" s="85"/>
      <c r="H33" s="41"/>
      <c r="I33" s="35"/>
      <c r="J33" s="38"/>
      <c r="K33" s="94"/>
      <c r="N33" s="40"/>
      <c r="O33" s="42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J33" s="224">
        <f t="shared" si="17"/>
        <v>0</v>
      </c>
      <c r="AL33" s="224">
        <f t="shared" si="18"/>
        <v>0</v>
      </c>
      <c r="AN33" s="224">
        <f t="shared" si="19"/>
        <v>0</v>
      </c>
      <c r="AP33" s="224">
        <f t="shared" si="20"/>
        <v>0</v>
      </c>
      <c r="AR33" s="146">
        <f t="shared" si="21"/>
        <v>0</v>
      </c>
    </row>
    <row r="34" spans="1:44" s="7" customFormat="1" ht="12">
      <c r="A34" s="35"/>
      <c r="B34" s="35"/>
      <c r="C34" s="35">
        <v>132355</v>
      </c>
      <c r="D34" s="36" t="s">
        <v>159</v>
      </c>
      <c r="E34" s="36">
        <v>2016</v>
      </c>
      <c r="F34" s="36">
        <v>4</v>
      </c>
      <c r="G34" s="85">
        <v>0</v>
      </c>
      <c r="H34" s="41"/>
      <c r="I34" s="35" t="s">
        <v>82</v>
      </c>
      <c r="J34" s="38">
        <v>3</v>
      </c>
      <c r="K34" s="94">
        <f>E34+J34</f>
        <v>2019</v>
      </c>
      <c r="N34" s="40">
        <v>1671</v>
      </c>
      <c r="O34" s="42"/>
      <c r="P34" s="41">
        <f>N34-N34*G34</f>
        <v>1671</v>
      </c>
      <c r="Q34" s="41">
        <f>P34/J34/12</f>
        <v>46.416666666666664</v>
      </c>
      <c r="R34" s="41">
        <f>IF(O34&gt;0,0,IF(OR(AD34&gt;AE34,AF34&lt;AG34),0,IF(AND(AF34&gt;=AG34,AF34&lt;=AE34),Q34*((AF34-AG34)*12),IF(AND(AG34&lt;=AD34,AE34&gt;=AD34),((AE34-AD34)*12)*Q34,IF(AF34&gt;AE34,12*Q34,0)))))</f>
        <v>557</v>
      </c>
      <c r="S34" s="41">
        <f>IF(O34=0,0,IF(AND(AH34&gt;=AG34,AH34&lt;=AF34),((AH34-AG34)*12)*Q34,0))</f>
        <v>0</v>
      </c>
      <c r="T34" s="41">
        <f>IF(S34&gt;0,S34,R34)</f>
        <v>557</v>
      </c>
      <c r="U34" s="41">
        <v>1</v>
      </c>
      <c r="V34" s="41">
        <f>U34*SUM(R34:S34)</f>
        <v>557</v>
      </c>
      <c r="W34" s="41"/>
      <c r="X34" s="41">
        <f>IF(AD34&gt;AE34,0,IF(AF34&lt;AG34,P34,IF(AND(AF34&gt;=AG34,AF34&lt;=AE34),(P34-T34),IF(AND(AG34&lt;=AD34,AE34&gt;=AD34),0,IF(AF34&gt;AE34,((AG34-AD34)*12)*Q34,0)))))</f>
        <v>417.75</v>
      </c>
      <c r="Y34" s="41">
        <f>X34*U34</f>
        <v>417.75</v>
      </c>
      <c r="Z34" s="41">
        <v>1</v>
      </c>
      <c r="AA34" s="41">
        <f>Y34*Z34</f>
        <v>417.75</v>
      </c>
      <c r="AB34" s="41">
        <f>IF(O34&gt;0,0,AA34+V34*Z34)*Z34</f>
        <v>974.75</v>
      </c>
      <c r="AC34" s="41">
        <f>IF(O34&gt;0,(N34-AA34)/2,IF(AD34&gt;=AG34,(((N34*U34)*Z34)-AB34)/2,((((N34*U34)*Z34)-AA34)+(((N34*U34)*Z34)-AB34))/2))</f>
        <v>974.75</v>
      </c>
      <c r="AD34" s="41">
        <f>$E34+(($F34-1)/12)</f>
        <v>2016.25</v>
      </c>
      <c r="AE34" s="41">
        <f t="shared" si="13"/>
        <v>2018</v>
      </c>
      <c r="AF34" s="41">
        <f>$K34+(($F34-1)/12)</f>
        <v>2019.25</v>
      </c>
      <c r="AG34" s="41">
        <f t="shared" si="15"/>
        <v>2017</v>
      </c>
      <c r="AH34" s="41">
        <f>$L34+(($M34-1)/12)</f>
        <v>-0.08333333333333333</v>
      </c>
      <c r="AJ34" s="224">
        <f t="shared" si="17"/>
        <v>0</v>
      </c>
      <c r="AL34" s="224">
        <f t="shared" si="18"/>
        <v>557</v>
      </c>
      <c r="AN34" s="224">
        <f t="shared" si="19"/>
        <v>0</v>
      </c>
      <c r="AP34" s="224">
        <f t="shared" si="20"/>
        <v>0</v>
      </c>
      <c r="AR34" s="146">
        <f t="shared" si="21"/>
        <v>974.75</v>
      </c>
    </row>
    <row r="35" spans="2:44" s="7" customFormat="1" ht="12">
      <c r="B35" s="35"/>
      <c r="C35" s="7">
        <v>171237</v>
      </c>
      <c r="D35" s="36" t="s">
        <v>235</v>
      </c>
      <c r="E35" s="7">
        <v>2016</v>
      </c>
      <c r="F35" s="7">
        <v>12</v>
      </c>
      <c r="G35" s="37">
        <v>0.2</v>
      </c>
      <c r="I35" s="35" t="s">
        <v>82</v>
      </c>
      <c r="J35" s="38">
        <v>10</v>
      </c>
      <c r="K35" s="39">
        <f>E35+J35</f>
        <v>2026</v>
      </c>
      <c r="N35" s="40">
        <v>16847.41</v>
      </c>
      <c r="P35" s="41">
        <f>N35-N35*G35</f>
        <v>13477.928</v>
      </c>
      <c r="Q35" s="41">
        <f>P35/J35/12</f>
        <v>112.31606666666666</v>
      </c>
      <c r="R35" s="41">
        <f>IF(O35&gt;0,0,IF(OR(AD35&gt;AE35,AF35&lt;AG35),0,IF(AND(AF35&gt;=AG35,AF35&lt;=AE35),Q35*((AF35-AG35)*12),IF(AND(AG35&lt;=AD35,AE35&gt;=AD35),((AE35-AD35)*12)*Q35,IF(AF35&gt;AE35,12*Q35,0)))))</f>
        <v>1347.7928</v>
      </c>
      <c r="S35" s="41">
        <f>IF(O35=0,0,IF(AND(AH35&gt;=AG35,AH35&lt;=AF35),((AH35-AG35)*12)*Q35,0))</f>
        <v>0</v>
      </c>
      <c r="T35" s="41">
        <f>IF(S35&gt;0,S35,R35)</f>
        <v>1347.7928</v>
      </c>
      <c r="U35" s="41">
        <v>1</v>
      </c>
      <c r="V35" s="41">
        <f>U35*SUM(R35:S35)</f>
        <v>1347.7928</v>
      </c>
      <c r="W35" s="41"/>
      <c r="X35" s="41">
        <f>IF(AD35&gt;AE35,0,IF(AF35&lt;AG35,P35,IF(AND(AF35&gt;=AG35,AF35&lt;=AE35),(P35-T35),IF(AND(AG35&lt;=AD35,AE35&gt;=AD35),0,IF(AF35&gt;AE35,((AG35-AD35)*12)*Q35,0)))))</f>
        <v>112.31606666656451</v>
      </c>
      <c r="Y35" s="41">
        <f>X35*U35</f>
        <v>112.31606666656451</v>
      </c>
      <c r="Z35" s="41">
        <v>1</v>
      </c>
      <c r="AA35" s="41">
        <f>Y35*Z35</f>
        <v>112.31606666656451</v>
      </c>
      <c r="AB35" s="41">
        <f>IF(O35&gt;0,0,AA35+V35*Z35)*Z35</f>
        <v>1460.1088666665644</v>
      </c>
      <c r="AC35" s="41">
        <f>IF(O35&gt;0,(N35-AA35)/2,IF(AD35&gt;=AG35,(((N35*U35)*Z35)-AB35)/2,((((N35*U35)*Z35)-AA35)+(((N35*U35)*Z35)-AB35))/2))</f>
        <v>16061.197533333436</v>
      </c>
      <c r="AD35" s="41">
        <f>$E35+(($F35-1)/12)</f>
        <v>2016.9166666666667</v>
      </c>
      <c r="AE35" s="41">
        <f>('2144 Trks Orig'!$P$5+1)-('2144 Trks Orig'!$P$2/12)</f>
        <v>2018</v>
      </c>
      <c r="AF35" s="41">
        <f>$K35+(($F35-1)/12)</f>
        <v>2026.9166666666667</v>
      </c>
      <c r="AG35" s="41">
        <f>'2144 Trks Orig'!$P$4+('2144 Trks Orig'!$P$3/12)</f>
        <v>2017</v>
      </c>
      <c r="AH35" s="41">
        <f>$L35+(($M35-1)/12)</f>
        <v>-0.08333333333333333</v>
      </c>
      <c r="AJ35" s="224">
        <f t="shared" si="17"/>
        <v>339.779697478989</v>
      </c>
      <c r="AL35" s="224">
        <f t="shared" si="18"/>
        <v>1687.572497478989</v>
      </c>
      <c r="AN35" s="224">
        <f t="shared" si="19"/>
        <v>0</v>
      </c>
      <c r="AP35" s="224">
        <f t="shared" si="20"/>
        <v>15891.307684593941</v>
      </c>
      <c r="AR35" s="146">
        <f t="shared" si="21"/>
        <v>15891.307684593941</v>
      </c>
    </row>
    <row r="36" spans="2:44" s="7" customFormat="1" ht="12">
      <c r="B36" s="35"/>
      <c r="C36" s="59">
        <v>184735</v>
      </c>
      <c r="D36" s="36" t="s">
        <v>245</v>
      </c>
      <c r="E36" s="7">
        <v>2017</v>
      </c>
      <c r="F36" s="7">
        <v>7</v>
      </c>
      <c r="G36" s="37">
        <v>0</v>
      </c>
      <c r="I36" s="35" t="s">
        <v>82</v>
      </c>
      <c r="J36" s="38">
        <v>3</v>
      </c>
      <c r="K36" s="39">
        <f>E36+J36</f>
        <v>2020</v>
      </c>
      <c r="N36" s="40">
        <v>4848</v>
      </c>
      <c r="P36" s="41">
        <f>N36-N36*G36</f>
        <v>4848</v>
      </c>
      <c r="Q36" s="41">
        <f>P36/J36/12</f>
        <v>134.66666666666666</v>
      </c>
      <c r="R36" s="41">
        <f>IF(O36&gt;0,0,IF(OR(AD36&gt;AE36,AF36&lt;AG36),0,IF(AND(AF36&gt;=AG36,AF36&lt;=AE36),Q36*((AF36-AG36)*12),IF(AND(AG36&lt;=AD36,AE36&gt;=AD36),((AE36-AD36)*12)*Q36,IF(AF36&gt;AE36,12*Q36,0)))))</f>
        <v>808</v>
      </c>
      <c r="S36" s="41">
        <f>IF(O36=0,0,IF(AND(AH36&gt;=AG36,AH36&lt;=AF36),((AH36-AG36)*12)*Q36,0))</f>
        <v>0</v>
      </c>
      <c r="T36" s="41">
        <f>IF(S36&gt;0,S36,R36)</f>
        <v>808</v>
      </c>
      <c r="U36" s="41">
        <v>1</v>
      </c>
      <c r="V36" s="41">
        <f>U36*SUM(R36:S36)</f>
        <v>808</v>
      </c>
      <c r="W36" s="41"/>
      <c r="X36" s="41">
        <f>IF(AD36&gt;AE36,0,IF(AF36&lt;AG36,P36,IF(AND(AF36&gt;=AG36,AF36&lt;=AE36),(P36-T36),IF(AND(AG36&lt;=AD36,AE36&gt;=AD36),0,IF(AF36&gt;AE36,((AG36-AD36)*12)*Q36,0)))))</f>
        <v>0</v>
      </c>
      <c r="Y36" s="41">
        <f>X36*U36</f>
        <v>0</v>
      </c>
      <c r="Z36" s="41">
        <v>1</v>
      </c>
      <c r="AA36" s="41">
        <f>Y36*Z36</f>
        <v>0</v>
      </c>
      <c r="AB36" s="41">
        <f>IF(O36&gt;0,0,AA36+V36*Z36)*Z36</f>
        <v>808</v>
      </c>
      <c r="AC36" s="41">
        <f>IF(O36&gt;0,(N36-AA36)/2,IF(AD36&gt;=AG36,(((N36*U36)*Z36)-AB36)/2,((((N36*U36)*Z36)-AA36)+(((N36*U36)*Z36)-AB36))/2))</f>
        <v>2020</v>
      </c>
      <c r="AD36" s="41">
        <f>$E36+(($F36-1)/12)</f>
        <v>2017.5</v>
      </c>
      <c r="AE36" s="41">
        <f>('2144 Trks Orig'!$P$5+1)-('2144 Trks Orig'!$P$2/12)</f>
        <v>2018</v>
      </c>
      <c r="AF36" s="41">
        <f>$K36+(($F36-1)/12)</f>
        <v>2020.5</v>
      </c>
      <c r="AG36" s="41">
        <f>'2144 Trks Orig'!$P$4+('2144 Trks Orig'!$P$3/12)</f>
        <v>2017</v>
      </c>
      <c r="AH36" s="41">
        <f>$L36+(($M36-1)/12)</f>
        <v>-0.08333333333333333</v>
      </c>
      <c r="AJ36" s="224">
        <f t="shared" si="17"/>
        <v>0</v>
      </c>
      <c r="AL36" s="224">
        <f t="shared" si="18"/>
        <v>808</v>
      </c>
      <c r="AN36" s="224">
        <f t="shared" si="19"/>
        <v>0</v>
      </c>
      <c r="AP36" s="224">
        <f t="shared" si="20"/>
        <v>0</v>
      </c>
      <c r="AR36" s="146">
        <f t="shared" si="21"/>
        <v>2020</v>
      </c>
    </row>
    <row r="37" spans="1:34" ht="12">
      <c r="A37" s="12"/>
      <c r="B37" s="12"/>
      <c r="C37" s="128"/>
      <c r="D37" s="126"/>
      <c r="E37" s="56"/>
      <c r="F37" s="125"/>
      <c r="G37" s="56"/>
      <c r="H37" s="15"/>
      <c r="I37" s="12"/>
      <c r="N37" s="15"/>
      <c r="O37" s="142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</row>
    <row r="38" spans="1:44" ht="12">
      <c r="A38" s="12"/>
      <c r="B38" s="12" t="s">
        <v>13</v>
      </c>
      <c r="C38" s="128"/>
      <c r="D38" s="75" t="s">
        <v>160</v>
      </c>
      <c r="E38" s="124"/>
      <c r="F38" s="24"/>
      <c r="G38" s="56"/>
      <c r="H38" s="15"/>
      <c r="I38" s="12"/>
      <c r="J38" s="4"/>
      <c r="N38" s="141">
        <f>SUM(N12:N37)</f>
        <v>282620.11</v>
      </c>
      <c r="O38" s="142"/>
      <c r="P38" s="141">
        <f>SUM(P12:P37)</f>
        <v>279250.62799999997</v>
      </c>
      <c r="Q38" s="141">
        <f>SUM(Q12:Q37)</f>
        <v>2798.9045984126983</v>
      </c>
      <c r="R38" s="141">
        <f>SUM(R12:R37)</f>
        <v>22365.740228571427</v>
      </c>
      <c r="S38" s="141"/>
      <c r="T38" s="141">
        <f>SUM(T12:T37)</f>
        <v>22365.740228571427</v>
      </c>
      <c r="U38" s="141"/>
      <c r="V38" s="141">
        <f>SUM(V12:V37)</f>
        <v>22365.740228571427</v>
      </c>
      <c r="W38" s="141">
        <f>SUM(W12:W37)</f>
        <v>0</v>
      </c>
      <c r="X38" s="141">
        <f>SUM(X12:X37)</f>
        <v>94120.03032857264</v>
      </c>
      <c r="Y38" s="141">
        <f>SUM(Y12:Y37)</f>
        <v>94120.03032857264</v>
      </c>
      <c r="Z38" s="141"/>
      <c r="AA38" s="141">
        <f>SUM(AA12:AA37)</f>
        <v>94120.03032857264</v>
      </c>
      <c r="AB38" s="141">
        <f>SUM(AB12:AB37)</f>
        <v>116485.77055714405</v>
      </c>
      <c r="AC38" s="141">
        <f>SUM(AC12:AC37)</f>
        <v>174893.20955714164</v>
      </c>
      <c r="AD38" s="15"/>
      <c r="AE38" s="15"/>
      <c r="AF38" s="15"/>
      <c r="AG38" s="15"/>
      <c r="AH38" s="15"/>
      <c r="AJ38" s="230">
        <f aca="true" t="shared" si="22" ref="AJ38:AR38">SUM(AJ12:AJ37)</f>
        <v>339.779697478989</v>
      </c>
      <c r="AK38" s="230"/>
      <c r="AL38" s="230">
        <f t="shared" si="22"/>
        <v>22705.519926050416</v>
      </c>
      <c r="AM38" s="230"/>
      <c r="AN38" s="230">
        <f t="shared" si="22"/>
        <v>0</v>
      </c>
      <c r="AO38" s="230"/>
      <c r="AP38" s="230">
        <f t="shared" si="22"/>
        <v>15891.307684593941</v>
      </c>
      <c r="AQ38" s="230"/>
      <c r="AR38" s="230">
        <f t="shared" si="22"/>
        <v>174723.31970840215</v>
      </c>
    </row>
    <row r="39" spans="1:34" ht="12">
      <c r="A39" s="12"/>
      <c r="B39" s="123"/>
      <c r="C39" s="122"/>
      <c r="D39" s="35"/>
      <c r="E39" s="56"/>
      <c r="F39" s="12"/>
      <c r="G39" s="56"/>
      <c r="H39" s="15"/>
      <c r="I39" s="12"/>
      <c r="N39" s="22"/>
      <c r="O39" s="142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</row>
    <row r="40" spans="1:34" ht="12">
      <c r="A40" s="12"/>
      <c r="B40" s="12"/>
      <c r="C40" s="128"/>
      <c r="D40" s="75" t="s">
        <v>16</v>
      </c>
      <c r="E40" s="56"/>
      <c r="F40" s="12"/>
      <c r="G40" s="56"/>
      <c r="H40" s="15"/>
      <c r="I40" s="12"/>
      <c r="N40" s="22"/>
      <c r="O40" s="142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</row>
    <row r="41" spans="1:44" ht="12">
      <c r="A41" s="12"/>
      <c r="B41" s="121" t="s">
        <v>13</v>
      </c>
      <c r="C41" s="120"/>
      <c r="D41" s="36" t="s">
        <v>161</v>
      </c>
      <c r="E41" s="55">
        <v>1985</v>
      </c>
      <c r="F41" s="55">
        <v>10</v>
      </c>
      <c r="G41" s="56">
        <v>0</v>
      </c>
      <c r="I41" s="12" t="s">
        <v>82</v>
      </c>
      <c r="J41" s="57">
        <v>5</v>
      </c>
      <c r="K41" s="137">
        <f>E41+J41</f>
        <v>1990</v>
      </c>
      <c r="N41" s="58">
        <v>1200</v>
      </c>
      <c r="O41" s="142"/>
      <c r="P41" s="15">
        <f>N41-N41*G41</f>
        <v>1200</v>
      </c>
      <c r="Q41" s="15">
        <f>P41/J41/12</f>
        <v>20</v>
      </c>
      <c r="R41" s="15">
        <f>IF(O41&gt;0,0,IF(OR(AD41&gt;AE41,AF41&lt;AG41),0,IF(AND(AF41&gt;=AG41,AF41&lt;=AE41),Q41*((AF41-AG41)*12),IF(AND(AG41&lt;=AD41,AE41&gt;=AD41),((AE41-AD41)*12)*Q41,IF(AF41&gt;AE41,12*Q41,0)))))</f>
        <v>0</v>
      </c>
      <c r="S41" s="15">
        <f>IF(O41=0,0,IF(AND(AH41&gt;=AG41,AH41&lt;=AF41),((AH41-AG41)*12)*Q41,0))</f>
        <v>0</v>
      </c>
      <c r="T41" s="15">
        <f>IF(S41&gt;0,S41,R41)</f>
        <v>0</v>
      </c>
      <c r="U41" s="15">
        <v>1</v>
      </c>
      <c r="V41" s="15">
        <f>U41*SUM(R41:S41)</f>
        <v>0</v>
      </c>
      <c r="W41" s="15"/>
      <c r="X41" s="15">
        <f>IF(AD41&gt;AE41,0,IF(AF41&lt;AG41,P41,IF(AND(AF41&gt;=AG41,AF41&lt;=AE41),(P41-T41),IF(AND(AG41&lt;=AD41,AE41&gt;=AD41),0,IF(AF41&gt;AE41,((AG41-AD41)*12)*Q41,0)))))</f>
        <v>1200</v>
      </c>
      <c r="Y41" s="15">
        <f>X41*U41</f>
        <v>1200</v>
      </c>
      <c r="Z41" s="15">
        <v>1</v>
      </c>
      <c r="AA41" s="15">
        <f>Y41*Z41</f>
        <v>1200</v>
      </c>
      <c r="AB41" s="15">
        <f>IF(O41&gt;0,0,AA41+V41*Z41)*Z41</f>
        <v>1200</v>
      </c>
      <c r="AC41" s="15">
        <f>IF(O41&gt;0,(N41-AA41)/2,IF(AD41&gt;=AG41,(((N41*U41)*Z41)-AB41)/2,((((N41*U41)*Z41)-AA41)+(((N41*U41)*Z41)-AB41))/2))</f>
        <v>0</v>
      </c>
      <c r="AD41" s="15">
        <f>$E41+(($F41-1)/12)</f>
        <v>1985.75</v>
      </c>
      <c r="AE41" s="15">
        <f>($P$5+1)-($P$2/12)</f>
        <v>2018</v>
      </c>
      <c r="AF41" s="15">
        <f>$K41+(($F41-1)/12)</f>
        <v>1990.75</v>
      </c>
      <c r="AG41" s="15">
        <f>$P$4+($P$3/12)</f>
        <v>2017</v>
      </c>
      <c r="AH41" s="15">
        <f>$L41+(($M41-1)/12)</f>
        <v>-0.08333333333333333</v>
      </c>
      <c r="AJ41" s="224">
        <f>+IF((AF41-AG41)&gt;3,((N41-P41)/(AF41-AG41)),(N41-P41)/3)</f>
        <v>0</v>
      </c>
      <c r="AK41" s="7"/>
      <c r="AL41" s="224">
        <f>+AJ41+T41</f>
        <v>0</v>
      </c>
      <c r="AM41" s="7"/>
      <c r="AN41" s="224">
        <f>+IF(AF41&lt;AG41,-AC41,0)</f>
        <v>0</v>
      </c>
      <c r="AO41" s="7"/>
      <c r="AP41" s="224">
        <f>IF(AF41&gt;AG41,IF(AJ41&gt;0,IF(O41&gt;0,(N41-AA41)/2,IF(AD41&gt;=AG41,(((N41*U41)*Z41)-(AB41+AJ41))/2,((((N41*U41)*Z41)-AA41)+(((N41*U41)*Z41)-(AB41+AJ41)))/2)),0),0)</f>
        <v>0</v>
      </c>
      <c r="AQ41" s="7"/>
      <c r="AR41" s="146">
        <f>+AC41+AN41+(IF(AP41&gt;0,(AP41-AC41),0))</f>
        <v>0</v>
      </c>
    </row>
    <row r="42" spans="1:44" s="7" customFormat="1" ht="12">
      <c r="A42" s="35"/>
      <c r="B42" s="35"/>
      <c r="C42" s="128"/>
      <c r="D42" s="36" t="s">
        <v>162</v>
      </c>
      <c r="E42" s="36">
        <v>2000</v>
      </c>
      <c r="F42" s="36">
        <v>6</v>
      </c>
      <c r="G42" s="37">
        <v>0.33</v>
      </c>
      <c r="I42" s="35" t="s">
        <v>82</v>
      </c>
      <c r="J42" s="38">
        <v>5</v>
      </c>
      <c r="K42" s="94">
        <f>E42+J42</f>
        <v>2005</v>
      </c>
      <c r="N42" s="40">
        <v>20840</v>
      </c>
      <c r="O42" s="42"/>
      <c r="P42" s="41">
        <f>N42-N42*G42</f>
        <v>13962.8</v>
      </c>
      <c r="Q42" s="41">
        <f>P42/J42/12</f>
        <v>232.71333333333334</v>
      </c>
      <c r="R42" s="41">
        <f>IF(O42&gt;0,0,IF(OR(AD42&gt;AE42,AF42&lt;AG42),0,IF(AND(AF42&gt;=AG42,AF42&lt;=AE42),Q42*((AF42-AG42)*12),IF(AND(AG42&lt;=AD42,AE42&gt;=AD42),((AE42-AD42)*12)*Q42,IF(AF42&gt;AE42,12*Q42,0)))))</f>
        <v>0</v>
      </c>
      <c r="S42" s="41">
        <f>IF(O42=0,0,IF(AND(AH42&gt;=AG42,AH42&lt;=AF42),((AH42-AG42)*12)*Q42,0))</f>
        <v>0</v>
      </c>
      <c r="T42" s="41">
        <f>IF(S42&gt;0,S42,R42)</f>
        <v>0</v>
      </c>
      <c r="U42" s="41">
        <v>1</v>
      </c>
      <c r="V42" s="41">
        <f>U42*SUM(R42:S42)</f>
        <v>0</v>
      </c>
      <c r="W42" s="41"/>
      <c r="X42" s="41">
        <f>IF(AD42&gt;AE42,0,IF(AF42&lt;AG42,P42,IF(AND(AF42&gt;=AG42,AF42&lt;=AE42),(P42-T42),IF(AND(AG42&lt;=AD42,AE42&gt;=AD42),0,IF(AF42&gt;AE42,((AG42-AD42)*12)*Q42,0)))))</f>
        <v>13962.8</v>
      </c>
      <c r="Y42" s="41">
        <f>X42*U42</f>
        <v>13962.8</v>
      </c>
      <c r="Z42" s="41">
        <v>1</v>
      </c>
      <c r="AA42" s="41">
        <f>Y42*Z42</f>
        <v>13962.8</v>
      </c>
      <c r="AB42" s="41">
        <f>IF(O42&gt;0,0,AA42+V42*Z42)*Z42</f>
        <v>13962.8</v>
      </c>
      <c r="AC42" s="41">
        <f>IF(O42&gt;0,(N42-AA42)/2,IF(AD42&gt;=AG42,(((N42*U42)*Z42)-AB42)/2,((((N42*U42)*Z42)-AA42)+(((N42*U42)*Z42)-AB42))/2))</f>
        <v>6877.200000000001</v>
      </c>
      <c r="AD42" s="41">
        <f>$E42+(($F42-1)/12)</f>
        <v>2000.4166666666667</v>
      </c>
      <c r="AE42" s="41">
        <f>($P$5+1)-($P$2/12)</f>
        <v>2018</v>
      </c>
      <c r="AF42" s="41">
        <f>$K42+(($F42-1)/12)</f>
        <v>2005.4166666666667</v>
      </c>
      <c r="AG42" s="41">
        <f>$P$4+($P$3/12)</f>
        <v>2017</v>
      </c>
      <c r="AH42" s="41">
        <f>$L42+(($M42-1)/12)</f>
        <v>-0.08333333333333333</v>
      </c>
      <c r="AJ42" s="224">
        <f>+IF((AF42-AG42)&gt;3,((N42-P42)/(AF42-AG42)),(N42-P42)/3)</f>
        <v>2292.4</v>
      </c>
      <c r="AL42" s="224">
        <f>+AJ42+T42</f>
        <v>2292.4</v>
      </c>
      <c r="AN42" s="224">
        <f>+IF(AF42&lt;AG42,-AC42,0)</f>
        <v>-6877.200000000001</v>
      </c>
      <c r="AP42" s="224">
        <f>IF(AF42&gt;AG42,IF(AJ42&gt;0,IF(O42&gt;0,(N42-AA42)/2,IF(AD42&gt;=AG42,(((N42*U42)*Z42)-(AB42+AJ42))/2,((((N42*U42)*Z42)-AA42)+(((N42*U42)*Z42)-(AB42+AJ42)))/2)),0),0)</f>
        <v>0</v>
      </c>
      <c r="AR42" s="146">
        <f>+AC42+AN42+(IF(AP42&gt;0,(AP42-AC42),0))</f>
        <v>0</v>
      </c>
    </row>
    <row r="45" spans="1:34" s="132" customFormat="1" ht="12">
      <c r="A45" s="128"/>
      <c r="B45" s="128"/>
      <c r="C45" s="128"/>
      <c r="D45" s="36"/>
      <c r="E45" s="119"/>
      <c r="F45" s="119"/>
      <c r="G45" s="118"/>
      <c r="I45" s="128"/>
      <c r="J45" s="117"/>
      <c r="K45" s="116"/>
      <c r="N45" s="115"/>
      <c r="O45" s="114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</row>
    <row r="46" spans="1:44" ht="12">
      <c r="A46" s="12"/>
      <c r="B46" s="12"/>
      <c r="C46" s="128"/>
      <c r="D46" s="60" t="s">
        <v>164</v>
      </c>
      <c r="G46" s="56"/>
      <c r="I46" s="12"/>
      <c r="N46" s="141">
        <f>SUM(N41:N45)</f>
        <v>22040</v>
      </c>
      <c r="P46" s="141">
        <f>SUM(P41:P45)</f>
        <v>15162.8</v>
      </c>
      <c r="Q46" s="141">
        <f>SUM(Q41:Q45)</f>
        <v>252.71333333333334</v>
      </c>
      <c r="R46" s="141">
        <f>SUM(R41:R45)</f>
        <v>0</v>
      </c>
      <c r="S46" s="141"/>
      <c r="T46" s="141">
        <f>SUM(T41:T45)</f>
        <v>0</v>
      </c>
      <c r="U46" s="141"/>
      <c r="V46" s="141">
        <f>SUM(V41:V45)</f>
        <v>0</v>
      </c>
      <c r="W46" s="141">
        <f>SUM(W41:W45)</f>
        <v>0</v>
      </c>
      <c r="X46" s="141">
        <f>SUM(X41:X45)</f>
        <v>15162.8</v>
      </c>
      <c r="Y46" s="141">
        <f>SUM(Y41:Y45)</f>
        <v>15162.8</v>
      </c>
      <c r="Z46" s="141"/>
      <c r="AA46" s="141">
        <f>SUM(AA41:AA45)</f>
        <v>15162.8</v>
      </c>
      <c r="AB46" s="141">
        <f>SUM(AB41:AB45)</f>
        <v>15162.8</v>
      </c>
      <c r="AC46" s="141">
        <f>SUM(AC41:AC45)</f>
        <v>6877.200000000001</v>
      </c>
      <c r="AD46" s="141"/>
      <c r="AE46" s="15"/>
      <c r="AF46" s="15"/>
      <c r="AG46" s="15"/>
      <c r="AH46" s="15"/>
      <c r="AJ46" s="230">
        <f aca="true" t="shared" si="23" ref="AJ46:AR46">SUM(AJ41:AJ45)</f>
        <v>2292.4</v>
      </c>
      <c r="AK46" s="230"/>
      <c r="AL46" s="230">
        <f t="shared" si="23"/>
        <v>2292.4</v>
      </c>
      <c r="AM46" s="230"/>
      <c r="AN46" s="230">
        <f t="shared" si="23"/>
        <v>-6877.200000000001</v>
      </c>
      <c r="AO46" s="230"/>
      <c r="AP46" s="230">
        <f t="shared" si="23"/>
        <v>0</v>
      </c>
      <c r="AQ46" s="230"/>
      <c r="AR46" s="230">
        <f t="shared" si="23"/>
        <v>0</v>
      </c>
    </row>
    <row r="47" spans="1:34" ht="12">
      <c r="A47" s="12"/>
      <c r="B47" s="12"/>
      <c r="C47" s="128"/>
      <c r="D47" s="60" t="s">
        <v>13</v>
      </c>
      <c r="E47" s="1"/>
      <c r="F47" s="1"/>
      <c r="G47" s="56"/>
      <c r="I47" s="12"/>
      <c r="N47" s="18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ht="12">
      <c r="A48" s="12"/>
      <c r="B48" s="12"/>
      <c r="C48" s="128"/>
      <c r="D48" s="60" t="s">
        <v>165</v>
      </c>
      <c r="G48" s="56"/>
      <c r="I48" s="12"/>
      <c r="N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44" ht="12">
      <c r="A49" s="12"/>
      <c r="B49" s="12"/>
      <c r="C49" s="128"/>
      <c r="D49" s="36" t="s">
        <v>166</v>
      </c>
      <c r="E49" s="55">
        <v>1982</v>
      </c>
      <c r="F49" s="55">
        <v>1</v>
      </c>
      <c r="G49" s="56">
        <v>0</v>
      </c>
      <c r="I49" s="12" t="s">
        <v>82</v>
      </c>
      <c r="J49" s="57">
        <v>5</v>
      </c>
      <c r="K49" s="137">
        <f>E49+J49</f>
        <v>1987</v>
      </c>
      <c r="N49" s="58">
        <v>3500</v>
      </c>
      <c r="P49" s="15">
        <f>N49-N49*G49</f>
        <v>3500</v>
      </c>
      <c r="Q49" s="15">
        <f>P49/J49/12</f>
        <v>58.333333333333336</v>
      </c>
      <c r="R49" s="15">
        <f>IF(O49&gt;0,0,IF(OR(AD49&gt;AE49,AF49&lt;AG49),0,IF(AND(AF49&gt;=AG49,AF49&lt;=AE49),Q49*((AF49-AG49)*12),IF(AND(AG49&lt;=AD49,AE49&gt;=AD49),((AE49-AD49)*12)*Q49,IF(AF49&gt;AE49,12*Q49,0)))))</f>
        <v>0</v>
      </c>
      <c r="S49" s="15">
        <f>IF(O49=0,0,IF(AND(AH49&gt;=AG49,AH49&lt;=AF49),((AH49-AG49)*12)*Q49,0))</f>
        <v>0</v>
      </c>
      <c r="T49" s="15">
        <f>IF(S49&gt;0,S49,R49)</f>
        <v>0</v>
      </c>
      <c r="U49" s="15">
        <v>1</v>
      </c>
      <c r="V49" s="15">
        <f>U49*SUM(R49:S49)</f>
        <v>0</v>
      </c>
      <c r="W49" s="15"/>
      <c r="X49" s="15">
        <f>IF(AD49&gt;AE49,0,IF(AF49&lt;AG49,P49,IF(AND(AF49&gt;=AG49,AF49&lt;=AE49),(P49-T49),IF(AND(AG49&lt;=AD49,AE49&gt;=AD49),0,IF(AF49&gt;AE49,((AG49-AD49)*12)*Q49,0)))))</f>
        <v>3500</v>
      </c>
      <c r="Y49" s="15">
        <f>X49*U49</f>
        <v>3500</v>
      </c>
      <c r="Z49" s="15">
        <v>1</v>
      </c>
      <c r="AA49" s="15">
        <f>Y49*Z49</f>
        <v>3500</v>
      </c>
      <c r="AB49" s="15">
        <f>IF(O49&gt;0,0,AA49+V49*Z49)*Z49</f>
        <v>3500</v>
      </c>
      <c r="AC49" s="15">
        <f>IF(O49&gt;0,(N49-AA49)/2,IF(AD49&gt;=AG49,(((N49*U49)*Z49)-AB49)/2,((((N49*U49)*Z49)-AA49)+(((N49*U49)*Z49)-AB49))/2))</f>
        <v>0</v>
      </c>
      <c r="AD49" s="15">
        <f>$E49+(($F49-1)/12)</f>
        <v>1982</v>
      </c>
      <c r="AE49" s="15">
        <f>($P$5+1)-($P$2/12)</f>
        <v>2018</v>
      </c>
      <c r="AF49" s="15">
        <f>$K49+(($F49-1)/12)</f>
        <v>1987</v>
      </c>
      <c r="AG49" s="15">
        <f>$P$4+($P$3/12)</f>
        <v>2017</v>
      </c>
      <c r="AH49" s="15">
        <f>$L49+(($M49-1)/12)</f>
        <v>-0.08333333333333333</v>
      </c>
      <c r="AJ49" s="224">
        <f>+IF((AF49-AG49)&gt;3,((N49-P49)/(AF49-AG49)),(N49-P49)/3)</f>
        <v>0</v>
      </c>
      <c r="AK49" s="7"/>
      <c r="AL49" s="224">
        <f>+AJ49+T49</f>
        <v>0</v>
      </c>
      <c r="AM49" s="7"/>
      <c r="AN49" s="224">
        <f>+IF(AF49&lt;AG49,-AC49,0)</f>
        <v>0</v>
      </c>
      <c r="AO49" s="7"/>
      <c r="AP49" s="224">
        <f>IF(AF49&gt;AG49,IF(AJ49&gt;0,IF(O49&gt;0,(N49-AA49)/2,IF(AD49&gt;=AG49,(((N49*U49)*Z49)-(AB49+AJ49))/2,((((N49*U49)*Z49)-AA49)+(((N49*U49)*Z49)-(AB49+AJ49)))/2)),0),0)</f>
        <v>0</v>
      </c>
      <c r="AQ49" s="7"/>
      <c r="AR49" s="146">
        <f>+AC49+AN49+(IF(AP49&gt;0,(AP49-AC49),0))</f>
        <v>0</v>
      </c>
    </row>
    <row r="50" spans="1:44" ht="12">
      <c r="A50" s="12"/>
      <c r="B50" s="123"/>
      <c r="C50" s="122"/>
      <c r="D50" s="36" t="s">
        <v>167</v>
      </c>
      <c r="E50" s="55">
        <v>1986</v>
      </c>
      <c r="F50" s="55">
        <v>10</v>
      </c>
      <c r="G50" s="56">
        <v>0</v>
      </c>
      <c r="I50" s="12" t="s">
        <v>82</v>
      </c>
      <c r="J50" s="57">
        <v>5</v>
      </c>
      <c r="K50" s="137">
        <f>E50+J50</f>
        <v>1991</v>
      </c>
      <c r="N50" s="58">
        <v>700</v>
      </c>
      <c r="P50" s="15">
        <f>N50-N50*G50</f>
        <v>700</v>
      </c>
      <c r="Q50" s="15">
        <f>P50/J50/12</f>
        <v>11.666666666666666</v>
      </c>
      <c r="R50" s="15">
        <f>IF(O50&gt;0,0,IF(OR(AD50&gt;AE50,AF50&lt;AG50),0,IF(AND(AF50&gt;=AG50,AF50&lt;=AE50),Q50*((AF50-AG50)*12),IF(AND(AG50&lt;=AD50,AE50&gt;=AD50),((AE50-AD50)*12)*Q50,IF(AF50&gt;AE50,12*Q50,0)))))</f>
        <v>0</v>
      </c>
      <c r="S50" s="15">
        <f>IF(O50=0,0,IF(AND(AH50&gt;=AG50,AH50&lt;=AF50),((AH50-AG50)*12)*Q50,0))</f>
        <v>0</v>
      </c>
      <c r="T50" s="15">
        <f>IF(S50&gt;0,S50,R50)</f>
        <v>0</v>
      </c>
      <c r="U50" s="15">
        <v>1</v>
      </c>
      <c r="V50" s="15">
        <f>U50*SUM(R50:S50)</f>
        <v>0</v>
      </c>
      <c r="W50" s="15"/>
      <c r="X50" s="15">
        <f>IF(AD50&gt;AE50,0,IF(AF50&lt;AG50,P50,IF(AND(AF50&gt;=AG50,AF50&lt;=AE50),(P50-T50),IF(AND(AG50&lt;=AD50,AE50&gt;=AD50),0,IF(AF50&gt;AE50,((AG50-AD50)*12)*Q50,0)))))</f>
        <v>700</v>
      </c>
      <c r="Y50" s="15">
        <f>X50*U50</f>
        <v>700</v>
      </c>
      <c r="Z50" s="15">
        <v>1</v>
      </c>
      <c r="AA50" s="15">
        <f>Y50*Z50</f>
        <v>700</v>
      </c>
      <c r="AB50" s="15">
        <f>IF(O50&gt;0,0,AA50+V50*Z50)*Z50</f>
        <v>700</v>
      </c>
      <c r="AC50" s="15">
        <f>IF(O50&gt;0,(N50-AA50)/2,IF(AD50&gt;=AG50,(((N50*U50)*Z50)-AB50)/2,((((N50*U50)*Z50)-AA50)+(((N50*U50)*Z50)-AB50))/2))</f>
        <v>0</v>
      </c>
      <c r="AD50" s="15">
        <f>$E50+(($F50-1)/12)</f>
        <v>1986.75</v>
      </c>
      <c r="AE50" s="15">
        <f>($P$5+1)-($P$2/12)</f>
        <v>2018</v>
      </c>
      <c r="AF50" s="15">
        <f>$K50+(($F50-1)/12)</f>
        <v>1991.75</v>
      </c>
      <c r="AG50" s="15">
        <f>$P$4+($P$3/12)</f>
        <v>2017</v>
      </c>
      <c r="AH50" s="15">
        <f>$L50+(($M50-1)/12)</f>
        <v>-0.08333333333333333</v>
      </c>
      <c r="AJ50" s="224">
        <f>+IF((AF50-AG50)&gt;3,((N50-P50)/(AF50-AG50)),(N50-P50)/3)</f>
        <v>0</v>
      </c>
      <c r="AK50" s="7"/>
      <c r="AL50" s="224">
        <f>+AJ50+T50</f>
        <v>0</v>
      </c>
      <c r="AM50" s="7"/>
      <c r="AN50" s="224">
        <f>+IF(AF50&lt;AG50,-AC50,0)</f>
        <v>0</v>
      </c>
      <c r="AO50" s="7"/>
      <c r="AP50" s="224">
        <f>IF(AF50&gt;AG50,IF(AJ50&gt;0,IF(O50&gt;0,(N50-AA50)/2,IF(AD50&gt;=AG50,(((N50*U50)*Z50)-(AB50+AJ50))/2,((((N50*U50)*Z50)-AA50)+(((N50*U50)*Z50)-(AB50+AJ50)))/2)),0),0)</f>
        <v>0</v>
      </c>
      <c r="AQ50" s="7"/>
      <c r="AR50" s="146">
        <f>+AC50+AN50+(IF(AP50&gt;0,(AP50-AC50),0))</f>
        <v>0</v>
      </c>
    </row>
    <row r="51" spans="1:44" ht="12">
      <c r="A51" s="12"/>
      <c r="B51" s="12"/>
      <c r="C51" s="128"/>
      <c r="D51" s="36" t="s">
        <v>168</v>
      </c>
      <c r="E51" s="55">
        <v>1987</v>
      </c>
      <c r="F51" s="55">
        <v>9</v>
      </c>
      <c r="G51" s="56">
        <v>0</v>
      </c>
      <c r="I51" s="12" t="s">
        <v>82</v>
      </c>
      <c r="J51" s="57">
        <v>5</v>
      </c>
      <c r="K51" s="137">
        <f>E51+J51</f>
        <v>1992</v>
      </c>
      <c r="N51" s="58">
        <v>1283</v>
      </c>
      <c r="P51" s="15">
        <f>N51-N51*G51</f>
        <v>1283</v>
      </c>
      <c r="Q51" s="15">
        <f>P51/J51/12</f>
        <v>21.383333333333336</v>
      </c>
      <c r="R51" s="15">
        <f>IF(O51&gt;0,0,IF(OR(AD51&gt;AE51,AF51&lt;AG51),0,IF(AND(AF51&gt;=AG51,AF51&lt;=AE51),Q51*((AF51-AG51)*12),IF(AND(AG51&lt;=AD51,AE51&gt;=AD51),((AE51-AD51)*12)*Q51,IF(AF51&gt;AE51,12*Q51,0)))))</f>
        <v>0</v>
      </c>
      <c r="S51" s="15">
        <f>IF(O51=0,0,IF(AND(AH51&gt;=AG51,AH51&lt;=AF51),((AH51-AG51)*12)*Q51,0))</f>
        <v>0</v>
      </c>
      <c r="T51" s="15">
        <f>IF(S51&gt;0,S51,R51)</f>
        <v>0</v>
      </c>
      <c r="U51" s="15">
        <v>1</v>
      </c>
      <c r="V51" s="15">
        <f>U51*SUM(R51:S51)</f>
        <v>0</v>
      </c>
      <c r="W51" s="15"/>
      <c r="X51" s="15">
        <f>IF(AD51&gt;AE51,0,IF(AF51&lt;AG51,P51,IF(AND(AF51&gt;=AG51,AF51&lt;=AE51),(P51-T51),IF(AND(AG51&lt;=AD51,AE51&gt;=AD51),0,IF(AF51&gt;AE51,((AG51-AD51)*12)*Q51,0)))))</f>
        <v>1283</v>
      </c>
      <c r="Y51" s="15">
        <f>X51*U51</f>
        <v>1283</v>
      </c>
      <c r="Z51" s="15">
        <v>1</v>
      </c>
      <c r="AA51" s="15">
        <f>Y51*Z51</f>
        <v>1283</v>
      </c>
      <c r="AB51" s="15">
        <f>IF(O51&gt;0,0,AA51+V51*Z51)*Z51</f>
        <v>1283</v>
      </c>
      <c r="AC51" s="15">
        <f>IF(O51&gt;0,(N51-AA51)/2,IF(AD51&gt;=AG51,(((N51*U51)*Z51)-AB51)/2,((((N51*U51)*Z51)-AA51)+(((N51*U51)*Z51)-AB51))/2))</f>
        <v>0</v>
      </c>
      <c r="AD51" s="15">
        <f>$E51+(($F51-1)/12)</f>
        <v>1987.6666666666667</v>
      </c>
      <c r="AE51" s="15">
        <f>($P$5+1)-($P$2/12)</f>
        <v>2018</v>
      </c>
      <c r="AF51" s="15">
        <f>$K51+(($F51-1)/12)</f>
        <v>1992.6666666666667</v>
      </c>
      <c r="AG51" s="15">
        <f>$P$4+($P$3/12)</f>
        <v>2017</v>
      </c>
      <c r="AH51" s="15">
        <f>$L51+(($M51-1)/12)</f>
        <v>-0.08333333333333333</v>
      </c>
      <c r="AJ51" s="224">
        <f>+IF((AF51-AG51)&gt;3,((N51-P51)/(AF51-AG51)),(N51-P51)/3)</f>
        <v>0</v>
      </c>
      <c r="AK51" s="7"/>
      <c r="AL51" s="224">
        <f>+AJ51+T51</f>
        <v>0</v>
      </c>
      <c r="AM51" s="7"/>
      <c r="AN51" s="224">
        <f>+IF(AF51&lt;AG51,-AC51,0)</f>
        <v>0</v>
      </c>
      <c r="AO51" s="7"/>
      <c r="AP51" s="224">
        <f>IF(AF51&gt;AG51,IF(AJ51&gt;0,IF(O51&gt;0,(N51-AA51)/2,IF(AD51&gt;=AG51,(((N51*U51)*Z51)-(AB51+AJ51))/2,((((N51*U51)*Z51)-AA51)+(((N51*U51)*Z51)-(AB51+AJ51)))/2)),0),0)</f>
        <v>0</v>
      </c>
      <c r="AQ51" s="7"/>
      <c r="AR51" s="146">
        <f>+AC51+AN51+(IF(AP51&gt;0,(AP51-AC51),0))</f>
        <v>0</v>
      </c>
    </row>
    <row r="52" spans="1:44" s="153" customFormat="1" ht="12">
      <c r="A52" s="151"/>
      <c r="B52" s="151"/>
      <c r="C52" s="152"/>
      <c r="D52" s="36" t="s">
        <v>169</v>
      </c>
      <c r="E52" s="55">
        <v>1991</v>
      </c>
      <c r="F52" s="55">
        <v>1</v>
      </c>
      <c r="G52" s="56">
        <v>0</v>
      </c>
      <c r="H52" s="3"/>
      <c r="I52" s="12" t="s">
        <v>82</v>
      </c>
      <c r="J52" s="57">
        <v>5</v>
      </c>
      <c r="K52" s="137">
        <f>E52+J52</f>
        <v>1996</v>
      </c>
      <c r="N52" s="58">
        <v>715</v>
      </c>
      <c r="P52" s="15">
        <f>N52-N52*G52</f>
        <v>715</v>
      </c>
      <c r="Q52" s="15">
        <f>P52/J52/12</f>
        <v>11.916666666666666</v>
      </c>
      <c r="R52" s="15">
        <f>IF(O52&gt;0,0,IF(OR(AD52&gt;AE52,AF52&lt;AG52),0,IF(AND(AF52&gt;=AG52,AF52&lt;=AE52),Q52*((AF52-AG52)*12),IF(AND(AG52&lt;=AD52,AE52&gt;=AD52),((AE52-AD52)*12)*Q52,IF(AF52&gt;AE52,12*Q52,0)))))</f>
        <v>0</v>
      </c>
      <c r="S52" s="15">
        <f>IF(O52=0,0,IF(AND(AH52&gt;=AG52,AH52&lt;=AF52),((AH52-AG52)*12)*Q52,0))</f>
        <v>0</v>
      </c>
      <c r="T52" s="15">
        <f>IF(S52&gt;0,S52,R52)</f>
        <v>0</v>
      </c>
      <c r="U52" s="15">
        <v>1</v>
      </c>
      <c r="V52" s="15">
        <f>U52*SUM(R52:S52)</f>
        <v>0</v>
      </c>
      <c r="W52" s="15"/>
      <c r="X52" s="15">
        <f>IF(AD52&gt;AE52,0,IF(AF52&lt;AG52,P52,IF(AND(AF52&gt;=AG52,AF52&lt;=AE52),(P52-T52),IF(AND(AG52&lt;=AD52,AE52&gt;=AD52),0,IF(AF52&gt;AE52,((AG52-AD52)*12)*Q52,0)))))</f>
        <v>715</v>
      </c>
      <c r="Y52" s="15">
        <f>X52*U52</f>
        <v>715</v>
      </c>
      <c r="Z52" s="15">
        <v>1</v>
      </c>
      <c r="AA52" s="15">
        <f>Y52*Z52</f>
        <v>715</v>
      </c>
      <c r="AB52" s="15">
        <f>IF(O52&gt;0,0,AA52+V52*Z52)*Z52</f>
        <v>715</v>
      </c>
      <c r="AC52" s="15">
        <f>IF(O52&gt;0,(N52-AA52)/2,IF(AD52&gt;=AG52,(((N52*U52)*Z52)-AB52)/2,((((N52*U52)*Z52)-AA52)+(((N52*U52)*Z52)-AB52))/2))</f>
        <v>0</v>
      </c>
      <c r="AD52" s="15">
        <f>$E52+(($F52-1)/12)</f>
        <v>1991</v>
      </c>
      <c r="AE52" s="15">
        <f>($P$5+1)-($P$2/12)</f>
        <v>2018</v>
      </c>
      <c r="AF52" s="15">
        <f>$K52+(($F52-1)/12)</f>
        <v>1996</v>
      </c>
      <c r="AG52" s="15">
        <f>$P$4+($P$3/12)</f>
        <v>2017</v>
      </c>
      <c r="AH52" s="15">
        <f>$L52+(($M52-1)/12)</f>
        <v>-0.08333333333333333</v>
      </c>
      <c r="AI52" s="3"/>
      <c r="AJ52" s="224">
        <f>+IF((AF52-AG52)&gt;3,((N52-P52)/(AF52-AG52)),(N52-P52)/3)</f>
        <v>0</v>
      </c>
      <c r="AK52" s="7"/>
      <c r="AL52" s="224">
        <f>+AJ52+T52</f>
        <v>0</v>
      </c>
      <c r="AM52" s="7"/>
      <c r="AN52" s="224">
        <f>+IF(AF52&lt;AG52,-AC52,0)</f>
        <v>0</v>
      </c>
      <c r="AO52" s="7"/>
      <c r="AP52" s="224">
        <f>IF(AF52&gt;AG52,IF(AJ52&gt;0,IF(O52&gt;0,(N52-AA52)/2,IF(AD52&gt;=AG52,(((N52*U52)*Z52)-(AB52+AJ52))/2,((((N52*U52)*Z52)-AA52)+(((N52*U52)*Z52)-(AB52+AJ52)))/2)),0),0)</f>
        <v>0</v>
      </c>
      <c r="AQ52" s="7"/>
      <c r="AR52" s="146">
        <f>+AC52+AN52+(IF(AP52&gt;0,(AP52-AC52),0))</f>
        <v>0</v>
      </c>
    </row>
    <row r="53" spans="1:44" s="153" customFormat="1" ht="12">
      <c r="A53" s="151"/>
      <c r="B53" s="151"/>
      <c r="C53" s="152">
        <v>50710</v>
      </c>
      <c r="D53" s="36" t="s">
        <v>171</v>
      </c>
      <c r="E53" s="55">
        <v>2007</v>
      </c>
      <c r="F53" s="55">
        <v>7</v>
      </c>
      <c r="G53" s="154">
        <v>0.2</v>
      </c>
      <c r="H53" s="3"/>
      <c r="I53" s="12" t="s">
        <v>82</v>
      </c>
      <c r="J53" s="57">
        <v>7</v>
      </c>
      <c r="K53" s="137">
        <f>E53+J53</f>
        <v>2014</v>
      </c>
      <c r="N53" s="58">
        <v>21283.39</v>
      </c>
      <c r="P53" s="15">
        <f>N53-N53*G53</f>
        <v>17026.712</v>
      </c>
      <c r="Q53" s="15">
        <f>P53/J53/12</f>
        <v>202.6989523809524</v>
      </c>
      <c r="R53" s="15">
        <f>IF(O53&gt;0,0,IF(OR(AD53&gt;AE53,AF53&lt;AG53),0,IF(AND(AF53&gt;=AG53,AF53&lt;=AE53),Q53*((AF53-AG53)*12),IF(AND(AG53&lt;=AD53,AE53&gt;=AD53),((AE53-AD53)*12)*Q53,IF(AF53&gt;AE53,12*Q53,0)))))</f>
        <v>0</v>
      </c>
      <c r="S53" s="15">
        <f>IF(O53=0,0,IF(AND(AH53&gt;=AG53,AH53&lt;=AF53),((AH53-AG53)*12)*Q53,0))</f>
        <v>0</v>
      </c>
      <c r="T53" s="15">
        <f>IF(S53&gt;0,S53,R53)</f>
        <v>0</v>
      </c>
      <c r="U53" s="15">
        <v>1</v>
      </c>
      <c r="V53" s="15">
        <f>U53*SUM(R53:S53)</f>
        <v>0</v>
      </c>
      <c r="W53" s="15"/>
      <c r="X53" s="15">
        <f>IF(AD53&gt;AE53,0,IF(AF53&lt;AG53,P53,IF(AND(AF53&gt;=AG53,AF53&lt;=AE53),(P53-T53),IF(AND(AG53&lt;=AD53,AE53&gt;=AD53),0,IF(AF53&gt;AE53,((AG53-AD53)*12)*Q53,0)))))</f>
        <v>17026.712</v>
      </c>
      <c r="Y53" s="15">
        <f>X53*U53</f>
        <v>17026.712</v>
      </c>
      <c r="Z53" s="15">
        <v>1</v>
      </c>
      <c r="AA53" s="15">
        <f>Y53*Z53</f>
        <v>17026.712</v>
      </c>
      <c r="AB53" s="15">
        <f>IF(O53&gt;0,0,AA53+V53*Z53)*Z53</f>
        <v>17026.712</v>
      </c>
      <c r="AC53" s="15">
        <f>IF(O53&gt;0,(N53-AA53)/2,IF(AD53&gt;=AG53,(((N53*U53)*Z53)-AB53)/2,((((N53*U53)*Z53)-AA53)+(((N53*U53)*Z53)-AB53))/2))</f>
        <v>4256.678</v>
      </c>
      <c r="AD53" s="15">
        <f>$E53+(($F53-1)/12)</f>
        <v>2007.5</v>
      </c>
      <c r="AE53" s="15">
        <f>($P$5+1)-($P$2/12)</f>
        <v>2018</v>
      </c>
      <c r="AF53" s="15">
        <f>$K53+(($F53-1)/12)</f>
        <v>2014.5</v>
      </c>
      <c r="AG53" s="15">
        <f>$P$4+($P$3/12)</f>
        <v>2017</v>
      </c>
      <c r="AH53" s="15">
        <f>$L53+(($M53-1)/12)</f>
        <v>-0.08333333333333333</v>
      </c>
      <c r="AI53" s="3"/>
      <c r="AJ53" s="224">
        <f>+IF((AF53-AG53)&gt;3,((N53-P53)/(AF53-AG53)),(N53-P53)/3)</f>
        <v>1418.8926666666666</v>
      </c>
      <c r="AK53" s="7"/>
      <c r="AL53" s="224">
        <f>+AJ53+T53</f>
        <v>1418.8926666666666</v>
      </c>
      <c r="AM53" s="7"/>
      <c r="AN53" s="224">
        <f>+IF(AF53&lt;AG53,-AC53,0)</f>
        <v>-4256.678</v>
      </c>
      <c r="AO53" s="7"/>
      <c r="AP53" s="224">
        <f>IF(AF53&gt;AG53,IF(AJ53&gt;0,IF(O53&gt;0,(N53-AA53)/2,IF(AD53&gt;=AG53,(((N53*U53)*Z53)-(AB53+AJ53))/2,((((N53*U53)*Z53)-AA53)+(((N53*U53)*Z53)-(AB53+AJ53)))/2)),0),0)</f>
        <v>0</v>
      </c>
      <c r="AQ53" s="7"/>
      <c r="AR53" s="146">
        <f>+AC53+AN53+(IF(AP53&gt;0,(AP53-AC53),0))</f>
        <v>0</v>
      </c>
    </row>
    <row r="54" spans="1:37" s="153" customFormat="1" ht="12">
      <c r="A54" s="151"/>
      <c r="B54" s="151"/>
      <c r="C54" s="152"/>
      <c r="D54" s="36"/>
      <c r="E54" s="55"/>
      <c r="F54" s="55"/>
      <c r="G54" s="154"/>
      <c r="H54" s="3"/>
      <c r="I54" s="12"/>
      <c r="J54" s="57"/>
      <c r="K54" s="137"/>
      <c r="N54" s="58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3"/>
      <c r="AJ54" s="3"/>
      <c r="AK54" s="3"/>
    </row>
    <row r="55" spans="1:37" s="153" customFormat="1" ht="12">
      <c r="A55" s="151"/>
      <c r="B55" s="151"/>
      <c r="C55" s="152"/>
      <c r="D55" s="36"/>
      <c r="E55" s="55"/>
      <c r="F55" s="55"/>
      <c r="G55" s="154"/>
      <c r="H55" s="3"/>
      <c r="I55" s="12"/>
      <c r="J55" s="57"/>
      <c r="K55" s="137"/>
      <c r="N55" s="58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3"/>
      <c r="AJ55" s="3"/>
      <c r="AK55" s="3"/>
    </row>
    <row r="56" spans="1:44" s="153" customFormat="1" ht="12">
      <c r="A56" s="151"/>
      <c r="B56" s="151"/>
      <c r="C56" s="152"/>
      <c r="D56" s="55"/>
      <c r="E56" s="55"/>
      <c r="F56" s="55"/>
      <c r="G56" s="155"/>
      <c r="I56" s="151"/>
      <c r="J56" s="151"/>
      <c r="K56" s="156"/>
      <c r="N56" s="141">
        <f>SUM(N49:N55)</f>
        <v>27481.39</v>
      </c>
      <c r="P56" s="141">
        <f>SUM(P49:P55)</f>
        <v>23224.712</v>
      </c>
      <c r="Q56" s="141">
        <f>SUM(Q49:Q55)</f>
        <v>305.9989523809524</v>
      </c>
      <c r="R56" s="141">
        <f>SUM(R49:R55)</f>
        <v>0</v>
      </c>
      <c r="S56" s="157"/>
      <c r="T56" s="141">
        <f>SUM(T49:T55)</f>
        <v>0</v>
      </c>
      <c r="U56" s="157"/>
      <c r="V56" s="141">
        <f>SUM(V49:V55)</f>
        <v>0</v>
      </c>
      <c r="W56" s="157"/>
      <c r="X56" s="141">
        <f>SUM(X49:X55)</f>
        <v>23224.712</v>
      </c>
      <c r="Y56" s="141">
        <f>SUM(Y49:Y55)</f>
        <v>23224.712</v>
      </c>
      <c r="Z56" s="157"/>
      <c r="AA56" s="141">
        <f>SUM(AA49:AA55)</f>
        <v>23224.712</v>
      </c>
      <c r="AB56" s="141">
        <f>SUM(AB49:AB55)</f>
        <v>23224.712</v>
      </c>
      <c r="AC56" s="141">
        <f>SUM(AC49:AC55)</f>
        <v>4256.678</v>
      </c>
      <c r="AD56" s="157"/>
      <c r="AE56" s="157"/>
      <c r="AF56" s="157"/>
      <c r="AG56" s="157"/>
      <c r="AH56" s="157"/>
      <c r="AJ56" s="230">
        <f aca="true" t="shared" si="24" ref="AJ56:AR56">SUM(AJ49:AJ55)</f>
        <v>1418.8926666666666</v>
      </c>
      <c r="AK56" s="230"/>
      <c r="AL56" s="230">
        <f t="shared" si="24"/>
        <v>1418.8926666666666</v>
      </c>
      <c r="AM56" s="230"/>
      <c r="AN56" s="230">
        <f t="shared" si="24"/>
        <v>-4256.678</v>
      </c>
      <c r="AO56" s="230"/>
      <c r="AP56" s="230">
        <f t="shared" si="24"/>
        <v>0</v>
      </c>
      <c r="AQ56" s="230"/>
      <c r="AR56" s="230">
        <f t="shared" si="24"/>
        <v>0</v>
      </c>
    </row>
    <row r="57" spans="1:34" s="153" customFormat="1" ht="12">
      <c r="A57" s="151"/>
      <c r="B57" s="151"/>
      <c r="C57" s="152"/>
      <c r="D57" s="55"/>
      <c r="E57" s="55"/>
      <c r="F57" s="55"/>
      <c r="G57" s="155"/>
      <c r="I57" s="151"/>
      <c r="J57" s="151"/>
      <c r="K57" s="156"/>
      <c r="N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</row>
    <row r="58" spans="1:34" s="153" customFormat="1" ht="12">
      <c r="A58" s="151"/>
      <c r="B58" s="151"/>
      <c r="C58" s="152"/>
      <c r="D58" s="55"/>
      <c r="E58" s="55"/>
      <c r="F58" s="55"/>
      <c r="G58" s="155"/>
      <c r="I58" s="151"/>
      <c r="J58" s="151"/>
      <c r="K58" s="156"/>
      <c r="N58" s="158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</row>
    <row r="59" spans="1:34" s="153" customFormat="1" ht="12">
      <c r="A59" s="151"/>
      <c r="B59" s="151"/>
      <c r="C59" s="152"/>
      <c r="D59" s="3"/>
      <c r="E59" s="3"/>
      <c r="F59" s="3"/>
      <c r="G59" s="155"/>
      <c r="I59" s="151"/>
      <c r="J59" s="151"/>
      <c r="K59" s="156"/>
      <c r="N59" s="158"/>
      <c r="P59" s="158"/>
      <c r="Q59" s="158"/>
      <c r="R59" s="158"/>
      <c r="S59" s="157"/>
      <c r="T59" s="157"/>
      <c r="U59" s="157"/>
      <c r="V59" s="158"/>
      <c r="W59" s="157"/>
      <c r="X59" s="157"/>
      <c r="Y59" s="157"/>
      <c r="Z59" s="157"/>
      <c r="AA59" s="158"/>
      <c r="AB59" s="158"/>
      <c r="AC59" s="158"/>
      <c r="AD59" s="157"/>
      <c r="AE59" s="157"/>
      <c r="AF59" s="157"/>
      <c r="AG59" s="157"/>
      <c r="AH59" s="157"/>
    </row>
    <row r="60" spans="1:34" ht="12">
      <c r="A60" s="12"/>
      <c r="B60" s="12"/>
      <c r="C60" s="128"/>
      <c r="D60" s="1"/>
      <c r="E60" s="1"/>
      <c r="F60" s="1"/>
      <c r="G60" s="56"/>
      <c r="I60" s="12"/>
      <c r="N60" s="141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</row>
    <row r="61" spans="1:34" s="7" customFormat="1" ht="12">
      <c r="A61" s="159"/>
      <c r="B61" s="159"/>
      <c r="C61" s="159"/>
      <c r="D61" s="134" t="s">
        <v>222</v>
      </c>
      <c r="E61" s="36"/>
      <c r="F61" s="36"/>
      <c r="G61" s="85"/>
      <c r="I61" s="35"/>
      <c r="J61" s="38"/>
      <c r="K61" s="94"/>
      <c r="N61" s="40"/>
      <c r="O61" s="42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</row>
    <row r="62" spans="1:37" s="153" customFormat="1" ht="12">
      <c r="A62" s="151"/>
      <c r="B62" s="151"/>
      <c r="C62" s="152">
        <v>12771</v>
      </c>
      <c r="D62" s="36" t="s">
        <v>170</v>
      </c>
      <c r="E62" s="55">
        <v>1991</v>
      </c>
      <c r="F62" s="55">
        <v>7</v>
      </c>
      <c r="G62" s="56">
        <v>0</v>
      </c>
      <c r="H62" s="3"/>
      <c r="I62" s="12" t="s">
        <v>82</v>
      </c>
      <c r="J62" s="57">
        <v>5</v>
      </c>
      <c r="K62" s="137">
        <f>E62+J62</f>
        <v>1996</v>
      </c>
      <c r="N62" s="58">
        <v>9278</v>
      </c>
      <c r="P62" s="15">
        <f>N62-N62*G62</f>
        <v>9278</v>
      </c>
      <c r="Q62" s="15">
        <f>P62/J62/12</f>
        <v>154.63333333333333</v>
      </c>
      <c r="R62" s="15">
        <f>IF(O62&gt;0,0,IF(OR(AD62&gt;AE62,AF62&lt;AG62),0,IF(AND(AF62&gt;=AG62,AF62&lt;=AE62),Q62*((AF62-AG62)*12),IF(AND(AG62&lt;=AD62,AE62&gt;=AD62),((AE62-AD62)*12)*Q62,IF(AF62&gt;AE62,12*Q62,0)))))</f>
        <v>0</v>
      </c>
      <c r="S62" s="15">
        <f>IF(O62=0,0,IF(AND(AH62&gt;=AG62,AH62&lt;=AF62),((AH62-AG62)*12)*Q62,0))</f>
        <v>0</v>
      </c>
      <c r="T62" s="15">
        <f>IF(S62&gt;0,S62,R62)</f>
        <v>0</v>
      </c>
      <c r="U62" s="15">
        <v>1</v>
      </c>
      <c r="V62" s="15">
        <f>U62*SUM(R62:S62)</f>
        <v>0</v>
      </c>
      <c r="W62" s="15"/>
      <c r="X62" s="15">
        <f>IF(AD62&gt;AE62,0,IF(AF62&lt;AG62,P62,IF(AND(AF62&gt;=AG62,AF62&lt;=AE62),(P62-T62),IF(AND(AG62&lt;=AD62,AE62&gt;=AD62),0,IF(AF62&gt;AE62,((AG62-AD62)*12)*Q62,0)))))</f>
        <v>9278</v>
      </c>
      <c r="Y62" s="15">
        <f>X62*U62</f>
        <v>9278</v>
      </c>
      <c r="Z62" s="15">
        <v>1</v>
      </c>
      <c r="AA62" s="15">
        <f>Y62*Z62</f>
        <v>9278</v>
      </c>
      <c r="AB62" s="15">
        <f>IF(O62&gt;0,0,AA62+V62*Z62)*Z62</f>
        <v>9278</v>
      </c>
      <c r="AC62" s="15">
        <f>IF(O62&gt;0,(N62-AA62)/2,IF(AD62&gt;=AG62,(((N62*U62)*Z62)-AB62)/2,((((N62*U62)*Z62)-AA62)+(((N62*U62)*Z62)-AB62))/2))</f>
        <v>0</v>
      </c>
      <c r="AD62" s="15">
        <f>$E62+(($F62-1)/12)</f>
        <v>1991.5</v>
      </c>
      <c r="AE62" s="15">
        <f>($P$5+1)-($P$2/12)</f>
        <v>2018</v>
      </c>
      <c r="AF62" s="15">
        <f>$K62+(($F62-1)/12)</f>
        <v>1996.5</v>
      </c>
      <c r="AG62" s="15">
        <f>$P$4+($P$3/12)</f>
        <v>2017</v>
      </c>
      <c r="AH62" s="15">
        <f>$L62+(($M62-1)/12)</f>
        <v>-0.08333333333333333</v>
      </c>
      <c r="AI62" s="3"/>
      <c r="AJ62" s="3"/>
      <c r="AK62" s="3"/>
    </row>
    <row r="63" spans="1:34" s="7" customFormat="1" ht="12">
      <c r="A63" s="35"/>
      <c r="B63" s="35"/>
      <c r="C63" s="35"/>
      <c r="D63" s="126"/>
      <c r="E63" s="85"/>
      <c r="F63" s="85"/>
      <c r="G63" s="85"/>
      <c r="I63" s="35"/>
      <c r="J63" s="35"/>
      <c r="K63" s="94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</row>
    <row r="64" spans="1:34" s="7" customFormat="1" ht="12">
      <c r="A64" s="35"/>
      <c r="B64" s="35"/>
      <c r="C64" s="35"/>
      <c r="D64" s="126"/>
      <c r="E64" s="85"/>
      <c r="F64" s="85"/>
      <c r="G64" s="85"/>
      <c r="I64" s="35"/>
      <c r="J64" s="35"/>
      <c r="K64" s="94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</row>
    <row r="65" spans="1:34" ht="12">
      <c r="A65" s="12"/>
      <c r="B65" s="12"/>
      <c r="C65" s="128"/>
      <c r="D65" s="134" t="s">
        <v>262</v>
      </c>
      <c r="E65" s="56"/>
      <c r="F65" s="56"/>
      <c r="G65" s="56"/>
      <c r="I65" s="12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</row>
    <row r="66" spans="1:44" s="7" customFormat="1" ht="12">
      <c r="A66" s="35"/>
      <c r="B66" s="35"/>
      <c r="C66" s="128"/>
      <c r="D66" s="36" t="s">
        <v>163</v>
      </c>
      <c r="E66" s="36">
        <v>2011</v>
      </c>
      <c r="F66" s="36">
        <v>11</v>
      </c>
      <c r="G66" s="37">
        <v>0.33</v>
      </c>
      <c r="I66" s="35" t="s">
        <v>82</v>
      </c>
      <c r="J66" s="38">
        <v>5</v>
      </c>
      <c r="K66" s="94">
        <f>E66+J66</f>
        <v>2016</v>
      </c>
      <c r="N66" s="40">
        <v>27526</v>
      </c>
      <c r="O66" s="42"/>
      <c r="P66" s="41">
        <f>N66-N66*G66</f>
        <v>18442.42</v>
      </c>
      <c r="Q66" s="41">
        <f>P66/J66/12</f>
        <v>307.3736666666666</v>
      </c>
      <c r="R66" s="41">
        <f>IF(O66&gt;0,0,IF(OR(AD66&gt;AE66,AF66&lt;AG66),0,IF(AND(AF66&gt;=AG66,AF66&lt;=AE66),Q66*((AF66-AG66)*12),IF(AND(AG66&lt;=AD66,AE66&gt;=AD66),((AE66-AD66)*12)*Q66,IF(AF66&gt;AE66,12*Q66,0)))))</f>
        <v>0</v>
      </c>
      <c r="S66" s="41">
        <f>IF(O66=0,0,IF(AND(AH66&gt;=AG66,AH66&lt;=AF66),((AH66-AG66)*12)*Q66,0))</f>
        <v>0</v>
      </c>
      <c r="T66" s="41">
        <f>IF(S66&gt;0,S66,R66)</f>
        <v>0</v>
      </c>
      <c r="U66" s="41">
        <v>1</v>
      </c>
      <c r="V66" s="41">
        <f>U66*SUM(R66:S66)</f>
        <v>0</v>
      </c>
      <c r="W66" s="41"/>
      <c r="X66" s="41">
        <f>IF(AD66&gt;AE66,0,IF(AF66&lt;AG66,P66,IF(AND(AF66&gt;=AG66,AF66&lt;=AE66),(P66-T66),IF(AND(AG66&lt;=AD66,AE66&gt;=AD66),0,IF(AF66&gt;AE66,((AG66-AD66)*12)*Q66,0)))))</f>
        <v>18442.42</v>
      </c>
      <c r="Y66" s="41">
        <f>X66*U66</f>
        <v>18442.42</v>
      </c>
      <c r="Z66" s="41">
        <v>1</v>
      </c>
      <c r="AA66" s="41">
        <f>Y66*Z66</f>
        <v>18442.42</v>
      </c>
      <c r="AB66" s="41">
        <f>IF(O66&gt;0,0,AA66+V66*Z66)*Z66</f>
        <v>18442.42</v>
      </c>
      <c r="AC66" s="41">
        <f>IF(O66&gt;0,(N66-AA66)/2,IF(AD66&gt;=AG66,(((N66*U66)*Z66)-AB66)/2,((((N66*U66)*Z66)-AA66)+(((N66*U66)*Z66)-AB66))/2))</f>
        <v>9083.580000000002</v>
      </c>
      <c r="AD66" s="41">
        <f>$E66+(($F66-1)/12)</f>
        <v>2011.8333333333333</v>
      </c>
      <c r="AE66" s="41">
        <f>($P$5+1)-($P$2/12)</f>
        <v>2018</v>
      </c>
      <c r="AF66" s="41">
        <f>$K66+(($F66-1)/12)</f>
        <v>2016.8333333333333</v>
      </c>
      <c r="AG66" s="41">
        <f>$P$4+($P$3/12)</f>
        <v>2017</v>
      </c>
      <c r="AH66" s="41">
        <f>$L66+(($M66-1)/12)</f>
        <v>-0.08333333333333333</v>
      </c>
      <c r="AJ66" s="224">
        <f>+IF((AF66-AG66)&gt;3,((N66-P66)/(AF66-AG66)),(N66-P66)/3)</f>
        <v>3027.8600000000006</v>
      </c>
      <c r="AL66" s="224">
        <f>+AJ66+T66</f>
        <v>3027.8600000000006</v>
      </c>
      <c r="AN66" s="224">
        <f>+IF(AF66&lt;AG66,-AC66,0)</f>
        <v>-9083.580000000002</v>
      </c>
      <c r="AP66" s="224">
        <f>IF(AF66&gt;AG66,IF(AJ66&gt;0,IF(O66&gt;0,(N66-AA66)/2,IF(AD66&gt;=AG66,(((N66*U66)*Z66)-(AB66+AJ66))/2,((((N66*U66)*Z66)-AA66)+(((N66*U66)*Z66)-(AB66+AJ66)))/2)),0),0)</f>
        <v>0</v>
      </c>
      <c r="AR66" s="146">
        <f>+AC66+AN66+(IF(AP66&gt;0,(AP66-AC66),0))</f>
        <v>0</v>
      </c>
    </row>
  </sheetData>
  <sheetProtection/>
  <mergeCells count="1">
    <mergeCell ref="AJ5:AR6"/>
  </mergeCells>
  <printOptions/>
  <pageMargins left="0.75" right="0.75" top="1" bottom="1" header="0.5" footer="0.5"/>
  <pageSetup horizontalDpi="300" verticalDpi="300" orientation="landscape" scale="60" r:id="rId1"/>
  <rowBreaks count="1" manualBreakCount="1">
    <brk id="50" max="27" man="1"/>
  </rowBreaks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Lindsay Waldram</cp:lastModifiedBy>
  <cp:lastPrinted>2020-04-15T18:01:42Z</cp:lastPrinted>
  <dcterms:created xsi:type="dcterms:W3CDTF">2013-02-18T21:45:19Z</dcterms:created>
  <dcterms:modified xsi:type="dcterms:W3CDTF">2020-04-15T18:02:11Z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Island Disposal, Inc. 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200369</vt:lpwstr>
  </property>
  <property fmtid="{D5CDD505-2E9C-101B-9397-08002B2CF9AE}" pid="10" name="Dat">
    <vt:lpwstr>2020-04-15T00:00:00Z</vt:lpwstr>
  </property>
  <property fmtid="{D5CDD505-2E9C-101B-9397-08002B2CF9AE}" pid="11" name="Nickna">
    <vt:lpwstr/>
  </property>
  <property fmtid="{D5CDD505-2E9C-101B-9397-08002B2CF9AE}" pid="12" name="CaseTy">
    <vt:lpwstr>Tariff Revision</vt:lpwstr>
  </property>
  <property fmtid="{D5CDD505-2E9C-101B-9397-08002B2CF9AE}" pid="13" name="OpenedDa">
    <vt:lpwstr>2020-04-15T00:00:00Z</vt:lpwstr>
  </property>
  <property fmtid="{D5CDD505-2E9C-101B-9397-08002B2CF9AE}" pid="14" name="Pref">
    <vt:lpwstr>TG</vt:lpwstr>
  </property>
  <property fmtid="{D5CDD505-2E9C-101B-9397-08002B2CF9AE}" pid="15" name="IndustryCo">
    <vt:lpwstr>227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