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018 Regulatory Filings\Energy Independence Act\EEI Report\Annual Emissions Calcs\"/>
    </mc:Choice>
  </mc:AlternateContent>
  <bookViews>
    <workbookView xWindow="0" yWindow="0" windowWidth="19020" windowHeight="8895"/>
  </bookViews>
  <sheets>
    <sheet name="Summary" sheetId="1" r:id="rId1"/>
    <sheet name="Known Resources" sheetId="4" r:id="rId2"/>
    <sheet name="Unknown Resource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" i="3"/>
  <c r="F6" i="3" l="1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" i="3"/>
  <c r="G60" i="3" l="1"/>
  <c r="F60" i="3"/>
  <c r="D19" i="1" s="1"/>
  <c r="C19" i="4"/>
  <c r="B19" i="4"/>
  <c r="D19" i="4"/>
  <c r="C8" i="4"/>
  <c r="B8" i="4"/>
  <c r="D8" i="4"/>
  <c r="C5" i="4"/>
  <c r="B5" i="4"/>
  <c r="D5" i="4"/>
  <c r="C4" i="4"/>
  <c r="B4" i="4"/>
  <c r="D4" i="4"/>
  <c r="B30" i="4" l="1"/>
  <c r="C6" i="4"/>
  <c r="C7" i="4"/>
  <c r="C9" i="4"/>
  <c r="P33" i="4" l="1"/>
  <c r="V33" i="4" s="1"/>
  <c r="W33" i="4" s="1"/>
  <c r="P32" i="4"/>
  <c r="V32" i="4" s="1"/>
  <c r="W32" i="4" s="1"/>
  <c r="P31" i="4"/>
  <c r="V31" i="4" s="1"/>
  <c r="W31" i="4" s="1"/>
  <c r="P30" i="4"/>
  <c r="V30" i="4" s="1"/>
  <c r="W30" i="4" s="1"/>
  <c r="P29" i="4"/>
  <c r="V29" i="4" s="1"/>
  <c r="W29" i="4" s="1"/>
  <c r="P28" i="4"/>
  <c r="V28" i="4" s="1"/>
  <c r="W28" i="4" s="1"/>
  <c r="G28" i="4"/>
  <c r="G29" i="4" s="1"/>
  <c r="G30" i="4" s="1"/>
  <c r="G31" i="4" s="1"/>
  <c r="G32" i="4" s="1"/>
  <c r="G33" i="4" s="1"/>
  <c r="P27" i="4"/>
  <c r="V27" i="4" s="1"/>
  <c r="W27" i="4" s="1"/>
  <c r="G27" i="4"/>
  <c r="M26" i="4"/>
  <c r="P26" i="4" s="1"/>
  <c r="V26" i="4" s="1"/>
  <c r="W26" i="4" s="1"/>
  <c r="G26" i="4"/>
  <c r="P25" i="4"/>
  <c r="V25" i="4" s="1"/>
  <c r="W25" i="4" s="1"/>
  <c r="P23" i="4"/>
  <c r="V23" i="4" s="1"/>
  <c r="W23" i="4" s="1"/>
  <c r="D6" i="4" l="1"/>
  <c r="D7" i="4"/>
  <c r="D9" i="4"/>
  <c r="D10" i="4"/>
  <c r="B1" i="4" l="1"/>
  <c r="C2" i="4"/>
  <c r="B3" i="4"/>
  <c r="D20" i="1"/>
  <c r="G11" i="1"/>
  <c r="G10" i="1"/>
  <c r="D13" i="1"/>
  <c r="D5" i="1" s="1"/>
  <c r="E10" i="1" l="1"/>
  <c r="E12" i="1"/>
  <c r="E11" i="1"/>
  <c r="B41" i="4"/>
  <c r="D18" i="1" s="1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8" i="4"/>
  <c r="D17" i="4"/>
  <c r="D16" i="4"/>
  <c r="D15" i="4"/>
  <c r="D14" i="4"/>
  <c r="D13" i="4"/>
  <c r="D12" i="4"/>
  <c r="D11" i="4"/>
  <c r="E18" i="1" l="1"/>
  <c r="E19" i="1"/>
  <c r="D41" i="4"/>
  <c r="C41" i="4" l="1"/>
  <c r="F18" i="1"/>
  <c r="E3" i="3" l="1"/>
  <c r="F20" i="1" l="1"/>
  <c r="G20" i="1" s="1"/>
</calcChain>
</file>

<file path=xl/comments1.xml><?xml version="1.0" encoding="utf-8"?>
<comments xmlns="http://schemas.openxmlformats.org/spreadsheetml/2006/main">
  <authors>
    <author>kbb8737</author>
    <author>jyl3501</author>
    <author>kkb4463</author>
  </authors>
  <commentList>
    <comment ref="J7" authorId="0" shapeId="0">
      <text>
        <r>
          <rPr>
            <b/>
            <sz val="8"/>
            <color indexed="81"/>
            <rFont val="Tahoma"/>
            <family val="2"/>
          </rPr>
          <t>kbb8737:</t>
        </r>
        <r>
          <rPr>
            <sz val="8"/>
            <color indexed="81"/>
            <rFont val="Tahoma"/>
            <family val="2"/>
          </rPr>
          <t xml:space="preserve">
Gas and wood power output aggregated</t>
        </r>
      </text>
    </comment>
    <comment ref="A20" authorId="1" shapeId="0">
      <text>
        <r>
          <rPr>
            <b/>
            <sz val="9"/>
            <color indexed="81"/>
            <rFont val="Tahoma"/>
            <family val="2"/>
          </rPr>
          <t>jyl3501:</t>
        </r>
        <r>
          <rPr>
            <sz val="9"/>
            <color indexed="81"/>
            <rFont val="Tahoma"/>
            <family val="2"/>
          </rPr>
          <t xml:space="preserve">
Changed all BPA to unknown per UTC request.</t>
        </r>
      </text>
    </comment>
    <comment ref="K21" authorId="2" shapeId="0">
      <text>
        <r>
          <rPr>
            <sz val="8"/>
            <color indexed="81"/>
            <rFont val="Tahoma"/>
            <family val="2"/>
          </rPr>
          <t xml:space="preserve">Avista Corp. 2011 FERC Financial Report, Form No. 1
</t>
        </r>
      </text>
    </comment>
    <comment ref="M21" authorId="2" shapeId="0">
      <text>
        <r>
          <rPr>
            <b/>
            <sz val="8"/>
            <color indexed="81"/>
            <rFont val="Tahoma"/>
            <family val="2"/>
          </rPr>
          <t>Avista Corp. 2011 FERC Financial Report, Form No. 1; NG HHV from GHG MRR Subpart NN (40 CFR 98.400), Table NN-1.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1" authorId="2" shapeId="0">
      <text>
        <r>
          <rPr>
            <b/>
            <sz val="8"/>
            <color indexed="81"/>
            <rFont val="Tahoma"/>
            <family val="2"/>
          </rPr>
          <t xml:space="preserve">all values from USEPA 40 CFR 98 Table C-1                                                                                                                                                        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21" authorId="2" shapeId="0">
      <text>
        <r>
          <rPr>
            <b/>
            <sz val="8"/>
            <color indexed="81"/>
            <rFont val="Tahoma"/>
            <family val="2"/>
          </rPr>
          <t>all values from WRI/WBCSD GHG Protocol "Calculation Tool for Direct Emissions from Stationary Combustion",   Sec. 2.2.3 , Table 4.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31" authorId="0" shapeId="0">
      <text>
        <r>
          <rPr>
            <b/>
            <sz val="8"/>
            <color indexed="81"/>
            <rFont val="Tahoma"/>
            <family val="2"/>
          </rPr>
          <t>kbb8737: includes boiler NG use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1" authorId="1" shapeId="0">
      <text>
        <r>
          <rPr>
            <b/>
            <sz val="9"/>
            <color indexed="81"/>
            <rFont val="Tahoma"/>
            <family val="2"/>
          </rPr>
          <t>John Lyons:</t>
        </r>
        <r>
          <rPr>
            <sz val="9"/>
            <color indexed="81"/>
            <rFont val="Tahoma"/>
            <family val="2"/>
          </rPr>
          <t xml:space="preserve">
Avista's fleet-wide emissions factor.</t>
        </r>
      </text>
    </comment>
  </commentList>
</comments>
</file>

<file path=xl/sharedStrings.xml><?xml version="1.0" encoding="utf-8"?>
<sst xmlns="http://schemas.openxmlformats.org/spreadsheetml/2006/main" count="346" uniqueCount="235">
  <si>
    <t>Resource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</si>
  <si>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</si>
  <si>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vertAlign val="subscript"/>
        <sz val="11"/>
        <color theme="1"/>
        <rFont val="Calibri"/>
        <family val="2"/>
        <scheme val="minor"/>
      </rPr>
      <t>2</t>
    </r>
  </si>
  <si>
    <t xml:space="preserve">Short </t>
  </si>
  <si>
    <r>
      <t>lbs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</si>
  <si>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</si>
  <si>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Known Resources Serving WA Customers</t>
  </si>
  <si>
    <t>Summary Energy and Emissions Intensity Report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</si>
  <si>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</si>
  <si>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</si>
  <si>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</si>
  <si>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</si>
  <si>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</si>
  <si>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</si>
  <si>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</si>
  <si>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</si>
  <si>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</si>
  <si>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</si>
  <si>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</si>
  <si>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</si>
  <si>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</si>
  <si>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</si>
  <si>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</si>
  <si>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r>
      <t>1990 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</si>
  <si>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MWh Proportion</t>
  </si>
  <si>
    <t>Percent of</t>
  </si>
  <si>
    <t>Total Load</t>
  </si>
  <si>
    <t>WA MWh</t>
  </si>
  <si>
    <t>Known Resources Serving WA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</si>
  <si>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</si>
  <si>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</si>
  <si>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</si>
  <si>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</si>
  <si>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</si>
  <si>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</si>
  <si>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</si>
  <si>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Colstrip 3 &amp; 4</t>
  </si>
  <si>
    <t>Rathdrum CT</t>
  </si>
  <si>
    <t>Northeast CT</t>
  </si>
  <si>
    <t>Boulder Park</t>
  </si>
  <si>
    <t>Coyote Springs II</t>
  </si>
  <si>
    <t>Kettle Falls CT</t>
  </si>
  <si>
    <t>Monroe Street</t>
  </si>
  <si>
    <t>Post Falls</t>
  </si>
  <si>
    <t>Nine Mile</t>
  </si>
  <si>
    <t>Little Falls</t>
  </si>
  <si>
    <t>Long Lake</t>
  </si>
  <si>
    <t>Upper Falls</t>
  </si>
  <si>
    <t>Cabinet Gorge</t>
  </si>
  <si>
    <t>Noxon Rapids</t>
  </si>
  <si>
    <t>Kettle Falls</t>
  </si>
  <si>
    <t>Black Hills Power Inc.</t>
  </si>
  <si>
    <t>BP Energy Co.</t>
  </si>
  <si>
    <t>Calpine Energy Services L.P.</t>
  </si>
  <si>
    <t>Cargill Inc.</t>
  </si>
  <si>
    <t>Chelan County PUD No. 1</t>
  </si>
  <si>
    <t>Clark County PUD No. 1</t>
  </si>
  <si>
    <t>Clatskanie Peoples Util Dist</t>
  </si>
  <si>
    <t>Constellation Energy</t>
  </si>
  <si>
    <t>EDF Trading Ltd.</t>
  </si>
  <si>
    <t>Engy Authrty</t>
  </si>
  <si>
    <t>Eugene City of</t>
  </si>
  <si>
    <t>Exelon Generation Company</t>
  </si>
  <si>
    <t>Grant County Public Utility</t>
  </si>
  <si>
    <t>Iberdrola Renewables LLC</t>
  </si>
  <si>
    <t>Idaho Cnty L&amp;P Coop Assn Inc</t>
  </si>
  <si>
    <t>Idaho Power Co.</t>
  </si>
  <si>
    <t>Inland Power &amp; Light Co.</t>
  </si>
  <si>
    <t>J P Morgan Ventures Energy LLC</t>
  </si>
  <si>
    <t>J. Aron &amp; Co.</t>
  </si>
  <si>
    <t>Macquarie Energy LLC</t>
  </si>
  <si>
    <t>Morgan Stanley Capital Group</t>
  </si>
  <si>
    <t>NextEra Energy Power Marketing</t>
  </si>
  <si>
    <t>Noble America's Gas and Power</t>
  </si>
  <si>
    <t>NorthWestern Corp.</t>
  </si>
  <si>
    <t>PacifiCorp</t>
  </si>
  <si>
    <t>Portland General Electric Co.</t>
  </si>
  <si>
    <t>Powerex Corp.</t>
  </si>
  <si>
    <t>PUD No 1 of Okanogan County</t>
  </si>
  <si>
    <t>PUD No 1 of Pend Oreille Cnty</t>
  </si>
  <si>
    <t>PUD No 1 of Snohomish County</t>
  </si>
  <si>
    <t>Puget Sound Energy Inc.</t>
  </si>
  <si>
    <t>Rainbow Energy Marketing Corp</t>
  </si>
  <si>
    <t>Lancaster</t>
  </si>
  <si>
    <t>Seattle City Light</t>
  </si>
  <si>
    <t>Shell Energy North America US</t>
  </si>
  <si>
    <t>Sierra Pacific Power Co.</t>
  </si>
  <si>
    <t>SMUD</t>
  </si>
  <si>
    <t>Sovereign Power</t>
  </si>
  <si>
    <t>Tacoma Public Utilities</t>
  </si>
  <si>
    <t>Talen Energy Marketing, LLC</t>
  </si>
  <si>
    <t>Tenaska Power Services Co.</t>
  </si>
  <si>
    <t>TransAlta Energy Marketing (US</t>
  </si>
  <si>
    <t>Colstrip 3 &amp; 4-Thermal</t>
  </si>
  <si>
    <t>Coal</t>
  </si>
  <si>
    <t>Rathdrum-Thermal</t>
  </si>
  <si>
    <t>Natural gas</t>
  </si>
  <si>
    <t>Northeast-Thermal</t>
  </si>
  <si>
    <t>Boulder Park-Thermal</t>
  </si>
  <si>
    <t>Coyote Springs II-Thermal</t>
  </si>
  <si>
    <t>Kettle Falls CT-Thermal</t>
  </si>
  <si>
    <t>Kettle Falls Boiler-Thermal</t>
  </si>
  <si>
    <t>Wood</t>
  </si>
  <si>
    <t>Monroe Street-Hydro</t>
  </si>
  <si>
    <t>Water</t>
  </si>
  <si>
    <t>Post Falls-Hydro</t>
  </si>
  <si>
    <t>Nine Mile-Hydro</t>
  </si>
  <si>
    <t>Little Falls-Hydro*</t>
  </si>
  <si>
    <t>Long Lake-Hydro</t>
  </si>
  <si>
    <t>Upper Falls-Hydro</t>
  </si>
  <si>
    <t>Cabinet Gorge-Hydro</t>
  </si>
  <si>
    <t>Noxon Rapids-Hydro</t>
  </si>
  <si>
    <t>Calculation Based Methodology (Fossil Fuels)</t>
  </si>
  <si>
    <t>Step 1</t>
  </si>
  <si>
    <t>Step 2</t>
  </si>
  <si>
    <t>Step 3</t>
  </si>
  <si>
    <t>Step 4</t>
  </si>
  <si>
    <t>Step 5</t>
  </si>
  <si>
    <t>Step 6</t>
  </si>
  <si>
    <t>Year:</t>
  </si>
  <si>
    <t>A</t>
  </si>
  <si>
    <t>B</t>
  </si>
  <si>
    <t xml:space="preserve">C 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</si>
  <si>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</si>
  <si>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</si>
  <si>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</si>
  <si>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</si>
  <si>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</si>
  <si>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</si>
  <si>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</si>
  <si>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</si>
  <si>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</si>
  <si>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</si>
  <si>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Quantity of fuel combusted</t>
  </si>
  <si>
    <t>Units for 
A</t>
  </si>
  <si>
    <t>Heat / Calorific Value of fuel</t>
  </si>
  <si>
    <t>Units for 
C</t>
  </si>
  <si>
    <t>Basis of Heating Values</t>
  </si>
  <si>
    <t>Energy content of fuel combusted</t>
  </si>
  <si>
    <t>Units for 
F</t>
  </si>
  <si>
    <t>Carbon content factor</t>
  </si>
  <si>
    <t>Units for 
H</t>
  </si>
  <si>
    <t>Oxidation factor</t>
  </si>
  <si>
    <t>Unit conversion factor to kg</t>
  </si>
  <si>
    <r>
      <t>CO</t>
    </r>
    <r>
      <rPr>
        <vertAlign val="sub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emissions in kg</t>
    </r>
  </si>
  <si>
    <r>
      <t>CO</t>
    </r>
    <r>
      <rPr>
        <vertAlign val="sub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emissions in metric tons </t>
    </r>
  </si>
  <si>
    <t>(GCV or NCV)</t>
  </si>
  <si>
    <t>F = A * C</t>
  </si>
  <si>
    <t>L = F * H * J * K * 44/12</t>
  </si>
  <si>
    <t>M = L / 1000</t>
  </si>
  <si>
    <t>Example:  Source 1</t>
  </si>
  <si>
    <t>kg</t>
  </si>
  <si>
    <t>GJ/kg</t>
  </si>
  <si>
    <t>GCV</t>
  </si>
  <si>
    <t>GJ</t>
  </si>
  <si>
    <t>kg C/GJ</t>
  </si>
  <si>
    <t>Record</t>
  </si>
  <si>
    <t>Combustion Unit / Facility Name</t>
  </si>
  <si>
    <t>Fuel type</t>
  </si>
  <si>
    <t>Equity/Control</t>
  </si>
  <si>
    <t>tons</t>
  </si>
  <si>
    <t>MMbtu/ton</t>
  </si>
  <si>
    <t>MMbtu</t>
  </si>
  <si>
    <t>kg CO2/MMBtu</t>
  </si>
  <si>
    <t>Oil</t>
  </si>
  <si>
    <t>Bbl</t>
  </si>
  <si>
    <t>MMbtu/Bbl</t>
  </si>
  <si>
    <t>Rathdrum</t>
  </si>
  <si>
    <t>MMscf</t>
  </si>
  <si>
    <t>btu/scf</t>
  </si>
  <si>
    <t>Northeast</t>
  </si>
  <si>
    <t>Lancaster (Opererational Control)</t>
  </si>
  <si>
    <t>Bonneville Power Admin (Known)</t>
  </si>
  <si>
    <t>Chelan Couty PUD No. 1 (Rocky Reach Hydro)</t>
  </si>
  <si>
    <t>Deep Creek Energy LLC (PURPA Hydro)</t>
  </si>
  <si>
    <t>Ford Electronics (PURPA Hydro)</t>
  </si>
  <si>
    <t>Grant County Public Utility (Priest Rapids Hydro)</t>
  </si>
  <si>
    <t>Hydro Technology Systems Inc. (PURPA Hydro)</t>
  </si>
  <si>
    <t>J P Morgan Ventures Energy LLC (PPM Energy Stateline Wind)</t>
  </si>
  <si>
    <t>Jim White (PURPA Hydro)</t>
  </si>
  <si>
    <t>Palouse Wind Holdings (Wind PPA)</t>
  </si>
  <si>
    <t>Phillips Ranch (PURPA Hydro)</t>
  </si>
  <si>
    <t>PUD No 1 of Douglas County (Wells Hydro)</t>
  </si>
  <si>
    <t>Sheep Creek Hydro (PURPA Hydro)</t>
  </si>
  <si>
    <t>Spokane City of (Upriver Hydro)</t>
  </si>
  <si>
    <t>Spokane County (PURPA Digester)</t>
  </si>
  <si>
    <t>Stimson Lumber (PURPA Biomass)</t>
  </si>
  <si>
    <r>
      <t>Multiplied Busbar MWh and Short Tons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by 65% to adjust from system to Washington only</t>
    </r>
  </si>
  <si>
    <t>State</t>
  </si>
  <si>
    <t xml:space="preserve"> Facility Name</t>
  </si>
  <si>
    <t xml:space="preserve"> Facility ID (ORISPL)</t>
  </si>
  <si>
    <t xml:space="preserve"> Unit ID</t>
  </si>
  <si>
    <t xml:space="preserve"> Associated Stacks</t>
  </si>
  <si>
    <t xml:space="preserve"> Year</t>
  </si>
  <si>
    <t xml:space="preserve"> Program(s)</t>
  </si>
  <si>
    <t xml:space="preserve"> Gross Load (MW-h)</t>
  </si>
  <si>
    <t xml:space="preserve"> CO2 (short tons)</t>
  </si>
  <si>
    <t xml:space="preserve"> Heat Input (MMBtu)</t>
  </si>
  <si>
    <t>ID</t>
  </si>
  <si>
    <t>Rathdrum Combustion Turbine Project</t>
  </si>
  <si>
    <t>ARP</t>
  </si>
  <si>
    <t>Rathdrum Power, LLC</t>
  </si>
  <si>
    <t>CTGEN1</t>
  </si>
  <si>
    <t>MT</t>
  </si>
  <si>
    <t>Colstrip</t>
  </si>
  <si>
    <t>OR</t>
  </si>
  <si>
    <t>Coyote Springs</t>
  </si>
  <si>
    <t>CTG2</t>
  </si>
  <si>
    <t>Counter-Party</t>
  </si>
  <si>
    <t>Energy
Purchased
(MWh)</t>
  </si>
  <si>
    <t>Energy
Sold
(MWh)</t>
  </si>
  <si>
    <t>Bonneville Power Admin</t>
  </si>
  <si>
    <t>British Columbia Hydro and Power Author</t>
  </si>
  <si>
    <t>Brookfield Energy Marketing</t>
  </si>
  <si>
    <t>Burbank (CA)</t>
  </si>
  <si>
    <t>Citigroup Energy Inc.</t>
  </si>
  <si>
    <t>EDF Trading North America LLC</t>
  </si>
  <si>
    <t>JP Morgan Ventures Energy Corp</t>
  </si>
  <si>
    <t>Modesto Irrigation District</t>
  </si>
  <si>
    <t>NaturEner Power Watch LLC</t>
  </si>
  <si>
    <t>PUD No 1 of Douglas County</t>
  </si>
  <si>
    <t>Redding City of</t>
  </si>
  <si>
    <t>Spokane City of</t>
  </si>
  <si>
    <t>San Diego Gas &amp; Electric Co.</t>
  </si>
  <si>
    <t>Southern California Edison Co.</t>
  </si>
  <si>
    <t>Turlock Irrigation District</t>
  </si>
  <si>
    <t>Kootenai Electric Cooperative (PURPA Landfill Gas)</t>
  </si>
  <si>
    <t>PUD No 1 of Pend Oreille Cnty (Hydro)</t>
  </si>
  <si>
    <t>Unknown Resources for Washington Customers</t>
  </si>
  <si>
    <t>Net Purchase</t>
  </si>
  <si>
    <t>Lbs CO2 from Purchases</t>
  </si>
  <si>
    <t>Moved PUD No 1 of Pend Oreille Cnty 131,017 MWh from unknown to known since a hydro purchase.</t>
  </si>
  <si>
    <t xml:space="preserve">Corrected error to Kootenai Electric, was 70,741 MWh unknown and it was actually 10,741 MWh of known PURPA landfill gas. </t>
  </si>
  <si>
    <t>Washington Department of Commerce Fuel Mix Report =</t>
  </si>
  <si>
    <t>Avista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</si>
</sst>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#####0;\(#####0\)"/>
    <numFmt numFmtId="168" formatCode="###,##0.000;\(###,##0.000\)"/>
    <numFmt numFmtId="169" formatCode="###,##0;\(###,##0\)"/>
    <numFmt numFmtId="170" formatCode="0.0"/>
    <numFmt numFmtId="171" formatCode="0.000"/>
    <numFmt numFmtId="172" formatCode="#,##0.000"/>
    <numFmt numFmtId="173" formatCode="#,##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indexed="18"/>
      <name val="Arial"/>
      <family val="2"/>
    </font>
    <font>
      <b/>
      <sz val="12"/>
      <color indexed="16"/>
      <name val="Arial"/>
      <family val="2"/>
    </font>
    <font>
      <vertAlign val="subscript"/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rgb="FF0070C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10" fillId="0" borderId="0" applyNumberFormat="0" applyFill="0" applyBorder="0" applyAlignment="0" applyProtection="0"/>
    <xf numFmtId="0" fontId="11" fillId="0" borderId="0"/>
  </cellStyleXfs>
  <cellXfs count="174">
    <xf numFmtId="0" fontId="0" fillId="0" borderId="0" xfId="0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0" fillId="0" borderId="0" xfId="0" applyBorder="1"/>
    <xf numFmtId="165" fontId="0" fillId="0" borderId="2" xfId="1" applyNumberFormat="1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5" fontId="0" fillId="0" borderId="5" xfId="1" applyNumberFormat="1" applyFont="1" applyBorder="1"/>
    <xf numFmtId="165" fontId="0" fillId="0" borderId="6" xfId="0" applyNumberFormat="1" applyBorder="1"/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165" fontId="7" fillId="0" borderId="2" xfId="1" applyNumberFormat="1" applyFont="1" applyBorder="1"/>
    <xf numFmtId="0" fontId="0" fillId="0" borderId="3" xfId="0" quotePrefix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8" fillId="0" borderId="0" xfId="0" applyFont="1"/>
    <xf numFmtId="0" fontId="0" fillId="0" borderId="8" xfId="0" applyBorder="1" applyAlignment="1">
      <alignment horizontal="center"/>
    </xf>
    <xf numFmtId="0" fontId="0" fillId="2" borderId="2" xfId="0" applyFill="1" applyBorder="1"/>
    <xf numFmtId="165" fontId="0" fillId="2" borderId="2" xfId="1" applyNumberFormat="1" applyFont="1" applyFill="1" applyBorder="1"/>
    <xf numFmtId="0" fontId="0" fillId="2" borderId="2" xfId="0" applyFont="1" applyFill="1" applyBorder="1"/>
    <xf numFmtId="0" fontId="0" fillId="2" borderId="5" xfId="0" applyFont="1" applyFill="1" applyBorder="1"/>
    <xf numFmtId="165" fontId="0" fillId="2" borderId="5" xfId="1" applyNumberFormat="1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165" fontId="0" fillId="2" borderId="10" xfId="1" applyNumberFormat="1" applyFont="1" applyFill="1" applyBorder="1"/>
    <xf numFmtId="165" fontId="0" fillId="2" borderId="4" xfId="1" applyNumberFormat="1" applyFon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5" xfId="0" applyBorder="1"/>
    <xf numFmtId="0" fontId="0" fillId="0" borderId="18" xfId="0" applyBorder="1"/>
    <xf numFmtId="0" fontId="0" fillId="0" borderId="19" xfId="0" applyBorder="1"/>
    <xf numFmtId="166" fontId="0" fillId="0" borderId="21" xfId="2" applyNumberFormat="1" applyFont="1" applyBorder="1"/>
    <xf numFmtId="0" fontId="0" fillId="0" borderId="21" xfId="0" applyBorder="1"/>
    <xf numFmtId="0" fontId="0" fillId="0" borderId="22" xfId="0" applyBorder="1"/>
    <xf numFmtId="0" fontId="2" fillId="0" borderId="23" xfId="0" applyFont="1" applyBorder="1" applyAlignment="1">
      <alignment horizontal="center"/>
    </xf>
    <xf numFmtId="0" fontId="0" fillId="0" borderId="14" xfId="0" applyBorder="1"/>
    <xf numFmtId="0" fontId="0" fillId="0" borderId="24" xfId="0" applyBorder="1"/>
    <xf numFmtId="0" fontId="0" fillId="0" borderId="21" xfId="0" applyBorder="1" applyAlignment="1">
      <alignment horizontal="left"/>
    </xf>
    <xf numFmtId="0" fontId="2" fillId="0" borderId="14" xfId="0" applyFont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164" fontId="2" fillId="0" borderId="17" xfId="0" applyNumberFormat="1" applyFont="1" applyBorder="1"/>
    <xf numFmtId="165" fontId="2" fillId="0" borderId="2" xfId="1" applyNumberFormat="1" applyFont="1" applyBorder="1"/>
    <xf numFmtId="166" fontId="2" fillId="0" borderId="2" xfId="2" applyNumberFormat="1" applyFont="1" applyBorder="1" applyAlignment="1">
      <alignment horizontal="center"/>
    </xf>
    <xf numFmtId="0" fontId="9" fillId="0" borderId="0" xfId="0" applyFont="1" applyBorder="1"/>
    <xf numFmtId="0" fontId="9" fillId="0" borderId="0" xfId="0" applyFont="1"/>
    <xf numFmtId="0" fontId="0" fillId="0" borderId="25" xfId="0" applyBorder="1"/>
    <xf numFmtId="0" fontId="0" fillId="0" borderId="26" xfId="0" applyBorder="1"/>
    <xf numFmtId="0" fontId="0" fillId="2" borderId="27" xfId="0" applyFill="1" applyBorder="1"/>
    <xf numFmtId="165" fontId="0" fillId="2" borderId="20" xfId="1" applyNumberFormat="1" applyFont="1" applyFill="1" applyBorder="1" applyAlignment="1">
      <alignment horizontal="center"/>
    </xf>
    <xf numFmtId="43" fontId="2" fillId="0" borderId="29" xfId="0" applyNumberFormat="1" applyFont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30" xfId="0" applyFill="1" applyBorder="1"/>
    <xf numFmtId="165" fontId="0" fillId="2" borderId="2" xfId="1" applyNumberFormat="1" applyFont="1" applyFill="1" applyBorder="1" applyAlignment="1"/>
    <xf numFmtId="165" fontId="0" fillId="0" borderId="20" xfId="0" applyNumberFormat="1" applyBorder="1" applyAlignment="1"/>
    <xf numFmtId="0" fontId="2" fillId="0" borderId="18" xfId="0" applyFont="1" applyBorder="1" applyAlignment="1">
      <alignment horizontal="center"/>
    </xf>
    <xf numFmtId="0" fontId="0" fillId="0" borderId="31" xfId="0" applyBorder="1"/>
    <xf numFmtId="165" fontId="2" fillId="0" borderId="8" xfId="1" applyNumberFormat="1" applyFont="1" applyBorder="1"/>
    <xf numFmtId="165" fontId="2" fillId="0" borderId="31" xfId="0" applyNumberFormat="1" applyFont="1" applyBorder="1"/>
    <xf numFmtId="0" fontId="2" fillId="0" borderId="32" xfId="0" applyFont="1" applyBorder="1" applyAlignment="1">
      <alignment horizontal="center"/>
    </xf>
    <xf numFmtId="166" fontId="2" fillId="0" borderId="33" xfId="2" applyNumberFormat="1" applyFont="1" applyBorder="1" applyAlignment="1">
      <alignment horizontal="center"/>
    </xf>
    <xf numFmtId="0" fontId="11" fillId="0" borderId="0" xfId="4" applyAlignment="1">
      <alignment horizontal="left"/>
    </xf>
    <xf numFmtId="167" fontId="11" fillId="0" borderId="0" xfId="4" applyNumberFormat="1" applyAlignment="1">
      <alignment horizontal="left"/>
    </xf>
    <xf numFmtId="168" fontId="11" fillId="0" borderId="0" xfId="4" applyNumberFormat="1" applyAlignment="1">
      <alignment horizontal="right"/>
    </xf>
    <xf numFmtId="169" fontId="11" fillId="0" borderId="0" xfId="4" applyNumberFormat="1" applyAlignment="1">
      <alignment horizontal="right"/>
    </xf>
    <xf numFmtId="0" fontId="0" fillId="3" borderId="2" xfId="0" applyFill="1" applyBorder="1" applyAlignment="1" applyProtection="1">
      <alignment horizontal="center" vertical="center"/>
      <protection locked="0"/>
    </xf>
    <xf numFmtId="0" fontId="15" fillId="5" borderId="0" xfId="0" applyFont="1" applyFill="1" applyBorder="1" applyAlignment="1">
      <alignment horizontal="left"/>
    </xf>
    <xf numFmtId="0" fontId="0" fillId="5" borderId="0" xfId="0" applyFill="1" applyBorder="1"/>
    <xf numFmtId="2" fontId="0" fillId="5" borderId="0" xfId="0" applyNumberFormat="1" applyFont="1" applyFill="1" applyBorder="1"/>
    <xf numFmtId="4" fontId="12" fillId="0" borderId="8" xfId="0" applyNumberFormat="1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2" fontId="0" fillId="5" borderId="37" xfId="0" applyNumberFormat="1" applyFont="1" applyFill="1" applyBorder="1"/>
    <xf numFmtId="2" fontId="12" fillId="0" borderId="2" xfId="0" applyNumberFormat="1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center" vertical="center"/>
    </xf>
    <xf numFmtId="4" fontId="12" fillId="0" borderId="38" xfId="0" applyNumberFormat="1" applyFont="1" applyFill="1" applyBorder="1" applyAlignment="1">
      <alignment horizontal="center" vertical="center"/>
    </xf>
    <xf numFmtId="4" fontId="12" fillId="0" borderId="38" xfId="0" applyNumberFormat="1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wrapText="1"/>
    </xf>
    <xf numFmtId="0" fontId="0" fillId="5" borderId="0" xfId="0" applyFill="1" applyBorder="1" applyAlignment="1">
      <alignment wrapText="1"/>
    </xf>
    <xf numFmtId="2" fontId="0" fillId="5" borderId="0" xfId="0" applyNumberFormat="1" applyFont="1" applyFill="1" applyBorder="1" applyAlignment="1">
      <alignment wrapText="1"/>
    </xf>
    <xf numFmtId="2" fontId="0" fillId="5" borderId="37" xfId="0" applyNumberFormat="1" applyFont="1" applyFill="1" applyBorder="1" applyAlignment="1">
      <alignment wrapText="1"/>
    </xf>
    <xf numFmtId="2" fontId="0" fillId="0" borderId="3" xfId="0" applyNumberFormat="1" applyFill="1" applyBorder="1" applyAlignment="1">
      <alignment horizontal="center" vertical="center" wrapText="1"/>
    </xf>
    <xf numFmtId="4" fontId="0" fillId="0" borderId="3" xfId="0" applyNumberForma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/>
    </xf>
    <xf numFmtId="2" fontId="0" fillId="5" borderId="1" xfId="0" applyNumberFormat="1" applyFont="1" applyFill="1" applyBorder="1"/>
    <xf numFmtId="2" fontId="0" fillId="0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9" fontId="1" fillId="0" borderId="2" xfId="2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2" xfId="0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9" fontId="1" fillId="5" borderId="2" xfId="2" applyFill="1" applyBorder="1" applyAlignment="1" applyProtection="1">
      <alignment horizontal="center"/>
      <protection locked="0"/>
    </xf>
    <xf numFmtId="4" fontId="0" fillId="5" borderId="2" xfId="0" applyNumberFormat="1" applyFont="1" applyFill="1" applyBorder="1" applyAlignment="1" applyProtection="1">
      <alignment horizontal="center" vertical="center"/>
      <protection locked="0"/>
    </xf>
    <xf numFmtId="2" fontId="0" fillId="5" borderId="2" xfId="0" applyNumberFormat="1" applyFill="1" applyBorder="1" applyAlignment="1" applyProtection="1">
      <alignment horizontal="center" vertical="center" wrapText="1"/>
      <protection locked="0"/>
    </xf>
    <xf numFmtId="171" fontId="0" fillId="5" borderId="2" xfId="0" applyNumberFormat="1" applyFill="1" applyBorder="1" applyAlignment="1" applyProtection="1">
      <alignment horizontal="center" vertical="center" wrapText="1"/>
      <protection locked="0"/>
    </xf>
    <xf numFmtId="1" fontId="0" fillId="5" borderId="2" xfId="0" applyNumberFormat="1" applyFill="1" applyBorder="1" applyAlignment="1" applyProtection="1">
      <alignment horizontal="center" vertical="center" wrapText="1"/>
      <protection locked="0"/>
    </xf>
    <xf numFmtId="4" fontId="0" fillId="5" borderId="2" xfId="0" applyNumberFormat="1" applyFill="1" applyBorder="1" applyAlignment="1" applyProtection="1">
      <alignment horizontal="center" vertical="center"/>
      <protection locked="0"/>
    </xf>
    <xf numFmtId="1" fontId="0" fillId="5" borderId="2" xfId="0" applyNumberFormat="1" applyFont="1" applyFill="1" applyBorder="1" applyAlignment="1" applyProtection="1">
      <alignment horizontal="center" vertical="center" wrapText="1"/>
      <protection locked="0"/>
    </xf>
    <xf numFmtId="9" fontId="11" fillId="5" borderId="2" xfId="2" applyFont="1" applyFill="1" applyBorder="1" applyAlignment="1" applyProtection="1">
      <alignment horizontal="center" vertical="center" wrapText="1"/>
      <protection locked="0"/>
    </xf>
    <xf numFmtId="2" fontId="11" fillId="5" borderId="2" xfId="2" applyNumberFormat="1" applyFont="1" applyFill="1" applyBorder="1" applyAlignment="1" applyProtection="1">
      <alignment horizontal="center" vertical="center" wrapText="1"/>
      <protection locked="0"/>
    </xf>
    <xf numFmtId="3" fontId="0" fillId="5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5" borderId="2" xfId="0" applyNumberFormat="1" applyFill="1" applyBorder="1" applyAlignment="1" applyProtection="1">
      <alignment horizontal="center" vertical="center" wrapText="1"/>
      <protection locked="0"/>
    </xf>
    <xf numFmtId="0" fontId="18" fillId="6" borderId="2" xfId="0" applyFont="1" applyFill="1" applyBorder="1" applyAlignment="1" applyProtection="1">
      <alignment horizontal="center" vertical="center"/>
      <protection locked="0"/>
    </xf>
    <xf numFmtId="2" fontId="18" fillId="6" borderId="0" xfId="0" applyNumberFormat="1" applyFont="1" applyFill="1" applyBorder="1" applyAlignment="1" applyProtection="1">
      <alignment horizontal="center" vertical="center"/>
      <protection locked="0"/>
    </xf>
    <xf numFmtId="4" fontId="19" fillId="6" borderId="2" xfId="0" applyNumberFormat="1" applyFont="1" applyFill="1" applyBorder="1" applyAlignment="1" applyProtection="1">
      <alignment horizontal="center" vertical="center"/>
      <protection locked="0"/>
    </xf>
    <xf numFmtId="2" fontId="19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19" fillId="6" borderId="2" xfId="0" applyFont="1" applyFill="1" applyBorder="1" applyAlignment="1" applyProtection="1">
      <alignment horizontal="center" vertical="center" wrapText="1"/>
      <protection locked="0"/>
    </xf>
    <xf numFmtId="0" fontId="19" fillId="6" borderId="3" xfId="0" applyFont="1" applyFill="1" applyBorder="1" applyAlignment="1" applyProtection="1">
      <alignment horizontal="center" vertical="center" wrapText="1"/>
      <protection locked="0"/>
    </xf>
    <xf numFmtId="2" fontId="19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2" xfId="0" applyFont="1" applyFill="1" applyBorder="1" applyAlignment="1" applyProtection="1">
      <alignment horizontal="center" vertical="center"/>
      <protection locked="0"/>
    </xf>
    <xf numFmtId="9" fontId="11" fillId="8" borderId="2" xfId="2" applyFont="1" applyFill="1" applyBorder="1" applyAlignment="1" applyProtection="1">
      <alignment horizontal="center" vertical="center"/>
      <protection locked="0"/>
    </xf>
    <xf numFmtId="3" fontId="0" fillId="4" borderId="2" xfId="0" applyNumberFormat="1" applyFill="1" applyBorder="1" applyAlignment="1" applyProtection="1">
      <alignment horizontal="center" vertical="center"/>
      <protection locked="0"/>
    </xf>
    <xf numFmtId="2" fontId="0" fillId="9" borderId="2" xfId="0" applyNumberFormat="1" applyFill="1" applyBorder="1" applyAlignment="1" applyProtection="1">
      <alignment horizontal="center" vertical="center" wrapText="1"/>
      <protection locked="0"/>
    </xf>
    <xf numFmtId="172" fontId="0" fillId="4" borderId="2" xfId="0" applyNumberFormat="1" applyFill="1" applyBorder="1" applyAlignment="1" applyProtection="1">
      <alignment horizontal="center" vertical="center"/>
      <protection locked="0"/>
    </xf>
    <xf numFmtId="4" fontId="0" fillId="7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9" borderId="2" xfId="0" applyNumberFormat="1" applyFill="1" applyBorder="1" applyAlignment="1" applyProtection="1">
      <alignment horizontal="center" vertical="center"/>
      <protection locked="0"/>
    </xf>
    <xf numFmtId="4" fontId="0" fillId="4" borderId="2" xfId="0" applyNumberFormat="1" applyFill="1" applyBorder="1" applyAlignment="1" applyProtection="1">
      <alignment horizontal="center" vertical="center"/>
      <protection locked="0"/>
    </xf>
    <xf numFmtId="166" fontId="1" fillId="4" borderId="2" xfId="2" applyNumberFormat="1" applyFill="1" applyBorder="1" applyAlignment="1" applyProtection="1">
      <alignment horizontal="center" vertical="center"/>
      <protection locked="0"/>
    </xf>
    <xf numFmtId="2" fontId="1" fillId="4" borderId="2" xfId="2" applyNumberFormat="1" applyFill="1" applyBorder="1" applyAlignment="1" applyProtection="1">
      <alignment horizontal="center" vertical="center"/>
      <protection locked="0"/>
    </xf>
    <xf numFmtId="3" fontId="0" fillId="7" borderId="2" xfId="0" applyNumberFormat="1" applyFont="1" applyFill="1" applyBorder="1" applyAlignment="1" applyProtection="1">
      <alignment horizontal="center" vertical="center" wrapText="1"/>
      <protection locked="0"/>
    </xf>
    <xf numFmtId="9" fontId="1" fillId="8" borderId="2" xfId="2" applyFill="1" applyBorder="1" applyAlignment="1" applyProtection="1">
      <alignment horizontal="center" vertical="center"/>
      <protection locked="0"/>
    </xf>
    <xf numFmtId="2" fontId="11" fillId="9" borderId="2" xfId="0" applyNumberFormat="1" applyFont="1" applyFill="1" applyBorder="1" applyAlignment="1" applyProtection="1">
      <alignment horizontal="center" vertical="center" wrapText="1"/>
      <protection locked="0"/>
    </xf>
    <xf numFmtId="173" fontId="0" fillId="4" borderId="2" xfId="0" applyNumberFormat="1" applyFill="1" applyBorder="1" applyAlignment="1" applyProtection="1">
      <alignment horizontal="center" vertical="center"/>
      <protection locked="0"/>
    </xf>
    <xf numFmtId="0" fontId="20" fillId="3" borderId="2" xfId="0" applyFont="1" applyFill="1" applyBorder="1" applyAlignment="1" applyProtection="1">
      <alignment horizontal="center" vertical="center"/>
      <protection locked="0"/>
    </xf>
    <xf numFmtId="170" fontId="21" fillId="3" borderId="2" xfId="0" applyNumberFormat="1" applyFont="1" applyFill="1" applyBorder="1" applyAlignment="1" applyProtection="1">
      <alignment horizontal="center" vertical="center"/>
      <protection locked="0"/>
    </xf>
    <xf numFmtId="3" fontId="20" fillId="4" borderId="2" xfId="1" applyNumberFormat="1" applyFont="1" applyFill="1" applyBorder="1" applyAlignment="1" applyProtection="1">
      <alignment horizontal="center" vertical="center"/>
      <protection locked="0"/>
    </xf>
    <xf numFmtId="3" fontId="20" fillId="4" borderId="2" xfId="1" quotePrefix="1" applyNumberFormat="1" applyFont="1" applyFill="1" applyBorder="1" applyAlignment="1" applyProtection="1">
      <alignment horizontal="center" vertical="center"/>
      <protection locked="0"/>
    </xf>
    <xf numFmtId="170" fontId="21" fillId="3" borderId="2" xfId="0" quotePrefix="1" applyNumberFormat="1" applyFont="1" applyFill="1" applyBorder="1" applyAlignment="1" applyProtection="1">
      <alignment horizontal="center" vertical="center"/>
      <protection locked="0"/>
    </xf>
    <xf numFmtId="2" fontId="0" fillId="3" borderId="2" xfId="0" applyNumberFormat="1" applyFont="1" applyFill="1" applyBorder="1" applyAlignment="1" applyProtection="1">
      <alignment horizontal="center" vertical="center"/>
      <protection locked="0"/>
    </xf>
    <xf numFmtId="9" fontId="1" fillId="4" borderId="2" xfId="2" applyFill="1" applyBorder="1" applyAlignment="1" applyProtection="1">
      <alignment horizontal="center" vertical="center"/>
      <protection locked="0"/>
    </xf>
    <xf numFmtId="0" fontId="22" fillId="3" borderId="2" xfId="0" applyFont="1" applyFill="1" applyBorder="1" applyAlignment="1" applyProtection="1">
      <alignment horizontal="center" vertical="center"/>
      <protection locked="0"/>
    </xf>
    <xf numFmtId="2" fontId="22" fillId="3" borderId="2" xfId="0" applyNumberFormat="1" applyFont="1" applyFill="1" applyBorder="1" applyAlignment="1" applyProtection="1">
      <alignment horizontal="center" vertical="center"/>
      <protection locked="0"/>
    </xf>
    <xf numFmtId="43" fontId="0" fillId="2" borderId="2" xfId="1" applyNumberFormat="1" applyFont="1" applyFill="1" applyBorder="1"/>
    <xf numFmtId="43" fontId="0" fillId="10" borderId="0" xfId="0" applyNumberFormat="1" applyFill="1"/>
    <xf numFmtId="11" fontId="0" fillId="0" borderId="0" xfId="0" applyNumberFormat="1"/>
    <xf numFmtId="0" fontId="10" fillId="0" borderId="0" xfId="5"/>
    <xf numFmtId="0" fontId="11" fillId="0" borderId="0" xfId="6"/>
    <xf numFmtId="0" fontId="11" fillId="0" borderId="0" xfId="6" applyAlignment="1">
      <alignment horizontal="left"/>
    </xf>
    <xf numFmtId="169" fontId="11" fillId="0" borderId="0" xfId="6" applyNumberFormat="1" applyAlignment="1">
      <alignment horizontal="right"/>
    </xf>
    <xf numFmtId="169" fontId="0" fillId="0" borderId="0" xfId="0" applyNumberFormat="1"/>
    <xf numFmtId="0" fontId="25" fillId="0" borderId="0" xfId="3" applyFont="1"/>
    <xf numFmtId="0" fontId="25" fillId="0" borderId="0" xfId="3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165" fontId="2" fillId="0" borderId="0" xfId="1" applyNumberFormat="1" applyFont="1" applyAlignment="1">
      <alignment horizontal="center" wrapText="1"/>
    </xf>
    <xf numFmtId="43" fontId="0" fillId="0" borderId="0" xfId="0" applyNumberFormat="1"/>
    <xf numFmtId="0" fontId="0" fillId="0" borderId="28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1" xfId="0" applyBorder="1" applyAlignment="1">
      <alignment horizontal="center"/>
    </xf>
    <xf numFmtId="4" fontId="12" fillId="0" borderId="8" xfId="0" applyNumberFormat="1" applyFont="1" applyFill="1" applyBorder="1" applyAlignment="1">
      <alignment horizontal="center" vertical="center"/>
    </xf>
    <xf numFmtId="4" fontId="12" fillId="0" borderId="9" xfId="0" applyNumberFormat="1" applyFont="1" applyFill="1" applyBorder="1" applyAlignment="1">
      <alignment horizontal="center" vertical="center"/>
    </xf>
    <xf numFmtId="4" fontId="12" fillId="0" borderId="3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8" xfId="0" applyFont="1" applyBorder="1" applyAlignment="1">
      <alignment horizontal="right"/>
    </xf>
    <xf numFmtId="43" fontId="0" fillId="0" borderId="0" xfId="1" applyFont="1"/>
    <xf numFmtId="165" fontId="0" fillId="0" borderId="0" xfId="1" applyNumberFormat="1" applyFont="1"/>
    <xf numFmtId="43" fontId="2" fillId="0" borderId="0" xfId="1" applyFont="1" applyAlignment="1">
      <alignment horizontal="center" wrapText="1"/>
    </xf>
  </cellXfs>
  <cellStyles count="7">
    <cellStyle name="Comma" xfId="1" builtinId="3"/>
    <cellStyle name="Normal" xfId="0" builtinId="0"/>
    <cellStyle name="Normal 2" xfId="4"/>
    <cellStyle name="Normal 3" xfId="6"/>
    <cellStyle name="Percent" xfId="2" builtinId="5"/>
    <cellStyle name="Style 22" xfId="3"/>
    <cellStyle name="Style 2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22</xdr:row>
      <xdr:rowOff>0</xdr:rowOff>
    </xdr:from>
    <xdr:to>
      <xdr:col>6</xdr:col>
      <xdr:colOff>533400</xdr:colOff>
      <xdr:row>23</xdr:row>
      <xdr:rowOff>47625</xdr:rowOff>
    </xdr:to>
    <xdr:sp macro="" textlink="">
      <xdr:nvSpPr>
        <xdr:cNvPr id="2" name="Up Arrow 1"/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G20" sqref="G20"/>
    </sheetView>
  </sheetViews>
  <sheetFormatPr defaultRowHeight="15" x14ac:dyDescent="0.25"/>
  <cols>
    <col min="1" max="1" width="9.140625" customWidth="1"/>
    <col min="3" max="3" width="10.7109375" customWidth="1"/>
    <col min="4" max="4" width="15.5703125" customWidth="1"/>
    <col min="5" max="5" width="15" customWidth="1"/>
    <col min="6" max="6" width="12.5703125" customWidth="1"/>
    <col min="7" max="7" width="13.42578125" customWidth="1"/>
    <col min="8" max="8" width="13.5703125" customWidth="1"/>
    <col min="9" max="9" width="13.28515625" bestFit="1" customWidth="1"/>
  </cols>
  <sheetData>
    <row r="1" spans="1:7" ht="18.75" x14ac:dyDescent="0.3">
      <c r="A1" s="3" t="s">
        <v>7</v>
      </c>
    </row>
    <row r="2" spans="1:7" ht="15.75" thickBot="1" x14ac:dyDescent="0.3"/>
    <row r="3" spans="1:7" x14ac:dyDescent="0.25">
      <c r="A3" s="55"/>
      <c r="B3" s="56" t="s">
        <v>11</v>
      </c>
      <c r="C3" s="57" t="s">
        <v>19</v>
      </c>
      <c r="D3" s="62"/>
      <c r="E3" s="60"/>
    </row>
    <row r="4" spans="1:7" x14ac:dyDescent="0.25">
      <c r="A4" s="160" t="s">
        <v>12</v>
      </c>
      <c r="B4" s="162"/>
      <c r="C4" s="32">
        <v>2013</v>
      </c>
      <c r="D4" s="65" t="s">
        <v>34</v>
      </c>
      <c r="E4" s="61"/>
    </row>
    <row r="5" spans="1:7" ht="15.75" thickBot="1" x14ac:dyDescent="0.3">
      <c r="A5" s="163" t="s">
        <v>17</v>
      </c>
      <c r="B5" s="164"/>
      <c r="C5" s="58">
        <v>518257</v>
      </c>
      <c r="D5" s="59">
        <f>+D13/C5</f>
        <v>10.954167526921971</v>
      </c>
      <c r="E5" s="172"/>
    </row>
    <row r="6" spans="1:7" x14ac:dyDescent="0.25">
      <c r="A6" s="5"/>
      <c r="B6" s="5"/>
      <c r="C6" s="16"/>
      <c r="E6" s="15"/>
    </row>
    <row r="7" spans="1:7" ht="19.5" thickBot="1" x14ac:dyDescent="0.35">
      <c r="A7" s="5"/>
      <c r="B7" s="53" t="s">
        <v>31</v>
      </c>
      <c r="C7" s="16"/>
      <c r="E7" s="15"/>
    </row>
    <row r="8" spans="1:7" x14ac:dyDescent="0.25">
      <c r="A8" s="35"/>
      <c r="B8" s="36"/>
      <c r="C8" s="36"/>
      <c r="D8" s="36"/>
      <c r="E8" s="36"/>
      <c r="F8" s="37" t="s">
        <v>16</v>
      </c>
      <c r="G8" s="48" t="s">
        <v>35</v>
      </c>
    </row>
    <row r="9" spans="1:7" x14ac:dyDescent="0.25">
      <c r="A9" s="38"/>
      <c r="B9" s="11"/>
      <c r="C9" s="11"/>
      <c r="D9" s="13" t="s">
        <v>10</v>
      </c>
      <c r="E9" s="25" t="s">
        <v>24</v>
      </c>
      <c r="F9" s="18" t="s">
        <v>30</v>
      </c>
      <c r="G9" s="49" t="s">
        <v>16</v>
      </c>
    </row>
    <row r="10" spans="1:7" x14ac:dyDescent="0.25">
      <c r="A10" s="160" t="s">
        <v>8</v>
      </c>
      <c r="B10" s="161"/>
      <c r="C10" s="162"/>
      <c r="D10" s="63">
        <v>2561365</v>
      </c>
      <c r="E10" s="12">
        <f>+D10/D13</f>
        <v>0.45117696193496859</v>
      </c>
      <c r="F10" s="34">
        <v>213640</v>
      </c>
      <c r="G10" s="50">
        <f>+D10/F10</f>
        <v>11.989164014229544</v>
      </c>
    </row>
    <row r="11" spans="1:7" x14ac:dyDescent="0.25">
      <c r="A11" s="160" t="s">
        <v>13</v>
      </c>
      <c r="B11" s="161"/>
      <c r="C11" s="162"/>
      <c r="D11" s="63">
        <v>2156445</v>
      </c>
      <c r="E11" s="12">
        <f>+D11/D13</f>
        <v>0.379851486875105</v>
      </c>
      <c r="F11" s="27">
        <v>23372</v>
      </c>
      <c r="G11" s="50">
        <f>+D11/F11</f>
        <v>92.266173198699292</v>
      </c>
    </row>
    <row r="12" spans="1:7" x14ac:dyDescent="0.25">
      <c r="A12" s="160" t="s">
        <v>14</v>
      </c>
      <c r="B12" s="161"/>
      <c r="C12" s="162"/>
      <c r="D12" s="63">
        <v>959264</v>
      </c>
      <c r="E12" s="12">
        <f>+D12/D13</f>
        <v>0.16897155118992635</v>
      </c>
      <c r="F12" s="5"/>
      <c r="G12" s="39"/>
    </row>
    <row r="13" spans="1:7" ht="15.75" thickBot="1" x14ac:dyDescent="0.3">
      <c r="A13" s="40"/>
      <c r="B13" s="165" t="s">
        <v>9</v>
      </c>
      <c r="C13" s="164"/>
      <c r="D13" s="64">
        <f>SUM(D10:D12)</f>
        <v>5677074</v>
      </c>
      <c r="E13" s="41"/>
      <c r="F13" s="42"/>
      <c r="G13" s="43"/>
    </row>
    <row r="15" spans="1:7" ht="19.5" thickBot="1" x14ac:dyDescent="0.35">
      <c r="B15" s="54" t="s">
        <v>32</v>
      </c>
    </row>
    <row r="16" spans="1:7" x14ac:dyDescent="0.25">
      <c r="A16" s="35"/>
      <c r="B16" s="36"/>
      <c r="C16" s="36"/>
      <c r="D16" s="36"/>
      <c r="E16" s="37" t="s">
        <v>25</v>
      </c>
      <c r="F16" s="44" t="s">
        <v>3</v>
      </c>
      <c r="G16" s="45"/>
    </row>
    <row r="17" spans="1:8" ht="18" x14ac:dyDescent="0.35">
      <c r="A17" s="46"/>
      <c r="B17" s="5"/>
      <c r="C17" s="5"/>
      <c r="D17" s="25" t="s">
        <v>15</v>
      </c>
      <c r="E17" s="18" t="s">
        <v>26</v>
      </c>
      <c r="F17" s="14" t="s">
        <v>5</v>
      </c>
      <c r="G17" s="39"/>
    </row>
    <row r="18" spans="1:8" ht="15.75" thickBot="1" x14ac:dyDescent="0.3">
      <c r="A18" s="160" t="s">
        <v>28</v>
      </c>
      <c r="B18" s="161"/>
      <c r="C18" s="162"/>
      <c r="D18" s="6">
        <f>+'Known Resources'!B41*0.65</f>
        <v>6791154.405425</v>
      </c>
      <c r="E18" s="12">
        <f>+D18/(D18+D19)</f>
        <v>1.1018896156991782</v>
      </c>
      <c r="F18" s="6">
        <f>+'Known Resources'!D41*0.65</f>
        <v>1878225.2506872821</v>
      </c>
      <c r="G18" s="39"/>
    </row>
    <row r="19" spans="1:8" ht="18" x14ac:dyDescent="0.35">
      <c r="A19" s="160" t="s">
        <v>29</v>
      </c>
      <c r="B19" s="161"/>
      <c r="C19" s="162"/>
      <c r="D19" s="51">
        <f>+('Unknown Resources'!F60*0.65)</f>
        <v>-627965</v>
      </c>
      <c r="E19" s="52">
        <f>+D19/(D18+D19)</f>
        <v>-0.10188961569917823</v>
      </c>
      <c r="F19" s="67">
        <f>+'Unknown Resources'!G60*0.65</f>
        <v>176093.58582682375</v>
      </c>
      <c r="G19" s="69" t="s">
        <v>33</v>
      </c>
    </row>
    <row r="20" spans="1:8" ht="18.75" thickBot="1" x14ac:dyDescent="0.4">
      <c r="A20" s="40"/>
      <c r="B20" s="42"/>
      <c r="C20" s="42"/>
      <c r="D20" s="66">
        <f>+C4</f>
        <v>2013</v>
      </c>
      <c r="E20" s="47" t="s">
        <v>2</v>
      </c>
      <c r="F20" s="68">
        <f>SUM(F18:F19)</f>
        <v>2054318.8365141058</v>
      </c>
      <c r="G20" s="70">
        <f>+F20/G22</f>
        <v>1.8148382284080631</v>
      </c>
    </row>
    <row r="21" spans="1:8" ht="18" x14ac:dyDescent="0.35">
      <c r="A21" t="s">
        <v>187</v>
      </c>
    </row>
    <row r="22" spans="1:8" ht="18" x14ac:dyDescent="0.35">
      <c r="F22" s="17" t="s">
        <v>23</v>
      </c>
      <c r="G22" s="27">
        <v>1131957</v>
      </c>
      <c r="H22" s="24"/>
    </row>
    <row r="24" spans="1:8" x14ac:dyDescent="0.25">
      <c r="C24" s="24" t="s">
        <v>18</v>
      </c>
      <c r="F24" s="19"/>
      <c r="G24" s="19"/>
    </row>
    <row r="25" spans="1:8" x14ac:dyDescent="0.25">
      <c r="E25" s="19"/>
      <c r="F25" s="19"/>
      <c r="G25" s="22" t="s">
        <v>22</v>
      </c>
    </row>
    <row r="26" spans="1:8" ht="18" x14ac:dyDescent="0.35">
      <c r="E26" s="19"/>
      <c r="F26" s="19"/>
      <c r="G26" s="23" t="s">
        <v>1</v>
      </c>
    </row>
    <row r="27" spans="1:8" x14ac:dyDescent="0.25">
      <c r="E27" s="19"/>
      <c r="F27" s="20" t="s">
        <v>19</v>
      </c>
      <c r="G27" s="21">
        <v>1131957</v>
      </c>
    </row>
    <row r="28" spans="1:8" x14ac:dyDescent="0.25">
      <c r="E28" s="19"/>
      <c r="F28" s="20" t="s">
        <v>20</v>
      </c>
      <c r="G28" s="21">
        <v>2399078</v>
      </c>
    </row>
    <row r="29" spans="1:8" x14ac:dyDescent="0.25">
      <c r="E29" s="19"/>
      <c r="F29" s="20" t="s">
        <v>21</v>
      </c>
      <c r="G29" s="21">
        <v>6946064</v>
      </c>
    </row>
  </sheetData>
  <mergeCells count="8">
    <mergeCell ref="A18:C18"/>
    <mergeCell ref="A19:C19"/>
    <mergeCell ref="A4:B4"/>
    <mergeCell ref="A5:B5"/>
    <mergeCell ref="A10:C10"/>
    <mergeCell ref="A11:C11"/>
    <mergeCell ref="A12:C12"/>
    <mergeCell ref="B13:C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46"/>
  <sheetViews>
    <sheetView topLeftCell="A19" workbookViewId="0">
      <selection activeCell="D31" sqref="D31"/>
    </sheetView>
  </sheetViews>
  <sheetFormatPr defaultRowHeight="15" x14ac:dyDescent="0.25"/>
  <cols>
    <col min="1" max="1" width="47.5703125" customWidth="1"/>
    <col min="2" max="2" width="13.140625" customWidth="1"/>
    <col min="3" max="3" width="12.5703125" customWidth="1"/>
    <col min="4" max="4" width="12.7109375" customWidth="1"/>
    <col min="7" max="7" width="25" bestFit="1" customWidth="1"/>
  </cols>
  <sheetData>
    <row r="1" spans="1:21" ht="18.75" x14ac:dyDescent="0.3">
      <c r="A1" s="3" t="s">
        <v>6</v>
      </c>
      <c r="B1" s="31">
        <f>+Summary!C4</f>
        <v>2013</v>
      </c>
      <c r="L1" t="s">
        <v>188</v>
      </c>
      <c r="M1" t="s">
        <v>189</v>
      </c>
      <c r="N1" t="s">
        <v>190</v>
      </c>
      <c r="O1" t="s">
        <v>191</v>
      </c>
      <c r="P1" t="s">
        <v>192</v>
      </c>
      <c r="Q1" t="s">
        <v>193</v>
      </c>
      <c r="R1" t="s">
        <v>194</v>
      </c>
      <c r="S1" t="s">
        <v>195</v>
      </c>
      <c r="T1" t="s">
        <v>196</v>
      </c>
      <c r="U1" t="s">
        <v>197</v>
      </c>
    </row>
    <row r="2" spans="1:21" ht="18.75" x14ac:dyDescent="0.3">
      <c r="A2" s="3"/>
      <c r="B2" s="7" t="s">
        <v>27</v>
      </c>
      <c r="C2" s="7">
        <f>+Summary!C4</f>
        <v>2013</v>
      </c>
      <c r="D2" s="7" t="s">
        <v>3</v>
      </c>
      <c r="G2" s="137" t="s">
        <v>93</v>
      </c>
      <c r="H2" s="138">
        <v>222</v>
      </c>
      <c r="I2" s="137" t="s">
        <v>94</v>
      </c>
      <c r="J2" s="139">
        <v>1227151</v>
      </c>
      <c r="L2" t="s">
        <v>198</v>
      </c>
      <c r="M2" t="s">
        <v>199</v>
      </c>
      <c r="N2">
        <v>7456</v>
      </c>
      <c r="O2">
        <v>1</v>
      </c>
      <c r="Q2">
        <v>2013</v>
      </c>
      <c r="R2" t="s">
        <v>200</v>
      </c>
      <c r="S2">
        <v>17654.25</v>
      </c>
      <c r="T2">
        <v>10721.72</v>
      </c>
      <c r="U2">
        <v>180405.546</v>
      </c>
    </row>
    <row r="3" spans="1:21" ht="19.5" x14ac:dyDescent="0.35">
      <c r="A3" s="4" t="s">
        <v>0</v>
      </c>
      <c r="B3" s="8">
        <f>+Summary!C4</f>
        <v>2013</v>
      </c>
      <c r="C3" s="8" t="s">
        <v>4</v>
      </c>
      <c r="D3" s="8" t="s">
        <v>5</v>
      </c>
      <c r="E3" s="2"/>
      <c r="G3" s="137" t="s">
        <v>95</v>
      </c>
      <c r="H3" s="138">
        <v>149</v>
      </c>
      <c r="I3" s="137" t="s">
        <v>96</v>
      </c>
      <c r="J3" s="139">
        <v>33688</v>
      </c>
      <c r="L3" t="s">
        <v>198</v>
      </c>
      <c r="M3" t="s">
        <v>199</v>
      </c>
      <c r="N3">
        <v>7456</v>
      </c>
      <c r="O3">
        <v>2</v>
      </c>
      <c r="Q3">
        <v>2013</v>
      </c>
      <c r="R3" t="s">
        <v>200</v>
      </c>
      <c r="S3">
        <v>17241.87</v>
      </c>
      <c r="T3">
        <v>10710.307000000001</v>
      </c>
      <c r="U3">
        <v>180239.443</v>
      </c>
    </row>
    <row r="4" spans="1:21" x14ac:dyDescent="0.25">
      <c r="A4" s="26" t="s">
        <v>36</v>
      </c>
      <c r="B4" s="27">
        <f>0.15*(S5+S6)</f>
        <v>1336144.9544999998</v>
      </c>
      <c r="C4" s="146">
        <f>(D4*2000)/B4</f>
        <v>2099.8757246738533</v>
      </c>
      <c r="D4" s="6">
        <f>0.15*(T5+T6)</f>
        <v>1402869.1772999999</v>
      </c>
      <c r="G4" s="137" t="s">
        <v>97</v>
      </c>
      <c r="H4" s="138">
        <v>61.2</v>
      </c>
      <c r="I4" s="137" t="s">
        <v>96</v>
      </c>
      <c r="J4" s="139">
        <v>222</v>
      </c>
      <c r="L4" t="s">
        <v>198</v>
      </c>
      <c r="M4" t="s">
        <v>201</v>
      </c>
      <c r="N4">
        <v>55179</v>
      </c>
      <c r="O4" t="s">
        <v>202</v>
      </c>
      <c r="Q4">
        <v>2013</v>
      </c>
      <c r="R4" t="s">
        <v>200</v>
      </c>
      <c r="S4">
        <v>1684625.55</v>
      </c>
      <c r="T4">
        <v>692761.81599999999</v>
      </c>
      <c r="U4" s="148">
        <v>11656127.307</v>
      </c>
    </row>
    <row r="5" spans="1:21" x14ac:dyDescent="0.25">
      <c r="A5" s="28" t="s">
        <v>37</v>
      </c>
      <c r="B5" s="27">
        <f>S2+S3</f>
        <v>34896.119999999995</v>
      </c>
      <c r="C5" s="146">
        <f>(D5*2000)/B5</f>
        <v>1228.3329493364879</v>
      </c>
      <c r="D5" s="6">
        <f>T2+T3</f>
        <v>21432.027000000002</v>
      </c>
      <c r="G5" s="137" t="s">
        <v>98</v>
      </c>
      <c r="H5" s="138">
        <v>24</v>
      </c>
      <c r="I5" s="137" t="s">
        <v>96</v>
      </c>
      <c r="J5" s="139">
        <v>25921</v>
      </c>
      <c r="L5" t="s">
        <v>203</v>
      </c>
      <c r="M5" t="s">
        <v>204</v>
      </c>
      <c r="N5">
        <v>6076</v>
      </c>
      <c r="O5">
        <v>3</v>
      </c>
      <c r="Q5">
        <v>2013</v>
      </c>
      <c r="R5" t="s">
        <v>200</v>
      </c>
      <c r="S5">
        <v>6556031.8799999999</v>
      </c>
      <c r="T5">
        <v>6858347.6840000004</v>
      </c>
      <c r="U5" s="148">
        <v>65392320.759999998</v>
      </c>
    </row>
    <row r="6" spans="1:21" x14ac:dyDescent="0.25">
      <c r="A6" s="28" t="s">
        <v>38</v>
      </c>
      <c r="B6" s="27">
        <v>222</v>
      </c>
      <c r="C6" s="146">
        <f t="shared" ref="C6:C9" si="0">(W28*2204.62262)/B6</f>
        <v>1686.7819956912531</v>
      </c>
      <c r="D6" s="6">
        <f t="shared" ref="D6:D10" si="1">(+B6*C6)/2000</f>
        <v>187.2328015217291</v>
      </c>
      <c r="G6" s="137" t="s">
        <v>99</v>
      </c>
      <c r="H6" s="138">
        <v>278.3</v>
      </c>
      <c r="I6" s="137" t="s">
        <v>96</v>
      </c>
      <c r="J6" s="139">
        <v>1796280</v>
      </c>
      <c r="L6" t="s">
        <v>203</v>
      </c>
      <c r="M6" t="s">
        <v>204</v>
      </c>
      <c r="N6">
        <v>6076</v>
      </c>
      <c r="O6">
        <v>4</v>
      </c>
      <c r="Q6">
        <v>2013</v>
      </c>
      <c r="R6" t="s">
        <v>200</v>
      </c>
      <c r="S6">
        <v>2351601.15</v>
      </c>
      <c r="T6">
        <v>2494113.4980000001</v>
      </c>
      <c r="U6" s="148">
        <v>23780646.502</v>
      </c>
    </row>
    <row r="7" spans="1:21" x14ac:dyDescent="0.25">
      <c r="A7" s="28" t="s">
        <v>39</v>
      </c>
      <c r="B7" s="27">
        <v>25921</v>
      </c>
      <c r="C7" s="146">
        <f t="shared" si="0"/>
        <v>1094.5883083184447</v>
      </c>
      <c r="D7" s="6">
        <f t="shared" si="1"/>
        <v>14186.411769961203</v>
      </c>
      <c r="G7" s="137" t="s">
        <v>100</v>
      </c>
      <c r="H7" s="138">
        <v>6.9</v>
      </c>
      <c r="I7" s="137" t="s">
        <v>96</v>
      </c>
      <c r="J7" s="140">
        <v>5632</v>
      </c>
      <c r="L7" t="s">
        <v>205</v>
      </c>
      <c r="M7" t="s">
        <v>206</v>
      </c>
      <c r="N7">
        <v>7350</v>
      </c>
      <c r="O7" t="s">
        <v>207</v>
      </c>
      <c r="Q7">
        <v>2013</v>
      </c>
      <c r="R7" t="s">
        <v>200</v>
      </c>
      <c r="S7">
        <v>1823378.23</v>
      </c>
      <c r="T7">
        <v>754021.04399999999</v>
      </c>
      <c r="U7" s="148">
        <v>12687909.27</v>
      </c>
    </row>
    <row r="8" spans="1:21" x14ac:dyDescent="0.25">
      <c r="A8" s="28" t="s">
        <v>40</v>
      </c>
      <c r="B8" s="27">
        <f>S7</f>
        <v>1823378.23</v>
      </c>
      <c r="C8" s="146">
        <f>(D8*2000)/B8</f>
        <v>827.05939074417927</v>
      </c>
      <c r="D8" s="6">
        <f>T7</f>
        <v>754021.04399999999</v>
      </c>
      <c r="G8" s="137" t="s">
        <v>101</v>
      </c>
      <c r="H8" s="141">
        <v>50</v>
      </c>
      <c r="I8" s="137" t="s">
        <v>102</v>
      </c>
      <c r="J8" s="139">
        <v>294063</v>
      </c>
    </row>
    <row r="9" spans="1:21" x14ac:dyDescent="0.25">
      <c r="A9" s="28" t="s">
        <v>41</v>
      </c>
      <c r="B9" s="27">
        <v>5632</v>
      </c>
      <c r="C9" s="146">
        <f t="shared" si="0"/>
        <v>1462.9260931043325</v>
      </c>
      <c r="D9" s="6">
        <f t="shared" si="1"/>
        <v>4119.5998781817998</v>
      </c>
      <c r="G9" s="137" t="s">
        <v>103</v>
      </c>
      <c r="H9" s="138">
        <v>15</v>
      </c>
      <c r="I9" s="137" t="s">
        <v>104</v>
      </c>
      <c r="J9" s="139">
        <v>104654</v>
      </c>
    </row>
    <row r="10" spans="1:21" x14ac:dyDescent="0.25">
      <c r="A10" s="28" t="s">
        <v>50</v>
      </c>
      <c r="B10" s="27">
        <v>294063</v>
      </c>
      <c r="C10" s="27">
        <v>0</v>
      </c>
      <c r="D10" s="6">
        <f t="shared" si="1"/>
        <v>0</v>
      </c>
      <c r="G10" s="137" t="s">
        <v>105</v>
      </c>
      <c r="H10" s="138">
        <v>18</v>
      </c>
      <c r="I10" s="137" t="s">
        <v>104</v>
      </c>
      <c r="J10" s="139">
        <v>84904</v>
      </c>
    </row>
    <row r="11" spans="1:21" x14ac:dyDescent="0.25">
      <c r="A11" s="28" t="s">
        <v>42</v>
      </c>
      <c r="B11" s="27">
        <v>104654</v>
      </c>
      <c r="C11" s="27">
        <v>0</v>
      </c>
      <c r="D11" s="6">
        <f t="shared" ref="D11:D40" si="2">(+B11*C11)/2000</f>
        <v>0</v>
      </c>
      <c r="G11" s="137" t="s">
        <v>106</v>
      </c>
      <c r="H11" s="138">
        <v>17.600000000000001</v>
      </c>
      <c r="I11" s="137" t="s">
        <v>104</v>
      </c>
      <c r="J11" s="139">
        <v>82922</v>
      </c>
    </row>
    <row r="12" spans="1:21" x14ac:dyDescent="0.25">
      <c r="A12" s="28" t="s">
        <v>43</v>
      </c>
      <c r="B12" s="27">
        <v>84904</v>
      </c>
      <c r="C12" s="27">
        <v>0</v>
      </c>
      <c r="D12" s="6">
        <f t="shared" si="2"/>
        <v>0</v>
      </c>
      <c r="G12" s="137" t="s">
        <v>107</v>
      </c>
      <c r="H12" s="138">
        <v>34.6</v>
      </c>
      <c r="I12" s="137" t="s">
        <v>104</v>
      </c>
      <c r="J12" s="139">
        <v>176539</v>
      </c>
    </row>
    <row r="13" spans="1:21" x14ac:dyDescent="0.25">
      <c r="A13" s="28" t="s">
        <v>44</v>
      </c>
      <c r="B13" s="27">
        <v>82922</v>
      </c>
      <c r="C13" s="27">
        <v>0</v>
      </c>
      <c r="D13" s="6">
        <f t="shared" si="2"/>
        <v>0</v>
      </c>
      <c r="G13" s="137" t="s">
        <v>108</v>
      </c>
      <c r="H13" s="138">
        <v>87</v>
      </c>
      <c r="I13" s="137" t="s">
        <v>104</v>
      </c>
      <c r="J13" s="139">
        <v>504779</v>
      </c>
    </row>
    <row r="14" spans="1:21" x14ac:dyDescent="0.25">
      <c r="A14" s="28" t="s">
        <v>45</v>
      </c>
      <c r="B14" s="27">
        <v>176539</v>
      </c>
      <c r="C14" s="27">
        <v>0</v>
      </c>
      <c r="D14" s="6">
        <f t="shared" si="2"/>
        <v>0</v>
      </c>
      <c r="G14" s="137" t="s">
        <v>109</v>
      </c>
      <c r="H14" s="138">
        <v>10.199999999999999</v>
      </c>
      <c r="I14" s="137" t="s">
        <v>104</v>
      </c>
      <c r="J14" s="139">
        <v>68384</v>
      </c>
    </row>
    <row r="15" spans="1:21" x14ac:dyDescent="0.25">
      <c r="A15" s="28" t="s">
        <v>46</v>
      </c>
      <c r="B15" s="27">
        <v>504779</v>
      </c>
      <c r="C15" s="27">
        <v>0</v>
      </c>
      <c r="D15" s="6">
        <f t="shared" si="2"/>
        <v>0</v>
      </c>
      <c r="G15" s="137" t="s">
        <v>110</v>
      </c>
      <c r="H15" s="138">
        <v>254.6</v>
      </c>
      <c r="I15" s="137" t="s">
        <v>104</v>
      </c>
      <c r="J15" s="139">
        <v>1042427</v>
      </c>
    </row>
    <row r="16" spans="1:21" x14ac:dyDescent="0.25">
      <c r="A16" s="28" t="s">
        <v>47</v>
      </c>
      <c r="B16" s="27">
        <v>68384</v>
      </c>
      <c r="C16" s="27">
        <v>0</v>
      </c>
      <c r="D16" s="6">
        <f t="shared" si="2"/>
        <v>0</v>
      </c>
      <c r="G16" s="137" t="s">
        <v>111</v>
      </c>
      <c r="H16" s="138">
        <v>562.4</v>
      </c>
      <c r="I16" s="137" t="s">
        <v>104</v>
      </c>
      <c r="J16" s="139">
        <v>1581223</v>
      </c>
    </row>
    <row r="17" spans="1:23" x14ac:dyDescent="0.25">
      <c r="A17" s="28" t="s">
        <v>48</v>
      </c>
      <c r="B17" s="27">
        <v>1042427</v>
      </c>
      <c r="C17" s="27">
        <v>0</v>
      </c>
      <c r="D17" s="6">
        <f t="shared" si="2"/>
        <v>0</v>
      </c>
    </row>
    <row r="18" spans="1:23" x14ac:dyDescent="0.25">
      <c r="A18" s="28" t="s">
        <v>49</v>
      </c>
      <c r="B18" s="27">
        <v>1581223</v>
      </c>
      <c r="C18" s="27">
        <v>0</v>
      </c>
      <c r="D18" s="6">
        <f t="shared" si="2"/>
        <v>0</v>
      </c>
    </row>
    <row r="19" spans="1:23" ht="15.75" x14ac:dyDescent="0.25">
      <c r="A19" s="28" t="s">
        <v>83</v>
      </c>
      <c r="B19" s="27">
        <f>S4</f>
        <v>1684625.55</v>
      </c>
      <c r="C19" s="146">
        <f>(D19*2000)/B19</f>
        <v>822.45198762419341</v>
      </c>
      <c r="D19" s="6">
        <f>T4</f>
        <v>692761.81599999999</v>
      </c>
      <c r="G19" s="76" t="s">
        <v>112</v>
      </c>
      <c r="H19" s="77"/>
      <c r="I19" s="78"/>
      <c r="J19" s="78"/>
      <c r="K19" s="166" t="s">
        <v>113</v>
      </c>
      <c r="L19" s="167"/>
      <c r="M19" s="166" t="s">
        <v>114</v>
      </c>
      <c r="N19" s="168"/>
      <c r="O19" s="168"/>
      <c r="P19" s="168"/>
      <c r="Q19" s="167"/>
      <c r="R19" s="166" t="s">
        <v>115</v>
      </c>
      <c r="S19" s="168"/>
      <c r="T19" s="79" t="s">
        <v>116</v>
      </c>
      <c r="U19" s="79" t="s">
        <v>117</v>
      </c>
      <c r="V19" s="166" t="s">
        <v>118</v>
      </c>
      <c r="W19" s="167"/>
    </row>
    <row r="20" spans="1:23" ht="15.75" x14ac:dyDescent="0.25">
      <c r="A20" s="28" t="s">
        <v>172</v>
      </c>
      <c r="B20" s="27">
        <v>0</v>
      </c>
      <c r="C20" s="27">
        <v>0</v>
      </c>
      <c r="D20" s="6">
        <f t="shared" si="2"/>
        <v>0</v>
      </c>
      <c r="G20" s="80" t="s">
        <v>119</v>
      </c>
      <c r="H20" s="81">
        <v>2013</v>
      </c>
      <c r="I20" s="78"/>
      <c r="J20" s="82"/>
      <c r="K20" s="83" t="s">
        <v>120</v>
      </c>
      <c r="L20" s="83" t="s">
        <v>121</v>
      </c>
      <c r="M20" s="84" t="s">
        <v>122</v>
      </c>
      <c r="N20" s="85" t="s">
        <v>123</v>
      </c>
      <c r="O20" s="84" t="s">
        <v>124</v>
      </c>
      <c r="P20" s="84" t="s">
        <v>125</v>
      </c>
      <c r="Q20" s="84" t="s">
        <v>126</v>
      </c>
      <c r="R20" s="85" t="s">
        <v>127</v>
      </c>
      <c r="S20" s="85" t="s">
        <v>128</v>
      </c>
      <c r="T20" s="86" t="s">
        <v>129</v>
      </c>
      <c r="U20" s="86" t="s">
        <v>130</v>
      </c>
      <c r="V20" s="86" t="s">
        <v>131</v>
      </c>
      <c r="W20" s="87" t="s">
        <v>132</v>
      </c>
    </row>
    <row r="21" spans="1:23" ht="75.75" x14ac:dyDescent="0.25">
      <c r="A21" s="28" t="s">
        <v>173</v>
      </c>
      <c r="B21" s="27">
        <v>277931</v>
      </c>
      <c r="C21" s="27">
        <v>0</v>
      </c>
      <c r="D21" s="6">
        <f t="shared" si="2"/>
        <v>0</v>
      </c>
      <c r="G21" s="88"/>
      <c r="H21" s="89"/>
      <c r="I21" s="90"/>
      <c r="J21" s="91"/>
      <c r="K21" s="92" t="s">
        <v>133</v>
      </c>
      <c r="L21" s="92" t="s">
        <v>134</v>
      </c>
      <c r="M21" s="92" t="s">
        <v>135</v>
      </c>
      <c r="N21" s="92" t="s">
        <v>136</v>
      </c>
      <c r="O21" s="92" t="s">
        <v>137</v>
      </c>
      <c r="P21" s="92" t="s">
        <v>138</v>
      </c>
      <c r="Q21" s="92" t="s">
        <v>139</v>
      </c>
      <c r="R21" s="93" t="s">
        <v>140</v>
      </c>
      <c r="S21" s="93" t="s">
        <v>141</v>
      </c>
      <c r="T21" s="93" t="s">
        <v>142</v>
      </c>
      <c r="U21" s="93" t="s">
        <v>143</v>
      </c>
      <c r="V21" s="93" t="s">
        <v>144</v>
      </c>
      <c r="W21" s="94" t="s">
        <v>145</v>
      </c>
    </row>
    <row r="22" spans="1:23" ht="45" x14ac:dyDescent="0.25">
      <c r="A22" s="28" t="s">
        <v>174</v>
      </c>
      <c r="B22" s="27">
        <v>158</v>
      </c>
      <c r="C22" s="27">
        <v>0</v>
      </c>
      <c r="D22" s="6">
        <f t="shared" si="2"/>
        <v>0</v>
      </c>
      <c r="G22" s="95"/>
      <c r="H22" s="77"/>
      <c r="I22" s="96"/>
      <c r="J22" s="82"/>
      <c r="K22" s="97"/>
      <c r="L22" s="97"/>
      <c r="M22" s="97"/>
      <c r="N22" s="97"/>
      <c r="O22" s="98" t="s">
        <v>146</v>
      </c>
      <c r="P22" s="98" t="s">
        <v>147</v>
      </c>
      <c r="Q22" s="98"/>
      <c r="R22" s="99"/>
      <c r="S22" s="99"/>
      <c r="T22" s="100"/>
      <c r="U22" s="100"/>
      <c r="V22" s="94" t="s">
        <v>148</v>
      </c>
      <c r="W22" s="101" t="s">
        <v>149</v>
      </c>
    </row>
    <row r="23" spans="1:23" x14ac:dyDescent="0.25">
      <c r="A23" s="28" t="s">
        <v>175</v>
      </c>
      <c r="B23" s="27">
        <v>3463</v>
      </c>
      <c r="C23" s="27">
        <v>0</v>
      </c>
      <c r="D23" s="6">
        <f t="shared" si="2"/>
        <v>0</v>
      </c>
      <c r="G23" s="102">
        <v>0</v>
      </c>
      <c r="H23" s="103" t="s">
        <v>150</v>
      </c>
      <c r="I23" s="104" t="s">
        <v>96</v>
      </c>
      <c r="J23" s="105">
        <v>0.5</v>
      </c>
      <c r="K23" s="106">
        <v>1000</v>
      </c>
      <c r="L23" s="107" t="s">
        <v>151</v>
      </c>
      <c r="M23" s="108">
        <v>5.0999999999999997E-2</v>
      </c>
      <c r="N23" s="109" t="s">
        <v>152</v>
      </c>
      <c r="O23" s="107" t="s">
        <v>153</v>
      </c>
      <c r="P23" s="106">
        <f>K23*M23</f>
        <v>51</v>
      </c>
      <c r="Q23" s="110" t="s">
        <v>154</v>
      </c>
      <c r="R23" s="111">
        <v>14</v>
      </c>
      <c r="S23" s="107" t="s">
        <v>155</v>
      </c>
      <c r="T23" s="112">
        <v>1</v>
      </c>
      <c r="U23" s="113">
        <v>1</v>
      </c>
      <c r="V23" s="114">
        <f>+P23*R23*T23*U23*3.66666666666667</f>
        <v>2618.0000000000023</v>
      </c>
      <c r="W23" s="115">
        <f>V23/1000</f>
        <v>2.6180000000000021</v>
      </c>
    </row>
    <row r="24" spans="1:23" x14ac:dyDescent="0.25">
      <c r="A24" s="28" t="s">
        <v>176</v>
      </c>
      <c r="B24" s="27">
        <v>346963</v>
      </c>
      <c r="C24" s="27">
        <v>0</v>
      </c>
      <c r="D24" s="6">
        <f t="shared" si="2"/>
        <v>0</v>
      </c>
      <c r="G24" s="116" t="s">
        <v>156</v>
      </c>
      <c r="H24" s="116" t="s">
        <v>157</v>
      </c>
      <c r="I24" s="117" t="s">
        <v>158</v>
      </c>
      <c r="J24" s="117" t="s">
        <v>159</v>
      </c>
      <c r="K24" s="118"/>
      <c r="L24" s="119"/>
      <c r="M24" s="119"/>
      <c r="N24" s="119"/>
      <c r="O24" s="119"/>
      <c r="P24" s="119"/>
      <c r="Q24" s="119"/>
      <c r="R24" s="120"/>
      <c r="S24" s="121"/>
      <c r="T24" s="122"/>
      <c r="U24" s="122"/>
      <c r="V24" s="122"/>
      <c r="W24" s="119"/>
    </row>
    <row r="25" spans="1:23" ht="30" x14ac:dyDescent="0.25">
      <c r="A25" s="28" t="s">
        <v>177</v>
      </c>
      <c r="B25" s="27">
        <v>11326</v>
      </c>
      <c r="C25" s="27">
        <v>0</v>
      </c>
      <c r="D25" s="6">
        <f t="shared" si="2"/>
        <v>0</v>
      </c>
      <c r="G25" s="123">
        <v>1</v>
      </c>
      <c r="H25" s="75" t="s">
        <v>36</v>
      </c>
      <c r="I25" s="75" t="s">
        <v>94</v>
      </c>
      <c r="J25" s="124">
        <v>0.15</v>
      </c>
      <c r="K25" s="125">
        <v>768825</v>
      </c>
      <c r="L25" s="126" t="s">
        <v>160</v>
      </c>
      <c r="M25" s="127">
        <v>17.024999999999999</v>
      </c>
      <c r="N25" s="126" t="s">
        <v>161</v>
      </c>
      <c r="O25" s="126" t="s">
        <v>153</v>
      </c>
      <c r="P25" s="128">
        <f>K25*M25</f>
        <v>13089245.624999998</v>
      </c>
      <c r="Q25" s="129" t="s">
        <v>162</v>
      </c>
      <c r="R25" s="130">
        <v>93.4</v>
      </c>
      <c r="S25" s="129" t="s">
        <v>163</v>
      </c>
      <c r="T25" s="131">
        <v>0.98</v>
      </c>
      <c r="U25" s="132">
        <v>1</v>
      </c>
      <c r="V25" s="133">
        <f t="shared" ref="V25:V32" si="3">+P25*R25*T25*U25</f>
        <v>1198084830.5474999</v>
      </c>
      <c r="W25" s="133">
        <f t="shared" ref="W25:W32" si="4">V25/1000</f>
        <v>1198084.8305474999</v>
      </c>
    </row>
    <row r="26" spans="1:23" ht="25.5" x14ac:dyDescent="0.25">
      <c r="A26" s="28" t="s">
        <v>178</v>
      </c>
      <c r="B26" s="27">
        <v>73478</v>
      </c>
      <c r="C26" s="27">
        <v>0</v>
      </c>
      <c r="D26" s="6">
        <f t="shared" si="2"/>
        <v>0</v>
      </c>
      <c r="G26" s="123">
        <f t="shared" ref="G26:G33" si="5">G25+1</f>
        <v>2</v>
      </c>
      <c r="H26" s="75" t="s">
        <v>36</v>
      </c>
      <c r="I26" s="75" t="s">
        <v>164</v>
      </c>
      <c r="J26" s="134">
        <v>0.15</v>
      </c>
      <c r="K26" s="125">
        <v>1648</v>
      </c>
      <c r="L26" s="126" t="s">
        <v>165</v>
      </c>
      <c r="M26" s="130">
        <f>140000*42/1000000</f>
        <v>5.88</v>
      </c>
      <c r="N26" s="135" t="s">
        <v>166</v>
      </c>
      <c r="O26" s="126" t="s">
        <v>153</v>
      </c>
      <c r="P26" s="128">
        <f>(K26*M26)</f>
        <v>9690.24</v>
      </c>
      <c r="Q26" s="129" t="s">
        <v>162</v>
      </c>
      <c r="R26" s="130">
        <v>73.959999999999994</v>
      </c>
      <c r="S26" s="129" t="s">
        <v>163</v>
      </c>
      <c r="T26" s="131">
        <v>0.99</v>
      </c>
      <c r="U26" s="132">
        <v>1</v>
      </c>
      <c r="V26" s="133">
        <f t="shared" si="3"/>
        <v>709523.24889599998</v>
      </c>
      <c r="W26" s="133">
        <f t="shared" si="4"/>
        <v>709.52324889599993</v>
      </c>
    </row>
    <row r="27" spans="1:23" x14ac:dyDescent="0.25">
      <c r="A27" s="28" t="s">
        <v>179</v>
      </c>
      <c r="B27" s="27">
        <v>1248</v>
      </c>
      <c r="C27" s="27">
        <v>0</v>
      </c>
      <c r="D27" s="6">
        <f t="shared" si="2"/>
        <v>0</v>
      </c>
      <c r="G27" s="123">
        <f t="shared" si="5"/>
        <v>3</v>
      </c>
      <c r="H27" s="75" t="s">
        <v>167</v>
      </c>
      <c r="I27" s="75" t="s">
        <v>96</v>
      </c>
      <c r="J27" s="134">
        <v>1</v>
      </c>
      <c r="K27" s="130">
        <v>349.61099999999999</v>
      </c>
      <c r="L27" s="126" t="s">
        <v>168</v>
      </c>
      <c r="M27" s="136">
        <v>1028</v>
      </c>
      <c r="N27" s="126" t="s">
        <v>169</v>
      </c>
      <c r="O27" s="126" t="s">
        <v>153</v>
      </c>
      <c r="P27" s="128">
        <f t="shared" ref="P27:P31" si="6">K27*M27</f>
        <v>359400.10800000001</v>
      </c>
      <c r="Q27" s="129" t="s">
        <v>162</v>
      </c>
      <c r="R27" s="130">
        <v>53.02</v>
      </c>
      <c r="S27" s="129" t="s">
        <v>163</v>
      </c>
      <c r="T27" s="131">
        <v>0.995</v>
      </c>
      <c r="U27" s="132">
        <v>1</v>
      </c>
      <c r="V27" s="133">
        <f t="shared" si="3"/>
        <v>18960116.757529199</v>
      </c>
      <c r="W27" s="133">
        <f t="shared" si="4"/>
        <v>18960.116757529198</v>
      </c>
    </row>
    <row r="28" spans="1:23" x14ac:dyDescent="0.25">
      <c r="A28" s="28" t="s">
        <v>180</v>
      </c>
      <c r="B28" s="27">
        <v>297027</v>
      </c>
      <c r="C28" s="27">
        <v>0</v>
      </c>
      <c r="D28" s="6">
        <f t="shared" si="2"/>
        <v>0</v>
      </c>
      <c r="G28" s="123">
        <f t="shared" si="5"/>
        <v>4</v>
      </c>
      <c r="H28" s="75" t="s">
        <v>170</v>
      </c>
      <c r="I28" s="75" t="s">
        <v>96</v>
      </c>
      <c r="J28" s="134">
        <v>1</v>
      </c>
      <c r="K28" s="130">
        <v>3.1320000000000001</v>
      </c>
      <c r="L28" s="126" t="s">
        <v>168</v>
      </c>
      <c r="M28" s="136">
        <v>1028</v>
      </c>
      <c r="N28" s="126" t="s">
        <v>169</v>
      </c>
      <c r="O28" s="126" t="s">
        <v>153</v>
      </c>
      <c r="P28" s="128">
        <f t="shared" si="6"/>
        <v>3219.6959999999999</v>
      </c>
      <c r="Q28" s="129" t="s">
        <v>162</v>
      </c>
      <c r="R28" s="130">
        <v>53.02</v>
      </c>
      <c r="S28" s="129" t="s">
        <v>163</v>
      </c>
      <c r="T28" s="131">
        <v>0.995</v>
      </c>
      <c r="U28" s="132">
        <v>1</v>
      </c>
      <c r="V28" s="133">
        <f t="shared" si="3"/>
        <v>169854.74051040001</v>
      </c>
      <c r="W28" s="133">
        <f t="shared" si="4"/>
        <v>169.85474051040001</v>
      </c>
    </row>
    <row r="29" spans="1:23" x14ac:dyDescent="0.25">
      <c r="A29" s="28" t="s">
        <v>181</v>
      </c>
      <c r="B29" s="27">
        <v>63</v>
      </c>
      <c r="C29" s="27">
        <v>0</v>
      </c>
      <c r="D29" s="6">
        <f t="shared" si="2"/>
        <v>0</v>
      </c>
      <c r="G29" s="123">
        <f t="shared" si="5"/>
        <v>5</v>
      </c>
      <c r="H29" s="75" t="s">
        <v>39</v>
      </c>
      <c r="I29" s="75" t="s">
        <v>96</v>
      </c>
      <c r="J29" s="134">
        <v>1</v>
      </c>
      <c r="K29" s="130">
        <v>237.30799999999999</v>
      </c>
      <c r="L29" s="126" t="s">
        <v>168</v>
      </c>
      <c r="M29" s="136">
        <v>1028</v>
      </c>
      <c r="N29" s="126" t="s">
        <v>169</v>
      </c>
      <c r="O29" s="126" t="s">
        <v>153</v>
      </c>
      <c r="P29" s="128">
        <f t="shared" si="6"/>
        <v>243952.62399999998</v>
      </c>
      <c r="Q29" s="129" t="s">
        <v>162</v>
      </c>
      <c r="R29" s="130">
        <v>53.02</v>
      </c>
      <c r="S29" s="129" t="s">
        <v>163</v>
      </c>
      <c r="T29" s="131">
        <v>0.995</v>
      </c>
      <c r="U29" s="132">
        <v>1</v>
      </c>
      <c r="V29" s="133">
        <f t="shared" si="3"/>
        <v>12869696.283857599</v>
      </c>
      <c r="W29" s="133">
        <f t="shared" si="4"/>
        <v>12869.696283857598</v>
      </c>
    </row>
    <row r="30" spans="1:23" x14ac:dyDescent="0.25">
      <c r="A30" s="28" t="s">
        <v>182</v>
      </c>
      <c r="B30" s="27">
        <f>131448+177116+36891</f>
        <v>345455</v>
      </c>
      <c r="C30" s="27">
        <v>0</v>
      </c>
      <c r="D30" s="6">
        <f t="shared" si="2"/>
        <v>0</v>
      </c>
      <c r="G30" s="123">
        <f t="shared" si="5"/>
        <v>6</v>
      </c>
      <c r="H30" s="75" t="s">
        <v>40</v>
      </c>
      <c r="I30" s="75" t="s">
        <v>96</v>
      </c>
      <c r="J30" s="134">
        <v>1</v>
      </c>
      <c r="K30" s="130">
        <v>12307.078</v>
      </c>
      <c r="L30" s="126" t="s">
        <v>168</v>
      </c>
      <c r="M30" s="136">
        <v>1028</v>
      </c>
      <c r="N30" s="126" t="s">
        <v>169</v>
      </c>
      <c r="O30" s="126" t="s">
        <v>153</v>
      </c>
      <c r="P30" s="128">
        <f t="shared" si="6"/>
        <v>12651676.184</v>
      </c>
      <c r="Q30" s="129" t="s">
        <v>162</v>
      </c>
      <c r="R30" s="130">
        <v>53.02</v>
      </c>
      <c r="S30" s="129" t="s">
        <v>163</v>
      </c>
      <c r="T30" s="131">
        <v>0.995</v>
      </c>
      <c r="U30" s="132">
        <v>1</v>
      </c>
      <c r="V30" s="133">
        <f t="shared" si="3"/>
        <v>667437911.91930163</v>
      </c>
      <c r="W30" s="133">
        <f t="shared" si="4"/>
        <v>667437.91191930161</v>
      </c>
    </row>
    <row r="31" spans="1:23" x14ac:dyDescent="0.25">
      <c r="A31" s="28" t="s">
        <v>183</v>
      </c>
      <c r="B31" s="27">
        <v>9583</v>
      </c>
      <c r="C31" s="27">
        <v>0</v>
      </c>
      <c r="D31" s="6">
        <f t="shared" si="2"/>
        <v>0</v>
      </c>
      <c r="G31" s="123">
        <f t="shared" si="5"/>
        <v>7</v>
      </c>
      <c r="H31" s="75" t="s">
        <v>41</v>
      </c>
      <c r="I31" s="75" t="s">
        <v>96</v>
      </c>
      <c r="J31" s="134">
        <v>1</v>
      </c>
      <c r="K31" s="130">
        <v>68.912000000000006</v>
      </c>
      <c r="L31" s="126" t="s">
        <v>168</v>
      </c>
      <c r="M31" s="136">
        <v>1028</v>
      </c>
      <c r="N31" s="126" t="s">
        <v>169</v>
      </c>
      <c r="O31" s="126" t="s">
        <v>153</v>
      </c>
      <c r="P31" s="128">
        <f t="shared" si="6"/>
        <v>70841.536000000007</v>
      </c>
      <c r="Q31" s="129" t="s">
        <v>162</v>
      </c>
      <c r="R31" s="130">
        <v>53.02</v>
      </c>
      <c r="S31" s="129" t="s">
        <v>163</v>
      </c>
      <c r="T31" s="131">
        <v>0.995</v>
      </c>
      <c r="U31" s="132">
        <v>1</v>
      </c>
      <c r="V31" s="133">
        <f t="shared" si="3"/>
        <v>3737238.1475264006</v>
      </c>
      <c r="W31" s="133">
        <f t="shared" si="4"/>
        <v>3737.2381475264006</v>
      </c>
    </row>
    <row r="32" spans="1:23" x14ac:dyDescent="0.25">
      <c r="A32" s="28" t="s">
        <v>184</v>
      </c>
      <c r="B32" s="27">
        <v>52576</v>
      </c>
      <c r="C32" s="27">
        <v>0</v>
      </c>
      <c r="D32" s="6">
        <f t="shared" si="2"/>
        <v>0</v>
      </c>
      <c r="G32" s="123">
        <f t="shared" si="5"/>
        <v>8</v>
      </c>
      <c r="H32" s="75"/>
      <c r="I32" s="142"/>
      <c r="J32" s="134">
        <v>1</v>
      </c>
      <c r="K32" s="130"/>
      <c r="L32" s="126"/>
      <c r="M32" s="125"/>
      <c r="N32" s="126"/>
      <c r="O32" s="126"/>
      <c r="P32" s="128">
        <f>K50*M32</f>
        <v>0</v>
      </c>
      <c r="Q32" s="129"/>
      <c r="R32" s="125"/>
      <c r="S32" s="129"/>
      <c r="T32" s="143"/>
      <c r="U32" s="132"/>
      <c r="V32" s="133">
        <f t="shared" si="3"/>
        <v>0</v>
      </c>
      <c r="W32" s="133">
        <f t="shared" si="4"/>
        <v>0</v>
      </c>
    </row>
    <row r="33" spans="1:23" x14ac:dyDescent="0.25">
      <c r="A33" s="28" t="s">
        <v>185</v>
      </c>
      <c r="B33" s="27">
        <v>1195</v>
      </c>
      <c r="C33" s="27">
        <v>0</v>
      </c>
      <c r="D33" s="6">
        <f t="shared" si="2"/>
        <v>0</v>
      </c>
      <c r="G33" s="123">
        <f t="shared" si="5"/>
        <v>9</v>
      </c>
      <c r="H33" s="144" t="s">
        <v>171</v>
      </c>
      <c r="I33" s="145" t="s">
        <v>96</v>
      </c>
      <c r="J33" s="134">
        <v>1</v>
      </c>
      <c r="K33" s="130">
        <v>11478.835999999999</v>
      </c>
      <c r="L33" s="126" t="s">
        <v>168</v>
      </c>
      <c r="M33" s="136">
        <v>1028</v>
      </c>
      <c r="N33" s="126" t="s">
        <v>169</v>
      </c>
      <c r="O33" s="126" t="s">
        <v>153</v>
      </c>
      <c r="P33" s="128">
        <f>K33*M33</f>
        <v>11800243.408</v>
      </c>
      <c r="Q33" s="129" t="s">
        <v>162</v>
      </c>
      <c r="R33" s="130">
        <v>53.02</v>
      </c>
      <c r="S33" s="129" t="s">
        <v>163</v>
      </c>
      <c r="T33" s="131">
        <v>0.995</v>
      </c>
      <c r="U33" s="132">
        <v>1</v>
      </c>
      <c r="V33" s="133">
        <f>+P33*R33*T33*U33</f>
        <v>622520660.96469927</v>
      </c>
      <c r="W33" s="133">
        <f>V33/1000</f>
        <v>622520.66096469923</v>
      </c>
    </row>
    <row r="34" spans="1:23" x14ac:dyDescent="0.25">
      <c r="A34" s="28" t="s">
        <v>186</v>
      </c>
      <c r="B34" s="27">
        <v>34991</v>
      </c>
      <c r="C34" s="27">
        <v>0</v>
      </c>
      <c r="D34" s="6">
        <f t="shared" si="2"/>
        <v>0</v>
      </c>
    </row>
    <row r="35" spans="1:23" x14ac:dyDescent="0.25">
      <c r="A35" s="28" t="s">
        <v>226</v>
      </c>
      <c r="B35" s="27">
        <v>10741</v>
      </c>
      <c r="C35" s="27"/>
      <c r="D35" s="6">
        <f t="shared" si="2"/>
        <v>0</v>
      </c>
    </row>
    <row r="36" spans="1:23" x14ac:dyDescent="0.25">
      <c r="A36" s="28" t="s">
        <v>227</v>
      </c>
      <c r="B36" s="27">
        <v>131017</v>
      </c>
      <c r="C36" s="27"/>
      <c r="D36" s="6">
        <f t="shared" si="2"/>
        <v>0</v>
      </c>
      <c r="F36" s="71"/>
      <c r="G36" s="71"/>
      <c r="H36" s="72"/>
      <c r="I36" s="73"/>
      <c r="J36" s="73"/>
      <c r="K36" s="74"/>
      <c r="L36" s="74"/>
    </row>
    <row r="37" spans="1:23" x14ac:dyDescent="0.25">
      <c r="A37" s="28"/>
      <c r="B37" s="27"/>
      <c r="C37" s="27"/>
      <c r="D37" s="6">
        <f t="shared" si="2"/>
        <v>0</v>
      </c>
      <c r="F37" s="71"/>
      <c r="G37" s="71"/>
      <c r="H37" s="72"/>
      <c r="I37" s="73"/>
      <c r="J37" s="73"/>
      <c r="K37" s="74"/>
      <c r="L37" s="74"/>
    </row>
    <row r="38" spans="1:23" x14ac:dyDescent="0.25">
      <c r="A38" s="28"/>
      <c r="B38" s="27"/>
      <c r="C38" s="27"/>
      <c r="D38" s="6">
        <f t="shared" si="2"/>
        <v>0</v>
      </c>
      <c r="F38" s="71"/>
      <c r="G38" s="71"/>
      <c r="H38" s="72"/>
      <c r="I38" s="73"/>
      <c r="J38" s="73"/>
      <c r="K38" s="74"/>
    </row>
    <row r="39" spans="1:23" x14ac:dyDescent="0.25">
      <c r="A39" s="28"/>
      <c r="B39" s="27"/>
      <c r="C39" s="27"/>
      <c r="D39" s="6">
        <f t="shared" si="2"/>
        <v>0</v>
      </c>
      <c r="F39" s="71"/>
      <c r="G39" s="71"/>
      <c r="H39" s="72"/>
      <c r="I39" s="73"/>
      <c r="J39" s="73"/>
      <c r="K39" s="74"/>
    </row>
    <row r="40" spans="1:23" ht="15.75" thickBot="1" x14ac:dyDescent="0.3">
      <c r="A40" s="29"/>
      <c r="B40" s="30"/>
      <c r="C40" s="30"/>
      <c r="D40" s="9">
        <f t="shared" si="2"/>
        <v>0</v>
      </c>
    </row>
    <row r="41" spans="1:23" ht="16.5" thickTop="1" thickBot="1" x14ac:dyDescent="0.3">
      <c r="A41" s="1"/>
      <c r="B41" s="10">
        <f>SUM(B4:B40)</f>
        <v>10447929.854499999</v>
      </c>
      <c r="C41" s="147">
        <f>(D41*2000)/B41</f>
        <v>553.13872680818258</v>
      </c>
      <c r="D41" s="10">
        <f>SUM(D4:D40)</f>
        <v>2889577.3087496646</v>
      </c>
    </row>
    <row r="43" spans="1:23" x14ac:dyDescent="0.25">
      <c r="A43" t="s">
        <v>232</v>
      </c>
    </row>
    <row r="44" spans="1:23" x14ac:dyDescent="0.25">
      <c r="A44" t="s">
        <v>231</v>
      </c>
      <c r="B44" s="74"/>
    </row>
    <row r="45" spans="1:23" x14ac:dyDescent="0.25">
      <c r="A45" s="71"/>
      <c r="B45" s="74"/>
    </row>
    <row r="46" spans="1:23" x14ac:dyDescent="0.25">
      <c r="B46" s="153"/>
    </row>
  </sheetData>
  <mergeCells count="4">
    <mergeCell ref="K19:L19"/>
    <mergeCell ref="M19:Q19"/>
    <mergeCell ref="R19:S19"/>
    <mergeCell ref="V19:W19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topLeftCell="A40" workbookViewId="0">
      <selection activeCell="H63" sqref="H63"/>
    </sheetView>
  </sheetViews>
  <sheetFormatPr defaultColWidth="12.7109375" defaultRowHeight="15" x14ac:dyDescent="0.25"/>
  <cols>
    <col min="1" max="1" width="42.7109375" customWidth="1"/>
    <col min="2" max="2" width="10.140625" bestFit="1" customWidth="1"/>
    <col min="4" max="4" width="36.140625" bestFit="1" customWidth="1"/>
    <col min="5" max="5" width="13.140625" customWidth="1"/>
    <col min="7" max="7" width="16.85546875" style="171" bestFit="1" customWidth="1"/>
  </cols>
  <sheetData>
    <row r="1" spans="1:8" ht="36" customHeight="1" thickBot="1" x14ac:dyDescent="0.3">
      <c r="A1" s="155" t="s">
        <v>228</v>
      </c>
      <c r="B1" s="154">
        <v>2013</v>
      </c>
      <c r="D1" s="149"/>
      <c r="E1" s="150"/>
    </row>
    <row r="2" spans="1:8" x14ac:dyDescent="0.25">
      <c r="B2" s="169" t="s">
        <v>233</v>
      </c>
      <c r="C2" s="169"/>
      <c r="D2" s="170"/>
      <c r="E2" s="33">
        <v>1132.0999999999999</v>
      </c>
    </row>
    <row r="3" spans="1:8" x14ac:dyDescent="0.25">
      <c r="B3" s="169" t="s">
        <v>234</v>
      </c>
      <c r="C3" s="169"/>
      <c r="D3" s="169"/>
      <c r="E3" s="159">
        <f>'Known Resources'!C41</f>
        <v>553.13872680818258</v>
      </c>
    </row>
    <row r="4" spans="1:8" ht="45" x14ac:dyDescent="0.25">
      <c r="A4" s="156" t="s">
        <v>208</v>
      </c>
      <c r="B4" s="156" t="s">
        <v>209</v>
      </c>
      <c r="C4" s="156"/>
      <c r="D4" s="156" t="s">
        <v>208</v>
      </c>
      <c r="E4" s="156" t="s">
        <v>210</v>
      </c>
      <c r="F4" s="157" t="s">
        <v>229</v>
      </c>
      <c r="G4" s="173" t="s">
        <v>230</v>
      </c>
      <c r="H4" s="158"/>
    </row>
    <row r="5" spans="1:8" x14ac:dyDescent="0.25">
      <c r="A5" s="71" t="s">
        <v>51</v>
      </c>
      <c r="B5" s="74">
        <v>1400</v>
      </c>
      <c r="D5" s="151" t="s">
        <v>51</v>
      </c>
      <c r="E5" s="152">
        <v>2400</v>
      </c>
      <c r="F5" s="153">
        <f>B5-E5</f>
        <v>-1000</v>
      </c>
      <c r="G5" s="171">
        <f>IF(F5&gt;0,F5*$E$2,F5*$E$3)</f>
        <v>-553138.72680818255</v>
      </c>
    </row>
    <row r="6" spans="1:8" x14ac:dyDescent="0.25">
      <c r="A6" s="71" t="s">
        <v>211</v>
      </c>
      <c r="B6" s="74">
        <v>501744</v>
      </c>
      <c r="D6" s="151" t="s">
        <v>211</v>
      </c>
      <c r="E6" s="152">
        <v>179761</v>
      </c>
      <c r="F6" s="153">
        <f t="shared" ref="F6:F58" si="0">B6-E6</f>
        <v>321983</v>
      </c>
      <c r="G6" s="171">
        <f t="shared" ref="G6:G58" si="1">IF(F6&gt;0,F6*$E$2,F6*$E$3)</f>
        <v>364516954.29999995</v>
      </c>
    </row>
    <row r="7" spans="1:8" x14ac:dyDescent="0.25">
      <c r="A7" s="71" t="s">
        <v>52</v>
      </c>
      <c r="B7" s="74">
        <v>38848</v>
      </c>
      <c r="D7" s="151" t="s">
        <v>52</v>
      </c>
      <c r="E7" s="152">
        <v>255866</v>
      </c>
      <c r="F7" s="153">
        <f t="shared" si="0"/>
        <v>-217018</v>
      </c>
      <c r="G7" s="171">
        <f t="shared" si="1"/>
        <v>-120041060.21445817</v>
      </c>
    </row>
    <row r="8" spans="1:8" x14ac:dyDescent="0.25">
      <c r="A8" s="71"/>
      <c r="B8" s="74"/>
      <c r="D8" s="151" t="s">
        <v>212</v>
      </c>
      <c r="E8" s="152">
        <v>39</v>
      </c>
      <c r="F8" s="153">
        <f t="shared" si="0"/>
        <v>-39</v>
      </c>
      <c r="G8" s="171">
        <f t="shared" si="1"/>
        <v>-21572.410345519122</v>
      </c>
    </row>
    <row r="9" spans="1:8" x14ac:dyDescent="0.25">
      <c r="A9" s="71"/>
      <c r="B9" s="74"/>
      <c r="D9" s="151" t="s">
        <v>213</v>
      </c>
      <c r="E9" s="152">
        <v>1200</v>
      </c>
      <c r="F9" s="153">
        <f t="shared" si="0"/>
        <v>-1200</v>
      </c>
      <c r="G9" s="171">
        <f t="shared" si="1"/>
        <v>-663766.47216981906</v>
      </c>
    </row>
    <row r="10" spans="1:8" x14ac:dyDescent="0.25">
      <c r="A10" s="71"/>
      <c r="B10" s="74"/>
      <c r="D10" s="151" t="s">
        <v>214</v>
      </c>
      <c r="E10" s="152">
        <v>400</v>
      </c>
      <c r="F10" s="153">
        <f t="shared" si="0"/>
        <v>-400</v>
      </c>
      <c r="G10" s="171">
        <f t="shared" si="1"/>
        <v>-221255.49072327302</v>
      </c>
    </row>
    <row r="11" spans="1:8" x14ac:dyDescent="0.25">
      <c r="A11" s="71" t="s">
        <v>53</v>
      </c>
      <c r="B11" s="74">
        <v>265838</v>
      </c>
      <c r="D11" s="151" t="s">
        <v>53</v>
      </c>
      <c r="E11" s="152">
        <v>276556</v>
      </c>
      <c r="F11" s="153">
        <f t="shared" si="0"/>
        <v>-10718</v>
      </c>
      <c r="G11" s="171">
        <f t="shared" si="1"/>
        <v>-5928540.8739301013</v>
      </c>
    </row>
    <row r="12" spans="1:8" x14ac:dyDescent="0.25">
      <c r="A12" s="71" t="s">
        <v>54</v>
      </c>
      <c r="B12" s="74">
        <v>53814</v>
      </c>
      <c r="D12" s="151" t="s">
        <v>54</v>
      </c>
      <c r="E12" s="152">
        <v>176441</v>
      </c>
      <c r="F12" s="153">
        <f t="shared" si="0"/>
        <v>-122627</v>
      </c>
      <c r="G12" s="171">
        <f t="shared" si="1"/>
        <v>-67829742.652307004</v>
      </c>
    </row>
    <row r="13" spans="1:8" x14ac:dyDescent="0.25">
      <c r="A13" s="71" t="s">
        <v>55</v>
      </c>
      <c r="B13" s="74">
        <v>6028</v>
      </c>
      <c r="D13" s="151" t="s">
        <v>55</v>
      </c>
      <c r="E13" s="152">
        <v>8801</v>
      </c>
      <c r="F13" s="153">
        <f t="shared" si="0"/>
        <v>-2773</v>
      </c>
      <c r="G13" s="171">
        <f t="shared" si="1"/>
        <v>-1533853.6894390902</v>
      </c>
    </row>
    <row r="14" spans="1:8" x14ac:dyDescent="0.25">
      <c r="A14" s="71"/>
      <c r="B14" s="74"/>
      <c r="D14" s="151" t="s">
        <v>215</v>
      </c>
      <c r="E14" s="152">
        <v>33280</v>
      </c>
      <c r="F14" s="153">
        <f t="shared" si="0"/>
        <v>-33280</v>
      </c>
      <c r="G14" s="171">
        <f t="shared" si="1"/>
        <v>-18408456.828176316</v>
      </c>
    </row>
    <row r="15" spans="1:8" x14ac:dyDescent="0.25">
      <c r="A15" s="71" t="s">
        <v>56</v>
      </c>
      <c r="B15" s="74">
        <v>13797</v>
      </c>
      <c r="D15" s="151" t="s">
        <v>56</v>
      </c>
      <c r="E15" s="152">
        <v>21250</v>
      </c>
      <c r="F15" s="153">
        <f t="shared" si="0"/>
        <v>-7453</v>
      </c>
      <c r="G15" s="171">
        <f t="shared" si="1"/>
        <v>-4122542.9309013849</v>
      </c>
    </row>
    <row r="16" spans="1:8" x14ac:dyDescent="0.25">
      <c r="A16" s="71" t="s">
        <v>57</v>
      </c>
      <c r="B16" s="74">
        <v>954</v>
      </c>
      <c r="D16" s="151" t="s">
        <v>57</v>
      </c>
      <c r="E16" s="152">
        <v>4225</v>
      </c>
      <c r="F16" s="153">
        <f t="shared" si="0"/>
        <v>-3271</v>
      </c>
      <c r="G16" s="171">
        <f t="shared" si="1"/>
        <v>-1809316.7753895652</v>
      </c>
    </row>
    <row r="17" spans="1:7" x14ac:dyDescent="0.25">
      <c r="A17" s="71" t="s">
        <v>58</v>
      </c>
      <c r="B17" s="74">
        <v>2000</v>
      </c>
      <c r="D17" s="151" t="s">
        <v>58</v>
      </c>
      <c r="E17" s="152">
        <v>2574</v>
      </c>
      <c r="F17" s="153">
        <f t="shared" si="0"/>
        <v>-574</v>
      </c>
      <c r="G17" s="171">
        <f t="shared" si="1"/>
        <v>-317501.62918789679</v>
      </c>
    </row>
    <row r="18" spans="1:7" x14ac:dyDescent="0.25">
      <c r="A18" s="71" t="s">
        <v>59</v>
      </c>
      <c r="B18" s="74">
        <v>34423</v>
      </c>
      <c r="D18" s="151" t="s">
        <v>216</v>
      </c>
      <c r="E18" s="152">
        <v>90784</v>
      </c>
      <c r="F18" s="153">
        <f t="shared" si="0"/>
        <v>-56361</v>
      </c>
      <c r="G18" s="171">
        <f t="shared" si="1"/>
        <v>-31175451.781635977</v>
      </c>
    </row>
    <row r="19" spans="1:7" x14ac:dyDescent="0.25">
      <c r="A19" s="71" t="s">
        <v>60</v>
      </c>
      <c r="B19" s="74">
        <v>30946</v>
      </c>
      <c r="D19" s="151" t="s">
        <v>60</v>
      </c>
      <c r="E19" s="152">
        <v>39232</v>
      </c>
      <c r="F19" s="153">
        <f t="shared" si="0"/>
        <v>-8286</v>
      </c>
      <c r="G19" s="171">
        <f t="shared" si="1"/>
        <v>-4583307.4903326007</v>
      </c>
    </row>
    <row r="20" spans="1:7" x14ac:dyDescent="0.25">
      <c r="A20" s="71" t="s">
        <v>61</v>
      </c>
      <c r="B20" s="74">
        <v>3101</v>
      </c>
      <c r="D20" s="151" t="s">
        <v>61</v>
      </c>
      <c r="E20" s="152">
        <v>12935</v>
      </c>
      <c r="F20" s="153">
        <f t="shared" si="0"/>
        <v>-9834</v>
      </c>
      <c r="G20" s="171">
        <f t="shared" si="1"/>
        <v>-5439566.2394316671</v>
      </c>
    </row>
    <row r="21" spans="1:7" x14ac:dyDescent="0.25">
      <c r="A21" s="71" t="s">
        <v>62</v>
      </c>
      <c r="B21" s="74">
        <v>3600</v>
      </c>
      <c r="D21" s="151" t="s">
        <v>62</v>
      </c>
      <c r="E21" s="152">
        <v>17202</v>
      </c>
      <c r="F21" s="153">
        <f t="shared" si="0"/>
        <v>-13602</v>
      </c>
      <c r="G21" s="171">
        <f t="shared" si="1"/>
        <v>-7523792.9620448994</v>
      </c>
    </row>
    <row r="22" spans="1:7" x14ac:dyDescent="0.25">
      <c r="A22" s="71" t="s">
        <v>63</v>
      </c>
      <c r="B22" s="74">
        <v>34067</v>
      </c>
      <c r="D22" s="151" t="s">
        <v>63</v>
      </c>
      <c r="E22" s="152">
        <v>8106</v>
      </c>
      <c r="F22" s="153">
        <f t="shared" si="0"/>
        <v>25961</v>
      </c>
      <c r="G22" s="171">
        <f t="shared" si="1"/>
        <v>29390448.099999998</v>
      </c>
    </row>
    <row r="23" spans="1:7" x14ac:dyDescent="0.25">
      <c r="A23" s="71" t="s">
        <v>64</v>
      </c>
      <c r="B23" s="74">
        <v>154076</v>
      </c>
      <c r="D23" s="151" t="s">
        <v>64</v>
      </c>
      <c r="E23" s="152">
        <v>337924</v>
      </c>
      <c r="F23" s="153">
        <f t="shared" si="0"/>
        <v>-183848</v>
      </c>
      <c r="G23" s="171">
        <f t="shared" si="1"/>
        <v>-101693448.64623076</v>
      </c>
    </row>
    <row r="24" spans="1:7" x14ac:dyDescent="0.25">
      <c r="A24" s="71" t="s">
        <v>65</v>
      </c>
      <c r="B24" s="74">
        <v>2251</v>
      </c>
      <c r="D24" s="151"/>
      <c r="E24" s="152"/>
      <c r="F24" s="153">
        <f t="shared" si="0"/>
        <v>2251</v>
      </c>
      <c r="G24" s="171">
        <f t="shared" si="1"/>
        <v>2548357.0999999996</v>
      </c>
    </row>
    <row r="25" spans="1:7" x14ac:dyDescent="0.25">
      <c r="A25" s="71" t="s">
        <v>66</v>
      </c>
      <c r="B25" s="74">
        <v>105321</v>
      </c>
      <c r="D25" s="151" t="s">
        <v>66</v>
      </c>
      <c r="E25" s="152">
        <v>158205</v>
      </c>
      <c r="F25" s="153">
        <f t="shared" si="0"/>
        <v>-52884</v>
      </c>
      <c r="G25" s="171">
        <f t="shared" si="1"/>
        <v>-29252188.428523928</v>
      </c>
    </row>
    <row r="26" spans="1:7" x14ac:dyDescent="0.25">
      <c r="A26" s="71" t="s">
        <v>67</v>
      </c>
      <c r="B26" s="74">
        <v>108</v>
      </c>
      <c r="D26" s="151"/>
      <c r="E26" s="152"/>
      <c r="F26" s="153">
        <f t="shared" si="0"/>
        <v>108</v>
      </c>
      <c r="G26" s="171">
        <f t="shared" si="1"/>
        <v>122266.79999999999</v>
      </c>
    </row>
    <row r="27" spans="1:7" x14ac:dyDescent="0.25">
      <c r="A27" s="71" t="s">
        <v>68</v>
      </c>
      <c r="B27" s="74">
        <v>352</v>
      </c>
      <c r="D27" s="151" t="s">
        <v>217</v>
      </c>
      <c r="E27" s="152">
        <v>59432</v>
      </c>
      <c r="F27" s="153">
        <f t="shared" si="0"/>
        <v>-59080</v>
      </c>
      <c r="G27" s="171">
        <f t="shared" si="1"/>
        <v>-32679435.979827426</v>
      </c>
    </row>
    <row r="28" spans="1:7" x14ac:dyDescent="0.25">
      <c r="A28" s="71" t="s">
        <v>69</v>
      </c>
      <c r="B28" s="74">
        <v>2000</v>
      </c>
      <c r="D28" s="151" t="s">
        <v>69</v>
      </c>
      <c r="E28" s="152">
        <v>20025</v>
      </c>
      <c r="F28" s="153">
        <f t="shared" si="0"/>
        <v>-18025</v>
      </c>
      <c r="G28" s="171">
        <f t="shared" si="1"/>
        <v>-9970325.5507174917</v>
      </c>
    </row>
    <row r="29" spans="1:7" x14ac:dyDescent="0.25">
      <c r="A29" s="71" t="s">
        <v>70</v>
      </c>
      <c r="B29" s="74">
        <v>38322</v>
      </c>
      <c r="D29" s="151" t="s">
        <v>70</v>
      </c>
      <c r="E29" s="152">
        <v>113663</v>
      </c>
      <c r="F29" s="153">
        <f t="shared" si="0"/>
        <v>-75341</v>
      </c>
      <c r="G29" s="171">
        <f t="shared" si="1"/>
        <v>-41674024.816455282</v>
      </c>
    </row>
    <row r="30" spans="1:7" x14ac:dyDescent="0.25">
      <c r="A30" s="71"/>
      <c r="B30" s="74"/>
      <c r="D30" s="151" t="s">
        <v>218</v>
      </c>
      <c r="E30" s="152">
        <v>4392</v>
      </c>
      <c r="F30" s="153">
        <f t="shared" si="0"/>
        <v>-4392</v>
      </c>
      <c r="G30" s="171">
        <f t="shared" si="1"/>
        <v>-2429385.2881415379</v>
      </c>
    </row>
    <row r="31" spans="1:7" x14ac:dyDescent="0.25">
      <c r="A31" s="71" t="s">
        <v>71</v>
      </c>
      <c r="B31" s="74">
        <v>102228</v>
      </c>
      <c r="D31" s="151" t="s">
        <v>71</v>
      </c>
      <c r="E31" s="152">
        <v>162693</v>
      </c>
      <c r="F31" s="153">
        <f t="shared" si="0"/>
        <v>-60465</v>
      </c>
      <c r="G31" s="171">
        <f t="shared" si="1"/>
        <v>-33445533.116456758</v>
      </c>
    </row>
    <row r="32" spans="1:7" x14ac:dyDescent="0.25">
      <c r="A32" s="71"/>
      <c r="B32" s="74"/>
      <c r="D32" s="151" t="s">
        <v>219</v>
      </c>
      <c r="E32" s="152">
        <v>4630</v>
      </c>
      <c r="F32" s="153">
        <f t="shared" si="0"/>
        <v>-4630</v>
      </c>
      <c r="G32" s="171">
        <f t="shared" si="1"/>
        <v>-2561032.3051218851</v>
      </c>
    </row>
    <row r="33" spans="1:7" x14ac:dyDescent="0.25">
      <c r="A33" s="71" t="s">
        <v>72</v>
      </c>
      <c r="B33" s="74">
        <v>13782</v>
      </c>
      <c r="D33" s="151" t="s">
        <v>72</v>
      </c>
      <c r="E33" s="152">
        <v>1903</v>
      </c>
      <c r="F33" s="153">
        <f t="shared" si="0"/>
        <v>11879</v>
      </c>
      <c r="G33" s="171">
        <f t="shared" si="1"/>
        <v>13448215.899999999</v>
      </c>
    </row>
    <row r="34" spans="1:7" x14ac:dyDescent="0.25">
      <c r="A34" s="71" t="s">
        <v>73</v>
      </c>
      <c r="B34" s="74">
        <v>3000</v>
      </c>
      <c r="D34" s="151" t="s">
        <v>73</v>
      </c>
      <c r="E34" s="152">
        <v>10600</v>
      </c>
      <c r="F34" s="153">
        <f t="shared" si="0"/>
        <v>-7600</v>
      </c>
      <c r="G34" s="171">
        <f t="shared" si="1"/>
        <v>-4203854.3237421876</v>
      </c>
    </row>
    <row r="35" spans="1:7" x14ac:dyDescent="0.25">
      <c r="A35" s="71" t="s">
        <v>74</v>
      </c>
      <c r="B35" s="74">
        <v>10471</v>
      </c>
      <c r="D35" s="151" t="s">
        <v>74</v>
      </c>
      <c r="E35" s="152">
        <v>95148</v>
      </c>
      <c r="F35" s="153">
        <f t="shared" si="0"/>
        <v>-84677</v>
      </c>
      <c r="G35" s="171">
        <f t="shared" si="1"/>
        <v>-46838127.969936475</v>
      </c>
    </row>
    <row r="36" spans="1:7" x14ac:dyDescent="0.25">
      <c r="A36" s="71" t="s">
        <v>75</v>
      </c>
      <c r="B36" s="74">
        <v>73495</v>
      </c>
      <c r="D36" s="151" t="s">
        <v>75</v>
      </c>
      <c r="E36" s="152">
        <v>140296</v>
      </c>
      <c r="F36" s="153">
        <f t="shared" si="0"/>
        <v>-66801</v>
      </c>
      <c r="G36" s="171">
        <f t="shared" si="1"/>
        <v>-36950220.089513406</v>
      </c>
    </row>
    <row r="37" spans="1:7" x14ac:dyDescent="0.25">
      <c r="A37" s="71" t="s">
        <v>76</v>
      </c>
      <c r="B37" s="74">
        <v>5704</v>
      </c>
      <c r="D37" s="151" t="s">
        <v>76</v>
      </c>
      <c r="E37" s="152">
        <v>95051</v>
      </c>
      <c r="F37" s="153">
        <f t="shared" si="0"/>
        <v>-89347</v>
      </c>
      <c r="G37" s="171">
        <f t="shared" si="1"/>
        <v>-49421285.824130692</v>
      </c>
    </row>
    <row r="38" spans="1:7" x14ac:dyDescent="0.25">
      <c r="A38" s="71" t="s">
        <v>77</v>
      </c>
      <c r="B38" s="74">
        <v>51304</v>
      </c>
      <c r="D38" s="151" t="s">
        <v>77</v>
      </c>
      <c r="E38" s="152">
        <v>360921</v>
      </c>
      <c r="F38" s="153">
        <f t="shared" si="0"/>
        <v>-309617</v>
      </c>
      <c r="G38" s="171">
        <f t="shared" si="1"/>
        <v>-171261153.17816907</v>
      </c>
    </row>
    <row r="39" spans="1:7" x14ac:dyDescent="0.25">
      <c r="A39" s="71" t="s">
        <v>220</v>
      </c>
      <c r="B39" s="74">
        <v>9409</v>
      </c>
      <c r="D39" s="151" t="s">
        <v>220</v>
      </c>
      <c r="E39" s="152">
        <v>7880</v>
      </c>
      <c r="F39" s="153">
        <f t="shared" si="0"/>
        <v>1529</v>
      </c>
      <c r="G39" s="171">
        <f t="shared" si="1"/>
        <v>1730980.9</v>
      </c>
    </row>
    <row r="40" spans="1:7" x14ac:dyDescent="0.25">
      <c r="A40" s="71" t="s">
        <v>78</v>
      </c>
      <c r="B40" s="74">
        <v>7033</v>
      </c>
      <c r="D40" s="151" t="s">
        <v>78</v>
      </c>
      <c r="E40" s="152">
        <v>11730</v>
      </c>
      <c r="F40" s="153">
        <f t="shared" si="0"/>
        <v>-4697</v>
      </c>
      <c r="G40" s="171">
        <f t="shared" si="1"/>
        <v>-2598092.5998180336</v>
      </c>
    </row>
    <row r="41" spans="1:7" x14ac:dyDescent="0.25">
      <c r="A41" s="71"/>
      <c r="B41" s="74"/>
      <c r="D41" s="151" t="s">
        <v>79</v>
      </c>
      <c r="E41" s="152">
        <v>70154</v>
      </c>
      <c r="F41" s="153">
        <f t="shared" si="0"/>
        <v>-70154</v>
      </c>
      <c r="G41" s="171">
        <f t="shared" si="1"/>
        <v>-38804894.24050124</v>
      </c>
    </row>
    <row r="42" spans="1:7" x14ac:dyDescent="0.25">
      <c r="A42" s="71" t="s">
        <v>80</v>
      </c>
      <c r="B42" s="74">
        <v>26545</v>
      </c>
      <c r="D42" s="151" t="s">
        <v>80</v>
      </c>
      <c r="E42" s="152">
        <v>20111</v>
      </c>
      <c r="F42" s="153">
        <f t="shared" si="0"/>
        <v>6434</v>
      </c>
      <c r="G42" s="171">
        <f t="shared" si="1"/>
        <v>7283931.3999999994</v>
      </c>
    </row>
    <row r="43" spans="1:7" x14ac:dyDescent="0.25">
      <c r="A43" s="71" t="s">
        <v>81</v>
      </c>
      <c r="B43" s="74">
        <v>45139</v>
      </c>
      <c r="D43" s="151" t="s">
        <v>81</v>
      </c>
      <c r="E43" s="152">
        <v>224464</v>
      </c>
      <c r="F43" s="153">
        <f t="shared" si="0"/>
        <v>-179325</v>
      </c>
      <c r="G43" s="171">
        <f t="shared" si="1"/>
        <v>-99191602.184877336</v>
      </c>
    </row>
    <row r="44" spans="1:7" x14ac:dyDescent="0.25">
      <c r="A44" s="71" t="s">
        <v>82</v>
      </c>
      <c r="B44" s="74">
        <v>19953</v>
      </c>
      <c r="D44" s="151" t="s">
        <v>82</v>
      </c>
      <c r="E44" s="152">
        <v>49450</v>
      </c>
      <c r="F44" s="153">
        <f t="shared" si="0"/>
        <v>-29497</v>
      </c>
      <c r="G44" s="171">
        <f t="shared" si="1"/>
        <v>-16315933.024660962</v>
      </c>
    </row>
    <row r="45" spans="1:7" x14ac:dyDescent="0.25">
      <c r="A45" s="71"/>
      <c r="B45" s="74"/>
      <c r="D45" s="151" t="s">
        <v>221</v>
      </c>
      <c r="E45" s="152">
        <v>208</v>
      </c>
      <c r="F45" s="153">
        <f t="shared" si="0"/>
        <v>-208</v>
      </c>
      <c r="G45" s="171">
        <f t="shared" si="1"/>
        <v>-115052.85517610198</v>
      </c>
    </row>
    <row r="46" spans="1:7" x14ac:dyDescent="0.25">
      <c r="A46" s="71"/>
      <c r="B46" s="74"/>
      <c r="D46" s="151" t="s">
        <v>223</v>
      </c>
      <c r="E46" s="152">
        <v>3400</v>
      </c>
      <c r="F46" s="153">
        <f t="shared" si="0"/>
        <v>-3400</v>
      </c>
      <c r="G46" s="171">
        <f t="shared" si="1"/>
        <v>-1880671.6711478208</v>
      </c>
    </row>
    <row r="47" spans="1:7" x14ac:dyDescent="0.25">
      <c r="A47" s="71" t="s">
        <v>84</v>
      </c>
      <c r="B47" s="74">
        <v>17712</v>
      </c>
      <c r="D47" s="151" t="s">
        <v>84</v>
      </c>
      <c r="E47" s="152">
        <v>10897</v>
      </c>
      <c r="F47" s="153">
        <f t="shared" si="0"/>
        <v>6815</v>
      </c>
      <c r="G47" s="171">
        <f t="shared" si="1"/>
        <v>7715261.4999999991</v>
      </c>
    </row>
    <row r="48" spans="1:7" x14ac:dyDescent="0.25">
      <c r="A48" s="71" t="s">
        <v>85</v>
      </c>
      <c r="B48" s="74">
        <v>145136</v>
      </c>
      <c r="D48" s="151" t="s">
        <v>85</v>
      </c>
      <c r="E48" s="152">
        <v>427743</v>
      </c>
      <c r="F48" s="153">
        <f t="shared" si="0"/>
        <v>-282607</v>
      </c>
      <c r="G48" s="171">
        <f t="shared" si="1"/>
        <v>-156320876.16708004</v>
      </c>
    </row>
    <row r="49" spans="1:8" x14ac:dyDescent="0.25">
      <c r="A49" s="71" t="s">
        <v>86</v>
      </c>
      <c r="B49" s="74">
        <v>200</v>
      </c>
      <c r="D49" s="151" t="s">
        <v>86</v>
      </c>
      <c r="E49" s="152">
        <v>39443</v>
      </c>
      <c r="F49" s="153">
        <f t="shared" si="0"/>
        <v>-39243</v>
      </c>
      <c r="G49" s="171">
        <f t="shared" si="1"/>
        <v>-21706823.056133509</v>
      </c>
    </row>
    <row r="50" spans="1:8" x14ac:dyDescent="0.25">
      <c r="A50" s="71" t="s">
        <v>87</v>
      </c>
      <c r="B50" s="74">
        <v>1400</v>
      </c>
      <c r="D50" s="151" t="s">
        <v>87</v>
      </c>
      <c r="E50" s="152">
        <v>599896</v>
      </c>
      <c r="F50" s="153">
        <f t="shared" si="0"/>
        <v>-598496</v>
      </c>
      <c r="G50" s="171">
        <f t="shared" si="1"/>
        <v>-331051315.43979007</v>
      </c>
    </row>
    <row r="51" spans="1:8" x14ac:dyDescent="0.25">
      <c r="A51" s="71"/>
      <c r="B51" s="74"/>
      <c r="D51" s="151" t="s">
        <v>224</v>
      </c>
      <c r="E51" s="152">
        <v>600</v>
      </c>
      <c r="F51" s="153">
        <f t="shared" si="0"/>
        <v>-600</v>
      </c>
      <c r="G51" s="171">
        <f t="shared" si="1"/>
        <v>-331883.23608490953</v>
      </c>
    </row>
    <row r="52" spans="1:8" x14ac:dyDescent="0.25">
      <c r="A52" s="71" t="s">
        <v>88</v>
      </c>
      <c r="B52" s="74">
        <v>8765</v>
      </c>
      <c r="D52" s="151" t="s">
        <v>88</v>
      </c>
      <c r="E52" s="152">
        <v>10572</v>
      </c>
      <c r="F52" s="153">
        <f t="shared" si="0"/>
        <v>-1807</v>
      </c>
      <c r="G52" s="171">
        <f t="shared" si="1"/>
        <v>-999521.67934238596</v>
      </c>
    </row>
    <row r="53" spans="1:8" x14ac:dyDescent="0.25">
      <c r="A53" s="71" t="s">
        <v>222</v>
      </c>
      <c r="B53" s="74">
        <v>136888</v>
      </c>
      <c r="D53" s="151"/>
      <c r="E53" s="152"/>
      <c r="F53" s="153">
        <f t="shared" si="0"/>
        <v>136888</v>
      </c>
      <c r="G53" s="171">
        <f t="shared" si="1"/>
        <v>154970904.79999998</v>
      </c>
    </row>
    <row r="54" spans="1:8" x14ac:dyDescent="0.25">
      <c r="A54" s="71" t="s">
        <v>89</v>
      </c>
      <c r="B54" s="74">
        <v>52241</v>
      </c>
      <c r="D54" s="151" t="s">
        <v>89</v>
      </c>
      <c r="E54" s="152">
        <v>19075</v>
      </c>
      <c r="F54" s="153">
        <f t="shared" si="0"/>
        <v>33166</v>
      </c>
      <c r="G54" s="171">
        <f t="shared" si="1"/>
        <v>37547228.599999994</v>
      </c>
    </row>
    <row r="55" spans="1:8" x14ac:dyDescent="0.25">
      <c r="A55" s="71" t="s">
        <v>90</v>
      </c>
      <c r="B55" s="74">
        <v>1348367</v>
      </c>
      <c r="D55" s="151" t="s">
        <v>90</v>
      </c>
      <c r="E55" s="152">
        <v>65899</v>
      </c>
      <c r="F55" s="153">
        <f t="shared" si="0"/>
        <v>1282468</v>
      </c>
      <c r="G55" s="171">
        <f t="shared" si="1"/>
        <v>1451882022.8</v>
      </c>
    </row>
    <row r="56" spans="1:8" x14ac:dyDescent="0.25">
      <c r="A56" s="71" t="s">
        <v>91</v>
      </c>
      <c r="B56" s="74">
        <v>29467</v>
      </c>
      <c r="D56" s="151" t="s">
        <v>91</v>
      </c>
      <c r="E56" s="152">
        <v>79</v>
      </c>
      <c r="F56" s="153">
        <f t="shared" si="0"/>
        <v>29388</v>
      </c>
      <c r="G56" s="171">
        <f t="shared" si="1"/>
        <v>33270154.799999997</v>
      </c>
    </row>
    <row r="57" spans="1:8" x14ac:dyDescent="0.25">
      <c r="A57" s="71" t="s">
        <v>92</v>
      </c>
      <c r="B57" s="74">
        <v>42256</v>
      </c>
      <c r="D57" s="151" t="s">
        <v>92</v>
      </c>
      <c r="E57" s="152">
        <v>143449</v>
      </c>
      <c r="F57" s="153">
        <f t="shared" si="0"/>
        <v>-101193</v>
      </c>
      <c r="G57" s="171">
        <f t="shared" si="1"/>
        <v>-55973767.181900419</v>
      </c>
    </row>
    <row r="58" spans="1:8" x14ac:dyDescent="0.25">
      <c r="D58" s="151" t="s">
        <v>225</v>
      </c>
      <c r="E58" s="152">
        <v>8600</v>
      </c>
      <c r="F58" s="153">
        <f t="shared" si="0"/>
        <v>-8600</v>
      </c>
      <c r="G58" s="171">
        <f t="shared" si="1"/>
        <v>-4756993.0505503705</v>
      </c>
    </row>
    <row r="59" spans="1:8" x14ac:dyDescent="0.25">
      <c r="D59" s="151"/>
      <c r="E59" s="152"/>
    </row>
    <row r="60" spans="1:8" x14ac:dyDescent="0.25">
      <c r="B60" s="153"/>
      <c r="D60" s="151"/>
      <c r="E60" s="152"/>
      <c r="F60" s="153">
        <f>SUM(F5:F58)</f>
        <v>-966100</v>
      </c>
      <c r="G60" s="171">
        <f>SUM(G5:G58)/2000</f>
        <v>270913.20896434423</v>
      </c>
      <c r="H60" s="153"/>
    </row>
    <row r="61" spans="1:8" x14ac:dyDescent="0.25">
      <c r="A61" t="s">
        <v>232</v>
      </c>
    </row>
    <row r="62" spans="1:8" x14ac:dyDescent="0.25">
      <c r="A62" t="s">
        <v>231</v>
      </c>
    </row>
    <row r="63" spans="1:8" x14ac:dyDescent="0.25">
      <c r="H63" s="159"/>
    </row>
    <row r="84" spans="6:6" x14ac:dyDescent="0.25">
      <c r="F84" s="153"/>
    </row>
    <row r="94" spans="6:6" x14ac:dyDescent="0.25">
      <c r="F94" s="153"/>
    </row>
  </sheetData>
  <mergeCells count="2">
    <mergeCell ref="B3:D3"/>
    <mergeCell ref="B2:D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A81EEAD079C40939B8EFA91C8A612" ma:contentTypeVersion="56" ma:contentTypeDescription="" ma:contentTypeScope="" ma:versionID="ca287d0bfc38e83da8041744df99afd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2019-05-30T07:00:00+00:00</OpenedDate>
    <Date1 xmlns="dc463f71-b30c-4ab2-9473-d307f9d35888">2019-05-30T07:00:00+00:00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DocketNumber xmlns="dc463f71-b30c-4ab2-9473-d307f9d35888">190444</DocketNumber>
    <DelegatedOrder xmlns="dc463f71-b30c-4ab2-9473-d307f9d35888">false</DelegatedOrder>
    <Visibility xmlns="dc463f71-b30c-4ab2-9473-d307f9d35888">Full Visibility</Visibility>
    <SignificantOrder xmlns="dc463f71-b30c-4ab2-9473-d307f9d35888">false</SignificantOrder>
    <Nickname xmlns="http://schemas.microsoft.com/sharepoint/v3" xsi:nil="true"/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A7593D-AC67-4109-882E-9B6DD3CC1C3D}"/>
</file>

<file path=customXml/itemProps2.xml><?xml version="1.0" encoding="utf-8"?>
<ds:datastoreItem xmlns:ds="http://schemas.openxmlformats.org/officeDocument/2006/customXml" ds:itemID="{57BE1F28-303A-4833-8A05-0A33588D1988}">
  <ds:schemaRefs>
    <ds:schemaRef ds:uri="http://purl.org/dc/elements/1.1/"/>
    <ds:schemaRef ds:uri="dc463f71-b30c-4ab2-9473-d307f9d35888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55599FA-D590-4A18-928B-6E7CCC836D33}"/>
</file>

<file path=customXml/itemProps4.xml><?xml version="1.0" encoding="utf-8"?>
<ds:datastoreItem xmlns:ds="http://schemas.openxmlformats.org/officeDocument/2006/customXml" ds:itemID="{CE5C4E61-F5EF-4C2E-9F3F-DFB5927FB7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Known Resources</vt:lpstr>
      <vt:lpstr>Unknown Resources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jyl3501</cp:lastModifiedBy>
  <dcterms:created xsi:type="dcterms:W3CDTF">2016-02-08T23:38:12Z</dcterms:created>
  <dcterms:modified xsi:type="dcterms:W3CDTF">2018-05-30T16:42:21Z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0x0101006E56B4D1795A2E4DB2F0B01679ED314A006FAA81EEAD079C40939B8EFA91C8A612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