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609" firstSheet="8" activeTab="11"/>
  </bookViews>
  <sheets>
    <sheet name="Priceout-Chelan" sheetId="1" r:id="rId1"/>
    <sheet name="Priceout-Douglas" sheetId="2" r:id="rId2"/>
    <sheet name="Priceout-Okanogan" sheetId="3" r:id="rId3"/>
    <sheet name="Lurito" sheetId="4" r:id="rId4"/>
    <sheet name="Lurito-Chelan" sheetId="5" r:id="rId5"/>
    <sheet name="Lurito-Douglas" sheetId="6" r:id="rId6"/>
    <sheet name="Lurito-Okanogan" sheetId="7" r:id="rId7"/>
    <sheet name="Results of Operations" sheetId="8" r:id="rId8"/>
    <sheet name="Restating AJEs" sheetId="9" r:id="rId9"/>
    <sheet name="Proforma AJEs" sheetId="10" r:id="rId10"/>
    <sheet name="Cost Allocations" sheetId="11" r:id="rId11"/>
    <sheet name="Overhead Allocation" sheetId="12" r:id="rId12"/>
    <sheet name="Depr Allocation" sheetId="13" r:id="rId13"/>
    <sheet name="Hours &amp; Miles" sheetId="14" r:id="rId14"/>
    <sheet name="Container Count" sheetId="15" r:id="rId15"/>
    <sheet name="Drop Box Allocation" sheetId="16" r:id="rId16"/>
    <sheet name="Disposal Fee Breakdown" sheetId="17" r:id="rId17"/>
    <sheet name="Service Counts" sheetId="18" r:id="rId18"/>
  </sheets>
  <externalReferences>
    <externalReference r:id="rId21"/>
    <externalReference r:id="rId22"/>
  </externalReferences>
  <definedNames>
    <definedName name="_xlnm.Print_Area" localSheetId="3">'Lurito'!$A$1:$I$33</definedName>
    <definedName name="_xlnm.Print_Area" localSheetId="4">'Lurito-Chelan'!$A$1:$I$34</definedName>
    <definedName name="_xlnm.Print_Area" localSheetId="5">'Lurito-Douglas'!$A$1:$I$35</definedName>
    <definedName name="_xlnm.Print_Area" localSheetId="6">'Lurito-Okanogan'!$A$1:$I$33</definedName>
    <definedName name="_xlnm.Print_Area" localSheetId="0">'Priceout-Chelan'!$A$1:$K$81</definedName>
    <definedName name="_xlnm.Print_Area" localSheetId="1">'Priceout-Douglas'!$A$1:$K$77</definedName>
    <definedName name="_xlnm.Print_Area" localSheetId="2">'Priceout-Okanogan'!$A$1:$K$77</definedName>
    <definedName name="_xlnm.Print_Area" localSheetId="7">'Results of Operations'!$A$1:$L$106</definedName>
    <definedName name="_xlnm.Print_Area" localSheetId="17">'Service Counts'!$A$1:$AG$99</definedName>
    <definedName name="_xlnm.Print_Titles" localSheetId="17">'Service Counts'!$A:$B,'Service Counts'!$1:$8</definedName>
  </definedNames>
  <calcPr fullCalcOnLoad="1" iterate="1" iterateCount="200" iterateDelta="0.001"/>
</workbook>
</file>

<file path=xl/sharedStrings.xml><?xml version="1.0" encoding="utf-8"?>
<sst xmlns="http://schemas.openxmlformats.org/spreadsheetml/2006/main" count="1344" uniqueCount="370">
  <si>
    <t>Zippy Disposal Service, Inc.</t>
  </si>
  <si>
    <t>Total</t>
  </si>
  <si>
    <t>REVENUE:</t>
  </si>
  <si>
    <t>Total Revenue</t>
  </si>
  <si>
    <t>Residential revenue</t>
  </si>
  <si>
    <t>Bridgeport Contract</t>
  </si>
  <si>
    <t>Pateros Contract</t>
  </si>
  <si>
    <t>Drop box revenue</t>
  </si>
  <si>
    <t>Drop box pass through fee</t>
  </si>
  <si>
    <t>Recycling/Sale of salvage</t>
  </si>
  <si>
    <t>Misc. garbage revenue</t>
  </si>
  <si>
    <t>OPERATING EXPENSES:</t>
  </si>
  <si>
    <t>EQUIP. MAINT. &amp; GARAGE</t>
  </si>
  <si>
    <t>TRAFFIC,SOLICT. &amp; ADVERT</t>
  </si>
  <si>
    <t>INSURANCE &amp; SAFETY EXP.</t>
  </si>
  <si>
    <t>COLLECTION EXPENSES</t>
  </si>
  <si>
    <t>DISPOSAL FEES</t>
  </si>
  <si>
    <t>ADMINISTRATIVE &amp; GENERAL</t>
  </si>
  <si>
    <t>DEPRECIATION EXPENSE</t>
  </si>
  <si>
    <t>AMORTIZATION</t>
  </si>
  <si>
    <t>TAXES &amp; LICENSES</t>
  </si>
  <si>
    <t>OPERATING RENTS</t>
  </si>
  <si>
    <t>Total operating expenses</t>
  </si>
  <si>
    <t>Net operating income</t>
  </si>
  <si>
    <t>Wages - Truck maintenance</t>
  </si>
  <si>
    <t>Wages - Container maint.</t>
  </si>
  <si>
    <t>Repairs - Trucks</t>
  </si>
  <si>
    <t>Repairs - Containers</t>
  </si>
  <si>
    <t>Tires and tubes</t>
  </si>
  <si>
    <t>Other maint &amp; supplies</t>
  </si>
  <si>
    <t>Supervision salaries</t>
  </si>
  <si>
    <t>Drivers &amp; helpers wages</t>
  </si>
  <si>
    <t>Drivers wages - rolloff</t>
  </si>
  <si>
    <t>Fuel &amp; oil</t>
  </si>
  <si>
    <t>Other collection expenses</t>
  </si>
  <si>
    <t>Disposal fees-Chelan</t>
  </si>
  <si>
    <t>Disp. fees-Chelan Pass through</t>
  </si>
  <si>
    <t>Disposal fees-Bridgeport</t>
  </si>
  <si>
    <t xml:space="preserve">Disp. Fees-Bridgeport Pass </t>
  </si>
  <si>
    <t>Tariffs and schedules</t>
  </si>
  <si>
    <t>Advertising &amp; promotion</t>
  </si>
  <si>
    <t>Public Liab &amp; Prop. Damage</t>
  </si>
  <si>
    <t>Workmen's compensation</t>
  </si>
  <si>
    <t>Other insurance expenses</t>
  </si>
  <si>
    <t>Salaries - General officers</t>
  </si>
  <si>
    <t>Wages-Billing &amp; collection</t>
  </si>
  <si>
    <t>Wages-General office</t>
  </si>
  <si>
    <t>Office &amp; other expenses</t>
  </si>
  <si>
    <t>Bank service charges</t>
  </si>
  <si>
    <t>Office equipment repairs</t>
  </si>
  <si>
    <t>Office supplies</t>
  </si>
  <si>
    <t>Postage</t>
  </si>
  <si>
    <t>Legal and accounting</t>
  </si>
  <si>
    <t>Communication &amp; utilities</t>
  </si>
  <si>
    <t>Employee welfare-health</t>
  </si>
  <si>
    <t>Employee welfare-pension</t>
  </si>
  <si>
    <t>Bad debt collection expense</t>
  </si>
  <si>
    <t>Uncollectible revenue</t>
  </si>
  <si>
    <t>Regulatory expense</t>
  </si>
  <si>
    <t>Dues &amp; subscriptions</t>
  </si>
  <si>
    <t>Employee reimbursements</t>
  </si>
  <si>
    <t>Travel</t>
  </si>
  <si>
    <t>Depreciaton expense</t>
  </si>
  <si>
    <t>Gain/loss on asset sale</t>
  </si>
  <si>
    <t>Amortization</t>
  </si>
  <si>
    <t>Vehicle licenses</t>
  </si>
  <si>
    <t>Property taxes</t>
  </si>
  <si>
    <t>Social Security taxes</t>
  </si>
  <si>
    <t>Federal Unemployment taxes</t>
  </si>
  <si>
    <t>State Unemployment taxes</t>
  </si>
  <si>
    <t>State revenue taxes</t>
  </si>
  <si>
    <t>Franchise fees</t>
  </si>
  <si>
    <t>Taxes &amp; licenses - other</t>
  </si>
  <si>
    <t>Rent for land &amp; buildings</t>
  </si>
  <si>
    <t>Proforma</t>
  </si>
  <si>
    <t>ROP</t>
  </si>
  <si>
    <t>Contracts</t>
  </si>
  <si>
    <t>ROP w/o</t>
  </si>
  <si>
    <t xml:space="preserve">Effect of </t>
  </si>
  <si>
    <t>Proposed</t>
  </si>
  <si>
    <t>Rates</t>
  </si>
  <si>
    <t>Proforma ROP</t>
  </si>
  <si>
    <t>with Proposed</t>
  </si>
  <si>
    <t>Operating ratio</t>
  </si>
  <si>
    <t>Net Investment</t>
  </si>
  <si>
    <t>Allocation</t>
  </si>
  <si>
    <t>%</t>
  </si>
  <si>
    <t>Amount</t>
  </si>
  <si>
    <t>Summary of Route Hours, Miles, and Man Hours</t>
  </si>
  <si>
    <t>Truck Hours:</t>
  </si>
  <si>
    <t xml:space="preserve">Total </t>
  </si>
  <si>
    <t>Employee Hours:</t>
  </si>
  <si>
    <t>Truck Miles:</t>
  </si>
  <si>
    <t>Totals</t>
  </si>
  <si>
    <t>YD-1</t>
  </si>
  <si>
    <t>YD-2</t>
  </si>
  <si>
    <t>YD-1.5</t>
  </si>
  <si>
    <t>YD-3</t>
  </si>
  <si>
    <t>YD-4</t>
  </si>
  <si>
    <t>YD-6</t>
  </si>
  <si>
    <t>YD-8</t>
  </si>
  <si>
    <t>NEW IMPROVED LURITO - GALLAGHER FORMULA</t>
  </si>
  <si>
    <t>!??!</t>
  </si>
  <si>
    <t>OP/RATIO</t>
  </si>
  <si>
    <t xml:space="preserve">      curve</t>
  </si>
  <si>
    <t>FORMULAS</t>
  </si>
  <si>
    <t>1st Revenue</t>
  </si>
  <si>
    <t>1st Turnover</t>
  </si>
  <si>
    <t>M</t>
  </si>
  <si>
    <t>ROR</t>
  </si>
  <si>
    <t>ROE</t>
  </si>
  <si>
    <t>Adj ROE</t>
  </si>
  <si>
    <t>Pre Tax ROE</t>
  </si>
  <si>
    <t>Adj M</t>
  </si>
  <si>
    <t>Revenues</t>
  </si>
  <si>
    <t>Decision</t>
  </si>
  <si>
    <t xml:space="preserve">     lookup table</t>
  </si>
  <si>
    <t>!!!</t>
  </si>
  <si>
    <t>Revenue Requirement</t>
  </si>
  <si>
    <t>!!!&lt;--</t>
  </si>
  <si>
    <t xml:space="preserve"> 1. less than 50</t>
  </si>
  <si>
    <t>@EXP(5.72260-(.68367*@LN(T)))</t>
  </si>
  <si>
    <t>Revenue Deficiency</t>
  </si>
  <si>
    <t xml:space="preserve"> 2. Between 50 and 125</t>
  </si>
  <si>
    <t>@EXP(5.70827-(.68367*@LN(T)))</t>
  </si>
  <si>
    <t>*</t>
  </si>
  <si>
    <t>Revenue</t>
  </si>
  <si>
    <t>-</t>
  </si>
  <si>
    <t>* p/f before rates</t>
  </si>
  <si>
    <t xml:space="preserve"> 3. Between 125 and 140</t>
  </si>
  <si>
    <t>@EXP(5.69850-(.68367*@LN(T)))</t>
  </si>
  <si>
    <t>Expenses</t>
  </si>
  <si>
    <t xml:space="preserve"> 4. greater than 400</t>
  </si>
  <si>
    <t>@EXP(5.69220-(.68367*@LN(T)))</t>
  </si>
  <si>
    <t>Avg. Investment  -</t>
  </si>
  <si>
    <t>curve turnover</t>
  </si>
  <si>
    <t>(calculated)</t>
  </si>
  <si>
    <t>2nd Turnover</t>
  </si>
  <si>
    <t xml:space="preserve">     lookup tables</t>
  </si>
  <si>
    <t>final turnover</t>
  </si>
  <si>
    <t>curve No. used</t>
  </si>
  <si>
    <t xml:space="preserve">Company actual </t>
  </si>
  <si>
    <t>capital structure:</t>
  </si>
  <si>
    <t>OPERATING RATIO -&gt;</t>
  </si>
  <si>
    <t>=</t>
  </si>
  <si>
    <t>3rd Turnover</t>
  </si>
  <si>
    <t xml:space="preserve">Actual Debt Ratio </t>
  </si>
  <si>
    <t xml:space="preserve"> Conversion factor data:</t>
  </si>
  <si>
    <t>Actual Equity Ratio</t>
  </si>
  <si>
    <t xml:space="preserve"> B &amp; O Tax</t>
  </si>
  <si>
    <t>Actual Cost of Debt</t>
  </si>
  <si>
    <t xml:space="preserve"> WUTC Fee</t>
  </si>
  <si>
    <t xml:space="preserve"> City Tax</t>
  </si>
  <si>
    <t>Tax Rate</t>
  </si>
  <si>
    <t xml:space="preserve"> Bad Debts</t>
  </si>
  <si>
    <t>4th Turnover</t>
  </si>
  <si>
    <t>Revenue Sensitive</t>
  </si>
  <si>
    <t>Conversion Factor</t>
  </si>
  <si>
    <t>yes</t>
  </si>
  <si>
    <t>5th Turnover</t>
  </si>
  <si>
    <t>6th Turnover</t>
  </si>
  <si>
    <t>7th turnover</t>
  </si>
  <si>
    <t>8th turnover</t>
  </si>
  <si>
    <t>9th turnover</t>
  </si>
  <si>
    <t>Depreciation Allocation</t>
  </si>
  <si>
    <t>Collection</t>
  </si>
  <si>
    <t>Equipment</t>
  </si>
  <si>
    <t>Containers</t>
  </si>
  <si>
    <t>Shop</t>
  </si>
  <si>
    <t>Office</t>
  </si>
  <si>
    <t>Allocation Base</t>
  </si>
  <si>
    <t>Truck</t>
  </si>
  <si>
    <t>Hours</t>
  </si>
  <si>
    <t>Counts</t>
  </si>
  <si>
    <t>Restating Adjustments</t>
  </si>
  <si>
    <t>Revenue and Cost Allocations</t>
  </si>
  <si>
    <t>Container Counts by County</t>
  </si>
  <si>
    <t>Chelan</t>
  </si>
  <si>
    <t>Douglas</t>
  </si>
  <si>
    <t>Okanogan</t>
  </si>
  <si>
    <t>County Overhead Allocation</t>
  </si>
  <si>
    <t>Revenue Break Down by County (From Counts):</t>
  </si>
  <si>
    <t xml:space="preserve">Chelan </t>
  </si>
  <si>
    <t># of Customers By County:</t>
  </si>
  <si>
    <t>Average of Percentages:</t>
  </si>
  <si>
    <t>Revenue Break Down</t>
  </si>
  <si>
    <t xml:space="preserve"># of Customers </t>
  </si>
  <si>
    <t>Truck Hours</t>
  </si>
  <si>
    <t>Truck Miles</t>
  </si>
  <si>
    <t>County</t>
  </si>
  <si>
    <t>Results of Operations by County</t>
  </si>
  <si>
    <t>Service Counts - By County</t>
  </si>
  <si>
    <t>Service</t>
  </si>
  <si>
    <t xml:space="preserve">Annual </t>
  </si>
  <si>
    <t xml:space="preserve">            Chelan County </t>
  </si>
  <si>
    <t>Residential:</t>
  </si>
  <si>
    <t>1 Can Monthly</t>
  </si>
  <si>
    <t>2 Can Monthly</t>
  </si>
  <si>
    <t>3 Can Monthly</t>
  </si>
  <si>
    <t>1 Can Weekly</t>
  </si>
  <si>
    <t>3 Can Weekly</t>
  </si>
  <si>
    <t>2 Can Weekly</t>
  </si>
  <si>
    <t>4 Can Weekly</t>
  </si>
  <si>
    <t>5 Can Weekly</t>
  </si>
  <si>
    <t>6 Can Weekly</t>
  </si>
  <si>
    <t>Extras</t>
  </si>
  <si>
    <t>Drive In</t>
  </si>
  <si>
    <t>Loose Yd</t>
  </si>
  <si>
    <t xml:space="preserve">Drums </t>
  </si>
  <si>
    <t>Commercial:</t>
  </si>
  <si>
    <t>1 Yard</t>
  </si>
  <si>
    <t>1.5 Yard</t>
  </si>
  <si>
    <t>4 Yard</t>
  </si>
  <si>
    <t>2 Yard</t>
  </si>
  <si>
    <t>3 Yard</t>
  </si>
  <si>
    <t>6 Yard</t>
  </si>
  <si>
    <t>8 Yard</t>
  </si>
  <si>
    <t>1 Yard Delivery</t>
  </si>
  <si>
    <t>1.5 Yard Delivery</t>
  </si>
  <si>
    <t>2 Yard Delivery</t>
  </si>
  <si>
    <t>3 Yard Delivery</t>
  </si>
  <si>
    <t>4 Yard Delivery</t>
  </si>
  <si>
    <t>6 Yard Delivery</t>
  </si>
  <si>
    <t>Rollout</t>
  </si>
  <si>
    <t>Locking</t>
  </si>
  <si>
    <t>Drop Boxes: All are temporary</t>
  </si>
  <si>
    <t>20 Yard Haul</t>
  </si>
  <si>
    <t>30 Yard Haul</t>
  </si>
  <si>
    <t>40 Yard Haul</t>
  </si>
  <si>
    <t>20 Yd Daily Rent</t>
  </si>
  <si>
    <t>30 Yd Daily Rent</t>
  </si>
  <si>
    <t>20 Yd Delivery</t>
  </si>
  <si>
    <t>30 Yd Delivery</t>
  </si>
  <si>
    <t>40 Yd Delivery</t>
  </si>
  <si>
    <t>40 Yd Daily Rent</t>
  </si>
  <si>
    <t>Extra Mileage</t>
  </si>
  <si>
    <t>20 Yard Haul-Compact</t>
  </si>
  <si>
    <t>Other Garbage Revenue:</t>
  </si>
  <si>
    <t>Time Units:</t>
  </si>
  <si>
    <t>Truck &amp; Driver</t>
  </si>
  <si>
    <t>Extra Man</t>
  </si>
  <si>
    <t xml:space="preserve">            Douglas County </t>
  </si>
  <si>
    <t>Service Count Break Down by County:</t>
  </si>
  <si>
    <t>Average % Allocation</t>
  </si>
  <si>
    <t>Pass Through Disposal Fees:</t>
  </si>
  <si>
    <t>Compacted Yards</t>
  </si>
  <si>
    <t>Loose Yards</t>
  </si>
  <si>
    <t>Tons</t>
  </si>
  <si>
    <t>Drop Box Allocations</t>
  </si>
  <si>
    <t>Pass Through Disposal Fees by County:</t>
  </si>
  <si>
    <t xml:space="preserve">Service Count Break Down </t>
  </si>
  <si>
    <t>Revenue Break Down by County Excluding Drop Box  (From Counts):</t>
  </si>
  <si>
    <t>Revenue Break Down (No drop box)</t>
  </si>
  <si>
    <t>30 Yard Haul-Compact</t>
  </si>
  <si>
    <t>Per Books</t>
  </si>
  <si>
    <t>Difference</t>
  </si>
  <si>
    <t xml:space="preserve">Customer Price-Out, Regulated - Chelan County </t>
  </si>
  <si>
    <t>Current</t>
  </si>
  <si>
    <t>Per Year</t>
  </si>
  <si>
    <t>Calculated</t>
  </si>
  <si>
    <t>Rate</t>
  </si>
  <si>
    <t>Percent</t>
  </si>
  <si>
    <t>Increase</t>
  </si>
  <si>
    <t xml:space="preserve">Proposed </t>
  </si>
  <si>
    <t>INCREASE (DISPOSAL ONLY)</t>
  </si>
  <si>
    <t>INCREASE (GENERAL)</t>
  </si>
  <si>
    <t>Total revenue per counts</t>
  </si>
  <si>
    <t>Revenue increase</t>
  </si>
  <si>
    <t>Lurito - Chelan County</t>
  </si>
  <si>
    <t>Lurito - Total Franchise</t>
  </si>
  <si>
    <t>Lurito - Douglas County</t>
  </si>
  <si>
    <t>Lurito - Okanogan County</t>
  </si>
  <si>
    <t>Lurito Calculated Rate Increase</t>
  </si>
  <si>
    <t>Proposed Rate Increase</t>
  </si>
  <si>
    <t>Mini Can</t>
  </si>
  <si>
    <t>10 Yd Daily Rent</t>
  </si>
  <si>
    <t>10 Yard Haul</t>
  </si>
  <si>
    <t>10 Yd Delivery</t>
  </si>
  <si>
    <t>Wages - R/O Truck maintenance</t>
  </si>
  <si>
    <t>Wages - R/O Container maint.</t>
  </si>
  <si>
    <t>Repairs - R/O Trucks</t>
  </si>
  <si>
    <t>Repairs - R/O Containers</t>
  </si>
  <si>
    <t>Tires and tubes R/O</t>
  </si>
  <si>
    <t>Drivers wages - delivery</t>
  </si>
  <si>
    <t>Fuel &amp; oil R/O</t>
  </si>
  <si>
    <t>Customer Price-Out, Regulated - Douglas County</t>
  </si>
  <si>
    <t>Customer Price-Out, Regulated - Okanogan County</t>
  </si>
  <si>
    <t xml:space="preserve">            Okanogan County </t>
  </si>
  <si>
    <t>Employee Hours</t>
  </si>
  <si>
    <t>Disposal Fees and Yardage - From Yardage Allocation Report</t>
  </si>
  <si>
    <t>Bridgeport Yardage:</t>
  </si>
  <si>
    <t>Bridgeport Disposal Fees:</t>
  </si>
  <si>
    <t>Pateros</t>
  </si>
  <si>
    <t>Bridgeport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</si>
  <si>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</si>
  <si>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</si>
  <si>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</si>
  <si>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</si>
  <si>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</si>
  <si>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</si>
  <si>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</si>
  <si>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</si>
  <si>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</si>
  <si>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</si>
  <si>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</si>
  <si>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</si>
  <si>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By County</t>
  </si>
  <si>
    <t>Chelan Yardage:</t>
  </si>
  <si>
    <t>Chelan Disposal Fees:</t>
  </si>
  <si>
    <t>Disposal Fee Breakdown</t>
  </si>
  <si>
    <t>Carry Out-Base</t>
  </si>
  <si>
    <t>Carry Out-Additional feet</t>
  </si>
  <si>
    <t>Loose Yards-Asbestos</t>
  </si>
  <si>
    <t>Anuual</t>
  </si>
  <si>
    <t xml:space="preserve">       Chelan County </t>
  </si>
  <si>
    <t xml:space="preserve">          Full Year</t>
  </si>
  <si>
    <t xml:space="preserve">       Douglas County </t>
  </si>
  <si>
    <t xml:space="preserve">          Okanogan County </t>
  </si>
  <si>
    <t xml:space="preserve">     Okanogan County </t>
  </si>
  <si>
    <t>rates in effect during different periods</t>
  </si>
  <si>
    <t xml:space="preserve">!!! Note: Cell references will change from year to year depending on </t>
  </si>
  <si>
    <t>1-65 gal Toter</t>
  </si>
  <si>
    <t>2-65 gal Toter</t>
  </si>
  <si>
    <t>1-95 gal Toter</t>
  </si>
  <si>
    <t>2-95 gal Toter</t>
  </si>
  <si>
    <t>Carry Out-Additional ft</t>
  </si>
  <si>
    <t>Carry Out-Additional</t>
  </si>
  <si>
    <t>65 Toter</t>
  </si>
  <si>
    <t>95 Toter</t>
  </si>
  <si>
    <t>Revenue Break Down by County Excluding Drop Box</t>
  </si>
  <si>
    <t xml:space="preserve"> After Proforma Adjustment (9) For Previous Rate Increases:</t>
  </si>
  <si>
    <t>Drop Box Revenue by County After Profroma</t>
  </si>
  <si>
    <t xml:space="preserve"> Adjustment (9) For Previous Rate Increases:</t>
  </si>
  <si>
    <t>Drop Box Revenue by County from Service Counts:</t>
  </si>
  <si>
    <t>Chelan Transfer Station from Service Counts:</t>
  </si>
  <si>
    <t>Bridgeport Transfer Station from Service Counts:</t>
  </si>
  <si>
    <t>Total Pass Through from Service Counts:</t>
  </si>
  <si>
    <t>Compactor Turn around</t>
  </si>
  <si>
    <t>(12/30 Count)</t>
  </si>
  <si>
    <t>Add finance charges</t>
  </si>
  <si>
    <t>Less bad debts</t>
  </si>
  <si>
    <t>Add Fuel Surcharge</t>
  </si>
  <si>
    <t>Rolloff</t>
  </si>
  <si>
    <t xml:space="preserve">        January 1 - June 30 </t>
  </si>
  <si>
    <t xml:space="preserve">    July 1 - December  31</t>
  </si>
  <si>
    <t xml:space="preserve">        January 1 - June 30</t>
  </si>
  <si>
    <t>Toters</t>
  </si>
  <si>
    <t xml:space="preserve">1-65 gal Toter Monthly </t>
  </si>
  <si>
    <t xml:space="preserve">        January 1 - April 30 </t>
  </si>
  <si>
    <t xml:space="preserve">    May 1 - December  31</t>
  </si>
  <si>
    <t>12/31/11</t>
  </si>
  <si>
    <t>Franchise</t>
  </si>
  <si>
    <t xml:space="preserve">1-45 gal Toter Monthly </t>
  </si>
  <si>
    <t>1-45 gal Toter</t>
  </si>
  <si>
    <t>2-45 gal Toter</t>
  </si>
  <si>
    <t>12 Months Ended December 31,2018</t>
  </si>
  <si>
    <t>For The Twelve Months Ending December  31, 2018</t>
  </si>
  <si>
    <t>Commingled Recycling</t>
  </si>
  <si>
    <t>Cardboard Recycling</t>
  </si>
  <si>
    <t>Wages - Recycle truck maint.</t>
  </si>
  <si>
    <t>Repairs - Recycle</t>
  </si>
  <si>
    <t xml:space="preserve">Drivers wages - Recycle </t>
  </si>
  <si>
    <t xml:space="preserve">Fuel &amp; oil - Recycle </t>
  </si>
  <si>
    <t>Other collection exp - Recycle</t>
  </si>
  <si>
    <t>Processing fees - Recycling</t>
  </si>
  <si>
    <t xml:space="preserve"> </t>
  </si>
  <si>
    <t>12/31/18</t>
  </si>
  <si>
    <t>Rent for land &amp; buildings-recycle</t>
  </si>
  <si>
    <t>For The Twelve Months Ending December 31, 2018</t>
  </si>
  <si>
    <t>12 Months Ended December 31, 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</si>
</sst>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General_)"/>
    <numFmt numFmtId="167" formatCode="#,##0.0000_);\(#,##0.0000\)"/>
    <numFmt numFmtId="168" formatCode="0_)"/>
    <numFmt numFmtId="169" formatCode="#,##0.000_);\(#,##0.000\)"/>
    <numFmt numFmtId="170" formatCode="0.0000%"/>
    <numFmt numFmtId="171" formatCode="#,##0.000000_);\(#,##0.000000\)"/>
    <numFmt numFmtId="172" formatCode="&quot;$&quot;#,##0.00"/>
    <numFmt numFmtId="173" formatCode="#,##0.00000000000_);\(#,##0.00000000000\)"/>
    <numFmt numFmtId="174" formatCode="#,##0.000000000000_);\(#,##0.000000000000\)"/>
    <numFmt numFmtId="175" formatCode="0.000%"/>
    <numFmt numFmtId="176" formatCode="0.00000%"/>
    <numFmt numFmtId="177" formatCode="0.000000%"/>
    <numFmt numFmtId="178" formatCode="0.00000"/>
    <numFmt numFmtId="179" formatCode="0.0"/>
    <numFmt numFmtId="180" formatCode="0.00000000%"/>
    <numFmt numFmtId="181" formatCode="0.0000"/>
    <numFmt numFmtId="182" formatCode="#,##0.0_);\(#,##0.0\)"/>
    <numFmt numFmtId="183" formatCode="#,##0.00000_);\(#,##0.00000\)"/>
    <numFmt numFmtId="184" formatCode="0.000"/>
  </numFmts>
  <fonts count="41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39" fontId="0" fillId="0" borderId="0" xfId="0" applyNumberFormat="1" applyAlignment="1">
      <alignment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40" fontId="0" fillId="0" borderId="0" xfId="0" applyNumberFormat="1" applyAlignment="1">
      <alignment/>
    </xf>
    <xf numFmtId="0" fontId="0" fillId="0" borderId="0" xfId="0" applyBorder="1" applyAlignment="1">
      <alignment/>
    </xf>
    <xf numFmtId="40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40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13" xfId="0" applyNumberFormat="1" applyBorder="1" applyAlignment="1">
      <alignment/>
    </xf>
    <xf numFmtId="38" fontId="0" fillId="0" borderId="12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>
      <alignment horizontal="fill"/>
    </xf>
    <xf numFmtId="171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10" fontId="0" fillId="0" borderId="13" xfId="0" applyNumberFormat="1" applyBorder="1" applyAlignment="1">
      <alignment/>
    </xf>
    <xf numFmtId="39" fontId="0" fillId="0" borderId="13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9" fontId="1" fillId="0" borderId="0" xfId="0" applyNumberFormat="1" applyFont="1" applyAlignment="1" applyProtection="1">
      <alignment/>
      <protection/>
    </xf>
    <xf numFmtId="43" fontId="0" fillId="0" borderId="0" xfId="0" applyNumberFormat="1" applyAlignment="1">
      <alignment/>
    </xf>
    <xf numFmtId="43" fontId="0" fillId="0" borderId="12" xfId="0" applyNumberFormat="1" applyBorder="1" applyAlignment="1">
      <alignment/>
    </xf>
    <xf numFmtId="43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0" fontId="0" fillId="0" borderId="11" xfId="0" applyBorder="1" applyAlignment="1" quotePrefix="1">
      <alignment/>
    </xf>
    <xf numFmtId="7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11" xfId="0" applyNumberFormat="1" applyBorder="1" applyAlignment="1">
      <alignment/>
    </xf>
    <xf numFmtId="17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3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4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13" xfId="0" applyNumberFormat="1" applyFont="1" applyBorder="1" applyAlignment="1">
      <alignment/>
    </xf>
    <xf numFmtId="7" fontId="0" fillId="0" borderId="12" xfId="0" applyNumberFormat="1" applyBorder="1" applyAlignment="1">
      <alignment/>
    </xf>
    <xf numFmtId="14" fontId="0" fillId="0" borderId="0" xfId="0" applyNumberFormat="1" applyAlignment="1">
      <alignment/>
    </xf>
    <xf numFmtId="5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39" fontId="0" fillId="0" borderId="12" xfId="0" applyNumberFormat="1" applyFont="1" applyBorder="1" applyAlignment="1">
      <alignment/>
    </xf>
    <xf numFmtId="10" fontId="0" fillId="0" borderId="0" xfId="59" applyNumberFormat="1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4" fontId="5" fillId="0" borderId="0" xfId="44" applyFont="1" applyAlignment="1">
      <alignment/>
    </xf>
    <xf numFmtId="0" fontId="5" fillId="0" borderId="0" xfId="0" applyFont="1" applyAlignment="1">
      <alignment/>
    </xf>
    <xf numFmtId="4" fontId="0" fillId="0" borderId="13" xfId="0" applyNumberFormat="1" applyBorder="1" applyAlignment="1">
      <alignment/>
    </xf>
    <xf numFmtId="10" fontId="5" fillId="0" borderId="0" xfId="0" applyNumberFormat="1" applyFont="1" applyAlignment="1">
      <alignment/>
    </xf>
    <xf numFmtId="176" fontId="5" fillId="0" borderId="0" xfId="59" applyNumberFormat="1" applyFont="1" applyAlignment="1">
      <alignment/>
    </xf>
    <xf numFmtId="176" fontId="1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9" fontId="0" fillId="0" borderId="24" xfId="0" applyNumberFormat="1" applyBorder="1" applyAlignment="1">
      <alignment/>
    </xf>
    <xf numFmtId="39" fontId="0" fillId="0" borderId="25" xfId="0" applyNumberFormat="1" applyBorder="1" applyAlignment="1">
      <alignment/>
    </xf>
    <xf numFmtId="10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9" fontId="0" fillId="0" borderId="27" xfId="0" applyNumberFormat="1" applyBorder="1" applyAlignment="1">
      <alignment/>
    </xf>
    <xf numFmtId="39" fontId="0" fillId="0" borderId="28" xfId="0" applyNumberFormat="1" applyBorder="1" applyAlignment="1">
      <alignment/>
    </xf>
    <xf numFmtId="10" fontId="0" fillId="0" borderId="27" xfId="0" applyNumberFormat="1" applyBorder="1" applyAlignment="1">
      <alignment/>
    </xf>
    <xf numFmtId="179" fontId="0" fillId="0" borderId="0" xfId="0" applyNumberFormat="1" applyAlignment="1">
      <alignment/>
    </xf>
    <xf numFmtId="10" fontId="1" fillId="0" borderId="0" xfId="59" applyNumberFormat="1" applyFont="1" applyAlignment="1">
      <alignment/>
    </xf>
    <xf numFmtId="175" fontId="5" fillId="0" borderId="0" xfId="59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59" applyNumberFormat="1" applyFont="1" applyAlignment="1">
      <alignment/>
    </xf>
    <xf numFmtId="172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1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11" xfId="0" applyNumberFormat="1" applyFont="1" applyBorder="1" applyAlignment="1">
      <alignment/>
    </xf>
    <xf numFmtId="7" fontId="1" fillId="0" borderId="0" xfId="0" applyNumberFormat="1" applyFont="1" applyAlignment="1">
      <alignment/>
    </xf>
    <xf numFmtId="37" fontId="0" fillId="0" borderId="21" xfId="0" applyNumberFormat="1" applyBorder="1" applyAlignment="1">
      <alignment/>
    </xf>
    <xf numFmtId="37" fontId="0" fillId="0" borderId="16" xfId="0" applyNumberFormat="1" applyBorder="1" applyAlignment="1">
      <alignment/>
    </xf>
    <xf numFmtId="7" fontId="0" fillId="0" borderId="22" xfId="0" applyNumberFormat="1" applyBorder="1" applyAlignment="1">
      <alignment/>
    </xf>
    <xf numFmtId="3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39" fontId="0" fillId="0" borderId="17" xfId="0" applyNumberFormat="1" applyBorder="1" applyAlignment="1">
      <alignment/>
    </xf>
    <xf numFmtId="37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39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0" fontId="0" fillId="0" borderId="22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7" fontId="0" fillId="0" borderId="13" xfId="0" applyNumberFormat="1" applyBorder="1" applyAlignment="1">
      <alignment/>
    </xf>
    <xf numFmtId="171" fontId="1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Alignment="1">
      <alignment/>
    </xf>
    <xf numFmtId="39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Report%20Data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tal%20Oper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General Data"/>
      <sheetName val="Monthly Data-Hours &amp; Miles"/>
      <sheetName val="Monthly Data-Container Count"/>
      <sheetName val="Monthly Data-Disposal Fees"/>
      <sheetName val="Service Count Data"/>
      <sheetName val="Pateros Service Counts"/>
      <sheetName val="Bridgeport Service Counts"/>
    </sheetNames>
    <sheetDataSet>
      <sheetData sheetId="1">
        <row r="10">
          <cell r="E10">
            <v>0.015</v>
          </cell>
        </row>
        <row r="33">
          <cell r="D33">
            <v>2253</v>
          </cell>
        </row>
        <row r="34">
          <cell r="D34">
            <v>159</v>
          </cell>
        </row>
        <row r="35">
          <cell r="D35">
            <v>163</v>
          </cell>
        </row>
      </sheetData>
      <sheetData sheetId="2">
        <row r="24">
          <cell r="C24" t="str">
            <v>January</v>
          </cell>
          <cell r="D24" t="str">
            <v>February</v>
          </cell>
          <cell r="E24" t="str">
            <v>March</v>
          </cell>
          <cell r="F24" t="str">
            <v>April</v>
          </cell>
          <cell r="G24" t="str">
            <v>May</v>
          </cell>
          <cell r="H24" t="str">
            <v>June</v>
          </cell>
          <cell r="I24" t="str">
            <v>July</v>
          </cell>
          <cell r="J24" t="str">
            <v>August</v>
          </cell>
          <cell r="K24" t="str">
            <v>September</v>
          </cell>
          <cell r="L24" t="str">
            <v>October </v>
          </cell>
          <cell r="M24" t="str">
            <v>November</v>
          </cell>
          <cell r="N24" t="str">
            <v>December</v>
          </cell>
        </row>
        <row r="28">
          <cell r="C28">
            <v>335.83</v>
          </cell>
          <cell r="D28">
            <v>279.93</v>
          </cell>
          <cell r="E28">
            <v>314.92</v>
          </cell>
          <cell r="F28">
            <v>334.58</v>
          </cell>
          <cell r="G28">
            <v>457.75</v>
          </cell>
          <cell r="H28">
            <v>469.2</v>
          </cell>
          <cell r="I28">
            <v>531.18</v>
          </cell>
          <cell r="J28">
            <v>589.44</v>
          </cell>
          <cell r="K28">
            <v>500.38</v>
          </cell>
          <cell r="L28">
            <v>534.33</v>
          </cell>
          <cell r="M28">
            <v>464.79</v>
          </cell>
          <cell r="N28">
            <v>391.55</v>
          </cell>
        </row>
        <row r="29">
          <cell r="C29">
            <v>41.52</v>
          </cell>
          <cell r="D29">
            <v>40.31</v>
          </cell>
          <cell r="E29">
            <v>41.73</v>
          </cell>
          <cell r="F29">
            <v>39.27</v>
          </cell>
          <cell r="G29">
            <v>43.15</v>
          </cell>
          <cell r="H29">
            <v>44.19</v>
          </cell>
          <cell r="I29">
            <v>48.11</v>
          </cell>
          <cell r="J29">
            <v>42.76</v>
          </cell>
          <cell r="K29">
            <v>42.23</v>
          </cell>
          <cell r="L29">
            <v>51.04</v>
          </cell>
          <cell r="M29">
            <v>45.39</v>
          </cell>
          <cell r="N29">
            <v>40.32</v>
          </cell>
        </row>
        <row r="30">
          <cell r="C30">
            <v>71.87</v>
          </cell>
          <cell r="D30">
            <v>56.43</v>
          </cell>
          <cell r="E30">
            <v>65.73</v>
          </cell>
          <cell r="F30">
            <v>68.44</v>
          </cell>
          <cell r="G30">
            <v>88.25</v>
          </cell>
          <cell r="H30">
            <v>83.51</v>
          </cell>
          <cell r="I30">
            <v>115.58</v>
          </cell>
          <cell r="J30">
            <v>86.85</v>
          </cell>
          <cell r="K30">
            <v>85.23</v>
          </cell>
          <cell r="L30">
            <v>106.71</v>
          </cell>
          <cell r="M30">
            <v>75.6</v>
          </cell>
          <cell r="N30">
            <v>62.96</v>
          </cell>
        </row>
        <row r="45">
          <cell r="C45">
            <v>2930</v>
          </cell>
          <cell r="D45">
            <v>2403</v>
          </cell>
          <cell r="E45">
            <v>2653</v>
          </cell>
          <cell r="F45">
            <v>2668</v>
          </cell>
          <cell r="G45">
            <v>4148</v>
          </cell>
          <cell r="H45">
            <v>3873</v>
          </cell>
          <cell r="I45">
            <v>4448</v>
          </cell>
          <cell r="J45">
            <v>5100</v>
          </cell>
          <cell r="K45">
            <v>3771</v>
          </cell>
          <cell r="L45">
            <v>4271</v>
          </cell>
          <cell r="M45">
            <v>3875</v>
          </cell>
          <cell r="N45">
            <v>3363</v>
          </cell>
        </row>
        <row r="46">
          <cell r="C46">
            <v>689</v>
          </cell>
          <cell r="D46">
            <v>612</v>
          </cell>
          <cell r="E46">
            <v>689</v>
          </cell>
          <cell r="F46">
            <v>611</v>
          </cell>
          <cell r="G46">
            <v>699</v>
          </cell>
          <cell r="H46">
            <v>582</v>
          </cell>
          <cell r="I46">
            <v>688</v>
          </cell>
          <cell r="J46">
            <v>648</v>
          </cell>
          <cell r="K46">
            <v>601</v>
          </cell>
          <cell r="L46">
            <v>687</v>
          </cell>
          <cell r="M46">
            <v>668</v>
          </cell>
          <cell r="N46">
            <v>608</v>
          </cell>
        </row>
        <row r="47">
          <cell r="C47">
            <v>995</v>
          </cell>
          <cell r="D47">
            <v>884</v>
          </cell>
          <cell r="E47">
            <v>931</v>
          </cell>
          <cell r="F47">
            <v>906</v>
          </cell>
          <cell r="G47">
            <v>1176</v>
          </cell>
          <cell r="H47">
            <v>1072</v>
          </cell>
          <cell r="I47">
            <v>1412</v>
          </cell>
          <cell r="J47">
            <v>1102</v>
          </cell>
          <cell r="K47">
            <v>954</v>
          </cell>
          <cell r="L47">
            <v>1165</v>
          </cell>
          <cell r="M47">
            <v>935</v>
          </cell>
          <cell r="N47">
            <v>856</v>
          </cell>
        </row>
        <row r="63">
          <cell r="C63">
            <v>497.68</v>
          </cell>
          <cell r="D63">
            <v>419.11</v>
          </cell>
          <cell r="E63">
            <v>465.92</v>
          </cell>
          <cell r="F63">
            <v>505.07</v>
          </cell>
          <cell r="G63">
            <v>673.7</v>
          </cell>
          <cell r="H63">
            <v>653.44</v>
          </cell>
          <cell r="I63">
            <v>725.56</v>
          </cell>
          <cell r="J63">
            <v>810.57</v>
          </cell>
          <cell r="K63">
            <v>695.55</v>
          </cell>
          <cell r="L63">
            <v>729.65</v>
          </cell>
          <cell r="M63">
            <v>651.44</v>
          </cell>
          <cell r="N63">
            <v>552.38</v>
          </cell>
        </row>
        <row r="64">
          <cell r="C64">
            <v>83.04</v>
          </cell>
          <cell r="D64">
            <v>80.62</v>
          </cell>
          <cell r="E64">
            <v>83.46</v>
          </cell>
          <cell r="F64">
            <v>78.54</v>
          </cell>
          <cell r="G64">
            <v>86.3</v>
          </cell>
          <cell r="H64">
            <v>88.38</v>
          </cell>
          <cell r="I64">
            <v>92.89</v>
          </cell>
          <cell r="J64">
            <v>85.52</v>
          </cell>
          <cell r="K64">
            <v>84.46</v>
          </cell>
          <cell r="L64">
            <v>102.08</v>
          </cell>
          <cell r="M64">
            <v>87.61</v>
          </cell>
          <cell r="N64">
            <v>76.62</v>
          </cell>
        </row>
        <row r="65">
          <cell r="C65">
            <v>101.39</v>
          </cell>
          <cell r="D65">
            <v>93.11</v>
          </cell>
          <cell r="E65">
            <v>94.5</v>
          </cell>
          <cell r="F65">
            <v>97.82</v>
          </cell>
          <cell r="G65">
            <v>155.31</v>
          </cell>
          <cell r="H65">
            <v>136.03</v>
          </cell>
          <cell r="I65">
            <v>179.84</v>
          </cell>
          <cell r="J65">
            <v>141.37</v>
          </cell>
          <cell r="K65">
            <v>161.33</v>
          </cell>
          <cell r="L65">
            <v>206.88</v>
          </cell>
          <cell r="M65">
            <v>138.39</v>
          </cell>
          <cell r="N65">
            <v>90.07</v>
          </cell>
        </row>
      </sheetData>
      <sheetData sheetId="3">
        <row r="16">
          <cell r="C16">
            <v>764</v>
          </cell>
          <cell r="D16">
            <v>1282</v>
          </cell>
          <cell r="E16">
            <v>1091</v>
          </cell>
          <cell r="M16">
            <v>342</v>
          </cell>
          <cell r="N16">
            <v>70</v>
          </cell>
          <cell r="O16">
            <v>260</v>
          </cell>
          <cell r="P16">
            <v>6</v>
          </cell>
          <cell r="Q16">
            <v>32</v>
          </cell>
          <cell r="R16">
            <v>40</v>
          </cell>
          <cell r="S16">
            <v>2</v>
          </cell>
        </row>
        <row r="17">
          <cell r="M17">
            <v>14</v>
          </cell>
          <cell r="O17">
            <v>18</v>
          </cell>
          <cell r="P17">
            <v>1</v>
          </cell>
          <cell r="Q17">
            <v>8</v>
          </cell>
          <cell r="R17">
            <v>2</v>
          </cell>
        </row>
        <row r="18">
          <cell r="M18">
            <v>30</v>
          </cell>
          <cell r="O18">
            <v>49</v>
          </cell>
          <cell r="Q18">
            <v>15</v>
          </cell>
          <cell r="R18">
            <v>41</v>
          </cell>
        </row>
      </sheetData>
      <sheetData sheetId="4">
        <row r="12">
          <cell r="C12">
            <v>0</v>
          </cell>
          <cell r="D12">
            <v>67</v>
          </cell>
          <cell r="E12">
            <v>58</v>
          </cell>
          <cell r="F12">
            <v>72</v>
          </cell>
          <cell r="G12">
            <v>199</v>
          </cell>
          <cell r="L12">
            <v>0</v>
          </cell>
          <cell r="M12">
            <v>2086.47</v>
          </cell>
          <cell r="N12">
            <v>1843.77</v>
          </cell>
          <cell r="O12">
            <v>2350.63</v>
          </cell>
          <cell r="P12">
            <v>6412</v>
          </cell>
        </row>
        <row r="13">
          <cell r="C13">
            <v>0</v>
          </cell>
          <cell r="D13">
            <v>114</v>
          </cell>
          <cell r="E13">
            <v>70</v>
          </cell>
          <cell r="F13">
            <v>60</v>
          </cell>
          <cell r="G13">
            <v>150</v>
          </cell>
          <cell r="L13">
            <v>0</v>
          </cell>
          <cell r="M13">
            <v>3696.74</v>
          </cell>
          <cell r="N13">
            <v>2086.36</v>
          </cell>
          <cell r="O13">
            <v>1892.32</v>
          </cell>
          <cell r="P13">
            <v>4836.1</v>
          </cell>
        </row>
        <row r="14">
          <cell r="C14">
            <v>0</v>
          </cell>
          <cell r="D14">
            <v>191</v>
          </cell>
          <cell r="E14">
            <v>54</v>
          </cell>
          <cell r="F14">
            <v>62</v>
          </cell>
          <cell r="G14">
            <v>189</v>
          </cell>
          <cell r="L14">
            <v>0</v>
          </cell>
          <cell r="M14">
            <v>5804.19</v>
          </cell>
          <cell r="N14">
            <v>1670.68</v>
          </cell>
          <cell r="O14">
            <v>1908.92</v>
          </cell>
          <cell r="P14">
            <v>5896.45</v>
          </cell>
        </row>
        <row r="15">
          <cell r="C15">
            <v>0</v>
          </cell>
          <cell r="D15">
            <v>204</v>
          </cell>
          <cell r="E15">
            <v>64</v>
          </cell>
          <cell r="F15">
            <v>77</v>
          </cell>
          <cell r="G15">
            <v>192</v>
          </cell>
          <cell r="L15">
            <v>0</v>
          </cell>
          <cell r="M15">
            <v>6141.94</v>
          </cell>
          <cell r="N15">
            <v>1741.58</v>
          </cell>
          <cell r="O15">
            <v>2365.3</v>
          </cell>
          <cell r="P15">
            <v>6018.95</v>
          </cell>
        </row>
        <row r="16">
          <cell r="C16">
            <v>0</v>
          </cell>
          <cell r="D16">
            <v>276</v>
          </cell>
          <cell r="E16">
            <v>79</v>
          </cell>
          <cell r="F16">
            <v>103</v>
          </cell>
          <cell r="G16">
            <v>249</v>
          </cell>
          <cell r="L16">
            <v>0</v>
          </cell>
          <cell r="M16">
            <v>7925.08</v>
          </cell>
          <cell r="N16">
            <v>2190.23</v>
          </cell>
          <cell r="O16">
            <v>3095.17</v>
          </cell>
          <cell r="P16">
            <v>8042.66</v>
          </cell>
        </row>
        <row r="17">
          <cell r="C17">
            <v>0</v>
          </cell>
          <cell r="D17">
            <v>280</v>
          </cell>
          <cell r="E17">
            <v>85</v>
          </cell>
          <cell r="F17">
            <v>86</v>
          </cell>
          <cell r="G17">
            <v>203</v>
          </cell>
          <cell r="L17">
            <v>0</v>
          </cell>
          <cell r="M17">
            <v>8134.05</v>
          </cell>
          <cell r="N17">
            <v>2378.66</v>
          </cell>
          <cell r="O17">
            <v>2660.51</v>
          </cell>
          <cell r="P17">
            <v>6483.75</v>
          </cell>
        </row>
        <row r="18">
          <cell r="C18">
            <v>0</v>
          </cell>
          <cell r="D18">
            <v>389</v>
          </cell>
          <cell r="E18">
            <v>83</v>
          </cell>
          <cell r="F18">
            <v>106</v>
          </cell>
          <cell r="G18">
            <v>243</v>
          </cell>
          <cell r="L18">
            <v>0</v>
          </cell>
          <cell r="M18">
            <v>11188.97</v>
          </cell>
          <cell r="N18">
            <v>2333.62</v>
          </cell>
          <cell r="O18">
            <v>3323.17</v>
          </cell>
          <cell r="P18">
            <v>7906.45</v>
          </cell>
        </row>
        <row r="19">
          <cell r="C19">
            <v>0</v>
          </cell>
          <cell r="D19">
            <v>352</v>
          </cell>
          <cell r="E19">
            <v>82</v>
          </cell>
          <cell r="F19">
            <v>90</v>
          </cell>
          <cell r="G19">
            <v>225</v>
          </cell>
          <cell r="L19">
            <v>0</v>
          </cell>
          <cell r="M19">
            <v>10241.63</v>
          </cell>
          <cell r="N19">
            <v>2162.43</v>
          </cell>
          <cell r="O19">
            <v>2771.5</v>
          </cell>
          <cell r="P19">
            <v>7148.73</v>
          </cell>
        </row>
        <row r="20">
          <cell r="C20">
            <v>0</v>
          </cell>
          <cell r="D20">
            <v>315</v>
          </cell>
          <cell r="E20">
            <v>77</v>
          </cell>
          <cell r="F20">
            <v>83</v>
          </cell>
          <cell r="G20">
            <v>212</v>
          </cell>
          <cell r="L20">
            <v>0</v>
          </cell>
          <cell r="M20">
            <v>8640.45</v>
          </cell>
          <cell r="N20">
            <v>2282.59</v>
          </cell>
          <cell r="O20">
            <v>2639.93</v>
          </cell>
          <cell r="P20">
            <v>6906.52</v>
          </cell>
        </row>
        <row r="21">
          <cell r="C21">
            <v>0</v>
          </cell>
          <cell r="D21">
            <v>361</v>
          </cell>
          <cell r="E21">
            <v>87</v>
          </cell>
          <cell r="F21">
            <v>99</v>
          </cell>
          <cell r="G21">
            <v>235</v>
          </cell>
          <cell r="L21">
            <v>0</v>
          </cell>
          <cell r="M21">
            <v>10185.62</v>
          </cell>
          <cell r="N21">
            <v>2287.82</v>
          </cell>
          <cell r="O21">
            <v>2979.01</v>
          </cell>
          <cell r="P21">
            <v>7551.54</v>
          </cell>
        </row>
        <row r="22">
          <cell r="C22">
            <v>0</v>
          </cell>
          <cell r="D22">
            <v>202</v>
          </cell>
          <cell r="E22">
            <v>63</v>
          </cell>
          <cell r="F22">
            <v>79</v>
          </cell>
          <cell r="G22">
            <v>200</v>
          </cell>
          <cell r="L22">
            <v>0</v>
          </cell>
          <cell r="M22">
            <v>5582.66</v>
          </cell>
          <cell r="N22">
            <v>1742.04</v>
          </cell>
          <cell r="O22">
            <v>2306.22</v>
          </cell>
          <cell r="P22">
            <v>6207.65</v>
          </cell>
        </row>
        <row r="23">
          <cell r="C23">
            <v>0</v>
          </cell>
          <cell r="D23">
            <v>87</v>
          </cell>
          <cell r="E23">
            <v>52</v>
          </cell>
          <cell r="F23">
            <v>68</v>
          </cell>
          <cell r="G23">
            <v>168</v>
          </cell>
          <cell r="L23">
            <v>0</v>
          </cell>
          <cell r="M23">
            <v>2371.69</v>
          </cell>
          <cell r="N23">
            <v>1436.58</v>
          </cell>
          <cell r="O23">
            <v>1907.02</v>
          </cell>
          <cell r="P23">
            <v>5349.91</v>
          </cell>
        </row>
        <row r="29">
          <cell r="L29">
            <v>0</v>
          </cell>
          <cell r="M29">
            <v>0.7724443824810409</v>
          </cell>
          <cell r="N29">
            <v>0.22755561751895914</v>
          </cell>
        </row>
        <row r="35">
          <cell r="C35">
            <v>548</v>
          </cell>
          <cell r="D35">
            <v>14</v>
          </cell>
          <cell r="E35">
            <v>0</v>
          </cell>
          <cell r="F35">
            <v>0</v>
          </cell>
          <cell r="G35">
            <v>0</v>
          </cell>
          <cell r="L35">
            <v>19711.56</v>
          </cell>
          <cell r="M35">
            <v>503.58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474</v>
          </cell>
          <cell r="D36">
            <v>6</v>
          </cell>
          <cell r="E36">
            <v>0</v>
          </cell>
          <cell r="F36">
            <v>0</v>
          </cell>
          <cell r="G36">
            <v>2</v>
          </cell>
          <cell r="L36">
            <v>17049.78</v>
          </cell>
          <cell r="M36">
            <v>215.82</v>
          </cell>
          <cell r="N36">
            <v>0</v>
          </cell>
          <cell r="O36">
            <v>0</v>
          </cell>
          <cell r="P36">
            <v>71.94</v>
          </cell>
        </row>
        <row r="37">
          <cell r="C37">
            <v>566</v>
          </cell>
          <cell r="D37">
            <v>8</v>
          </cell>
          <cell r="E37">
            <v>0</v>
          </cell>
          <cell r="F37">
            <v>0</v>
          </cell>
          <cell r="G37">
            <v>0</v>
          </cell>
          <cell r="L37">
            <v>20359.02</v>
          </cell>
          <cell r="M37">
            <v>287.76</v>
          </cell>
          <cell r="N37">
            <v>0</v>
          </cell>
          <cell r="O37">
            <v>0</v>
          </cell>
          <cell r="P37">
            <v>0</v>
          </cell>
        </row>
        <row r="38">
          <cell r="C38">
            <v>657</v>
          </cell>
          <cell r="D38">
            <v>5</v>
          </cell>
          <cell r="E38">
            <v>0</v>
          </cell>
          <cell r="F38">
            <v>0</v>
          </cell>
          <cell r="G38">
            <v>4</v>
          </cell>
          <cell r="L38">
            <v>23632.29</v>
          </cell>
          <cell r="M38">
            <v>179.85</v>
          </cell>
          <cell r="N38">
            <v>0</v>
          </cell>
          <cell r="O38">
            <v>0</v>
          </cell>
          <cell r="P38">
            <v>143.88</v>
          </cell>
        </row>
        <row r="39">
          <cell r="C39">
            <v>938</v>
          </cell>
          <cell r="D39">
            <v>9</v>
          </cell>
          <cell r="E39">
            <v>0</v>
          </cell>
          <cell r="F39">
            <v>0</v>
          </cell>
          <cell r="G39">
            <v>0</v>
          </cell>
          <cell r="L39">
            <v>33739.86</v>
          </cell>
          <cell r="M39">
            <v>323.73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912</v>
          </cell>
          <cell r="D40">
            <v>36</v>
          </cell>
          <cell r="E40">
            <v>0</v>
          </cell>
          <cell r="F40">
            <v>0</v>
          </cell>
          <cell r="G40">
            <v>0</v>
          </cell>
          <cell r="L40">
            <v>32804.64</v>
          </cell>
          <cell r="M40">
            <v>1294.92</v>
          </cell>
          <cell r="N40">
            <v>0</v>
          </cell>
          <cell r="O40">
            <v>0</v>
          </cell>
          <cell r="P40">
            <v>0</v>
          </cell>
        </row>
        <row r="41">
          <cell r="C41">
            <v>1210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L41">
            <v>43523.7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1296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L42">
            <v>46617.12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>
            <v>970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L43">
            <v>34890.9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949</v>
          </cell>
          <cell r="D44">
            <v>6</v>
          </cell>
          <cell r="E44">
            <v>0</v>
          </cell>
          <cell r="F44">
            <v>0</v>
          </cell>
          <cell r="G44">
            <v>0</v>
          </cell>
          <cell r="L44">
            <v>34135.53</v>
          </cell>
          <cell r="M44">
            <v>215.82</v>
          </cell>
          <cell r="N44">
            <v>0</v>
          </cell>
          <cell r="O44">
            <v>0</v>
          </cell>
          <cell r="P44">
            <v>0</v>
          </cell>
        </row>
        <row r="45">
          <cell r="C45">
            <v>801</v>
          </cell>
          <cell r="D45">
            <v>0</v>
          </cell>
          <cell r="E45">
            <v>8</v>
          </cell>
          <cell r="F45">
            <v>4</v>
          </cell>
          <cell r="G45">
            <v>8</v>
          </cell>
          <cell r="L45">
            <v>28811.97</v>
          </cell>
          <cell r="M45">
            <v>0</v>
          </cell>
          <cell r="N45">
            <v>287.76</v>
          </cell>
          <cell r="O45">
            <v>143.88</v>
          </cell>
          <cell r="P45">
            <v>287.76</v>
          </cell>
        </row>
        <row r="46">
          <cell r="C46">
            <v>644</v>
          </cell>
          <cell r="D46">
            <v>9</v>
          </cell>
          <cell r="E46">
            <v>0</v>
          </cell>
          <cell r="F46">
            <v>0</v>
          </cell>
          <cell r="G46">
            <v>0</v>
          </cell>
          <cell r="L46">
            <v>23164.68</v>
          </cell>
          <cell r="M46">
            <v>323.73</v>
          </cell>
          <cell r="N46">
            <v>0</v>
          </cell>
          <cell r="O46">
            <v>0</v>
          </cell>
          <cell r="P46">
            <v>0</v>
          </cell>
        </row>
        <row r="52">
          <cell r="L52">
            <v>0.9899662229286706</v>
          </cell>
          <cell r="M52">
            <v>0.009239022451818001</v>
          </cell>
          <cell r="N52">
            <v>0.0007947546195113519</v>
          </cell>
        </row>
      </sheetData>
      <sheetData sheetId="5">
        <row r="10">
          <cell r="X10">
            <v>0</v>
          </cell>
          <cell r="AD10">
            <v>780</v>
          </cell>
        </row>
        <row r="11">
          <cell r="X11">
            <v>0</v>
          </cell>
          <cell r="AD11">
            <v>539.8</v>
          </cell>
        </row>
        <row r="12">
          <cell r="X12">
            <v>0</v>
          </cell>
          <cell r="AD12">
            <v>420.0592378752887</v>
          </cell>
        </row>
        <row r="13">
          <cell r="X13">
            <v>0</v>
          </cell>
          <cell r="AD13">
            <v>327.35</v>
          </cell>
        </row>
        <row r="14">
          <cell r="X14">
            <v>0</v>
          </cell>
          <cell r="AD14">
            <v>773.7</v>
          </cell>
        </row>
        <row r="15">
          <cell r="X15">
            <v>0</v>
          </cell>
          <cell r="AD15">
            <v>654.2017321016167</v>
          </cell>
        </row>
        <row r="16">
          <cell r="X16">
            <v>0</v>
          </cell>
          <cell r="AD16">
            <v>44.75</v>
          </cell>
        </row>
        <row r="17">
          <cell r="X17">
            <v>0</v>
          </cell>
          <cell r="AD17">
            <v>185</v>
          </cell>
        </row>
        <row r="18">
          <cell r="X18">
            <v>0</v>
          </cell>
          <cell r="AD18">
            <v>92.10461893764433</v>
          </cell>
        </row>
        <row r="19">
          <cell r="X19">
            <v>0</v>
          </cell>
          <cell r="AD19">
            <v>15.75</v>
          </cell>
        </row>
        <row r="20">
          <cell r="X20">
            <v>0</v>
          </cell>
          <cell r="AD20">
            <v>70.65</v>
          </cell>
        </row>
        <row r="21">
          <cell r="X21">
            <v>0</v>
          </cell>
          <cell r="AD21">
            <v>56.75</v>
          </cell>
        </row>
        <row r="22">
          <cell r="X22">
            <v>0</v>
          </cell>
          <cell r="AD22">
            <v>0</v>
          </cell>
        </row>
        <row r="23">
          <cell r="X23">
            <v>0</v>
          </cell>
          <cell r="AD23">
            <v>44.75</v>
          </cell>
        </row>
        <row r="24">
          <cell r="X24">
            <v>0</v>
          </cell>
          <cell r="AD24">
            <v>6.0046189376443415</v>
          </cell>
        </row>
        <row r="25">
          <cell r="X25">
            <v>0</v>
          </cell>
          <cell r="AD25">
            <v>25</v>
          </cell>
        </row>
        <row r="26">
          <cell r="X26">
            <v>0</v>
          </cell>
          <cell r="AD26">
            <v>29.85</v>
          </cell>
        </row>
        <row r="27">
          <cell r="X27">
            <v>0</v>
          </cell>
          <cell r="AD27">
            <v>61.85</v>
          </cell>
        </row>
        <row r="28">
          <cell r="AD28">
            <v>79.05</v>
          </cell>
        </row>
        <row r="29">
          <cell r="AD29">
            <v>0</v>
          </cell>
        </row>
        <row r="30">
          <cell r="AD30">
            <v>6.0046189376443415</v>
          </cell>
        </row>
        <row r="31">
          <cell r="AD31">
            <v>5923.35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6.0046189376443415</v>
          </cell>
        </row>
        <row r="37">
          <cell r="X37">
            <v>0</v>
          </cell>
          <cell r="AD37">
            <v>59</v>
          </cell>
        </row>
        <row r="38">
          <cell r="X38">
            <v>0</v>
          </cell>
          <cell r="AD38">
            <v>0</v>
          </cell>
        </row>
        <row r="39">
          <cell r="X39">
            <v>0</v>
          </cell>
          <cell r="AD39">
            <v>0</v>
          </cell>
        </row>
        <row r="40">
          <cell r="X40">
            <v>0</v>
          </cell>
          <cell r="AD40">
            <v>8992.7</v>
          </cell>
        </row>
        <row r="41">
          <cell r="X41">
            <v>0</v>
          </cell>
          <cell r="AD41">
            <v>0</v>
          </cell>
        </row>
        <row r="42">
          <cell r="X42">
            <v>0</v>
          </cell>
          <cell r="AD42">
            <v>0</v>
          </cell>
        </row>
        <row r="43">
          <cell r="X43">
            <v>0</v>
          </cell>
          <cell r="AD43">
            <v>354.25</v>
          </cell>
        </row>
        <row r="44">
          <cell r="X44">
            <v>0</v>
          </cell>
          <cell r="AD44">
            <v>0</v>
          </cell>
        </row>
        <row r="45">
          <cell r="X45">
            <v>0</v>
          </cell>
          <cell r="AD45">
            <v>0</v>
          </cell>
        </row>
        <row r="46">
          <cell r="X46">
            <v>0</v>
          </cell>
          <cell r="AD46">
            <v>4556.7</v>
          </cell>
        </row>
        <row r="47">
          <cell r="X47">
            <v>0</v>
          </cell>
          <cell r="AD47">
            <v>0</v>
          </cell>
        </row>
        <row r="48">
          <cell r="X48">
            <v>0</v>
          </cell>
          <cell r="AD48">
            <v>0</v>
          </cell>
        </row>
        <row r="49">
          <cell r="X49">
            <v>0</v>
          </cell>
          <cell r="AD49">
            <v>1120.05</v>
          </cell>
        </row>
        <row r="50">
          <cell r="X50">
            <v>0</v>
          </cell>
          <cell r="AD50">
            <v>0</v>
          </cell>
        </row>
        <row r="51">
          <cell r="X51">
            <v>0</v>
          </cell>
          <cell r="AD51">
            <v>0</v>
          </cell>
        </row>
        <row r="52">
          <cell r="X52">
            <v>0</v>
          </cell>
          <cell r="AD52">
            <v>12</v>
          </cell>
        </row>
        <row r="53">
          <cell r="X53">
            <v>0</v>
          </cell>
          <cell r="AD53">
            <v>0</v>
          </cell>
        </row>
        <row r="54">
          <cell r="X54">
            <v>0</v>
          </cell>
          <cell r="AD54">
            <v>0</v>
          </cell>
        </row>
        <row r="55">
          <cell r="X55">
            <v>0</v>
          </cell>
          <cell r="AD55">
            <v>53</v>
          </cell>
        </row>
        <row r="56">
          <cell r="X56">
            <v>0</v>
          </cell>
          <cell r="AD56">
            <v>0</v>
          </cell>
        </row>
        <row r="57">
          <cell r="X57">
            <v>0</v>
          </cell>
          <cell r="AD57">
            <v>14</v>
          </cell>
        </row>
        <row r="58">
          <cell r="X58">
            <v>0</v>
          </cell>
          <cell r="AD58">
            <v>16</v>
          </cell>
        </row>
        <row r="59">
          <cell r="X59">
            <v>0</v>
          </cell>
          <cell r="AD59">
            <v>0</v>
          </cell>
        </row>
        <row r="60">
          <cell r="X60">
            <v>0</v>
          </cell>
          <cell r="AD60">
            <v>0</v>
          </cell>
        </row>
        <row r="61">
          <cell r="X61">
            <v>0</v>
          </cell>
          <cell r="AD61">
            <v>1</v>
          </cell>
        </row>
        <row r="62">
          <cell r="X62">
            <v>0</v>
          </cell>
          <cell r="AD62">
            <v>0</v>
          </cell>
        </row>
        <row r="63">
          <cell r="X63">
            <v>0</v>
          </cell>
          <cell r="AD63">
            <v>0</v>
          </cell>
        </row>
        <row r="82">
          <cell r="X82">
            <v>0</v>
          </cell>
          <cell r="AD82">
            <v>2257</v>
          </cell>
        </row>
        <row r="83">
          <cell r="X83">
            <v>0</v>
          </cell>
          <cell r="AD83">
            <v>308</v>
          </cell>
        </row>
        <row r="84">
          <cell r="X84">
            <v>0</v>
          </cell>
          <cell r="AD84">
            <v>226</v>
          </cell>
        </row>
        <row r="91">
          <cell r="X91">
            <v>0</v>
          </cell>
          <cell r="Y91">
            <v>0</v>
          </cell>
          <cell r="AD91">
            <v>0</v>
          </cell>
          <cell r="AE91">
            <v>0</v>
          </cell>
        </row>
        <row r="92">
          <cell r="X92">
            <v>0</v>
          </cell>
          <cell r="Y92">
            <v>0</v>
          </cell>
          <cell r="AD92">
            <v>6</v>
          </cell>
          <cell r="AE92">
            <v>0</v>
          </cell>
        </row>
        <row r="93">
          <cell r="X93">
            <v>0</v>
          </cell>
          <cell r="Y93">
            <v>0</v>
          </cell>
          <cell r="AD93">
            <v>0</v>
          </cell>
        </row>
        <row r="118">
          <cell r="X118">
            <v>0</v>
          </cell>
          <cell r="AD118">
            <v>108</v>
          </cell>
        </row>
        <row r="119">
          <cell r="X119">
            <v>0</v>
          </cell>
          <cell r="AD119">
            <v>2</v>
          </cell>
        </row>
        <row r="120">
          <cell r="X120">
            <v>0</v>
          </cell>
          <cell r="AD120">
            <v>5</v>
          </cell>
        </row>
        <row r="121">
          <cell r="X121">
            <v>0</v>
          </cell>
          <cell r="AD121">
            <v>7</v>
          </cell>
        </row>
        <row r="122">
          <cell r="X122">
            <v>0</v>
          </cell>
          <cell r="AD122">
            <v>0</v>
          </cell>
        </row>
        <row r="123">
          <cell r="X123">
            <v>0</v>
          </cell>
          <cell r="AD123">
            <v>0</v>
          </cell>
        </row>
        <row r="124">
          <cell r="X124">
            <v>0</v>
          </cell>
          <cell r="AD124">
            <v>53</v>
          </cell>
        </row>
        <row r="125">
          <cell r="X125">
            <v>0</v>
          </cell>
          <cell r="AD125">
            <v>2</v>
          </cell>
        </row>
        <row r="126">
          <cell r="X126">
            <v>0</v>
          </cell>
          <cell r="AD126">
            <v>5</v>
          </cell>
        </row>
        <row r="127">
          <cell r="X127">
            <v>0</v>
          </cell>
          <cell r="AD127">
            <v>1</v>
          </cell>
        </row>
        <row r="128">
          <cell r="X128">
            <v>0</v>
          </cell>
          <cell r="AD128">
            <v>0</v>
          </cell>
        </row>
        <row r="129">
          <cell r="X129">
            <v>0</v>
          </cell>
          <cell r="AD129">
            <v>0</v>
          </cell>
        </row>
        <row r="130">
          <cell r="X130">
            <v>0</v>
          </cell>
          <cell r="AD130">
            <v>8</v>
          </cell>
        </row>
        <row r="131">
          <cell r="X131">
            <v>0</v>
          </cell>
          <cell r="AD131">
            <v>0</v>
          </cell>
        </row>
        <row r="132">
          <cell r="X132">
            <v>0</v>
          </cell>
          <cell r="AD132">
            <v>1</v>
          </cell>
        </row>
        <row r="133">
          <cell r="X133">
            <v>0</v>
          </cell>
          <cell r="AD133">
            <v>7</v>
          </cell>
        </row>
        <row r="134">
          <cell r="X134">
            <v>0</v>
          </cell>
          <cell r="AD134">
            <v>2</v>
          </cell>
        </row>
        <row r="135">
          <cell r="X135">
            <v>0</v>
          </cell>
          <cell r="AD135">
            <v>6</v>
          </cell>
        </row>
        <row r="139">
          <cell r="X139">
            <v>0</v>
          </cell>
          <cell r="AD139">
            <v>20</v>
          </cell>
        </row>
        <row r="140">
          <cell r="X140">
            <v>0</v>
          </cell>
          <cell r="AD140">
            <v>0</v>
          </cell>
        </row>
        <row r="141">
          <cell r="X141">
            <v>0</v>
          </cell>
          <cell r="AD141">
            <v>0</v>
          </cell>
        </row>
        <row r="142">
          <cell r="X142">
            <v>0</v>
          </cell>
          <cell r="AD142">
            <v>32</v>
          </cell>
        </row>
        <row r="143">
          <cell r="X143">
            <v>0</v>
          </cell>
          <cell r="AD143">
            <v>3</v>
          </cell>
        </row>
        <row r="144">
          <cell r="X144">
            <v>0</v>
          </cell>
          <cell r="AD144">
            <v>5</v>
          </cell>
        </row>
        <row r="145">
          <cell r="X145">
            <v>0</v>
          </cell>
          <cell r="AD145">
            <v>21</v>
          </cell>
        </row>
        <row r="146">
          <cell r="X146">
            <v>0</v>
          </cell>
          <cell r="AD146">
            <v>4</v>
          </cell>
        </row>
        <row r="147">
          <cell r="X147">
            <v>0</v>
          </cell>
          <cell r="AD147">
            <v>12</v>
          </cell>
        </row>
        <row r="148">
          <cell r="X148">
            <v>0</v>
          </cell>
          <cell r="AD148">
            <v>0</v>
          </cell>
        </row>
        <row r="149">
          <cell r="X149">
            <v>0</v>
          </cell>
          <cell r="AD149">
            <v>0</v>
          </cell>
        </row>
        <row r="150">
          <cell r="X150">
            <v>0</v>
          </cell>
          <cell r="AD150">
            <v>0</v>
          </cell>
        </row>
        <row r="151">
          <cell r="X151">
            <v>0</v>
          </cell>
          <cell r="AD151">
            <v>134.16</v>
          </cell>
        </row>
        <row r="152">
          <cell r="X152">
            <v>0</v>
          </cell>
          <cell r="AD152">
            <v>11.25</v>
          </cell>
        </row>
        <row r="153">
          <cell r="X153">
            <v>0</v>
          </cell>
          <cell r="AD153">
            <v>0</v>
          </cell>
        </row>
        <row r="154">
          <cell r="X154">
            <v>0</v>
          </cell>
          <cell r="AD154">
            <v>0</v>
          </cell>
        </row>
        <row r="155">
          <cell r="X155">
            <v>0</v>
          </cell>
          <cell r="AD155">
            <v>0</v>
          </cell>
        </row>
        <row r="156">
          <cell r="X156">
            <v>0</v>
          </cell>
          <cell r="AD156">
            <v>0</v>
          </cell>
        </row>
        <row r="160">
          <cell r="X160">
            <v>0</v>
          </cell>
          <cell r="AD160">
            <v>1</v>
          </cell>
        </row>
        <row r="161">
          <cell r="X161">
            <v>0</v>
          </cell>
          <cell r="AD161">
            <v>0</v>
          </cell>
        </row>
        <row r="162">
          <cell r="X162">
            <v>0</v>
          </cell>
          <cell r="AD162">
            <v>0</v>
          </cell>
        </row>
        <row r="163">
          <cell r="X163">
            <v>0</v>
          </cell>
          <cell r="AD163">
            <v>29.5</v>
          </cell>
        </row>
        <row r="164">
          <cell r="X164">
            <v>0</v>
          </cell>
          <cell r="AD164">
            <v>0</v>
          </cell>
        </row>
        <row r="165">
          <cell r="X165">
            <v>0</v>
          </cell>
          <cell r="AD165">
            <v>0</v>
          </cell>
        </row>
        <row r="166">
          <cell r="X166">
            <v>0</v>
          </cell>
          <cell r="AD166">
            <v>0</v>
          </cell>
        </row>
        <row r="167">
          <cell r="X167">
            <v>0</v>
          </cell>
          <cell r="AD167">
            <v>0</v>
          </cell>
        </row>
        <row r="168">
          <cell r="X168">
            <v>0</v>
          </cell>
          <cell r="AD168">
            <v>0</v>
          </cell>
        </row>
        <row r="169">
          <cell r="X169">
            <v>0</v>
          </cell>
          <cell r="AD169">
            <v>4401</v>
          </cell>
        </row>
        <row r="170">
          <cell r="X170">
            <v>0</v>
          </cell>
          <cell r="AD170">
            <v>202</v>
          </cell>
        </row>
        <row r="171">
          <cell r="X171">
            <v>0</v>
          </cell>
          <cell r="AD171">
            <v>686</v>
          </cell>
        </row>
        <row r="172">
          <cell r="X172">
            <v>0</v>
          </cell>
          <cell r="AD172">
            <v>460.5</v>
          </cell>
        </row>
        <row r="173">
          <cell r="X173">
            <v>0</v>
          </cell>
          <cell r="AD173">
            <v>81</v>
          </cell>
        </row>
        <row r="174">
          <cell r="X174">
            <v>0</v>
          </cell>
          <cell r="AD174">
            <v>1197</v>
          </cell>
        </row>
        <row r="175">
          <cell r="X175">
            <v>0</v>
          </cell>
          <cell r="AD175">
            <v>50</v>
          </cell>
        </row>
        <row r="176">
          <cell r="X176">
            <v>0</v>
          </cell>
          <cell r="AD176">
            <v>8490</v>
          </cell>
        </row>
        <row r="177">
          <cell r="X177">
            <v>0</v>
          </cell>
          <cell r="AD177">
            <v>16420</v>
          </cell>
        </row>
        <row r="202">
          <cell r="X202">
            <v>0</v>
          </cell>
          <cell r="AD202">
            <v>0</v>
          </cell>
        </row>
        <row r="203">
          <cell r="X203">
            <v>0</v>
          </cell>
          <cell r="AD203">
            <v>0</v>
          </cell>
        </row>
        <row r="204">
          <cell r="X204">
            <v>0</v>
          </cell>
          <cell r="AD204">
            <v>0</v>
          </cell>
        </row>
        <row r="205">
          <cell r="X205">
            <v>0</v>
          </cell>
          <cell r="AD205">
            <v>106</v>
          </cell>
        </row>
        <row r="206">
          <cell r="X206">
            <v>0</v>
          </cell>
          <cell r="AD206">
            <v>0</v>
          </cell>
        </row>
        <row r="207">
          <cell r="X207">
            <v>0</v>
          </cell>
          <cell r="AD207">
            <v>0</v>
          </cell>
        </row>
        <row r="208">
          <cell r="X208">
            <v>0</v>
          </cell>
          <cell r="AD208">
            <v>36</v>
          </cell>
        </row>
        <row r="209">
          <cell r="X209">
            <v>0</v>
          </cell>
          <cell r="AD209">
            <v>0</v>
          </cell>
        </row>
        <row r="210">
          <cell r="X210">
            <v>0</v>
          </cell>
          <cell r="AD210">
            <v>0</v>
          </cell>
        </row>
        <row r="211">
          <cell r="X211">
            <v>0</v>
          </cell>
          <cell r="AD211">
            <v>56</v>
          </cell>
        </row>
        <row r="212">
          <cell r="X212">
            <v>0</v>
          </cell>
          <cell r="AD212">
            <v>0</v>
          </cell>
        </row>
        <row r="213">
          <cell r="X213">
            <v>0</v>
          </cell>
          <cell r="AD213">
            <v>0</v>
          </cell>
        </row>
        <row r="214">
          <cell r="X214">
            <v>0</v>
          </cell>
          <cell r="AD214">
            <v>485</v>
          </cell>
        </row>
        <row r="215">
          <cell r="X215">
            <v>0</v>
          </cell>
          <cell r="AD215">
            <v>0</v>
          </cell>
        </row>
        <row r="216">
          <cell r="X216">
            <v>0</v>
          </cell>
          <cell r="AD216">
            <v>0</v>
          </cell>
        </row>
        <row r="217">
          <cell r="X217">
            <v>0</v>
          </cell>
          <cell r="AD217">
            <v>138</v>
          </cell>
        </row>
        <row r="218">
          <cell r="X218">
            <v>0</v>
          </cell>
          <cell r="AD218">
            <v>27</v>
          </cell>
        </row>
        <row r="219">
          <cell r="X219">
            <v>0</v>
          </cell>
          <cell r="AD219">
            <v>51</v>
          </cell>
        </row>
        <row r="220">
          <cell r="X220">
            <v>0</v>
          </cell>
          <cell r="AD220">
            <v>2187</v>
          </cell>
        </row>
        <row r="221">
          <cell r="X221">
            <v>0</v>
          </cell>
          <cell r="AD221">
            <v>645</v>
          </cell>
        </row>
        <row r="222">
          <cell r="X222">
            <v>0</v>
          </cell>
          <cell r="AD222">
            <v>980</v>
          </cell>
        </row>
        <row r="223">
          <cell r="X223">
            <v>0</v>
          </cell>
          <cell r="AD223">
            <v>217.23</v>
          </cell>
        </row>
        <row r="224">
          <cell r="X224">
            <v>0</v>
          </cell>
          <cell r="AD224">
            <v>144</v>
          </cell>
        </row>
        <row r="225">
          <cell r="X225">
            <v>0</v>
          </cell>
          <cell r="AD225">
            <v>513</v>
          </cell>
        </row>
        <row r="226">
          <cell r="X226">
            <v>0</v>
          </cell>
          <cell r="AD226">
            <v>2485</v>
          </cell>
        </row>
        <row r="227">
          <cell r="X227">
            <v>0</v>
          </cell>
          <cell r="AD227">
            <v>1183</v>
          </cell>
        </row>
        <row r="228">
          <cell r="X228">
            <v>0</v>
          </cell>
          <cell r="AD228">
            <v>3038</v>
          </cell>
        </row>
        <row r="229">
          <cell r="X229">
            <v>0</v>
          </cell>
          <cell r="AD229">
            <v>0</v>
          </cell>
        </row>
        <row r="230">
          <cell r="X230">
            <v>0</v>
          </cell>
          <cell r="AD230">
            <v>0</v>
          </cell>
        </row>
        <row r="231">
          <cell r="X231">
            <v>0</v>
          </cell>
          <cell r="AD231">
            <v>0</v>
          </cell>
        </row>
        <row r="232">
          <cell r="X232">
            <v>0</v>
          </cell>
          <cell r="AD232">
            <v>0</v>
          </cell>
        </row>
        <row r="233">
          <cell r="X233">
            <v>0</v>
          </cell>
          <cell r="AD233">
            <v>0</v>
          </cell>
        </row>
        <row r="234">
          <cell r="X234">
            <v>0</v>
          </cell>
          <cell r="AD234">
            <v>0</v>
          </cell>
        </row>
        <row r="235">
          <cell r="X235">
            <v>0</v>
          </cell>
          <cell r="AD235">
            <v>1876</v>
          </cell>
        </row>
        <row r="236">
          <cell r="R236">
            <v>0</v>
          </cell>
          <cell r="X236">
            <v>0</v>
          </cell>
        </row>
        <row r="237">
          <cell r="X237">
            <v>0</v>
          </cell>
          <cell r="AD237">
            <v>0</v>
          </cell>
        </row>
        <row r="238">
          <cell r="X238">
            <v>0</v>
          </cell>
          <cell r="AD238">
            <v>1</v>
          </cell>
        </row>
        <row r="239">
          <cell r="X239">
            <v>0</v>
          </cell>
          <cell r="AD239">
            <v>0</v>
          </cell>
        </row>
        <row r="240">
          <cell r="X240">
            <v>0</v>
          </cell>
          <cell r="AD240">
            <v>0</v>
          </cell>
        </row>
        <row r="241">
          <cell r="X241">
            <v>0</v>
          </cell>
          <cell r="AD241">
            <v>8707</v>
          </cell>
        </row>
        <row r="242">
          <cell r="R242">
            <v>0</v>
          </cell>
          <cell r="X242">
            <v>0</v>
          </cell>
        </row>
        <row r="243">
          <cell r="X243">
            <v>0</v>
          </cell>
          <cell r="AD243">
            <v>0</v>
          </cell>
        </row>
        <row r="244">
          <cell r="X244">
            <v>0</v>
          </cell>
          <cell r="AD244">
            <v>0</v>
          </cell>
        </row>
        <row r="245">
          <cell r="X245">
            <v>0</v>
          </cell>
          <cell r="AD245">
            <v>410.56</v>
          </cell>
        </row>
        <row r="246">
          <cell r="X246">
            <v>0</v>
          </cell>
          <cell r="AD246">
            <v>1058.64</v>
          </cell>
        </row>
        <row r="247">
          <cell r="X247">
            <v>0</v>
          </cell>
          <cell r="AD247">
            <v>0</v>
          </cell>
        </row>
        <row r="248">
          <cell r="R248">
            <v>0</v>
          </cell>
          <cell r="X248">
            <v>0</v>
          </cell>
        </row>
        <row r="249">
          <cell r="X249">
            <v>0</v>
          </cell>
          <cell r="AD249">
            <v>0</v>
          </cell>
        </row>
        <row r="250">
          <cell r="X250">
            <v>0</v>
          </cell>
          <cell r="AD250">
            <v>7180</v>
          </cell>
        </row>
        <row r="251">
          <cell r="X251">
            <v>0</v>
          </cell>
          <cell r="AD251">
            <v>681</v>
          </cell>
        </row>
        <row r="252">
          <cell r="X252">
            <v>0</v>
          </cell>
          <cell r="AD252">
            <v>1509</v>
          </cell>
        </row>
        <row r="253">
          <cell r="X253">
            <v>0</v>
          </cell>
          <cell r="AD253">
            <v>1957</v>
          </cell>
        </row>
        <row r="254">
          <cell r="X254">
            <v>0</v>
          </cell>
          <cell r="AD254">
            <v>0</v>
          </cell>
        </row>
        <row r="255">
          <cell r="X255">
            <v>0</v>
          </cell>
          <cell r="AD255">
            <v>0</v>
          </cell>
        </row>
        <row r="256">
          <cell r="X256">
            <v>0</v>
          </cell>
          <cell r="AD256">
            <v>6813</v>
          </cell>
        </row>
        <row r="257">
          <cell r="X257">
            <v>0</v>
          </cell>
          <cell r="AD257">
            <v>644</v>
          </cell>
        </row>
        <row r="258">
          <cell r="X258">
            <v>0</v>
          </cell>
          <cell r="AD258">
            <v>1704</v>
          </cell>
        </row>
        <row r="259">
          <cell r="X259">
            <v>0</v>
          </cell>
          <cell r="AD259">
            <v>695</v>
          </cell>
        </row>
        <row r="260">
          <cell r="X260">
            <v>0</v>
          </cell>
          <cell r="AD260">
            <v>42</v>
          </cell>
        </row>
        <row r="261">
          <cell r="X261">
            <v>0</v>
          </cell>
          <cell r="AD261">
            <v>0</v>
          </cell>
        </row>
        <row r="262">
          <cell r="X262">
            <v>0</v>
          </cell>
          <cell r="AD262">
            <v>1421</v>
          </cell>
        </row>
        <row r="263">
          <cell r="X263">
            <v>0</v>
          </cell>
          <cell r="AD263">
            <v>677</v>
          </cell>
        </row>
        <row r="264">
          <cell r="X264">
            <v>0</v>
          </cell>
          <cell r="AD264">
            <v>894</v>
          </cell>
        </row>
        <row r="265">
          <cell r="X265">
            <v>0</v>
          </cell>
          <cell r="AD265">
            <v>1962</v>
          </cell>
        </row>
        <row r="266">
          <cell r="X266">
            <v>0</v>
          </cell>
          <cell r="AD266">
            <v>152</v>
          </cell>
        </row>
        <row r="267">
          <cell r="X267">
            <v>0</v>
          </cell>
          <cell r="AD267">
            <v>3043</v>
          </cell>
        </row>
        <row r="268">
          <cell r="X268">
            <v>0</v>
          </cell>
          <cell r="AD268">
            <v>0</v>
          </cell>
        </row>
        <row r="269">
          <cell r="X269">
            <v>0</v>
          </cell>
          <cell r="AD269">
            <v>0</v>
          </cell>
        </row>
        <row r="270">
          <cell r="X270">
            <v>0</v>
          </cell>
          <cell r="AD27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urito"/>
      <sheetName val="Results of Operations"/>
      <sheetName val="Restating AJEs"/>
      <sheetName val="Proforma AJEs"/>
      <sheetName val="Cost Allocations-Contracts"/>
      <sheetName val="Cost Allocations-Recycle"/>
      <sheetName val="Cost Allocations-Rolloff"/>
      <sheetName val="Depr Allocation"/>
      <sheetName val="Hours &amp; Miles"/>
      <sheetName val="Container Count"/>
      <sheetName val="Wutc Balance Sheet"/>
      <sheetName val="Monthy Income Statements"/>
    </sheetNames>
    <sheetDataSet>
      <sheetData sheetId="1">
        <row r="11">
          <cell r="C11">
            <v>1570488.1799999997</v>
          </cell>
          <cell r="N11">
            <v>1570488.1799999997</v>
          </cell>
        </row>
        <row r="12">
          <cell r="N12">
            <v>0</v>
          </cell>
        </row>
        <row r="13">
          <cell r="N13">
            <v>0</v>
          </cell>
        </row>
        <row r="14">
          <cell r="C14">
            <v>270406.99</v>
          </cell>
          <cell r="N14">
            <v>270406.99</v>
          </cell>
        </row>
        <row r="15">
          <cell r="C15">
            <v>365746.29000000004</v>
          </cell>
          <cell r="N15">
            <v>366706.02999999997</v>
          </cell>
        </row>
        <row r="16">
          <cell r="N16">
            <v>0</v>
          </cell>
        </row>
        <row r="17">
          <cell r="N17">
            <v>0</v>
          </cell>
        </row>
        <row r="18">
          <cell r="C18">
            <v>0</v>
          </cell>
          <cell r="N18">
            <v>0</v>
          </cell>
        </row>
        <row r="19">
          <cell r="N19">
            <v>0</v>
          </cell>
        </row>
        <row r="25">
          <cell r="N25">
            <v>59187.93732138288</v>
          </cell>
        </row>
        <row r="26">
          <cell r="N26">
            <v>2232.75</v>
          </cell>
        </row>
        <row r="27">
          <cell r="N27">
            <v>7395.205756097561</v>
          </cell>
        </row>
        <row r="28">
          <cell r="N28">
            <v>82.5</v>
          </cell>
        </row>
        <row r="29">
          <cell r="N29">
            <v>0</v>
          </cell>
        </row>
        <row r="30">
          <cell r="N30">
            <v>35099.814956932285</v>
          </cell>
        </row>
        <row r="31">
          <cell r="N31">
            <v>4851.46</v>
          </cell>
        </row>
        <row r="32">
          <cell r="N32">
            <v>4166.935317073171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18985.15809626244</v>
          </cell>
        </row>
        <row r="36">
          <cell r="N36">
            <v>1659.58</v>
          </cell>
        </row>
        <row r="37">
          <cell r="N37">
            <v>18243.325350990322</v>
          </cell>
        </row>
        <row r="39">
          <cell r="N39">
            <v>0</v>
          </cell>
        </row>
        <row r="40">
          <cell r="N40">
            <v>250163.17923324395</v>
          </cell>
        </row>
        <row r="41">
          <cell r="N41">
            <v>48019.18000000001</v>
          </cell>
        </row>
        <row r="42">
          <cell r="N42">
            <v>9275.881816913547</v>
          </cell>
        </row>
        <row r="43">
          <cell r="N43">
            <v>0</v>
          </cell>
        </row>
        <row r="44">
          <cell r="N44">
            <v>55664.030588123</v>
          </cell>
        </row>
        <row r="45">
          <cell r="N45">
            <v>19387.63370649264</v>
          </cell>
        </row>
        <row r="46">
          <cell r="N46">
            <v>0</v>
          </cell>
        </row>
        <row r="47">
          <cell r="N47">
            <v>4703.099876398333</v>
          </cell>
        </row>
        <row r="48">
          <cell r="N48">
            <v>0</v>
          </cell>
        </row>
        <row r="50">
          <cell r="N50">
            <v>359294.6600456168</v>
          </cell>
        </row>
        <row r="51">
          <cell r="N51">
            <v>257625.00999999995</v>
          </cell>
        </row>
        <row r="52">
          <cell r="N52">
            <v>115632.74599685206</v>
          </cell>
        </row>
        <row r="53">
          <cell r="N53">
            <v>109081.02</v>
          </cell>
        </row>
        <row r="54">
          <cell r="N54">
            <v>0</v>
          </cell>
        </row>
        <row r="56">
          <cell r="N56">
            <v>0</v>
          </cell>
        </row>
        <row r="57">
          <cell r="N57">
            <v>3225</v>
          </cell>
        </row>
        <row r="59">
          <cell r="N59">
            <v>36319.526506167145</v>
          </cell>
        </row>
        <row r="60">
          <cell r="N60">
            <v>21275.189752642782</v>
          </cell>
        </row>
        <row r="61">
          <cell r="N61">
            <v>0</v>
          </cell>
        </row>
        <row r="63">
          <cell r="N63">
            <v>63826.53374999999</v>
          </cell>
        </row>
        <row r="64">
          <cell r="N64">
            <v>53684.9194</v>
          </cell>
        </row>
        <row r="65">
          <cell r="N65">
            <v>76874.86642499999</v>
          </cell>
        </row>
        <row r="66">
          <cell r="N66">
            <v>14746.110224999997</v>
          </cell>
        </row>
        <row r="67">
          <cell r="N67">
            <v>0</v>
          </cell>
        </row>
        <row r="68">
          <cell r="N68">
            <v>451.8682</v>
          </cell>
        </row>
        <row r="69">
          <cell r="N69">
            <v>5304.7008</v>
          </cell>
        </row>
        <row r="70">
          <cell r="N70">
            <v>7593.205375000001</v>
          </cell>
        </row>
        <row r="71">
          <cell r="N71">
            <v>377.29999999999995</v>
          </cell>
        </row>
        <row r="72">
          <cell r="N72">
            <v>11326.468825</v>
          </cell>
        </row>
        <row r="73">
          <cell r="N73">
            <v>83781.59999999998</v>
          </cell>
        </row>
        <row r="74">
          <cell r="N74">
            <v>9388.93375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10875.83</v>
          </cell>
        </row>
        <row r="78">
          <cell r="N78">
            <v>11278.303049999999</v>
          </cell>
        </row>
        <row r="79">
          <cell r="N79">
            <v>0</v>
          </cell>
        </row>
        <row r="80">
          <cell r="N80">
            <v>223.29999999999998</v>
          </cell>
        </row>
        <row r="82">
          <cell r="N82">
            <v>163708.12378313148</v>
          </cell>
        </row>
        <row r="83">
          <cell r="N83">
            <v>-9784.580954010182</v>
          </cell>
        </row>
        <row r="85">
          <cell r="N85">
            <v>0</v>
          </cell>
        </row>
        <row r="87">
          <cell r="N87">
            <v>4157.704797456368</v>
          </cell>
        </row>
        <row r="88">
          <cell r="N88">
            <v>2123.8568780487803</v>
          </cell>
        </row>
        <row r="89">
          <cell r="N89">
            <v>41064.37212276386</v>
          </cell>
        </row>
        <row r="90">
          <cell r="N90">
            <v>516.6831988022273</v>
          </cell>
        </row>
        <row r="91">
          <cell r="N91">
            <v>511.0660604106089</v>
          </cell>
        </row>
        <row r="92">
          <cell r="N92">
            <v>32525.655411591222</v>
          </cell>
        </row>
        <row r="93">
          <cell r="N93">
            <v>11534.289999999999</v>
          </cell>
        </row>
        <row r="94">
          <cell r="N94">
            <v>1045.1444086186602</v>
          </cell>
        </row>
        <row r="96">
          <cell r="N96">
            <v>70876.75</v>
          </cell>
        </row>
        <row r="97">
          <cell r="N97">
            <v>0</v>
          </cell>
        </row>
        <row r="105">
          <cell r="N105">
            <v>940645.5418895655</v>
          </cell>
        </row>
      </sheetData>
      <sheetData sheetId="3"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</sheetData>
      <sheetData sheetId="7">
        <row r="12">
          <cell r="D12">
            <v>113951.31452201457</v>
          </cell>
          <cell r="E12">
            <v>20219.31428571429</v>
          </cell>
          <cell r="F12">
            <v>6047.26829268293</v>
          </cell>
          <cell r="G12">
            <v>17656.041760719094</v>
          </cell>
          <cell r="H12">
            <v>6713.400000000001</v>
          </cell>
          <cell r="I12">
            <v>1401.675877091972</v>
          </cell>
          <cell r="J12">
            <v>458.67500000000007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98" zoomScaleNormal="98" zoomScalePageLayoutView="0" workbookViewId="0" topLeftCell="A40">
      <pane xSplit="2385" topLeftCell="A1" activePane="topRight" state="split"/>
      <selection pane="topLeft" activeCell="A29" sqref="A29:IV29"/>
      <selection pane="topRight" activeCell="I65" sqref="I65"/>
    </sheetView>
  </sheetViews>
  <sheetFormatPr defaultColWidth="9.140625" defaultRowHeight="12.75"/>
  <cols>
    <col min="2" max="2" width="10.140625" style="0" customWidth="1"/>
    <col min="5" max="5" width="13.421875" style="0" customWidth="1"/>
    <col min="6" max="6" width="11.28125" style="0" customWidth="1"/>
    <col min="7" max="7" width="12.7109375" style="0" customWidth="1"/>
    <col min="9" max="9" width="10.28125" style="0" bestFit="1" customWidth="1"/>
    <col min="10" max="10" width="13.28125" style="0" customWidth="1"/>
    <col min="11" max="11" width="10.421875" style="0" customWidth="1"/>
  </cols>
  <sheetData>
    <row r="1" spans="1:10" ht="12.75">
      <c r="A1" t="s">
        <v>0</v>
      </c>
      <c r="G1" t="s">
        <v>272</v>
      </c>
      <c r="J1" t="s">
        <v>273</v>
      </c>
    </row>
    <row r="2" spans="1:15" ht="12.75">
      <c r="A2" t="s">
        <v>256</v>
      </c>
      <c r="G2" s="9">
        <f>+H2/E78</f>
        <v>0.17762789575522356</v>
      </c>
      <c r="H2" s="68">
        <f>+'Lurito-Chelan'!E10</f>
        <v>218725.63357564632</v>
      </c>
      <c r="I2" t="s">
        <v>262</v>
      </c>
      <c r="J2" s="55">
        <f>+J80</f>
        <v>118716.78</v>
      </c>
      <c r="K2" s="72">
        <f>+J2/E78</f>
        <v>0.09641033598808949</v>
      </c>
      <c r="L2" s="100">
        <v>0.096</v>
      </c>
      <c r="N2" t="str">
        <f>IF(C78='Service Counts'!I75,"OK","Error")</f>
        <v>OK</v>
      </c>
      <c r="O2" t="s">
        <v>173</v>
      </c>
    </row>
    <row r="3" spans="1:9" ht="12.75">
      <c r="A3" s="131" t="s">
        <v>369</v>
      </c>
      <c r="H3" s="9">
        <f>+G2</f>
        <v>0.17762789575522356</v>
      </c>
      <c r="I3" t="s">
        <v>264</v>
      </c>
    </row>
    <row r="4" spans="8:9" ht="12.75">
      <c r="H4" s="9">
        <f>+G2</f>
        <v>0.17762789575522356</v>
      </c>
      <c r="I4" t="s">
        <v>265</v>
      </c>
    </row>
    <row r="6" spans="1:3" ht="13.5" thickBot="1">
      <c r="A6" s="51" t="s">
        <v>194</v>
      </c>
      <c r="B6" s="5"/>
      <c r="C6" s="5"/>
    </row>
    <row r="7" spans="6:11" ht="12.75">
      <c r="F7" s="77"/>
      <c r="G7" s="78" t="s">
        <v>259</v>
      </c>
      <c r="H7" s="79"/>
      <c r="I7" s="77"/>
      <c r="J7" s="78" t="s">
        <v>79</v>
      </c>
      <c r="K7" s="79"/>
    </row>
    <row r="8" spans="3:13" ht="12.75">
      <c r="C8" s="2" t="s">
        <v>193</v>
      </c>
      <c r="D8" s="75" t="s">
        <v>257</v>
      </c>
      <c r="E8" s="75" t="s">
        <v>258</v>
      </c>
      <c r="F8" s="80" t="s">
        <v>259</v>
      </c>
      <c r="G8" s="75" t="s">
        <v>258</v>
      </c>
      <c r="H8" s="81" t="s">
        <v>261</v>
      </c>
      <c r="I8" s="80" t="s">
        <v>263</v>
      </c>
      <c r="J8" s="75" t="s">
        <v>258</v>
      </c>
      <c r="K8" s="81" t="s">
        <v>261</v>
      </c>
      <c r="M8" s="125"/>
    </row>
    <row r="9" spans="1:13" ht="13.5" thickBot="1">
      <c r="A9" s="5" t="s">
        <v>192</v>
      </c>
      <c r="B9" s="5"/>
      <c r="C9" s="19" t="s">
        <v>173</v>
      </c>
      <c r="D9" s="76" t="s">
        <v>80</v>
      </c>
      <c r="E9" s="76" t="s">
        <v>1</v>
      </c>
      <c r="F9" s="73" t="s">
        <v>260</v>
      </c>
      <c r="G9" s="19" t="s">
        <v>1</v>
      </c>
      <c r="H9" s="74" t="s">
        <v>262</v>
      </c>
      <c r="I9" s="73" t="s">
        <v>260</v>
      </c>
      <c r="J9" s="19" t="s">
        <v>1</v>
      </c>
      <c r="K9" s="74" t="s">
        <v>262</v>
      </c>
      <c r="M9" s="125"/>
    </row>
    <row r="10" ht="12.75">
      <c r="A10" t="s">
        <v>195</v>
      </c>
    </row>
    <row r="11" spans="1:14" ht="12.75">
      <c r="A11" t="s">
        <v>274</v>
      </c>
      <c r="C11" s="53">
        <f>+'Service Counts'!I10</f>
        <v>12</v>
      </c>
      <c r="D11" s="55">
        <f>+'Service Counts'!G10</f>
        <v>14.72</v>
      </c>
      <c r="E11" s="52">
        <f>+C11*D11</f>
        <v>176.64000000000001</v>
      </c>
      <c r="F11" s="55">
        <f>+D11*(1+$H$4)</f>
        <v>17.33468262551689</v>
      </c>
      <c r="G11" s="55">
        <f>+C11*F11</f>
        <v>208.0161915062027</v>
      </c>
      <c r="H11" s="9">
        <f>+IF(C11=0,0,(G11-E11)/E11)</f>
        <v>0.17762789575522345</v>
      </c>
      <c r="I11" s="82">
        <v>16.15</v>
      </c>
      <c r="J11" s="55">
        <f>+C11*I11</f>
        <v>193.79999999999998</v>
      </c>
      <c r="K11" s="9">
        <f>+IF(C11=0,0,(J11-E11)/E11)</f>
        <v>0.09714673913043459</v>
      </c>
      <c r="L11" s="55">
        <f>+D11*(1+$L$2)</f>
        <v>16.13312</v>
      </c>
      <c r="M11" s="126"/>
      <c r="N11" s="126"/>
    </row>
    <row r="12" spans="1:14" ht="12.75">
      <c r="A12" t="s">
        <v>196</v>
      </c>
      <c r="C12" s="53">
        <f>+'Service Counts'!I11</f>
        <v>53</v>
      </c>
      <c r="D12" s="55">
        <f>+'Service Counts'!G11</f>
        <v>8.69</v>
      </c>
      <c r="E12" s="52">
        <f>+C12*D12</f>
        <v>460.57</v>
      </c>
      <c r="F12" s="55">
        <f>+D12*(1+$H$4)</f>
        <v>10.233586414112892</v>
      </c>
      <c r="G12" s="55">
        <f>+C12*F12</f>
        <v>542.3800799479833</v>
      </c>
      <c r="H12" s="9">
        <f>+IF(C12=0,0,(G12-E12)/E12)</f>
        <v>0.17762789575522353</v>
      </c>
      <c r="I12" s="82">
        <v>9.5</v>
      </c>
      <c r="J12" s="63">
        <f>+C12*I12</f>
        <v>503.5</v>
      </c>
      <c r="K12" s="9">
        <f>+IF(C12=0,0,(J12-E12)/E12)</f>
        <v>0.09321058688147298</v>
      </c>
      <c r="L12" s="55">
        <f>+D12*(1+$L$2)</f>
        <v>9.52424</v>
      </c>
      <c r="M12" s="126"/>
      <c r="N12" s="126"/>
    </row>
    <row r="13" spans="1:14" ht="12.75">
      <c r="A13" t="s">
        <v>197</v>
      </c>
      <c r="C13" s="53">
        <f>+'Service Counts'!I12</f>
        <v>16</v>
      </c>
      <c r="D13" s="55">
        <f>+'Service Counts'!G12</f>
        <v>12.69</v>
      </c>
      <c r="E13" s="6">
        <f>+C13*D13</f>
        <v>203.04</v>
      </c>
      <c r="F13" s="55">
        <f aca="true" t="shared" si="0" ref="F13:F34">+D13*(1+$H$4)</f>
        <v>14.944097997133786</v>
      </c>
      <c r="G13" s="63">
        <f>+C13*F13</f>
        <v>239.10556795414058</v>
      </c>
      <c r="H13" s="9">
        <f aca="true" t="shared" si="1" ref="H13:H34">+IF(C13=0,0,(G13-E13)/E13)</f>
        <v>0.17762789575522356</v>
      </c>
      <c r="I13" s="82">
        <v>13.85</v>
      </c>
      <c r="J13" s="63">
        <f aca="true" t="shared" si="2" ref="J13:J34">+C13*I13</f>
        <v>221.6</v>
      </c>
      <c r="K13" s="9">
        <f aca="true" t="shared" si="3" ref="K13:K34">+IF(C13=0,0,(J13-E13)/E13)</f>
        <v>0.0914105594956659</v>
      </c>
      <c r="L13" s="55">
        <f aca="true" t="shared" si="4" ref="L13:L34">+D13*(1+$L$2)</f>
        <v>13.908240000000001</v>
      </c>
      <c r="M13" s="126"/>
      <c r="N13" s="126"/>
    </row>
    <row r="14" spans="1:14" ht="12.75">
      <c r="A14" t="s">
        <v>198</v>
      </c>
      <c r="C14" s="53">
        <f>+'Service Counts'!I13</f>
        <v>1</v>
      </c>
      <c r="D14" s="55">
        <f>+'Service Counts'!G13</f>
        <v>16.69</v>
      </c>
      <c r="E14" s="6">
        <f aca="true" t="shared" si="5" ref="E14:E34">+C14*D14</f>
        <v>16.69</v>
      </c>
      <c r="F14" s="55">
        <f t="shared" si="0"/>
        <v>19.65460958015468</v>
      </c>
      <c r="G14" s="63">
        <f aca="true" t="shared" si="6" ref="G14:G34">+C14*F14</f>
        <v>19.65460958015468</v>
      </c>
      <c r="H14" s="9">
        <f t="shared" si="1"/>
        <v>0.17762789575522342</v>
      </c>
      <c r="I14" s="82">
        <v>18.2</v>
      </c>
      <c r="J14" s="63">
        <f t="shared" si="2"/>
        <v>18.2</v>
      </c>
      <c r="K14" s="9">
        <f t="shared" si="3"/>
        <v>0.09047333732774103</v>
      </c>
      <c r="L14" s="55">
        <f t="shared" si="4"/>
        <v>18.292240000000003</v>
      </c>
      <c r="M14" s="126"/>
      <c r="N14" s="126"/>
    </row>
    <row r="15" spans="1:14" ht="12.75">
      <c r="A15" t="s">
        <v>199</v>
      </c>
      <c r="C15" s="53">
        <f>+'Service Counts'!I14</f>
        <v>780</v>
      </c>
      <c r="D15" s="55">
        <f>+'Service Counts'!G14</f>
        <v>18.1</v>
      </c>
      <c r="E15" s="6">
        <f t="shared" si="5"/>
        <v>14118.000000000002</v>
      </c>
      <c r="F15" s="55">
        <f t="shared" si="0"/>
        <v>21.315064913169547</v>
      </c>
      <c r="G15" s="63">
        <f t="shared" si="6"/>
        <v>16625.750632272247</v>
      </c>
      <c r="H15" s="9">
        <f t="shared" si="1"/>
        <v>0.1776278957552235</v>
      </c>
      <c r="I15" s="82">
        <v>19.85</v>
      </c>
      <c r="J15" s="63">
        <f t="shared" si="2"/>
        <v>15483.000000000002</v>
      </c>
      <c r="K15" s="9">
        <f t="shared" si="3"/>
        <v>0.09668508287292817</v>
      </c>
      <c r="L15" s="55">
        <f t="shared" si="4"/>
        <v>19.837600000000002</v>
      </c>
      <c r="M15" s="126"/>
      <c r="N15" s="126"/>
    </row>
    <row r="16" spans="1:14" ht="12.75">
      <c r="A16" t="s">
        <v>201</v>
      </c>
      <c r="C16" s="53">
        <f>+'Service Counts'!I15</f>
        <v>327.35</v>
      </c>
      <c r="D16" s="55">
        <f>+'Service Counts'!G15</f>
        <v>22.25</v>
      </c>
      <c r="E16" s="6">
        <f t="shared" si="5"/>
        <v>7283.5375</v>
      </c>
      <c r="F16" s="55">
        <f t="shared" si="0"/>
        <v>26.202220680553722</v>
      </c>
      <c r="G16" s="63">
        <f t="shared" si="6"/>
        <v>8577.296939779262</v>
      </c>
      <c r="H16" s="9">
        <f t="shared" si="1"/>
        <v>0.17762789575522359</v>
      </c>
      <c r="I16" s="82">
        <v>24.4</v>
      </c>
      <c r="J16" s="63">
        <f t="shared" si="2"/>
        <v>7987.34</v>
      </c>
      <c r="K16" s="9">
        <f t="shared" si="3"/>
        <v>0.09662921348314603</v>
      </c>
      <c r="L16" s="55">
        <f t="shared" si="4"/>
        <v>24.386000000000003</v>
      </c>
      <c r="M16" s="55"/>
      <c r="N16" s="55"/>
    </row>
    <row r="17" spans="1:14" ht="12.75">
      <c r="A17" t="s">
        <v>200</v>
      </c>
      <c r="C17" s="53">
        <f>+'Service Counts'!I16</f>
        <v>44.75</v>
      </c>
      <c r="D17" s="55">
        <f>+'Service Counts'!G16</f>
        <v>27.94</v>
      </c>
      <c r="E17" s="6">
        <f t="shared" si="5"/>
        <v>1250.315</v>
      </c>
      <c r="F17" s="55">
        <f t="shared" si="0"/>
        <v>32.90292340740095</v>
      </c>
      <c r="G17" s="63">
        <f t="shared" si="6"/>
        <v>1472.4058224811924</v>
      </c>
      <c r="H17" s="9">
        <f t="shared" si="1"/>
        <v>0.17762789575522359</v>
      </c>
      <c r="I17" s="82">
        <v>30.6</v>
      </c>
      <c r="J17" s="63">
        <f t="shared" si="2"/>
        <v>1369.3500000000001</v>
      </c>
      <c r="K17" s="9">
        <f t="shared" si="3"/>
        <v>0.09520400858983542</v>
      </c>
      <c r="L17" s="55">
        <f t="shared" si="4"/>
        <v>30.622240000000005</v>
      </c>
      <c r="M17" s="55"/>
      <c r="N17" s="55"/>
    </row>
    <row r="18" spans="1:14" ht="12.75">
      <c r="A18" t="s">
        <v>202</v>
      </c>
      <c r="C18" s="53">
        <f>+'Service Counts'!I17</f>
        <v>15.75</v>
      </c>
      <c r="D18" s="55">
        <f>+'Service Counts'!G17</f>
        <v>33.98</v>
      </c>
      <c r="E18" s="6">
        <f t="shared" si="5"/>
        <v>535.185</v>
      </c>
      <c r="F18" s="55">
        <f t="shared" si="0"/>
        <v>40.015795897762494</v>
      </c>
      <c r="G18" s="63">
        <f t="shared" si="6"/>
        <v>630.2487853897593</v>
      </c>
      <c r="H18" s="9">
        <f t="shared" si="1"/>
        <v>0.1776278957552236</v>
      </c>
      <c r="I18" s="82">
        <v>37.25</v>
      </c>
      <c r="J18" s="63">
        <f t="shared" si="2"/>
        <v>586.6875</v>
      </c>
      <c r="K18" s="9">
        <f t="shared" si="3"/>
        <v>0.09623307828134207</v>
      </c>
      <c r="L18" s="55">
        <f t="shared" si="4"/>
        <v>37.24208</v>
      </c>
      <c r="M18" s="55"/>
      <c r="N18" s="55"/>
    </row>
    <row r="19" spans="1:14" ht="12.75">
      <c r="A19" t="s">
        <v>203</v>
      </c>
      <c r="C19" s="53">
        <f>+'Service Counts'!I18</f>
        <v>0</v>
      </c>
      <c r="D19" s="55">
        <f>+'Service Counts'!G18</f>
        <v>38.71</v>
      </c>
      <c r="E19" s="6">
        <f t="shared" si="5"/>
        <v>0</v>
      </c>
      <c r="F19" s="55">
        <f t="shared" si="0"/>
        <v>45.585975844684704</v>
      </c>
      <c r="G19" s="63">
        <f t="shared" si="6"/>
        <v>0</v>
      </c>
      <c r="H19" s="9">
        <f t="shared" si="1"/>
        <v>0</v>
      </c>
      <c r="I19" s="82">
        <v>42.45</v>
      </c>
      <c r="J19" s="63">
        <f t="shared" si="2"/>
        <v>0</v>
      </c>
      <c r="K19" s="9">
        <f t="shared" si="3"/>
        <v>0</v>
      </c>
      <c r="L19" s="55">
        <f t="shared" si="4"/>
        <v>42.42616</v>
      </c>
      <c r="M19" s="55"/>
      <c r="N19" s="55"/>
    </row>
    <row r="20" spans="1:14" ht="12.75">
      <c r="A20" t="s">
        <v>204</v>
      </c>
      <c r="C20" s="53">
        <f>+'Service Counts'!I19</f>
        <v>25</v>
      </c>
      <c r="D20" s="55">
        <f>+'Service Counts'!G19</f>
        <v>44.69</v>
      </c>
      <c r="E20" s="6">
        <f t="shared" si="5"/>
        <v>1117.25</v>
      </c>
      <c r="F20" s="55">
        <f t="shared" si="0"/>
        <v>52.628190661300934</v>
      </c>
      <c r="G20" s="63">
        <f t="shared" si="6"/>
        <v>1315.7047665325233</v>
      </c>
      <c r="H20" s="9">
        <f t="shared" si="1"/>
        <v>0.17762789575522336</v>
      </c>
      <c r="I20" s="82">
        <v>49</v>
      </c>
      <c r="J20" s="63">
        <f t="shared" si="2"/>
        <v>1225</v>
      </c>
      <c r="K20" s="9">
        <f t="shared" si="3"/>
        <v>0.09644215708212128</v>
      </c>
      <c r="L20" s="55">
        <f t="shared" si="4"/>
        <v>48.98024</v>
      </c>
      <c r="M20" s="55"/>
      <c r="N20" s="55"/>
    </row>
    <row r="21" spans="1:14" ht="12.75">
      <c r="A21" s="130" t="s">
        <v>352</v>
      </c>
      <c r="C21" s="53">
        <f>+'Service Counts'!I20</f>
        <v>79.05</v>
      </c>
      <c r="D21" s="55">
        <f>+'Service Counts'!G20</f>
        <v>12</v>
      </c>
      <c r="E21" s="6">
        <f>+C21*D21</f>
        <v>948.5999999999999</v>
      </c>
      <c r="F21" s="55">
        <f>+D21*(1+$H$4)</f>
        <v>14.131534749062682</v>
      </c>
      <c r="G21" s="63">
        <f>+C21*F21</f>
        <v>1117.097821913405</v>
      </c>
      <c r="H21" s="9">
        <f>+IF(C21=0,0,(G21-E21)/E21)</f>
        <v>0.1776278957552235</v>
      </c>
      <c r="I21" s="82">
        <v>13.15</v>
      </c>
      <c r="J21" s="63">
        <f>+C21*I21</f>
        <v>1039.5075</v>
      </c>
      <c r="K21" s="9">
        <f>+IF(C21=0,0,(J21-E21)/E21)</f>
        <v>0.09583333333333337</v>
      </c>
      <c r="L21" s="55">
        <f>+D21*(1+$L$2)</f>
        <v>13.152000000000001</v>
      </c>
      <c r="M21" s="55"/>
      <c r="N21" s="55"/>
    </row>
    <row r="22" spans="1:14" ht="12.75">
      <c r="A22" s="130" t="s">
        <v>353</v>
      </c>
      <c r="C22" s="53">
        <f>+'Service Counts'!I21</f>
        <v>5923.35</v>
      </c>
      <c r="D22" s="55">
        <f>+'Service Counts'!G21</f>
        <v>18.1</v>
      </c>
      <c r="E22" s="6">
        <f>+C22*D22</f>
        <v>107212.63500000001</v>
      </c>
      <c r="F22" s="55">
        <f>+D22*(1+$H$4)</f>
        <v>21.315064913169547</v>
      </c>
      <c r="G22" s="63">
        <f>+C22*F22</f>
        <v>126256.58975342284</v>
      </c>
      <c r="H22" s="9">
        <f>+IF(C22=0,0,(G22-E22)/E22)</f>
        <v>0.17762789575522356</v>
      </c>
      <c r="I22" s="82">
        <v>19.85</v>
      </c>
      <c r="J22" s="63">
        <f>+C22*I22</f>
        <v>117578.49750000001</v>
      </c>
      <c r="K22" s="9">
        <f>+IF(C22=0,0,(J22-E22)/E22)</f>
        <v>0.0966850828729282</v>
      </c>
      <c r="L22" s="55">
        <f>+D22*(1+$L$2)</f>
        <v>19.837600000000002</v>
      </c>
      <c r="M22" s="55"/>
      <c r="N22" s="55"/>
    </row>
    <row r="23" spans="1:14" ht="12.75">
      <c r="A23" s="130" t="s">
        <v>354</v>
      </c>
      <c r="C23" s="53">
        <f>+'Service Counts'!I22</f>
        <v>0</v>
      </c>
      <c r="D23" s="55">
        <f>+'Service Counts'!G22</f>
        <v>30.95</v>
      </c>
      <c r="E23" s="6">
        <f>+C23*D23</f>
        <v>0</v>
      </c>
      <c r="F23" s="55">
        <f>+D23*(1+$H$4)</f>
        <v>36.44758337362417</v>
      </c>
      <c r="G23" s="63">
        <f>+C23*F23</f>
        <v>0</v>
      </c>
      <c r="H23" s="9">
        <f>+IF(C23=0,0,(G23-E23)/E23)</f>
        <v>0</v>
      </c>
      <c r="I23" s="82">
        <v>36.45</v>
      </c>
      <c r="J23" s="63">
        <f>+C23*I23</f>
        <v>0</v>
      </c>
      <c r="K23" s="9">
        <f>+IF(C23=0,0,(J23-E23)/E23)</f>
        <v>0</v>
      </c>
      <c r="L23" s="55">
        <f>+D23*(1+$L$2)</f>
        <v>33.9212</v>
      </c>
      <c r="M23" s="55"/>
      <c r="N23" s="55"/>
    </row>
    <row r="24" spans="1:14" ht="12.75">
      <c r="A24" t="s">
        <v>347</v>
      </c>
      <c r="C24" s="53">
        <f>+'Service Counts'!I23</f>
        <v>59</v>
      </c>
      <c r="D24" s="55">
        <f>+'Service Counts'!G23</f>
        <v>13</v>
      </c>
      <c r="E24" s="6">
        <f>+C24*D24</f>
        <v>767</v>
      </c>
      <c r="F24" s="55">
        <f>+D24*(1+$H$4)</f>
        <v>15.309162644817906</v>
      </c>
      <c r="G24" s="63">
        <f>+C24*F24</f>
        <v>903.2405960442564</v>
      </c>
      <c r="H24" s="9">
        <f>+IF(C24=0,0,(G24-E24)/E24)</f>
        <v>0.17762789575522353</v>
      </c>
      <c r="I24" s="82">
        <v>14.25</v>
      </c>
      <c r="J24" s="63">
        <f>+C24*I24</f>
        <v>840.75</v>
      </c>
      <c r="K24" s="9">
        <f>+IF(C24=0,0,(J24-E24)/E24)</f>
        <v>0.09615384615384616</v>
      </c>
      <c r="L24" s="55">
        <f>+D24*(1+$L$2)</f>
        <v>14.248000000000001</v>
      </c>
      <c r="M24" s="126"/>
      <c r="N24" s="126"/>
    </row>
    <row r="25" spans="1:14" ht="12.75">
      <c r="A25" t="s">
        <v>321</v>
      </c>
      <c r="C25" s="53">
        <f>+'Service Counts'!I24</f>
        <v>8992.7</v>
      </c>
      <c r="D25" s="55">
        <f>+'Service Counts'!G24</f>
        <v>22.25</v>
      </c>
      <c r="E25" s="6">
        <f>+C25*D25</f>
        <v>200087.575</v>
      </c>
      <c r="F25" s="55">
        <f>+D25*(1+$H$4)</f>
        <v>26.202220680553722</v>
      </c>
      <c r="G25" s="63">
        <f>+C25*F25</f>
        <v>235628.7099140155</v>
      </c>
      <c r="H25" s="9">
        <f>+IF(C25=0,0,(G25-E25)/E25)</f>
        <v>0.17762789575522356</v>
      </c>
      <c r="I25" s="82">
        <v>24.4</v>
      </c>
      <c r="J25" s="63">
        <f>+C25*I25</f>
        <v>219421.88</v>
      </c>
      <c r="K25" s="9">
        <f>+IF(C25=0,0,(J25-E25)/E25)</f>
        <v>0.09662921348314603</v>
      </c>
      <c r="L25" s="55">
        <f>+D25*(1+$L$2)</f>
        <v>24.386000000000003</v>
      </c>
      <c r="M25" s="126"/>
      <c r="N25" s="126"/>
    </row>
    <row r="26" spans="1:14" ht="12.75">
      <c r="A26" t="s">
        <v>322</v>
      </c>
      <c r="C26" s="53">
        <f>+'Service Counts'!I25</f>
        <v>354.25</v>
      </c>
      <c r="D26" s="55">
        <f>+'Service Counts'!G25</f>
        <v>36.05</v>
      </c>
      <c r="E26" s="6">
        <f>+C26*D26</f>
        <v>12770.7125</v>
      </c>
      <c r="F26" s="55">
        <f>+D26*(1+$H$4)</f>
        <v>42.4534856419758</v>
      </c>
      <c r="G26" s="63">
        <f>+C26*F26</f>
        <v>15039.147288669928</v>
      </c>
      <c r="H26" s="9">
        <f>+IF(C26=0,0,(G26-E26)/E26)</f>
        <v>0.17762789575522345</v>
      </c>
      <c r="I26" s="82">
        <v>42.45</v>
      </c>
      <c r="J26" s="63">
        <f>+C26*I26</f>
        <v>15037.9125</v>
      </c>
      <c r="K26" s="9">
        <f>+IF(C26=0,0,(J26-E26)/E26)</f>
        <v>0.1775312066574203</v>
      </c>
      <c r="L26" s="55">
        <f>+D26*(1+$L$2)</f>
        <v>39.5108</v>
      </c>
      <c r="M26" s="126"/>
      <c r="N26" s="126"/>
    </row>
    <row r="27" spans="1:14" ht="12.75">
      <c r="A27" t="s">
        <v>323</v>
      </c>
      <c r="C27" s="53">
        <f>+'Service Counts'!I26</f>
        <v>4556.7</v>
      </c>
      <c r="D27" s="55">
        <f>+'Service Counts'!G26</f>
        <v>27.94</v>
      </c>
      <c r="E27" s="6">
        <f>+C27*D27</f>
        <v>127314.198</v>
      </c>
      <c r="F27" s="55">
        <f>+D27*(1+$H$4)</f>
        <v>32.90292340740095</v>
      </c>
      <c r="G27" s="63">
        <f>+C27*F27</f>
        <v>149928.75109050388</v>
      </c>
      <c r="H27" s="9">
        <f>+IF(C27=0,0,(G27-E27)/E27)</f>
        <v>0.17762789575522342</v>
      </c>
      <c r="I27" s="82">
        <v>30.6</v>
      </c>
      <c r="J27" s="63">
        <f>+C27*I27</f>
        <v>139435.02</v>
      </c>
      <c r="K27" s="9">
        <f>+IF(C27=0,0,(J27-E27)/E27)</f>
        <v>0.09520400858983524</v>
      </c>
      <c r="L27" s="55">
        <f>+D27*(1+$L$2)</f>
        <v>30.622240000000005</v>
      </c>
      <c r="M27" s="126"/>
      <c r="N27" s="126"/>
    </row>
    <row r="28" spans="1:14" ht="12.75">
      <c r="A28" t="s">
        <v>324</v>
      </c>
      <c r="C28" s="53">
        <f>+'Service Counts'!I27</f>
        <v>1120.05</v>
      </c>
      <c r="D28" s="55">
        <f>+'Service Counts'!G27</f>
        <v>49.05</v>
      </c>
      <c r="E28" s="6">
        <f>+C28*D28</f>
        <v>54938.45249999999</v>
      </c>
      <c r="F28" s="55">
        <f>+D28*(1+$H$4)</f>
        <v>57.76264828679371</v>
      </c>
      <c r="G28" s="63">
        <f>+C28*F28</f>
        <v>64697.0542136233</v>
      </c>
      <c r="H28" s="9">
        <f>+IF(C28=0,0,(G28-E28)/E28)</f>
        <v>0.17762789575522367</v>
      </c>
      <c r="I28" s="82">
        <v>57.76</v>
      </c>
      <c r="J28" s="63">
        <f>+C28*I28</f>
        <v>64694.087999999996</v>
      </c>
      <c r="K28" s="9">
        <f>+IF(C28=0,0,(J28-E28)/E28)</f>
        <v>0.17757390417940885</v>
      </c>
      <c r="L28" s="55">
        <f>+D28*(1+$L$2)</f>
        <v>53.7588</v>
      </c>
      <c r="M28" s="126"/>
      <c r="N28" s="126"/>
    </row>
    <row r="29" spans="1:14" ht="12.75">
      <c r="A29" t="s">
        <v>205</v>
      </c>
      <c r="C29" s="53">
        <f>+'Service Counts'!I28</f>
        <v>2257</v>
      </c>
      <c r="D29" s="55">
        <f>+'Service Counts'!G28</f>
        <v>4</v>
      </c>
      <c r="E29" s="6">
        <f t="shared" si="5"/>
        <v>9028</v>
      </c>
      <c r="F29" s="55">
        <f t="shared" si="0"/>
        <v>4.710511583020894</v>
      </c>
      <c r="G29" s="63">
        <f t="shared" si="6"/>
        <v>10631.624642878158</v>
      </c>
      <c r="H29" s="9">
        <f t="shared" si="1"/>
        <v>0.1776278957552235</v>
      </c>
      <c r="I29" s="82">
        <v>4.35</v>
      </c>
      <c r="J29" s="63">
        <f t="shared" si="2"/>
        <v>9817.949999999999</v>
      </c>
      <c r="K29" s="9">
        <f t="shared" si="3"/>
        <v>0.08749999999999988</v>
      </c>
      <c r="L29" s="55">
        <f t="shared" si="4"/>
        <v>4.384</v>
      </c>
      <c r="M29" s="126"/>
      <c r="N29" s="126"/>
    </row>
    <row r="30" spans="1:14" ht="12.75">
      <c r="A30" t="s">
        <v>310</v>
      </c>
      <c r="C30" s="53">
        <f>+'Service Counts'!I29</f>
        <v>0</v>
      </c>
      <c r="D30" s="55">
        <f>+'Service Counts'!G29</f>
        <v>2.95</v>
      </c>
      <c r="E30" s="6">
        <f t="shared" si="5"/>
        <v>0</v>
      </c>
      <c r="F30" s="55">
        <f t="shared" si="0"/>
        <v>3.4740022924779095</v>
      </c>
      <c r="G30" s="63">
        <f t="shared" si="6"/>
        <v>0</v>
      </c>
      <c r="H30" s="9">
        <f t="shared" si="1"/>
        <v>0</v>
      </c>
      <c r="I30" s="82">
        <v>3.25</v>
      </c>
      <c r="J30" s="63">
        <f t="shared" si="2"/>
        <v>0</v>
      </c>
      <c r="K30" s="9">
        <f t="shared" si="3"/>
        <v>0</v>
      </c>
      <c r="L30" s="55">
        <f t="shared" si="4"/>
        <v>3.2332000000000005</v>
      </c>
      <c r="M30" s="126"/>
      <c r="N30" s="126"/>
    </row>
    <row r="31" spans="1:14" ht="12.75">
      <c r="A31" t="s">
        <v>325</v>
      </c>
      <c r="C31" s="53">
        <f>+'Service Counts'!I30</f>
        <v>0</v>
      </c>
      <c r="D31" s="55">
        <f>+'Service Counts'!G30</f>
        <v>1.8</v>
      </c>
      <c r="E31" s="6">
        <f>+C31*D31</f>
        <v>0</v>
      </c>
      <c r="F31" s="55">
        <f>+D31*(1+$H$4)</f>
        <v>2.1197302123594026</v>
      </c>
      <c r="G31" s="63">
        <f>+C31*F31</f>
        <v>0</v>
      </c>
      <c r="H31" s="9">
        <f>+IF(C31=0,0,(G31-E31)/E31)</f>
        <v>0</v>
      </c>
      <c r="I31" s="82">
        <v>1.95</v>
      </c>
      <c r="J31" s="63">
        <f>+C31*I31</f>
        <v>0</v>
      </c>
      <c r="K31" s="9">
        <f>+IF(C31=0,0,(J31-E31)/E31)</f>
        <v>0</v>
      </c>
      <c r="L31" s="55">
        <f>+D31*(1+$L$2)</f>
        <v>1.9728</v>
      </c>
      <c r="M31" s="126"/>
      <c r="N31" s="126"/>
    </row>
    <row r="32" spans="1:14" ht="12.75">
      <c r="A32" t="s">
        <v>206</v>
      </c>
      <c r="C32" s="53">
        <f>+'Service Counts'!I31</f>
        <v>134.16</v>
      </c>
      <c r="D32" s="55">
        <f>+'Service Counts'!G31</f>
        <v>12.75</v>
      </c>
      <c r="E32" s="6">
        <f t="shared" si="5"/>
        <v>1710.54</v>
      </c>
      <c r="F32" s="55">
        <f t="shared" si="0"/>
        <v>15.0147556708791</v>
      </c>
      <c r="G32" s="63">
        <f t="shared" si="6"/>
        <v>2014.3796208051401</v>
      </c>
      <c r="H32" s="9">
        <f t="shared" si="1"/>
        <v>0.17762789575522359</v>
      </c>
      <c r="I32" s="82">
        <v>13.9</v>
      </c>
      <c r="J32" s="63">
        <f t="shared" si="2"/>
        <v>1864.824</v>
      </c>
      <c r="K32" s="9">
        <f t="shared" si="3"/>
        <v>0.09019607843137262</v>
      </c>
      <c r="L32" s="55">
        <f t="shared" si="4"/>
        <v>13.974</v>
      </c>
      <c r="M32" s="126"/>
      <c r="N32" s="126"/>
    </row>
    <row r="33" spans="1:14" ht="12.75">
      <c r="A33" t="s">
        <v>207</v>
      </c>
      <c r="C33" s="53">
        <f>+'Service Counts'!I32</f>
        <v>460.5</v>
      </c>
      <c r="D33" s="55">
        <v>20.46</v>
      </c>
      <c r="E33" s="6">
        <f t="shared" si="5"/>
        <v>9421.83</v>
      </c>
      <c r="F33" s="55">
        <f t="shared" si="0"/>
        <v>24.094266747151874</v>
      </c>
      <c r="G33" s="63">
        <f t="shared" si="6"/>
        <v>11095.409837063438</v>
      </c>
      <c r="H33" s="9">
        <f t="shared" si="1"/>
        <v>0.1776278957552236</v>
      </c>
      <c r="I33" s="82">
        <v>22.4</v>
      </c>
      <c r="J33" s="63">
        <f t="shared" si="2"/>
        <v>10315.199999999999</v>
      </c>
      <c r="K33" s="9">
        <f t="shared" si="3"/>
        <v>0.09481915933528826</v>
      </c>
      <c r="L33" s="55">
        <f t="shared" si="4"/>
        <v>22.424160000000004</v>
      </c>
      <c r="M33" s="126"/>
      <c r="N33" s="126"/>
    </row>
    <row r="34" spans="1:14" ht="12.75">
      <c r="A34" t="s">
        <v>208</v>
      </c>
      <c r="C34" s="53">
        <f>+'Service Counts'!I33</f>
        <v>0</v>
      </c>
      <c r="D34" s="55">
        <f>+'Service Counts'!G33</f>
        <v>12.3</v>
      </c>
      <c r="E34" s="42">
        <f t="shared" si="5"/>
        <v>0</v>
      </c>
      <c r="F34" s="55">
        <f t="shared" si="0"/>
        <v>14.48482311778925</v>
      </c>
      <c r="G34" s="84">
        <f t="shared" si="6"/>
        <v>0</v>
      </c>
      <c r="H34" s="9">
        <f t="shared" si="1"/>
        <v>0</v>
      </c>
      <c r="I34" s="82">
        <v>13.5</v>
      </c>
      <c r="J34" s="84">
        <f t="shared" si="2"/>
        <v>0</v>
      </c>
      <c r="K34" s="9">
        <f t="shared" si="3"/>
        <v>0</v>
      </c>
      <c r="L34" s="55">
        <f t="shared" si="4"/>
        <v>13.480800000000002</v>
      </c>
      <c r="M34" s="126"/>
      <c r="N34" s="126"/>
    </row>
    <row r="35" spans="3:14" ht="12.75">
      <c r="C35" s="53"/>
      <c r="D35" s="55"/>
      <c r="E35" s="52">
        <f>SUM(E11:E34)</f>
        <v>549360.7705000001</v>
      </c>
      <c r="G35" s="52">
        <f>SUM(G11:G34)</f>
        <v>646942.5681743833</v>
      </c>
      <c r="I35" s="83"/>
      <c r="J35" s="52">
        <f>SUM(J11:J34)</f>
        <v>607634.107</v>
      </c>
      <c r="K35" s="85">
        <f>(+J35-E35)/E35</f>
        <v>0.10607480480807256</v>
      </c>
      <c r="N35" s="126"/>
    </row>
    <row r="36" spans="1:14" ht="12.75">
      <c r="A36" t="s">
        <v>209</v>
      </c>
      <c r="C36" s="53"/>
      <c r="D36" s="55"/>
      <c r="I36" s="83"/>
      <c r="J36" s="63"/>
      <c r="N36" s="126"/>
    </row>
    <row r="37" spans="1:14" ht="12.75">
      <c r="A37" t="s">
        <v>210</v>
      </c>
      <c r="C37" s="53">
        <f>+'Service Counts'!I36</f>
        <v>7180</v>
      </c>
      <c r="D37" s="55">
        <f>+'Service Counts'!G36</f>
        <v>16.3</v>
      </c>
      <c r="E37" s="6">
        <f aca="true" t="shared" si="7" ref="E37:E51">+C37*D37</f>
        <v>117034</v>
      </c>
      <c r="F37" s="55">
        <f aca="true" t="shared" si="8" ref="F37:F51">+D37*(1+$H$4)</f>
        <v>19.195334700810143</v>
      </c>
      <c r="G37" s="63">
        <f aca="true" t="shared" si="9" ref="G37:G51">+C37*F37</f>
        <v>137822.50315181684</v>
      </c>
      <c r="H37" s="9">
        <f aca="true" t="shared" si="10" ref="H37:H51">+IF(C37=0,0,(G37-E37)/E37)</f>
        <v>0.1776278957552236</v>
      </c>
      <c r="I37" s="82">
        <v>17.8</v>
      </c>
      <c r="J37" s="63">
        <f aca="true" t="shared" si="11" ref="J37:J51">+C37*I37</f>
        <v>127804</v>
      </c>
      <c r="K37" s="9">
        <f aca="true" t="shared" si="12" ref="K37:K51">+IF(C37=0,0,(J37-E37)/E37)</f>
        <v>0.09202453987730061</v>
      </c>
      <c r="L37" s="55">
        <f aca="true" t="shared" si="13" ref="L37:L51">+D37*(1+$L$2)</f>
        <v>17.864800000000002</v>
      </c>
      <c r="N37" s="126"/>
    </row>
    <row r="38" spans="1:14" ht="12.75">
      <c r="A38" t="s">
        <v>211</v>
      </c>
      <c r="C38" s="53">
        <f>+'Service Counts'!I37</f>
        <v>1957</v>
      </c>
      <c r="D38" s="55">
        <f>+'Service Counts'!G37</f>
        <v>21.96</v>
      </c>
      <c r="E38" s="6">
        <f t="shared" si="7"/>
        <v>42975.72</v>
      </c>
      <c r="F38" s="55">
        <f t="shared" si="8"/>
        <v>25.86070859078471</v>
      </c>
      <c r="G38" s="63">
        <f t="shared" si="9"/>
        <v>50609.40671216568</v>
      </c>
      <c r="H38" s="9">
        <f t="shared" si="10"/>
        <v>0.17762789575522356</v>
      </c>
      <c r="I38" s="82">
        <v>23.15</v>
      </c>
      <c r="J38" s="63">
        <f t="shared" si="11"/>
        <v>45304.549999999996</v>
      </c>
      <c r="K38" s="9">
        <f t="shared" si="12"/>
        <v>0.05418943533697619</v>
      </c>
      <c r="L38" s="55">
        <f t="shared" si="13"/>
        <v>24.068160000000002</v>
      </c>
      <c r="N38" s="126"/>
    </row>
    <row r="39" spans="1:14" ht="12.75">
      <c r="A39" t="s">
        <v>213</v>
      </c>
      <c r="C39" s="53">
        <f>+'Service Counts'!I38</f>
        <v>6813</v>
      </c>
      <c r="D39" s="55">
        <f>+'Service Counts'!G38</f>
        <v>26.03</v>
      </c>
      <c r="E39" s="6">
        <f t="shared" si="7"/>
        <v>177342.39</v>
      </c>
      <c r="F39" s="55">
        <f t="shared" si="8"/>
        <v>30.65365412650847</v>
      </c>
      <c r="G39" s="63">
        <f t="shared" si="9"/>
        <v>208843.3455639022</v>
      </c>
      <c r="H39" s="9">
        <f t="shared" si="10"/>
        <v>0.17762789575522345</v>
      </c>
      <c r="I39" s="82">
        <v>28.5</v>
      </c>
      <c r="J39" s="63">
        <f t="shared" si="11"/>
        <v>194170.5</v>
      </c>
      <c r="K39" s="9">
        <f t="shared" si="12"/>
        <v>0.09489051094890502</v>
      </c>
      <c r="L39" s="55">
        <f t="shared" si="13"/>
        <v>28.528880000000004</v>
      </c>
      <c r="N39" s="126"/>
    </row>
    <row r="40" spans="1:14" ht="12.75">
      <c r="A40" t="s">
        <v>214</v>
      </c>
      <c r="C40" s="53">
        <f>+'Service Counts'!I39</f>
        <v>695</v>
      </c>
      <c r="D40" s="55">
        <f>+'Service Counts'!G39</f>
        <v>36.46</v>
      </c>
      <c r="E40" s="6">
        <f t="shared" si="7"/>
        <v>25339.7</v>
      </c>
      <c r="F40" s="55">
        <f t="shared" si="8"/>
        <v>42.936313079235454</v>
      </c>
      <c r="G40" s="63">
        <f t="shared" si="9"/>
        <v>29840.737590068642</v>
      </c>
      <c r="H40" s="9">
        <f t="shared" si="10"/>
        <v>0.17762789575522367</v>
      </c>
      <c r="I40" s="82">
        <v>39.95</v>
      </c>
      <c r="J40" s="63">
        <f t="shared" si="11"/>
        <v>27765.250000000004</v>
      </c>
      <c r="K40" s="9">
        <f t="shared" si="12"/>
        <v>0.0957213384530994</v>
      </c>
      <c r="L40" s="55">
        <f t="shared" si="13"/>
        <v>39.96016</v>
      </c>
      <c r="N40" s="126"/>
    </row>
    <row r="41" spans="1:14" ht="12.75">
      <c r="A41" t="s">
        <v>212</v>
      </c>
      <c r="C41" s="53">
        <f>+'Service Counts'!I40</f>
        <v>1421</v>
      </c>
      <c r="D41" s="55">
        <f>+'Service Counts'!G40</f>
        <v>47.98</v>
      </c>
      <c r="E41" s="6">
        <f t="shared" si="7"/>
        <v>68179.58</v>
      </c>
      <c r="F41" s="55">
        <f t="shared" si="8"/>
        <v>56.50258643833562</v>
      </c>
      <c r="G41" s="63">
        <f t="shared" si="9"/>
        <v>80290.17532887492</v>
      </c>
      <c r="H41" s="9">
        <f t="shared" si="10"/>
        <v>0.17762789575522342</v>
      </c>
      <c r="I41" s="82">
        <v>52.6</v>
      </c>
      <c r="J41" s="63">
        <f t="shared" si="11"/>
        <v>74744.6</v>
      </c>
      <c r="K41" s="9">
        <f t="shared" si="12"/>
        <v>0.0962901208837016</v>
      </c>
      <c r="L41" s="55">
        <f t="shared" si="13"/>
        <v>52.58608</v>
      </c>
      <c r="N41" s="126"/>
    </row>
    <row r="42" spans="1:14" ht="12.75">
      <c r="A42" t="s">
        <v>215</v>
      </c>
      <c r="C42" s="53">
        <f>+'Service Counts'!I41</f>
        <v>1962</v>
      </c>
      <c r="D42" s="55">
        <f>+'Service Counts'!G41</f>
        <v>70.47</v>
      </c>
      <c r="E42" s="6">
        <f t="shared" si="7"/>
        <v>138262.13999999998</v>
      </c>
      <c r="F42" s="55">
        <f t="shared" si="8"/>
        <v>82.9874378138706</v>
      </c>
      <c r="G42" s="63">
        <f t="shared" si="9"/>
        <v>162821.3529908141</v>
      </c>
      <c r="H42" s="9">
        <f t="shared" si="10"/>
        <v>0.17762789575522356</v>
      </c>
      <c r="I42" s="82">
        <v>77.25</v>
      </c>
      <c r="J42" s="63">
        <f t="shared" si="11"/>
        <v>151564.5</v>
      </c>
      <c r="K42" s="9">
        <f t="shared" si="12"/>
        <v>0.09621115368241817</v>
      </c>
      <c r="L42" s="55">
        <f t="shared" si="13"/>
        <v>77.23512000000001</v>
      </c>
      <c r="N42" s="126"/>
    </row>
    <row r="43" spans="1:14" ht="12.75">
      <c r="A43" t="s">
        <v>216</v>
      </c>
      <c r="C43" s="53">
        <f>+'Service Counts'!I42</f>
        <v>0</v>
      </c>
      <c r="D43" s="55">
        <f>+'Service Counts'!G42</f>
        <v>88.14</v>
      </c>
      <c r="E43" s="6">
        <f t="shared" si="7"/>
        <v>0</v>
      </c>
      <c r="F43" s="55">
        <f t="shared" si="8"/>
        <v>103.79612273186541</v>
      </c>
      <c r="G43" s="63">
        <f t="shared" si="9"/>
        <v>0</v>
      </c>
      <c r="H43" s="9">
        <f t="shared" si="10"/>
        <v>0</v>
      </c>
      <c r="I43" s="82">
        <v>0</v>
      </c>
      <c r="J43" s="63">
        <f t="shared" si="11"/>
        <v>0</v>
      </c>
      <c r="K43" s="9">
        <f t="shared" si="12"/>
        <v>0</v>
      </c>
      <c r="L43" s="55">
        <f t="shared" si="13"/>
        <v>96.60144000000001</v>
      </c>
      <c r="N43" s="126"/>
    </row>
    <row r="44" spans="1:14" ht="12.75">
      <c r="A44" t="s">
        <v>217</v>
      </c>
      <c r="C44" s="53">
        <f>+'Service Counts'!I43</f>
        <v>108</v>
      </c>
      <c r="D44" s="55">
        <f>+'Service Counts'!G43</f>
        <v>9.25</v>
      </c>
      <c r="E44" s="6">
        <f t="shared" si="7"/>
        <v>999</v>
      </c>
      <c r="F44" s="55">
        <f t="shared" si="8"/>
        <v>10.893058035735818</v>
      </c>
      <c r="G44" s="63">
        <f t="shared" si="9"/>
        <v>1176.4502678594683</v>
      </c>
      <c r="H44" s="9">
        <f t="shared" si="10"/>
        <v>0.17762789575522356</v>
      </c>
      <c r="I44" s="82">
        <v>10.15</v>
      </c>
      <c r="J44" s="63">
        <f t="shared" si="11"/>
        <v>1096.2</v>
      </c>
      <c r="K44" s="9">
        <f t="shared" si="12"/>
        <v>0.09729729729729734</v>
      </c>
      <c r="L44" s="55">
        <f t="shared" si="13"/>
        <v>10.138000000000002</v>
      </c>
      <c r="N44" s="126"/>
    </row>
    <row r="45" spans="1:14" ht="12.75">
      <c r="A45" t="s">
        <v>218</v>
      </c>
      <c r="C45" s="53">
        <f>+'Service Counts'!I44</f>
        <v>7</v>
      </c>
      <c r="D45" s="55">
        <f>+'Service Counts'!G44</f>
        <v>12.15</v>
      </c>
      <c r="E45" s="6">
        <f t="shared" si="7"/>
        <v>85.05</v>
      </c>
      <c r="F45" s="55">
        <f t="shared" si="8"/>
        <v>14.308178933425966</v>
      </c>
      <c r="G45" s="63">
        <f t="shared" si="9"/>
        <v>100.15725253398176</v>
      </c>
      <c r="H45" s="9">
        <f t="shared" si="10"/>
        <v>0.17762789575522359</v>
      </c>
      <c r="I45" s="82">
        <v>13.3</v>
      </c>
      <c r="J45" s="63">
        <f t="shared" si="11"/>
        <v>93.10000000000001</v>
      </c>
      <c r="K45" s="9">
        <f t="shared" si="12"/>
        <v>0.09465020576131701</v>
      </c>
      <c r="L45" s="55">
        <f t="shared" si="13"/>
        <v>13.316400000000002</v>
      </c>
      <c r="N45" s="126"/>
    </row>
    <row r="46" spans="1:14" ht="12.75">
      <c r="A46" t="s">
        <v>219</v>
      </c>
      <c r="C46" s="53">
        <f>+'Service Counts'!I45</f>
        <v>53</v>
      </c>
      <c r="D46" s="55">
        <f>+'Service Counts'!G45</f>
        <v>16.05</v>
      </c>
      <c r="E46" s="6">
        <f t="shared" si="7"/>
        <v>850.6500000000001</v>
      </c>
      <c r="F46" s="55">
        <f t="shared" si="8"/>
        <v>18.900927726871338</v>
      </c>
      <c r="G46" s="63">
        <f t="shared" si="9"/>
        <v>1001.7491695241808</v>
      </c>
      <c r="H46" s="9">
        <f t="shared" si="10"/>
        <v>0.17762789575522334</v>
      </c>
      <c r="I46" s="82">
        <v>17.6</v>
      </c>
      <c r="J46" s="63">
        <f t="shared" si="11"/>
        <v>932.8000000000001</v>
      </c>
      <c r="K46" s="9">
        <f t="shared" si="12"/>
        <v>0.0965732087227414</v>
      </c>
      <c r="L46" s="55">
        <f t="shared" si="13"/>
        <v>17.5908</v>
      </c>
      <c r="N46" s="126"/>
    </row>
    <row r="47" spans="1:14" ht="12.75">
      <c r="A47" t="s">
        <v>220</v>
      </c>
      <c r="C47" s="53">
        <f>+'Service Counts'!I46</f>
        <v>1</v>
      </c>
      <c r="D47" s="55">
        <f>+'Service Counts'!G46</f>
        <v>17.75</v>
      </c>
      <c r="E47" s="6">
        <f t="shared" si="7"/>
        <v>17.75</v>
      </c>
      <c r="F47" s="55">
        <f t="shared" si="8"/>
        <v>20.90289514965522</v>
      </c>
      <c r="G47" s="63">
        <f t="shared" si="9"/>
        <v>20.90289514965522</v>
      </c>
      <c r="H47" s="9">
        <f t="shared" si="10"/>
        <v>0.17762789575522359</v>
      </c>
      <c r="I47" s="82">
        <v>19.45</v>
      </c>
      <c r="J47" s="63">
        <f t="shared" si="11"/>
        <v>19.45</v>
      </c>
      <c r="K47" s="9">
        <f t="shared" si="12"/>
        <v>0.0957746478873239</v>
      </c>
      <c r="L47" s="55">
        <f t="shared" si="13"/>
        <v>19.454</v>
      </c>
      <c r="N47" s="126"/>
    </row>
    <row r="48" spans="1:14" ht="12.75">
      <c r="A48" t="s">
        <v>221</v>
      </c>
      <c r="C48" s="53">
        <f>+'Service Counts'!I47</f>
        <v>8</v>
      </c>
      <c r="D48" s="55">
        <f>+'Service Counts'!G47</f>
        <v>17.75</v>
      </c>
      <c r="E48" s="6">
        <f t="shared" si="7"/>
        <v>142</v>
      </c>
      <c r="F48" s="55">
        <f t="shared" si="8"/>
        <v>20.90289514965522</v>
      </c>
      <c r="G48" s="63">
        <f t="shared" si="9"/>
        <v>167.22316119724175</v>
      </c>
      <c r="H48" s="9">
        <f t="shared" si="10"/>
        <v>0.17762789575522359</v>
      </c>
      <c r="I48" s="82">
        <v>19.45</v>
      </c>
      <c r="J48" s="63">
        <f t="shared" si="11"/>
        <v>155.6</v>
      </c>
      <c r="K48" s="9">
        <f t="shared" si="12"/>
        <v>0.0957746478873239</v>
      </c>
      <c r="L48" s="55">
        <f t="shared" si="13"/>
        <v>19.454</v>
      </c>
      <c r="N48" s="126"/>
    </row>
    <row r="49" spans="1:14" ht="12.75">
      <c r="A49" t="s">
        <v>222</v>
      </c>
      <c r="C49" s="53">
        <f>+'Service Counts'!I48</f>
        <v>7</v>
      </c>
      <c r="D49" s="55">
        <f>+'Service Counts'!G48</f>
        <v>20.45</v>
      </c>
      <c r="E49" s="6">
        <f t="shared" si="7"/>
        <v>143.15</v>
      </c>
      <c r="F49" s="55">
        <f t="shared" si="8"/>
        <v>24.08249046819432</v>
      </c>
      <c r="G49" s="63">
        <f t="shared" si="9"/>
        <v>168.57743327736023</v>
      </c>
      <c r="H49" s="9">
        <f t="shared" si="10"/>
        <v>0.17762789575522334</v>
      </c>
      <c r="I49" s="82">
        <v>22.4</v>
      </c>
      <c r="J49" s="63">
        <f t="shared" si="11"/>
        <v>156.79999999999998</v>
      </c>
      <c r="K49" s="9">
        <f t="shared" si="12"/>
        <v>0.0953545232273837</v>
      </c>
      <c r="L49" s="55">
        <f t="shared" si="13"/>
        <v>22.4132</v>
      </c>
      <c r="N49" s="126"/>
    </row>
    <row r="50" spans="1:14" ht="12.75">
      <c r="A50" t="s">
        <v>223</v>
      </c>
      <c r="C50" s="53">
        <f>+'Service Counts'!I49</f>
        <v>1</v>
      </c>
      <c r="D50" s="55">
        <f>+'Service Counts'!G49</f>
        <v>2.6</v>
      </c>
      <c r="E50" s="6">
        <f t="shared" si="7"/>
        <v>2.6</v>
      </c>
      <c r="F50" s="55">
        <f t="shared" si="8"/>
        <v>3.0618325289635813</v>
      </c>
      <c r="G50" s="63">
        <f t="shared" si="9"/>
        <v>3.0618325289635813</v>
      </c>
      <c r="H50" s="9">
        <f t="shared" si="10"/>
        <v>0.17762789575522353</v>
      </c>
      <c r="I50" s="82">
        <v>2.85</v>
      </c>
      <c r="J50" s="63">
        <f t="shared" si="11"/>
        <v>2.85</v>
      </c>
      <c r="K50" s="9">
        <f t="shared" si="12"/>
        <v>0.09615384615384615</v>
      </c>
      <c r="L50" s="55">
        <f t="shared" si="13"/>
        <v>2.8496</v>
      </c>
      <c r="N50" s="126"/>
    </row>
    <row r="51" spans="1:14" ht="12.75">
      <c r="A51" t="s">
        <v>224</v>
      </c>
      <c r="C51" s="53">
        <f>+'Service Counts'!I50</f>
        <v>4401</v>
      </c>
      <c r="D51" s="55">
        <f>+'Service Counts'!G50</f>
        <v>1.5</v>
      </c>
      <c r="E51" s="42">
        <f t="shared" si="7"/>
        <v>6601.5</v>
      </c>
      <c r="F51" s="55">
        <f t="shared" si="8"/>
        <v>1.7664418436328353</v>
      </c>
      <c r="G51" s="84">
        <f t="shared" si="9"/>
        <v>7774.110553828108</v>
      </c>
      <c r="H51" s="9">
        <f t="shared" si="10"/>
        <v>0.17762789575522353</v>
      </c>
      <c r="I51" s="82">
        <v>1.65</v>
      </c>
      <c r="J51" s="84">
        <f t="shared" si="11"/>
        <v>7261.65</v>
      </c>
      <c r="K51" s="9">
        <f t="shared" si="12"/>
        <v>0.09999999999999995</v>
      </c>
      <c r="L51" s="55">
        <f t="shared" si="13"/>
        <v>1.6440000000000001</v>
      </c>
      <c r="N51" s="126"/>
    </row>
    <row r="52" spans="3:14" ht="12.75">
      <c r="C52" s="53"/>
      <c r="D52" s="55"/>
      <c r="E52" s="6">
        <f>SUM(E37:E51)</f>
        <v>577975.2300000001</v>
      </c>
      <c r="G52" s="6">
        <f>SUM(G37:G51)</f>
        <v>680639.7539035414</v>
      </c>
      <c r="I52" s="83"/>
      <c r="J52" s="6">
        <f>SUM(J37:J51)</f>
        <v>631071.85</v>
      </c>
      <c r="K52" s="85">
        <f>(+J52-E52)/E52</f>
        <v>0.09186660127286055</v>
      </c>
      <c r="N52" s="126"/>
    </row>
    <row r="53" spans="1:14" ht="12.75">
      <c r="A53" t="s">
        <v>225</v>
      </c>
      <c r="C53" s="53"/>
      <c r="D53" s="55"/>
      <c r="I53" s="83"/>
      <c r="J53" s="63"/>
      <c r="N53" s="126"/>
    </row>
    <row r="54" spans="1:14" ht="12.75">
      <c r="A54" t="s">
        <v>276</v>
      </c>
      <c r="C54" s="53">
        <f>+'Service Counts'!I53</f>
        <v>56</v>
      </c>
      <c r="D54" s="55">
        <f>+'Service Counts'!G53</f>
        <v>105</v>
      </c>
      <c r="E54" s="6">
        <f aca="true" t="shared" si="14" ref="E54:E68">+C54*D54</f>
        <v>5880</v>
      </c>
      <c r="F54" s="55">
        <f aca="true" t="shared" si="15" ref="F54:F69">+D54*(1+$H$4)</f>
        <v>123.65092905429847</v>
      </c>
      <c r="G54" s="63">
        <f aca="true" t="shared" si="16" ref="G54:G69">+C54*F54</f>
        <v>6924.452027040715</v>
      </c>
      <c r="H54" s="9">
        <f aca="true" t="shared" si="17" ref="H54:H69">+IF(C54=0,0,(G54-E54)/E54)</f>
        <v>0.17762789575522359</v>
      </c>
      <c r="I54" s="82">
        <v>114.5</v>
      </c>
      <c r="J54" s="63">
        <f aca="true" t="shared" si="18" ref="J54:J69">+C54*I54</f>
        <v>6412</v>
      </c>
      <c r="K54" s="9">
        <f aca="true" t="shared" si="19" ref="K54:K69">+IF(C54=0,0,(J54-E54)/E54)</f>
        <v>0.09047619047619047</v>
      </c>
      <c r="L54" s="55">
        <f aca="true" t="shared" si="20" ref="L54:L69">+D54*(1+$L$2)</f>
        <v>115.08000000000001</v>
      </c>
      <c r="N54" s="126"/>
    </row>
    <row r="55" spans="1:14" ht="12.75">
      <c r="A55" t="s">
        <v>226</v>
      </c>
      <c r="C55" s="53">
        <f>+'Service Counts'!I54</f>
        <v>138</v>
      </c>
      <c r="D55" s="55">
        <f>+'Service Counts'!G54</f>
        <v>128</v>
      </c>
      <c r="E55" s="6">
        <f>+C55*D55</f>
        <v>17664</v>
      </c>
      <c r="F55" s="55">
        <f>+D55*(1+$H$4)</f>
        <v>150.7363706566686</v>
      </c>
      <c r="G55" s="63">
        <f>+C55*F55</f>
        <v>20801.619150620267</v>
      </c>
      <c r="H55" s="9">
        <f>+IF(C55=0,0,(G55-E55)/E55)</f>
        <v>0.17762789575522345</v>
      </c>
      <c r="I55" s="82">
        <v>139.5</v>
      </c>
      <c r="J55" s="63">
        <f>+C55*I55</f>
        <v>19251</v>
      </c>
      <c r="K55" s="9">
        <f>+IF(C55=0,0,(J55-E55)/E55)</f>
        <v>0.08984375</v>
      </c>
      <c r="L55" s="55">
        <f>+D55*(1+$L$2)</f>
        <v>140.288</v>
      </c>
      <c r="N55" s="126"/>
    </row>
    <row r="56" spans="1:14" ht="12.75">
      <c r="A56" t="s">
        <v>227</v>
      </c>
      <c r="C56" s="53">
        <f>+'Service Counts'!I55</f>
        <v>217.23</v>
      </c>
      <c r="D56" s="55">
        <f>+'Service Counts'!G55</f>
        <v>138</v>
      </c>
      <c r="E56" s="6">
        <f t="shared" si="14"/>
        <v>29977.739999999998</v>
      </c>
      <c r="F56" s="55">
        <f t="shared" si="15"/>
        <v>162.51264961422083</v>
      </c>
      <c r="G56" s="63">
        <f t="shared" si="16"/>
        <v>35302.62287569719</v>
      </c>
      <c r="H56" s="9">
        <f t="shared" si="17"/>
        <v>0.17762789575522347</v>
      </c>
      <c r="I56" s="82">
        <v>150.5</v>
      </c>
      <c r="J56" s="63">
        <f t="shared" si="18"/>
        <v>32693.114999999998</v>
      </c>
      <c r="K56" s="9">
        <f t="shared" si="19"/>
        <v>0.09057971014492754</v>
      </c>
      <c r="L56" s="55">
        <f t="shared" si="20"/>
        <v>151.24800000000002</v>
      </c>
      <c r="N56" s="126"/>
    </row>
    <row r="57" spans="1:14" ht="12.75">
      <c r="A57" t="s">
        <v>228</v>
      </c>
      <c r="C57" s="53">
        <f>+'Service Counts'!I56</f>
        <v>0</v>
      </c>
      <c r="D57" s="55">
        <f>+'Service Counts'!G56</f>
        <v>0</v>
      </c>
      <c r="E57" s="6">
        <f t="shared" si="14"/>
        <v>0</v>
      </c>
      <c r="F57" s="55">
        <f t="shared" si="15"/>
        <v>0</v>
      </c>
      <c r="G57" s="63">
        <f t="shared" si="16"/>
        <v>0</v>
      </c>
      <c r="H57" s="9">
        <f t="shared" si="17"/>
        <v>0</v>
      </c>
      <c r="I57" s="82">
        <v>0</v>
      </c>
      <c r="J57" s="63">
        <f t="shared" si="18"/>
        <v>0</v>
      </c>
      <c r="K57" s="9">
        <f t="shared" si="19"/>
        <v>0</v>
      </c>
      <c r="L57" s="55">
        <f t="shared" si="20"/>
        <v>0</v>
      </c>
      <c r="N57" s="126"/>
    </row>
    <row r="58" spans="1:14" ht="12.75">
      <c r="A58" t="s">
        <v>275</v>
      </c>
      <c r="C58" s="53">
        <f>+'Service Counts'!I57</f>
        <v>485</v>
      </c>
      <c r="D58" s="55">
        <f>+'Service Counts'!G57</f>
        <v>3.35</v>
      </c>
      <c r="E58" s="6">
        <f>+C58*D58</f>
        <v>1624.75</v>
      </c>
      <c r="F58" s="55">
        <f>+D58*(1+$H$4)</f>
        <v>3.945053450779999</v>
      </c>
      <c r="G58" s="63">
        <f>+C58*F58</f>
        <v>1913.3509236282994</v>
      </c>
      <c r="H58" s="9">
        <f>+IF(C58=0,0,(G58-E58)/E58)</f>
        <v>0.1776278957552235</v>
      </c>
      <c r="I58" s="82">
        <v>3.35</v>
      </c>
      <c r="J58" s="63">
        <f>+C58*I58</f>
        <v>1624.75</v>
      </c>
      <c r="K58" s="9">
        <f>+IF(C58=0,0,(J58-E58)/E58)</f>
        <v>0</v>
      </c>
      <c r="L58" s="55">
        <f>+D58*(1+$L$2)</f>
        <v>3.6716</v>
      </c>
      <c r="N58" s="126"/>
    </row>
    <row r="59" spans="1:14" ht="12.75">
      <c r="A59" t="s">
        <v>229</v>
      </c>
      <c r="C59" s="53">
        <f>+'Service Counts'!I58</f>
        <v>2187</v>
      </c>
      <c r="D59" s="55">
        <f>+'Service Counts'!G58</f>
        <v>3.85</v>
      </c>
      <c r="E59" s="6">
        <f t="shared" si="14"/>
        <v>8419.95</v>
      </c>
      <c r="F59" s="55">
        <f t="shared" si="15"/>
        <v>4.533867398657611</v>
      </c>
      <c r="G59" s="63">
        <f t="shared" si="16"/>
        <v>9915.568000864196</v>
      </c>
      <c r="H59" s="9">
        <f t="shared" si="17"/>
        <v>0.17762789575522359</v>
      </c>
      <c r="I59" s="82">
        <v>3.85</v>
      </c>
      <c r="J59" s="63">
        <f t="shared" si="18"/>
        <v>8419.95</v>
      </c>
      <c r="K59" s="9">
        <f t="shared" si="19"/>
        <v>0</v>
      </c>
      <c r="L59" s="55">
        <f t="shared" si="20"/>
        <v>4.219600000000001</v>
      </c>
      <c r="N59" s="126"/>
    </row>
    <row r="60" spans="1:14" ht="12.75">
      <c r="A60" t="s">
        <v>230</v>
      </c>
      <c r="C60" s="53">
        <f>+'Service Counts'!I59</f>
        <v>2485</v>
      </c>
      <c r="D60" s="55">
        <f>+'Service Counts'!G59</f>
        <v>4.6</v>
      </c>
      <c r="E60" s="6">
        <f t="shared" si="14"/>
        <v>11431</v>
      </c>
      <c r="F60" s="55">
        <f t="shared" si="15"/>
        <v>5.417088320474027</v>
      </c>
      <c r="G60" s="63">
        <f t="shared" si="16"/>
        <v>13461.464476377958</v>
      </c>
      <c r="H60" s="9">
        <f t="shared" si="17"/>
        <v>0.17762789575522334</v>
      </c>
      <c r="I60" s="82">
        <v>4.6</v>
      </c>
      <c r="J60" s="63">
        <f t="shared" si="18"/>
        <v>11431</v>
      </c>
      <c r="K60" s="9">
        <f t="shared" si="19"/>
        <v>0</v>
      </c>
      <c r="L60" s="55">
        <f t="shared" si="20"/>
        <v>5.0416</v>
      </c>
      <c r="N60" s="126"/>
    </row>
    <row r="61" spans="1:14" ht="12.75">
      <c r="A61" t="s">
        <v>234</v>
      </c>
      <c r="C61" s="53">
        <f>+'Service Counts'!I60</f>
        <v>0</v>
      </c>
      <c r="D61" s="55">
        <f>+'Service Counts'!G60</f>
        <v>0</v>
      </c>
      <c r="E61" s="6">
        <f t="shared" si="14"/>
        <v>0</v>
      </c>
      <c r="F61" s="55">
        <f t="shared" si="15"/>
        <v>0</v>
      </c>
      <c r="G61" s="63">
        <f t="shared" si="16"/>
        <v>0</v>
      </c>
      <c r="H61" s="9">
        <f t="shared" si="17"/>
        <v>0</v>
      </c>
      <c r="I61" s="82">
        <v>0</v>
      </c>
      <c r="J61" s="63">
        <f t="shared" si="18"/>
        <v>0</v>
      </c>
      <c r="K61" s="9">
        <f t="shared" si="19"/>
        <v>0</v>
      </c>
      <c r="L61" s="55">
        <f t="shared" si="20"/>
        <v>0</v>
      </c>
      <c r="N61" s="126"/>
    </row>
    <row r="62" spans="1:14" ht="12.75">
      <c r="A62" t="s">
        <v>277</v>
      </c>
      <c r="C62" s="53">
        <f>+'Service Counts'!I61</f>
        <v>20</v>
      </c>
      <c r="D62" s="55">
        <f>+'Service Counts'!G61</f>
        <v>39</v>
      </c>
      <c r="E62" s="6">
        <f>+C62*D62</f>
        <v>780</v>
      </c>
      <c r="F62" s="55">
        <f>+D62*(1+$H$4)</f>
        <v>45.927487934453715</v>
      </c>
      <c r="G62" s="63">
        <f>+C62*F62</f>
        <v>918.5497586890743</v>
      </c>
      <c r="H62" s="9">
        <f>+IF(C62=0,0,(G62-E62)/E62)</f>
        <v>0.1776278957552235</v>
      </c>
      <c r="I62" s="82">
        <v>42.75</v>
      </c>
      <c r="J62" s="63">
        <f>+C62*I62</f>
        <v>855</v>
      </c>
      <c r="K62" s="9">
        <f>+IF(C62=0,0,(J62-E62)/E62)</f>
        <v>0.09615384615384616</v>
      </c>
      <c r="L62" s="55">
        <f>+D62*(1+$L$2)</f>
        <v>42.744</v>
      </c>
      <c r="N62" s="126"/>
    </row>
    <row r="63" spans="1:14" ht="12.75">
      <c r="A63" t="s">
        <v>231</v>
      </c>
      <c r="C63" s="53">
        <f>+'Service Counts'!I62</f>
        <v>32</v>
      </c>
      <c r="D63" s="55">
        <f>+'Service Counts'!G62</f>
        <v>39</v>
      </c>
      <c r="E63" s="6">
        <f t="shared" si="14"/>
        <v>1248</v>
      </c>
      <c r="F63" s="55">
        <f t="shared" si="15"/>
        <v>45.927487934453715</v>
      </c>
      <c r="G63" s="63">
        <f t="shared" si="16"/>
        <v>1469.679613902519</v>
      </c>
      <c r="H63" s="9">
        <f t="shared" si="17"/>
        <v>0.17762789575522347</v>
      </c>
      <c r="I63" s="82">
        <v>42.75</v>
      </c>
      <c r="J63" s="63">
        <f t="shared" si="18"/>
        <v>1368</v>
      </c>
      <c r="K63" s="9">
        <f t="shared" si="19"/>
        <v>0.09615384615384616</v>
      </c>
      <c r="L63" s="55">
        <f t="shared" si="20"/>
        <v>42.744</v>
      </c>
      <c r="N63" s="126"/>
    </row>
    <row r="64" spans="1:14" ht="12.75">
      <c r="A64" t="s">
        <v>232</v>
      </c>
      <c r="C64" s="53">
        <f>+'Service Counts'!I63</f>
        <v>21</v>
      </c>
      <c r="D64" s="55">
        <f>+'Service Counts'!G63</f>
        <v>39</v>
      </c>
      <c r="E64" s="6">
        <f t="shared" si="14"/>
        <v>819</v>
      </c>
      <c r="F64" s="55">
        <f t="shared" si="15"/>
        <v>45.927487934453715</v>
      </c>
      <c r="G64" s="63">
        <f t="shared" si="16"/>
        <v>964.477246623528</v>
      </c>
      <c r="H64" s="9">
        <f t="shared" si="17"/>
        <v>0.17762789575522345</v>
      </c>
      <c r="I64" s="82">
        <v>42.75</v>
      </c>
      <c r="J64" s="63">
        <f t="shared" si="18"/>
        <v>897.75</v>
      </c>
      <c r="K64" s="9">
        <f t="shared" si="19"/>
        <v>0.09615384615384616</v>
      </c>
      <c r="L64" s="55">
        <f t="shared" si="20"/>
        <v>42.744</v>
      </c>
      <c r="N64" s="126"/>
    </row>
    <row r="65" spans="1:14" ht="12.75">
      <c r="A65" t="s">
        <v>233</v>
      </c>
      <c r="C65" s="53">
        <f>+'Service Counts'!I64</f>
        <v>0</v>
      </c>
      <c r="D65" s="55">
        <f>+'Service Counts'!G64</f>
        <v>0</v>
      </c>
      <c r="E65" s="6">
        <f t="shared" si="14"/>
        <v>0</v>
      </c>
      <c r="F65" s="55">
        <f t="shared" si="15"/>
        <v>0</v>
      </c>
      <c r="G65" s="63">
        <f t="shared" si="16"/>
        <v>0</v>
      </c>
      <c r="H65" s="9">
        <f t="shared" si="17"/>
        <v>0</v>
      </c>
      <c r="I65" s="82">
        <v>0</v>
      </c>
      <c r="J65" s="63">
        <f t="shared" si="18"/>
        <v>0</v>
      </c>
      <c r="K65" s="9">
        <f t="shared" si="19"/>
        <v>0</v>
      </c>
      <c r="L65" s="55">
        <f t="shared" si="20"/>
        <v>0</v>
      </c>
      <c r="N65" s="126"/>
    </row>
    <row r="66" spans="1:14" ht="12.75">
      <c r="A66" t="s">
        <v>235</v>
      </c>
      <c r="C66" s="53">
        <f>+'Service Counts'!I65</f>
        <v>50</v>
      </c>
      <c r="D66" s="55">
        <f>+'Service Counts'!G65</f>
        <v>2.45</v>
      </c>
      <c r="E66" s="6">
        <f t="shared" si="14"/>
        <v>122.50000000000001</v>
      </c>
      <c r="F66" s="55">
        <f t="shared" si="15"/>
        <v>2.885188344600298</v>
      </c>
      <c r="G66" s="63">
        <f t="shared" si="16"/>
        <v>144.2594172300149</v>
      </c>
      <c r="H66" s="9">
        <f t="shared" si="17"/>
        <v>0.17762789575522345</v>
      </c>
      <c r="I66" s="82">
        <v>2.45</v>
      </c>
      <c r="J66" s="63">
        <f t="shared" si="18"/>
        <v>122.50000000000001</v>
      </c>
      <c r="K66" s="9">
        <f t="shared" si="19"/>
        <v>0</v>
      </c>
      <c r="L66" s="55">
        <f t="shared" si="20"/>
        <v>2.6852000000000005</v>
      </c>
      <c r="N66" s="126"/>
    </row>
    <row r="67" spans="1:14" ht="12.75">
      <c r="A67" t="s">
        <v>337</v>
      </c>
      <c r="C67" s="53">
        <f>+'Service Counts'!I66</f>
        <v>36</v>
      </c>
      <c r="D67" s="55">
        <f>+'Service Counts'!G66</f>
        <v>30.9</v>
      </c>
      <c r="E67" s="6">
        <f>+C67*D67</f>
        <v>1112.3999999999999</v>
      </c>
      <c r="F67" s="55">
        <f>+D67*(1+$H$4)</f>
        <v>36.38870197883641</v>
      </c>
      <c r="G67" s="63">
        <f>+C67*F67</f>
        <v>1309.9932712381108</v>
      </c>
      <c r="H67" s="9">
        <f>+IF(C67=0,0,(G67-E67)/E67)</f>
        <v>0.17762789575522378</v>
      </c>
      <c r="I67" s="82">
        <v>33.85</v>
      </c>
      <c r="J67" s="63">
        <f>+C67*I67</f>
        <v>1218.6000000000001</v>
      </c>
      <c r="K67" s="9">
        <f>+IF(C67=0,0,(J67-E67)/E67)</f>
        <v>0.09546925566343067</v>
      </c>
      <c r="L67" s="55">
        <f>+D67*(1+$L$2)</f>
        <v>33.8664</v>
      </c>
      <c r="N67" s="126"/>
    </row>
    <row r="68" spans="1:14" ht="12.75">
      <c r="A68" t="s">
        <v>236</v>
      </c>
      <c r="C68" s="53">
        <f>+'Service Counts'!I67</f>
        <v>0</v>
      </c>
      <c r="D68" s="55">
        <f>+'Service Counts'!G67</f>
        <v>163</v>
      </c>
      <c r="E68" s="6">
        <f t="shared" si="14"/>
        <v>0</v>
      </c>
      <c r="F68" s="55">
        <f t="shared" si="15"/>
        <v>191.95334700810145</v>
      </c>
      <c r="G68" s="63">
        <f t="shared" si="16"/>
        <v>0</v>
      </c>
      <c r="H68" s="9">
        <f t="shared" si="17"/>
        <v>0</v>
      </c>
      <c r="I68" s="82">
        <v>177.5</v>
      </c>
      <c r="J68" s="63">
        <f t="shared" si="18"/>
        <v>0</v>
      </c>
      <c r="K68" s="9">
        <f t="shared" si="19"/>
        <v>0</v>
      </c>
      <c r="L68" s="55">
        <f t="shared" si="20"/>
        <v>178.64800000000002</v>
      </c>
      <c r="N68" s="126"/>
    </row>
    <row r="69" spans="1:14" ht="12.75">
      <c r="A69" t="s">
        <v>253</v>
      </c>
      <c r="C69" s="53">
        <f>+'Service Counts'!I68</f>
        <v>106</v>
      </c>
      <c r="D69" s="55">
        <f>+'Service Counts'!G68</f>
        <v>198</v>
      </c>
      <c r="E69" s="42">
        <f>+C69*D69</f>
        <v>20988</v>
      </c>
      <c r="F69" s="55">
        <f t="shared" si="15"/>
        <v>233.17032335953425</v>
      </c>
      <c r="G69" s="84">
        <f t="shared" si="16"/>
        <v>24716.05427611063</v>
      </c>
      <c r="H69" s="9">
        <f t="shared" si="17"/>
        <v>0.17762789575522345</v>
      </c>
      <c r="I69" s="82">
        <v>215.5</v>
      </c>
      <c r="J69" s="84">
        <f t="shared" si="18"/>
        <v>22843</v>
      </c>
      <c r="K69" s="9">
        <f t="shared" si="19"/>
        <v>0.08838383838383838</v>
      </c>
      <c r="L69" s="55">
        <f t="shared" si="20"/>
        <v>217.008</v>
      </c>
      <c r="N69" s="126"/>
    </row>
    <row r="70" spans="3:14" ht="12.75">
      <c r="C70" s="53"/>
      <c r="D70" s="55"/>
      <c r="E70" s="6">
        <f>SUM(E54:E69)</f>
        <v>100067.34</v>
      </c>
      <c r="G70" s="6">
        <f>SUM(G54:G69)</f>
        <v>117842.09103802251</v>
      </c>
      <c r="I70" s="83"/>
      <c r="J70" s="6">
        <f>SUM(J54:J69)</f>
        <v>107136.66500000001</v>
      </c>
      <c r="K70" s="85">
        <f>(+J70-E70)/E70</f>
        <v>0.07064567720097298</v>
      </c>
      <c r="N70" s="126"/>
    </row>
    <row r="71" spans="1:14" ht="12.75">
      <c r="A71" t="s">
        <v>237</v>
      </c>
      <c r="C71" s="53"/>
      <c r="D71" s="55"/>
      <c r="I71" s="83"/>
      <c r="J71" s="63"/>
      <c r="N71" s="126"/>
    </row>
    <row r="72" spans="1:14" ht="12.75">
      <c r="A72" t="s">
        <v>238</v>
      </c>
      <c r="C72" s="53"/>
      <c r="D72" s="55"/>
      <c r="I72" s="83"/>
      <c r="J72" s="63"/>
      <c r="N72" s="126"/>
    </row>
    <row r="73" spans="1:14" ht="12.75">
      <c r="A73" t="s">
        <v>239</v>
      </c>
      <c r="C73" s="53">
        <f>+'Service Counts'!I72</f>
        <v>30.5</v>
      </c>
      <c r="D73" s="55">
        <f>+'Service Counts'!G72</f>
        <v>129</v>
      </c>
      <c r="E73" s="6">
        <f>+C73*D73</f>
        <v>3934.5</v>
      </c>
      <c r="F73" s="55">
        <f>+D73*(1+$H$4)</f>
        <v>151.91399855242383</v>
      </c>
      <c r="G73" s="63">
        <f>+C73*F73</f>
        <v>4633.376955848927</v>
      </c>
      <c r="H73" s="9">
        <f>+IF(C73=0,0,(G73-E73)/E73)</f>
        <v>0.17762789575522345</v>
      </c>
      <c r="I73" s="82">
        <v>138</v>
      </c>
      <c r="J73" s="63">
        <f>+C73*I73</f>
        <v>4209</v>
      </c>
      <c r="K73" s="9">
        <f>+IF(C73=0,0,(J73-E73)/E73)</f>
        <v>0.06976744186046512</v>
      </c>
      <c r="L73" s="55">
        <f>+D73*(1+$L$2)</f>
        <v>141.38400000000001</v>
      </c>
      <c r="N73" s="126"/>
    </row>
    <row r="74" spans="1:14" ht="12.75">
      <c r="A74" t="s">
        <v>240</v>
      </c>
      <c r="C74" s="53">
        <f>+'Service Counts'!I73</f>
        <v>1</v>
      </c>
      <c r="D74" s="55">
        <f>+'Service Counts'!G73</f>
        <v>32</v>
      </c>
      <c r="E74" s="42">
        <f>+C74*D74</f>
        <v>32</v>
      </c>
      <c r="F74" s="55">
        <f>+D74*(1+$H$4)</f>
        <v>37.68409266416715</v>
      </c>
      <c r="G74" s="84">
        <f>+C74*F74</f>
        <v>37.68409266416715</v>
      </c>
      <c r="H74" s="9">
        <f>+IF(C74=0,0,(G74-E74)/E74)</f>
        <v>0.17762789575522353</v>
      </c>
      <c r="I74" s="82">
        <v>35</v>
      </c>
      <c r="J74" s="84">
        <f>+C74*I74</f>
        <v>35</v>
      </c>
      <c r="K74" s="9">
        <f>+IF(C74=0,0,(J74-E74)/E74)</f>
        <v>0.09375</v>
      </c>
      <c r="L74" s="55">
        <f>+D74*(1+$L$2)</f>
        <v>35.072</v>
      </c>
      <c r="N74" s="126"/>
    </row>
    <row r="75" spans="3:11" ht="12.75">
      <c r="C75" s="53"/>
      <c r="D75" s="55"/>
      <c r="E75" s="6">
        <f>SUM(E73:E74)</f>
        <v>3966.5</v>
      </c>
      <c r="G75" s="6">
        <f>SUM(G73:G74)</f>
        <v>4671.061048513094</v>
      </c>
      <c r="J75" s="6">
        <f>SUM(J73:J74)</f>
        <v>4244</v>
      </c>
      <c r="K75" s="85">
        <f>(+J75-E75)/E75</f>
        <v>0.06996092272784571</v>
      </c>
    </row>
    <row r="76" spans="3:4" ht="12.75">
      <c r="C76" s="53"/>
      <c r="D76" s="52"/>
    </row>
    <row r="77" spans="3:4" ht="12.75">
      <c r="C77" s="53"/>
      <c r="D77" s="52"/>
    </row>
    <row r="78" spans="3:12" ht="12.75">
      <c r="C78" s="53">
        <f>+'Service Counts'!I75</f>
        <v>55690.340000000004</v>
      </c>
      <c r="D78" s="52"/>
      <c r="E78" s="55">
        <f>ROUND(+E35+E52+E70+E75,2)</f>
        <v>1231369.84</v>
      </c>
      <c r="G78" s="55">
        <f>ROUND(+G35+G52+G70+G75,2)</f>
        <v>1450095.47</v>
      </c>
      <c r="J78" s="55">
        <f>ROUND(+J35+J52+J70+J75,2)</f>
        <v>1350086.62</v>
      </c>
      <c r="L78" s="55"/>
    </row>
    <row r="79" spans="3:4" ht="12.75">
      <c r="C79" s="53"/>
      <c r="D79" s="52"/>
    </row>
    <row r="80" spans="1:11" ht="12.75">
      <c r="A80" t="s">
        <v>267</v>
      </c>
      <c r="C80" s="53"/>
      <c r="D80" s="52"/>
      <c r="G80" s="55">
        <f>ROUND(+G78-E78,2)</f>
        <v>218725.63</v>
      </c>
      <c r="J80" s="55">
        <f>ROUND(+J78-E78,2)</f>
        <v>118716.78</v>
      </c>
      <c r="K80" s="101">
        <f>ROUND(+J80/E78,4)</f>
        <v>0.0964</v>
      </c>
    </row>
    <row r="81" spans="3:4" ht="12.75">
      <c r="C81" s="53"/>
      <c r="D81" s="52"/>
    </row>
    <row r="82" spans="3:11" ht="12.75">
      <c r="C82" s="53"/>
      <c r="D82" s="52"/>
      <c r="E82" s="6"/>
      <c r="K82" s="99"/>
    </row>
    <row r="83" spans="3:5" ht="12.75">
      <c r="C83" s="53"/>
      <c r="D83" s="52"/>
      <c r="E83" s="6"/>
    </row>
    <row r="84" spans="3:5" ht="12.75">
      <c r="C84" s="53"/>
      <c r="D84" s="52"/>
      <c r="E84" s="69"/>
    </row>
    <row r="85" spans="3:5" ht="12.75">
      <c r="C85" s="53"/>
      <c r="D85" s="52"/>
      <c r="E85" s="17"/>
    </row>
    <row r="86" spans="3:5" ht="12.75">
      <c r="C86" s="53"/>
      <c r="D86" s="52"/>
      <c r="E86" s="52"/>
    </row>
    <row r="87" spans="3:5" ht="12.75">
      <c r="C87" s="53"/>
      <c r="D87" s="52"/>
      <c r="E87" s="9"/>
    </row>
    <row r="88" spans="3:5" ht="12.75">
      <c r="C88" s="53"/>
      <c r="D88" s="52"/>
      <c r="E88" s="9"/>
    </row>
    <row r="89" spans="3:4" ht="12.75">
      <c r="C89" s="53"/>
      <c r="D89" s="52"/>
    </row>
    <row r="90" ht="12.75">
      <c r="D90" s="52"/>
    </row>
  </sheetData>
  <sheetProtection/>
  <printOptions/>
  <pageMargins left="0.47" right="0.3" top="0.66" bottom="0.28" header="0.5" footer="0.3"/>
  <pageSetup fitToHeight="1" fitToWidth="1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zoomScalePageLayoutView="0" workbookViewId="0" topLeftCell="A16">
      <selection activeCell="K11" sqref="K11"/>
    </sheetView>
  </sheetViews>
  <sheetFormatPr defaultColWidth="9.140625" defaultRowHeight="12.75"/>
  <cols>
    <col min="1" max="1" width="5.421875" style="0" customWidth="1"/>
    <col min="2" max="2" width="26.7109375" style="0" customWidth="1"/>
    <col min="3" max="3" width="14.140625" style="0" customWidth="1"/>
    <col min="4" max="4" width="3.57421875" style="0" customWidth="1"/>
    <col min="5" max="5" width="7.421875" style="0" customWidth="1"/>
    <col min="6" max="6" width="12.28125" style="0" customWidth="1"/>
    <col min="7" max="7" width="3.28125" style="0" customWidth="1"/>
    <col min="9" max="9" width="11.140625" style="0" customWidth="1"/>
    <col min="10" max="10" width="3.421875" style="0" customWidth="1"/>
    <col min="12" max="12" width="11.140625" style="0" customWidth="1"/>
    <col min="13" max="13" width="4.28125" style="0" customWidth="1"/>
    <col min="14" max="14" width="12.57421875" style="0" customWidth="1"/>
    <col min="16" max="16" width="9.7109375" style="0" customWidth="1"/>
  </cols>
  <sheetData>
    <row r="1" ht="12.75">
      <c r="A1" t="s">
        <v>0</v>
      </c>
    </row>
    <row r="3" ht="12.75">
      <c r="A3" t="s">
        <v>175</v>
      </c>
    </row>
    <row r="5" ht="12.75">
      <c r="A5" s="133" t="s">
        <v>368</v>
      </c>
    </row>
    <row r="6" spans="1:12" ht="12.75">
      <c r="A6" s="1"/>
      <c r="E6" s="137" t="s">
        <v>177</v>
      </c>
      <c r="F6" s="137"/>
      <c r="H6" s="137" t="s">
        <v>178</v>
      </c>
      <c r="I6" s="137"/>
      <c r="K6" s="137" t="s">
        <v>179</v>
      </c>
      <c r="L6" s="137"/>
    </row>
    <row r="7" spans="3:15" ht="12.75">
      <c r="C7" s="2" t="s">
        <v>74</v>
      </c>
      <c r="E7" s="137" t="s">
        <v>85</v>
      </c>
      <c r="F7" s="137"/>
      <c r="H7" s="137" t="s">
        <v>85</v>
      </c>
      <c r="I7" s="137"/>
      <c r="K7" s="137" t="s">
        <v>85</v>
      </c>
      <c r="L7" s="137"/>
      <c r="N7" s="2" t="s">
        <v>1</v>
      </c>
      <c r="O7" s="2" t="s">
        <v>1</v>
      </c>
    </row>
    <row r="8" spans="3:15" ht="13.5" thickBot="1">
      <c r="C8" s="3" t="s">
        <v>75</v>
      </c>
      <c r="D8" s="3"/>
      <c r="E8" s="3" t="s">
        <v>86</v>
      </c>
      <c r="F8" s="3" t="s">
        <v>87</v>
      </c>
      <c r="G8" s="3"/>
      <c r="H8" s="3" t="s">
        <v>86</v>
      </c>
      <c r="I8" s="3" t="s">
        <v>87</v>
      </c>
      <c r="J8" s="3"/>
      <c r="K8" s="3" t="s">
        <v>86</v>
      </c>
      <c r="L8" s="3" t="s">
        <v>87</v>
      </c>
      <c r="M8" s="3"/>
      <c r="N8" s="3" t="s">
        <v>87</v>
      </c>
      <c r="O8" s="3" t="s">
        <v>86</v>
      </c>
    </row>
    <row r="9" ht="13.5" thickTop="1"/>
    <row r="10" ht="12.75">
      <c r="A10" t="s">
        <v>2</v>
      </c>
    </row>
    <row r="11" spans="1:16" ht="12.75">
      <c r="A11">
        <v>3100</v>
      </c>
      <c r="B11" t="s">
        <v>4</v>
      </c>
      <c r="C11" s="6">
        <f>+'Results of Operations'!C11</f>
        <v>1570488.1799999997</v>
      </c>
      <c r="E11" s="25">
        <f>+'Overhead Allocation'!L35</f>
        <v>0.7215723620674093</v>
      </c>
      <c r="F11" s="6">
        <f>+C11*E11</f>
        <v>1133220.8656415464</v>
      </c>
      <c r="H11" s="10">
        <f>+'Overhead Allocation'!L36</f>
        <v>0.06341199558354649</v>
      </c>
      <c r="I11" s="6">
        <f>+C11*H11</f>
        <v>99587.78953417194</v>
      </c>
      <c r="K11" s="10">
        <f>+'Overhead Allocation'!L37</f>
        <v>0.21501564234904433</v>
      </c>
      <c r="L11" s="6">
        <f>+C11*K11</f>
        <v>337679.5248242815</v>
      </c>
      <c r="M11" s="6"/>
      <c r="N11" s="6">
        <f>+F11+I11+L11</f>
        <v>1570488.18</v>
      </c>
      <c r="O11" s="10">
        <f>+E11+H11+K11</f>
        <v>1</v>
      </c>
      <c r="P11" t="str">
        <f aca="true" t="shared" si="0" ref="P11:P19">IF(O11&lt;&gt;1,"ERR"," ")</f>
        <v> </v>
      </c>
    </row>
    <row r="12" spans="1:16" ht="12.75">
      <c r="A12">
        <v>3112</v>
      </c>
      <c r="B12" t="s">
        <v>5</v>
      </c>
      <c r="C12" s="6">
        <f>+'Results of Operations'!C12</f>
        <v>0</v>
      </c>
      <c r="E12" s="14"/>
      <c r="F12" s="6">
        <f aca="true" t="shared" si="1" ref="F12:F19">+C12*E12</f>
        <v>0</v>
      </c>
      <c r="H12" s="14"/>
      <c r="I12" s="6">
        <f aca="true" t="shared" si="2" ref="I12:I19">+C12*H12</f>
        <v>0</v>
      </c>
      <c r="K12" s="10"/>
      <c r="L12" s="6">
        <f aca="true" t="shared" si="3" ref="L12:L19">+C12*K12</f>
        <v>0</v>
      </c>
      <c r="M12" s="6"/>
      <c r="N12" s="6">
        <f aca="true" t="shared" si="4" ref="N12:N19">+F12+I12+L12</f>
        <v>0</v>
      </c>
      <c r="O12" s="10">
        <f aca="true" t="shared" si="5" ref="O12:O19">+E12+H12+K12</f>
        <v>0</v>
      </c>
      <c r="P12" t="str">
        <f t="shared" si="0"/>
        <v>ERR</v>
      </c>
    </row>
    <row r="13" spans="1:16" ht="12.75">
      <c r="A13">
        <v>3114</v>
      </c>
      <c r="B13" t="s">
        <v>6</v>
      </c>
      <c r="C13" s="6">
        <f>+'Results of Operations'!C13</f>
        <v>0</v>
      </c>
      <c r="E13" s="14"/>
      <c r="F13" s="6">
        <f t="shared" si="1"/>
        <v>0</v>
      </c>
      <c r="H13" s="10"/>
      <c r="I13" s="6">
        <f t="shared" si="2"/>
        <v>0</v>
      </c>
      <c r="K13" s="14"/>
      <c r="L13" s="6">
        <f t="shared" si="3"/>
        <v>0</v>
      </c>
      <c r="M13" s="6"/>
      <c r="N13" s="6">
        <f t="shared" si="4"/>
        <v>0</v>
      </c>
      <c r="O13" s="10">
        <f t="shared" si="5"/>
        <v>0</v>
      </c>
      <c r="P13" t="str">
        <f t="shared" si="0"/>
        <v>ERR</v>
      </c>
    </row>
    <row r="14" spans="1:16" ht="12.75">
      <c r="A14">
        <v>3300</v>
      </c>
      <c r="B14" t="s">
        <v>7</v>
      </c>
      <c r="C14" s="6">
        <f>+'Results of Operations'!C14</f>
        <v>270406.99</v>
      </c>
      <c r="E14" s="25">
        <f>+'Drop Box Allocation'!I10</f>
        <v>0.3702570081890876</v>
      </c>
      <c r="F14" s="6">
        <f t="shared" si="1"/>
        <v>100120.08311081651</v>
      </c>
      <c r="H14" s="10">
        <f>+'Drop Box Allocation'!I11</f>
        <v>0.17493156889912378</v>
      </c>
      <c r="I14" s="6">
        <f t="shared" si="2"/>
        <v>47302.71900198967</v>
      </c>
      <c r="K14" s="10">
        <f>+'Drop Box Allocation'!I12</f>
        <v>0.45481142291178855</v>
      </c>
      <c r="L14" s="6">
        <f t="shared" si="3"/>
        <v>122984.18788719378</v>
      </c>
      <c r="M14" s="6"/>
      <c r="N14" s="6">
        <f t="shared" si="4"/>
        <v>270406.99</v>
      </c>
      <c r="O14" s="10">
        <f t="shared" si="5"/>
        <v>0.9999999999999999</v>
      </c>
      <c r="P14" t="str">
        <f t="shared" si="0"/>
        <v> </v>
      </c>
    </row>
    <row r="15" spans="1:16" ht="12.75">
      <c r="A15">
        <v>3310</v>
      </c>
      <c r="B15" t="s">
        <v>8</v>
      </c>
      <c r="C15" s="6">
        <f>+'Results of Operations'!C15</f>
        <v>366706.02999999997</v>
      </c>
      <c r="E15" s="25">
        <f>+'Drop Box Allocation'!D35</f>
        <v>0.6995283137759175</v>
      </c>
      <c r="F15" s="6">
        <f t="shared" si="1"/>
        <v>256521.250817361</v>
      </c>
      <c r="H15" s="10">
        <f>+'Drop Box Allocation'!D36</f>
        <v>0.083965188875687</v>
      </c>
      <c r="I15" s="6">
        <f t="shared" si="2"/>
        <v>30790.54107080334</v>
      </c>
      <c r="K15" s="10">
        <f>+'Drop Box Allocation'!D37</f>
        <v>0.2165064973483956</v>
      </c>
      <c r="L15" s="6">
        <f t="shared" si="3"/>
        <v>79394.23811183567</v>
      </c>
      <c r="M15" s="6"/>
      <c r="N15" s="6">
        <f t="shared" si="4"/>
        <v>366706.03</v>
      </c>
      <c r="O15" s="10">
        <f t="shared" si="5"/>
        <v>1.0000000000000002</v>
      </c>
      <c r="P15" t="str">
        <f t="shared" si="0"/>
        <v> </v>
      </c>
    </row>
    <row r="16" spans="1:16" ht="12.75">
      <c r="A16" s="134">
        <v>3510</v>
      </c>
      <c r="B16" s="134" t="s">
        <v>357</v>
      </c>
      <c r="C16" s="135">
        <f>+'Results of Operations'!C16</f>
        <v>0</v>
      </c>
      <c r="D16" s="134"/>
      <c r="E16" s="136">
        <v>1</v>
      </c>
      <c r="F16" s="135">
        <f>+C16*E16</f>
        <v>0</v>
      </c>
      <c r="G16" s="134"/>
      <c r="H16" s="136">
        <v>0</v>
      </c>
      <c r="I16" s="135">
        <f>+C16*H16</f>
        <v>0</v>
      </c>
      <c r="J16" s="134"/>
      <c r="K16" s="136">
        <f>+'Drop Box Allocation'!D38</f>
        <v>0</v>
      </c>
      <c r="L16" s="135">
        <f>+C16*K16</f>
        <v>0</v>
      </c>
      <c r="M16" s="135"/>
      <c r="N16" s="135">
        <f>+F16+I16+L16</f>
        <v>0</v>
      </c>
      <c r="O16" s="10">
        <f>+E16+H16+K16</f>
        <v>1</v>
      </c>
      <c r="P16" t="str">
        <f>IF(O16&lt;&gt;1,"ERR"," ")</f>
        <v> </v>
      </c>
    </row>
    <row r="17" spans="1:16" ht="12.75">
      <c r="A17" s="134">
        <v>3550</v>
      </c>
      <c r="B17" s="134" t="s">
        <v>358</v>
      </c>
      <c r="C17" s="135">
        <f>+'Results of Operations'!C17</f>
        <v>0</v>
      </c>
      <c r="D17" s="134"/>
      <c r="E17" s="136">
        <v>1</v>
      </c>
      <c r="F17" s="135">
        <f>+C17*E17</f>
        <v>0</v>
      </c>
      <c r="G17" s="134"/>
      <c r="H17" s="136">
        <f>+'Drop Box Allocation'!D38</f>
        <v>0</v>
      </c>
      <c r="I17" s="135">
        <f>+C17*H17</f>
        <v>0</v>
      </c>
      <c r="J17" s="134"/>
      <c r="K17" s="136">
        <v>0</v>
      </c>
      <c r="L17" s="135">
        <f>+C17*K17</f>
        <v>0</v>
      </c>
      <c r="M17" s="135"/>
      <c r="N17" s="135">
        <f>+F17+I17+L17</f>
        <v>0</v>
      </c>
      <c r="O17" s="10">
        <f>+E17+H17+K17</f>
        <v>1</v>
      </c>
      <c r="P17" t="str">
        <f>IF(O17&lt;&gt;1,"ERR"," ")</f>
        <v> </v>
      </c>
    </row>
    <row r="18" spans="1:16" ht="12.75">
      <c r="A18" s="134">
        <v>3400</v>
      </c>
      <c r="B18" s="134" t="s">
        <v>9</v>
      </c>
      <c r="C18" s="135">
        <f>+'Results of Operations'!C18</f>
        <v>0</v>
      </c>
      <c r="D18" s="134"/>
      <c r="E18" s="136">
        <v>1</v>
      </c>
      <c r="F18" s="135">
        <f t="shared" si="1"/>
        <v>0</v>
      </c>
      <c r="G18" s="134"/>
      <c r="H18" s="136"/>
      <c r="I18" s="135">
        <f t="shared" si="2"/>
        <v>0</v>
      </c>
      <c r="J18" s="134"/>
      <c r="K18" s="136"/>
      <c r="L18" s="135">
        <f t="shared" si="3"/>
        <v>0</v>
      </c>
      <c r="M18" s="135"/>
      <c r="N18" s="135">
        <f t="shared" si="4"/>
        <v>0</v>
      </c>
      <c r="O18" s="10">
        <f t="shared" si="5"/>
        <v>1</v>
      </c>
      <c r="P18" t="str">
        <f t="shared" si="0"/>
        <v> </v>
      </c>
    </row>
    <row r="19" spans="1:16" ht="13.5" thickBot="1">
      <c r="A19">
        <v>3500</v>
      </c>
      <c r="B19" t="s">
        <v>10</v>
      </c>
      <c r="C19" s="7">
        <f>+'Results of Operations'!C19</f>
        <v>0</v>
      </c>
      <c r="D19" s="5"/>
      <c r="E19" s="24">
        <v>1</v>
      </c>
      <c r="F19" s="7">
        <f t="shared" si="1"/>
        <v>0</v>
      </c>
      <c r="G19" s="5"/>
      <c r="H19" s="11"/>
      <c r="I19" s="7">
        <f t="shared" si="2"/>
        <v>0</v>
      </c>
      <c r="J19" s="5"/>
      <c r="K19" s="11"/>
      <c r="L19" s="7">
        <f t="shared" si="3"/>
        <v>0</v>
      </c>
      <c r="M19" s="7"/>
      <c r="N19" s="7">
        <f t="shared" si="4"/>
        <v>0</v>
      </c>
      <c r="O19" s="11">
        <f t="shared" si="5"/>
        <v>1</v>
      </c>
      <c r="P19" t="str">
        <f t="shared" si="0"/>
        <v> </v>
      </c>
    </row>
    <row r="20" spans="3:15" ht="12.75">
      <c r="C20" s="6"/>
      <c r="E20" s="10"/>
      <c r="H20" s="10"/>
      <c r="K20" s="10"/>
      <c r="O20" s="10"/>
    </row>
    <row r="21" spans="2:15" ht="13.5" thickBot="1">
      <c r="B21" t="s">
        <v>3</v>
      </c>
      <c r="C21" s="7">
        <f>SUM(C11:C19)</f>
        <v>2207601.1999999997</v>
      </c>
      <c r="D21" s="5"/>
      <c r="E21" s="11">
        <f>+F21/C21</f>
        <v>0.6748783247489285</v>
      </c>
      <c r="F21" s="7">
        <f>SUM(F11:F19)</f>
        <v>1489862.199569724</v>
      </c>
      <c r="G21" s="5"/>
      <c r="H21" s="11">
        <f>+I21/C21</f>
        <v>0.08048602691779883</v>
      </c>
      <c r="I21" s="7">
        <f>SUM(I11:I19)</f>
        <v>177681.04960696495</v>
      </c>
      <c r="J21" s="5"/>
      <c r="K21" s="11">
        <f>+L21/C21</f>
        <v>0.2446356483332728</v>
      </c>
      <c r="L21" s="7">
        <f>SUM(L11:L19)</f>
        <v>540057.950823311</v>
      </c>
      <c r="M21" s="5"/>
      <c r="N21" s="7">
        <f>SUM(N11:N19)</f>
        <v>2207601.2</v>
      </c>
      <c r="O21" s="11">
        <f>+E21+H21+K21</f>
        <v>1.0000000000000002</v>
      </c>
    </row>
    <row r="22" spans="3:15" ht="12.75">
      <c r="C22" s="6"/>
      <c r="E22" s="10"/>
      <c r="H22" s="10"/>
      <c r="K22" s="10"/>
      <c r="O22" s="10"/>
    </row>
    <row r="23" spans="1:15" ht="12.75">
      <c r="A23" t="s">
        <v>11</v>
      </c>
      <c r="C23" s="6"/>
      <c r="E23" s="10"/>
      <c r="H23" s="10"/>
      <c r="K23" s="10"/>
      <c r="O23" s="10"/>
    </row>
    <row r="24" spans="1:15" ht="12.75">
      <c r="A24" t="s">
        <v>12</v>
      </c>
      <c r="C24" s="6"/>
      <c r="E24" s="10"/>
      <c r="H24" s="10"/>
      <c r="K24" s="10"/>
      <c r="O24" s="10"/>
    </row>
    <row r="25" spans="1:16" ht="12.75">
      <c r="A25">
        <v>4116</v>
      </c>
      <c r="B25" t="s">
        <v>24</v>
      </c>
      <c r="C25" s="6">
        <f>+'Results of Operations'!C25</f>
        <v>59187.93732138288</v>
      </c>
      <c r="E25" s="25">
        <f>+'Hours &amp; Miles'!D25</f>
        <v>0.7777362630136332</v>
      </c>
      <c r="F25" s="6">
        <f aca="true" t="shared" si="6" ref="F25:F97">+C25*E25</f>
        <v>46032.60518781747</v>
      </c>
      <c r="H25" s="10">
        <f>+'Hours &amp; Miles'!E25</f>
        <v>0.07771862754182449</v>
      </c>
      <c r="I25" s="6">
        <f aca="true" t="shared" si="7" ref="I25:I97">+C25*H25</f>
        <v>4600.005255649409</v>
      </c>
      <c r="K25" s="10">
        <f>+'Hours &amp; Miles'!F25</f>
        <v>0.14454510944454246</v>
      </c>
      <c r="L25" s="6">
        <f aca="true" t="shared" si="8" ref="L25:L97">+C25*K25</f>
        <v>8555.326877916008</v>
      </c>
      <c r="N25" s="6">
        <f aca="true" t="shared" si="9" ref="N25:N97">+F25+I25+L25</f>
        <v>59187.93732138289</v>
      </c>
      <c r="O25" s="10">
        <f aca="true" t="shared" si="10" ref="O25:O37">+E25+H25+K25</f>
        <v>1</v>
      </c>
      <c r="P25" t="str">
        <f aca="true" t="shared" si="11" ref="P25:P97">IF(O25&lt;&gt;1,"ERR"," ")</f>
        <v> </v>
      </c>
    </row>
    <row r="26" spans="1:16" ht="12.75">
      <c r="A26">
        <v>4117</v>
      </c>
      <c r="B26" t="s">
        <v>278</v>
      </c>
      <c r="C26" s="6">
        <f>+'Results of Operations'!C26</f>
        <v>2232.75</v>
      </c>
      <c r="E26" s="25">
        <f>+E25</f>
        <v>0.7777362630136332</v>
      </c>
      <c r="F26" s="6">
        <f>+C26*E26</f>
        <v>1736.4906412436894</v>
      </c>
      <c r="H26" s="10">
        <f>+H25</f>
        <v>0.07771862754182449</v>
      </c>
      <c r="I26" s="6">
        <f>+C26*H26</f>
        <v>173.52626564400862</v>
      </c>
      <c r="K26" s="10">
        <f>+K25</f>
        <v>0.14454510944454246</v>
      </c>
      <c r="L26" s="6">
        <f>+C26*K26</f>
        <v>322.7330931123022</v>
      </c>
      <c r="N26" s="6">
        <f>+F26+I26+L26</f>
        <v>2232.75</v>
      </c>
      <c r="O26" s="10">
        <f>+E26+H26+K26</f>
        <v>1</v>
      </c>
      <c r="P26" t="str">
        <f t="shared" si="11"/>
        <v> </v>
      </c>
    </row>
    <row r="27" spans="1:16" ht="12.75">
      <c r="A27">
        <v>4118</v>
      </c>
      <c r="B27" t="s">
        <v>25</v>
      </c>
      <c r="C27" s="6">
        <f>+'Results of Operations'!C27</f>
        <v>7395.205756097561</v>
      </c>
      <c r="E27" s="25">
        <f>ROUND(+'Container Count'!K22,3)</f>
        <v>0.809</v>
      </c>
      <c r="F27" s="6">
        <f t="shared" si="6"/>
        <v>5982.721456682927</v>
      </c>
      <c r="H27" s="25">
        <f>ROUND(+'Container Count'!K24,3)</f>
        <v>0.046</v>
      </c>
      <c r="I27" s="6">
        <f t="shared" si="7"/>
        <v>340.1794647804878</v>
      </c>
      <c r="K27" s="26">
        <f>ROUND(+'Container Count'!K26,3)</f>
        <v>0.145</v>
      </c>
      <c r="L27" s="6">
        <f t="shared" si="8"/>
        <v>1072.3048346341463</v>
      </c>
      <c r="N27" s="6">
        <f t="shared" si="9"/>
        <v>7395.205756097562</v>
      </c>
      <c r="O27" s="10">
        <f t="shared" si="10"/>
        <v>1</v>
      </c>
      <c r="P27" t="str">
        <f t="shared" si="11"/>
        <v> </v>
      </c>
    </row>
    <row r="28" spans="1:16" ht="12.75">
      <c r="A28">
        <v>4120</v>
      </c>
      <c r="B28" t="s">
        <v>279</v>
      </c>
      <c r="C28" s="6">
        <f>+'Results of Operations'!C28</f>
        <v>82.5</v>
      </c>
      <c r="E28" s="25">
        <f>+E27</f>
        <v>0.809</v>
      </c>
      <c r="F28" s="6">
        <f>+C28*E28</f>
        <v>66.7425</v>
      </c>
      <c r="H28" s="25">
        <f>+H27</f>
        <v>0.046</v>
      </c>
      <c r="I28" s="6">
        <f>+C28*H28</f>
        <v>3.795</v>
      </c>
      <c r="K28" s="26">
        <f>+K27</f>
        <v>0.145</v>
      </c>
      <c r="L28" s="6">
        <f>+C28*K28</f>
        <v>11.962499999999999</v>
      </c>
      <c r="N28" s="6">
        <f>+F28+I28+L28</f>
        <v>82.5</v>
      </c>
      <c r="O28" s="10">
        <f>+E28+H28+K28</f>
        <v>1</v>
      </c>
      <c r="P28" t="str">
        <f t="shared" si="11"/>
        <v> </v>
      </c>
    </row>
    <row r="29" spans="1:16" ht="12.75">
      <c r="A29" s="134">
        <v>4122</v>
      </c>
      <c r="B29" s="134" t="s">
        <v>359</v>
      </c>
      <c r="C29" s="135">
        <f>+'Results of Operations'!C29</f>
        <v>0</v>
      </c>
      <c r="D29" s="134"/>
      <c r="E29" s="136">
        <f>+E28</f>
        <v>0.809</v>
      </c>
      <c r="F29" s="135">
        <f>+C29*E29</f>
        <v>0</v>
      </c>
      <c r="G29" s="134"/>
      <c r="H29" s="136">
        <f>+H28</f>
        <v>0.046</v>
      </c>
      <c r="I29" s="135">
        <f>+C29*H29</f>
        <v>0</v>
      </c>
      <c r="J29" s="134"/>
      <c r="K29" s="136">
        <f>+K28</f>
        <v>0.145</v>
      </c>
      <c r="L29" s="135">
        <f>+C29*K29</f>
        <v>0</v>
      </c>
      <c r="M29" s="134"/>
      <c r="N29" s="135">
        <f>+F29+I29+L29</f>
        <v>0</v>
      </c>
      <c r="O29" s="136">
        <f>+E29+H29+K29</f>
        <v>1</v>
      </c>
      <c r="P29" s="134" t="str">
        <f>IF(O29&lt;&gt;1,"ERR"," ")</f>
        <v> </v>
      </c>
    </row>
    <row r="30" spans="1:16" ht="12.75">
      <c r="A30">
        <v>4132</v>
      </c>
      <c r="B30" t="s">
        <v>26</v>
      </c>
      <c r="C30" s="6">
        <f>+'Results of Operations'!C30</f>
        <v>35099.814956932285</v>
      </c>
      <c r="E30" s="10">
        <f>+E25</f>
        <v>0.7777362630136332</v>
      </c>
      <c r="F30" s="6">
        <f>+C30*E30</f>
        <v>27298.398917074544</v>
      </c>
      <c r="H30" s="10">
        <f>+H25</f>
        <v>0.07771862754182449</v>
      </c>
      <c r="I30" s="6">
        <f t="shared" si="7"/>
        <v>2727.9094454247806</v>
      </c>
      <c r="K30" s="10">
        <f>+K25</f>
        <v>0.14454510944454246</v>
      </c>
      <c r="L30" s="6">
        <f t="shared" si="8"/>
        <v>5073.506594432965</v>
      </c>
      <c r="N30" s="6">
        <f t="shared" si="9"/>
        <v>35099.814956932285</v>
      </c>
      <c r="O30" s="10">
        <f t="shared" si="10"/>
        <v>1</v>
      </c>
      <c r="P30" t="str">
        <f t="shared" si="11"/>
        <v> </v>
      </c>
    </row>
    <row r="31" spans="1:16" ht="12.75">
      <c r="A31">
        <v>4133</v>
      </c>
      <c r="B31" t="s">
        <v>280</v>
      </c>
      <c r="C31" s="6">
        <f>+'Results of Operations'!C31</f>
        <v>4851.46</v>
      </c>
      <c r="E31" s="10">
        <f>+E25</f>
        <v>0.7777362630136332</v>
      </c>
      <c r="F31" s="6">
        <f>+C31*E31</f>
        <v>3773.156370560121</v>
      </c>
      <c r="H31" s="10">
        <f>+H25</f>
        <v>0.07771862754182449</v>
      </c>
      <c r="I31" s="6">
        <f>+C31*H31</f>
        <v>377.04881277405985</v>
      </c>
      <c r="K31" s="10">
        <f>+K25</f>
        <v>0.14454510944454246</v>
      </c>
      <c r="L31" s="6">
        <f>+C31*K31</f>
        <v>701.2548166658199</v>
      </c>
      <c r="N31" s="6">
        <f>+F31+I31+L31</f>
        <v>4851.460000000001</v>
      </c>
      <c r="O31" s="10">
        <f>+E31+H31+K31</f>
        <v>1</v>
      </c>
      <c r="P31" t="str">
        <f t="shared" si="11"/>
        <v> </v>
      </c>
    </row>
    <row r="32" spans="1:16" ht="12.75">
      <c r="A32">
        <v>4134</v>
      </c>
      <c r="B32" t="s">
        <v>27</v>
      </c>
      <c r="C32" s="6">
        <f>+'Results of Operations'!C32</f>
        <v>4166.935317073171</v>
      </c>
      <c r="E32" s="10">
        <f>+E27</f>
        <v>0.809</v>
      </c>
      <c r="F32" s="6">
        <f t="shared" si="6"/>
        <v>3371.0506715121955</v>
      </c>
      <c r="H32" s="10">
        <f>+H27</f>
        <v>0.046</v>
      </c>
      <c r="I32" s="6">
        <f t="shared" si="7"/>
        <v>191.67902458536585</v>
      </c>
      <c r="K32" s="10">
        <f>+K27</f>
        <v>0.145</v>
      </c>
      <c r="L32" s="6">
        <f t="shared" si="8"/>
        <v>604.2056209756098</v>
      </c>
      <c r="N32" s="6">
        <f t="shared" si="9"/>
        <v>4166.935317073171</v>
      </c>
      <c r="O32" s="10">
        <f t="shared" si="10"/>
        <v>1</v>
      </c>
      <c r="P32" t="str">
        <f t="shared" si="11"/>
        <v> </v>
      </c>
    </row>
    <row r="33" spans="1:16" ht="12.75">
      <c r="A33">
        <v>4136</v>
      </c>
      <c r="B33" t="s">
        <v>281</v>
      </c>
      <c r="C33" s="6">
        <f>+'Results of Operations'!C33</f>
        <v>0</v>
      </c>
      <c r="E33" s="10">
        <f>+E27</f>
        <v>0.809</v>
      </c>
      <c r="F33" s="6">
        <f>+C33*E33</f>
        <v>0</v>
      </c>
      <c r="H33" s="10">
        <f>+H27</f>
        <v>0.046</v>
      </c>
      <c r="I33" s="6">
        <f>+C33*H33</f>
        <v>0</v>
      </c>
      <c r="K33" s="10">
        <f>+K27</f>
        <v>0.145</v>
      </c>
      <c r="L33" s="6">
        <f>+C33*K33</f>
        <v>0</v>
      </c>
      <c r="N33" s="6">
        <f>+F33+I33+L33</f>
        <v>0</v>
      </c>
      <c r="O33" s="10">
        <f>+E33+H33+K33</f>
        <v>1</v>
      </c>
      <c r="P33" t="str">
        <f t="shared" si="11"/>
        <v> </v>
      </c>
    </row>
    <row r="34" spans="1:16" ht="12.75">
      <c r="A34" s="134">
        <v>4138</v>
      </c>
      <c r="B34" s="134" t="s">
        <v>360</v>
      </c>
      <c r="C34" s="135">
        <f>+'Results of Operations'!C34</f>
        <v>0</v>
      </c>
      <c r="D34" s="134"/>
      <c r="E34" s="136">
        <f>+E28</f>
        <v>0.809</v>
      </c>
      <c r="F34" s="135">
        <f>+C34*E34</f>
        <v>0</v>
      </c>
      <c r="G34" s="134"/>
      <c r="H34" s="136">
        <f>+H28</f>
        <v>0.046</v>
      </c>
      <c r="I34" s="135">
        <f>+C34*H34</f>
        <v>0</v>
      </c>
      <c r="J34" s="134"/>
      <c r="K34" s="136">
        <f>+K28</f>
        <v>0.145</v>
      </c>
      <c r="L34" s="135">
        <f>+C34*K34</f>
        <v>0</v>
      </c>
      <c r="M34" s="134"/>
      <c r="N34" s="135">
        <f>+F34+I34+L34</f>
        <v>0</v>
      </c>
      <c r="O34" s="136">
        <f>+E34+H34+K34</f>
        <v>1</v>
      </c>
      <c r="P34" s="134" t="str">
        <f>IF(O34&lt;&gt;1,"ERR"," ")</f>
        <v> </v>
      </c>
    </row>
    <row r="35" spans="1:16" ht="12.75">
      <c r="A35">
        <v>4160</v>
      </c>
      <c r="B35" t="s">
        <v>28</v>
      </c>
      <c r="C35" s="6">
        <f>+'Results of Operations'!C35</f>
        <v>18985.15809626244</v>
      </c>
      <c r="E35" s="25">
        <f>+'Hours &amp; Miles'!D68</f>
        <v>0.683225228903931</v>
      </c>
      <c r="F35" s="6">
        <f t="shared" si="6"/>
        <v>12971.138986096224</v>
      </c>
      <c r="H35" s="25">
        <f>+'Hours &amp; Miles'!E68</f>
        <v>0.12221820865987153</v>
      </c>
      <c r="I35" s="6">
        <f t="shared" si="7"/>
        <v>2320.3320136496523</v>
      </c>
      <c r="K35" s="25">
        <f>+'Hours &amp; Miles'!F68</f>
        <v>0.19455656243619746</v>
      </c>
      <c r="L35" s="6">
        <f t="shared" si="8"/>
        <v>3693.687096516563</v>
      </c>
      <c r="N35" s="6">
        <f t="shared" si="9"/>
        <v>18985.15809626244</v>
      </c>
      <c r="O35" s="10">
        <f t="shared" si="10"/>
        <v>1</v>
      </c>
      <c r="P35" t="str">
        <f t="shared" si="11"/>
        <v> </v>
      </c>
    </row>
    <row r="36" spans="1:16" ht="12.75">
      <c r="A36">
        <v>4162</v>
      </c>
      <c r="B36" t="s">
        <v>282</v>
      </c>
      <c r="C36" s="6">
        <f>+'Results of Operations'!C36</f>
        <v>1659.58</v>
      </c>
      <c r="E36" s="25">
        <f>+E35</f>
        <v>0.683225228903931</v>
      </c>
      <c r="F36" s="6">
        <f>+C36*E36</f>
        <v>1133.8669253843857</v>
      </c>
      <c r="H36" s="25">
        <f>+H35</f>
        <v>0.12221820865987153</v>
      </c>
      <c r="I36" s="6">
        <f>+C36*H36</f>
        <v>202.83089472774958</v>
      </c>
      <c r="K36" s="25">
        <f>+K35</f>
        <v>0.19455656243619746</v>
      </c>
      <c r="L36" s="6">
        <f>+C36*K36</f>
        <v>322.88217988786454</v>
      </c>
      <c r="N36" s="6">
        <f>+F36+I36+L36</f>
        <v>1659.58</v>
      </c>
      <c r="O36" s="10">
        <f>+E36+H36+K36</f>
        <v>1</v>
      </c>
      <c r="P36" t="str">
        <f t="shared" si="11"/>
        <v> </v>
      </c>
    </row>
    <row r="37" spans="1:16" ht="12.75">
      <c r="A37">
        <v>4180</v>
      </c>
      <c r="B37" t="s">
        <v>29</v>
      </c>
      <c r="C37" s="6">
        <f>+'Results of Operations'!C37</f>
        <v>18243.325350990322</v>
      </c>
      <c r="E37" s="10">
        <f>+E25</f>
        <v>0.7777362630136332</v>
      </c>
      <c r="F37" s="6">
        <f t="shared" si="6"/>
        <v>14188.495683421092</v>
      </c>
      <c r="H37" s="10">
        <f>+H25</f>
        <v>0.07771862754182449</v>
      </c>
      <c r="I37" s="6">
        <f t="shared" si="7"/>
        <v>1417.8462080779414</v>
      </c>
      <c r="K37" s="10">
        <f>+K25</f>
        <v>0.14454510944454246</v>
      </c>
      <c r="L37" s="6">
        <f t="shared" si="8"/>
        <v>2636.9834594912923</v>
      </c>
      <c r="N37" s="6">
        <f t="shared" si="9"/>
        <v>18243.325350990326</v>
      </c>
      <c r="O37" s="10">
        <f t="shared" si="10"/>
        <v>1</v>
      </c>
      <c r="P37" t="str">
        <f t="shared" si="11"/>
        <v> </v>
      </c>
    </row>
    <row r="38" spans="1:15" ht="12.75">
      <c r="A38" t="s">
        <v>15</v>
      </c>
      <c r="C38" s="6"/>
      <c r="E38" s="10"/>
      <c r="F38" s="6"/>
      <c r="H38" s="10"/>
      <c r="I38" s="6"/>
      <c r="K38" s="10"/>
      <c r="L38" s="6"/>
      <c r="N38" s="6"/>
      <c r="O38" s="10"/>
    </row>
    <row r="39" spans="1:16" ht="12.75">
      <c r="A39">
        <v>4210</v>
      </c>
      <c r="B39" t="s">
        <v>30</v>
      </c>
      <c r="C39" s="6">
        <f>+'Results of Operations'!C39</f>
        <v>0</v>
      </c>
      <c r="E39" s="10">
        <f>+E25</f>
        <v>0.7777362630136332</v>
      </c>
      <c r="F39" s="6">
        <f t="shared" si="6"/>
        <v>0</v>
      </c>
      <c r="H39" s="10">
        <f>+H25</f>
        <v>0.07771862754182449</v>
      </c>
      <c r="I39" s="6">
        <f t="shared" si="7"/>
        <v>0</v>
      </c>
      <c r="K39" s="10">
        <f>+K25</f>
        <v>0.14454510944454246</v>
      </c>
      <c r="L39" s="6">
        <f t="shared" si="8"/>
        <v>0</v>
      </c>
      <c r="N39" s="6">
        <f t="shared" si="9"/>
        <v>0</v>
      </c>
      <c r="O39" s="10">
        <f aca="true" t="shared" si="12" ref="O39:O47">+E39+H39+K39</f>
        <v>1</v>
      </c>
      <c r="P39" t="str">
        <f t="shared" si="11"/>
        <v> </v>
      </c>
    </row>
    <row r="40" spans="1:16" ht="12.75">
      <c r="A40">
        <v>4213</v>
      </c>
      <c r="B40" t="s">
        <v>31</v>
      </c>
      <c r="C40" s="6">
        <f>+'Results of Operations'!C40</f>
        <v>250163.17923324395</v>
      </c>
      <c r="E40" s="10">
        <f>+E25</f>
        <v>0.7777362630136332</v>
      </c>
      <c r="F40" s="6">
        <f t="shared" si="6"/>
        <v>194560.97616047287</v>
      </c>
      <c r="H40" s="10">
        <f>+H25</f>
        <v>0.07771862754182449</v>
      </c>
      <c r="I40" s="6">
        <f t="shared" si="7"/>
        <v>19442.33895150717</v>
      </c>
      <c r="K40" s="10">
        <f>+K25</f>
        <v>0.14454510944454246</v>
      </c>
      <c r="L40" s="6">
        <f t="shared" si="8"/>
        <v>36159.86412126394</v>
      </c>
      <c r="N40" s="6">
        <f t="shared" si="9"/>
        <v>250163.17923324398</v>
      </c>
      <c r="O40" s="10">
        <f t="shared" si="12"/>
        <v>1</v>
      </c>
      <c r="P40" t="str">
        <f t="shared" si="11"/>
        <v> </v>
      </c>
    </row>
    <row r="41" spans="1:16" ht="12.75">
      <c r="A41">
        <v>4215</v>
      </c>
      <c r="B41" t="s">
        <v>32</v>
      </c>
      <c r="C41" s="6">
        <f>+'Results of Operations'!C41</f>
        <v>48019.18000000001</v>
      </c>
      <c r="E41" s="25">
        <f>+E14</f>
        <v>0.3702570081890876</v>
      </c>
      <c r="F41" s="6">
        <f t="shared" si="6"/>
        <v>17779.437922493275</v>
      </c>
      <c r="H41" s="25">
        <f>+H14</f>
        <v>0.17493156889912378</v>
      </c>
      <c r="I41" s="6">
        <f t="shared" si="7"/>
        <v>8400.070494649428</v>
      </c>
      <c r="K41" s="25">
        <f>+K14</f>
        <v>0.45481142291178855</v>
      </c>
      <c r="L41" s="6">
        <f t="shared" si="8"/>
        <v>21839.671582857303</v>
      </c>
      <c r="N41" s="6">
        <f t="shared" si="9"/>
        <v>48019.18000000001</v>
      </c>
      <c r="O41" s="10">
        <f t="shared" si="12"/>
        <v>0.9999999999999999</v>
      </c>
      <c r="P41" t="str">
        <f t="shared" si="11"/>
        <v> </v>
      </c>
    </row>
    <row r="42" spans="1:16" ht="12.75">
      <c r="A42">
        <v>4217</v>
      </c>
      <c r="B42" t="s">
        <v>283</v>
      </c>
      <c r="C42" s="6">
        <f>+'Results of Operations'!C42</f>
        <v>9275.881816913547</v>
      </c>
      <c r="E42" s="25">
        <f>+E25</f>
        <v>0.7777362630136332</v>
      </c>
      <c r="F42" s="6">
        <f>+C42*E42</f>
        <v>7214.189660442452</v>
      </c>
      <c r="H42" s="25">
        <f>+H39</f>
        <v>0.07771862754182449</v>
      </c>
      <c r="I42" s="6">
        <f>+C42*H42</f>
        <v>720.9088040506862</v>
      </c>
      <c r="K42" s="25">
        <f>+K39</f>
        <v>0.14454510944454246</v>
      </c>
      <c r="L42" s="6">
        <f>+C42*K42</f>
        <v>1340.78335242041</v>
      </c>
      <c r="N42" s="6">
        <f>+F42+I42+L42</f>
        <v>9275.881816913548</v>
      </c>
      <c r="O42" s="10">
        <f t="shared" si="12"/>
        <v>1</v>
      </c>
      <c r="P42" t="str">
        <f t="shared" si="11"/>
        <v> </v>
      </c>
    </row>
    <row r="43" spans="1:16" ht="12.75">
      <c r="A43" s="134">
        <v>4222</v>
      </c>
      <c r="B43" s="134" t="s">
        <v>361</v>
      </c>
      <c r="C43" s="135">
        <f>+'Results of Operations'!C43</f>
        <v>0</v>
      </c>
      <c r="D43" s="134"/>
      <c r="E43" s="136">
        <f>+E26</f>
        <v>0.7777362630136332</v>
      </c>
      <c r="F43" s="135">
        <f>+C43*E43</f>
        <v>0</v>
      </c>
      <c r="G43" s="134"/>
      <c r="H43" s="136">
        <f>+H40</f>
        <v>0.07771862754182449</v>
      </c>
      <c r="I43" s="135">
        <f>+C43*H43</f>
        <v>0</v>
      </c>
      <c r="J43" s="134"/>
      <c r="K43" s="136">
        <f>+K40</f>
        <v>0.14454510944454246</v>
      </c>
      <c r="L43" s="135">
        <f>+C43*K43</f>
        <v>0</v>
      </c>
      <c r="M43" s="134"/>
      <c r="N43" s="135">
        <f>+F43+I43+L43</f>
        <v>0</v>
      </c>
      <c r="O43" s="136">
        <f>+E43+H43+K43</f>
        <v>1</v>
      </c>
      <c r="P43" s="134" t="str">
        <f>IF(O43&lt;&gt;1,"ERR"," ")</f>
        <v> </v>
      </c>
    </row>
    <row r="44" spans="1:16" ht="12.75">
      <c r="A44">
        <v>4240</v>
      </c>
      <c r="B44" t="s">
        <v>33</v>
      </c>
      <c r="C44" s="6">
        <f>+'Results of Operations'!C44</f>
        <v>55664.030588123</v>
      </c>
      <c r="E44" s="10">
        <f>+E25</f>
        <v>0.7777362630136332</v>
      </c>
      <c r="F44" s="6">
        <f t="shared" si="6"/>
        <v>43291.93513388335</v>
      </c>
      <c r="H44" s="10">
        <f>+H25</f>
        <v>0.07771862754182449</v>
      </c>
      <c r="I44" s="6">
        <f t="shared" si="7"/>
        <v>4326.132060755057</v>
      </c>
      <c r="K44" s="10">
        <f>+K25</f>
        <v>0.14454510944454246</v>
      </c>
      <c r="L44" s="6">
        <f t="shared" si="8"/>
        <v>8045.963393484599</v>
      </c>
      <c r="N44" s="6">
        <f t="shared" si="9"/>
        <v>55664.03058812301</v>
      </c>
      <c r="O44" s="10">
        <f t="shared" si="12"/>
        <v>1</v>
      </c>
      <c r="P44" t="str">
        <f t="shared" si="11"/>
        <v> </v>
      </c>
    </row>
    <row r="45" spans="1:16" ht="12.75">
      <c r="A45">
        <v>4242</v>
      </c>
      <c r="B45" t="s">
        <v>284</v>
      </c>
      <c r="C45" s="6">
        <f>+'Results of Operations'!C45</f>
        <v>19387.63370649264</v>
      </c>
      <c r="E45" s="10">
        <f>+E26</f>
        <v>0.7777362630136332</v>
      </c>
      <c r="F45" s="6">
        <f>+C45*E45</f>
        <v>15078.46578756474</v>
      </c>
      <c r="H45" s="10">
        <f>+H26</f>
        <v>0.07771862754182449</v>
      </c>
      <c r="I45" s="6">
        <f>+C45*H45</f>
        <v>1506.7802829522236</v>
      </c>
      <c r="K45" s="10">
        <f>+K25</f>
        <v>0.14454510944454246</v>
      </c>
      <c r="L45" s="6">
        <f>+C45*K45</f>
        <v>2802.387635975679</v>
      </c>
      <c r="N45" s="6">
        <f>+F45+I45+L45</f>
        <v>19387.633706492645</v>
      </c>
      <c r="O45" s="10">
        <f t="shared" si="12"/>
        <v>1</v>
      </c>
      <c r="P45" t="str">
        <f t="shared" si="11"/>
        <v> </v>
      </c>
    </row>
    <row r="46" spans="1:16" ht="12.75">
      <c r="A46" s="134">
        <v>4244</v>
      </c>
      <c r="B46" s="134" t="s">
        <v>362</v>
      </c>
      <c r="C46" s="135">
        <f>+'Results of Operations'!C46</f>
        <v>0</v>
      </c>
      <c r="D46" s="134"/>
      <c r="E46" s="136">
        <f>+E27</f>
        <v>0.809</v>
      </c>
      <c r="F46" s="135">
        <f>+C46*E46</f>
        <v>0</v>
      </c>
      <c r="G46" s="134"/>
      <c r="H46" s="136">
        <f>+H27</f>
        <v>0.046</v>
      </c>
      <c r="I46" s="135">
        <f>+C46*H46</f>
        <v>0</v>
      </c>
      <c r="J46" s="134"/>
      <c r="K46" s="136">
        <f>+K27</f>
        <v>0.145</v>
      </c>
      <c r="L46" s="135">
        <f>+C46*K46</f>
        <v>0</v>
      </c>
      <c r="M46" s="134"/>
      <c r="N46" s="135">
        <f>+F46+I46+L46</f>
        <v>0</v>
      </c>
      <c r="O46" s="136">
        <f>+E46+H46+K46</f>
        <v>1</v>
      </c>
      <c r="P46" s="134" t="str">
        <f>IF(O46&lt;&gt;1,"ERR"," ")</f>
        <v> </v>
      </c>
    </row>
    <row r="47" spans="1:16" ht="12.75">
      <c r="A47">
        <v>4280</v>
      </c>
      <c r="B47" t="s">
        <v>34</v>
      </c>
      <c r="C47" s="6">
        <f>+'Results of Operations'!C47</f>
        <v>4703.099876398333</v>
      </c>
      <c r="E47" s="10">
        <f>+E25</f>
        <v>0.7777362630136332</v>
      </c>
      <c r="F47" s="6">
        <f t="shared" si="6"/>
        <v>3657.77132244992</v>
      </c>
      <c r="H47" s="10">
        <f>+H25</f>
        <v>0.07771862754182449</v>
      </c>
      <c r="I47" s="6">
        <f t="shared" si="7"/>
        <v>365.51846758580285</v>
      </c>
      <c r="K47" s="10">
        <f>+K25</f>
        <v>0.14454510944454246</v>
      </c>
      <c r="L47" s="6">
        <f t="shared" si="8"/>
        <v>679.8100863626113</v>
      </c>
      <c r="N47" s="6">
        <f t="shared" si="9"/>
        <v>4703.099876398333</v>
      </c>
      <c r="O47" s="10">
        <f t="shared" si="12"/>
        <v>1</v>
      </c>
      <c r="P47" t="str">
        <f t="shared" si="11"/>
        <v> </v>
      </c>
    </row>
    <row r="48" spans="1:16" ht="12.75">
      <c r="A48" s="134">
        <v>4282</v>
      </c>
      <c r="B48" s="134" t="s">
        <v>363</v>
      </c>
      <c r="C48" s="135">
        <f>+'Results of Operations'!C48</f>
        <v>0</v>
      </c>
      <c r="D48" s="134"/>
      <c r="E48" s="136">
        <f>+E26</f>
        <v>0.7777362630136332</v>
      </c>
      <c r="F48" s="135">
        <f>+C48*E48</f>
        <v>0</v>
      </c>
      <c r="G48" s="134"/>
      <c r="H48" s="136">
        <f>+H26</f>
        <v>0.07771862754182449</v>
      </c>
      <c r="I48" s="135">
        <f>+C48*H48</f>
        <v>0</v>
      </c>
      <c r="J48" s="134"/>
      <c r="K48" s="136">
        <f>+K26</f>
        <v>0.14454510944454246</v>
      </c>
      <c r="L48" s="135">
        <f>+C48*K48</f>
        <v>0</v>
      </c>
      <c r="M48" s="134"/>
      <c r="N48" s="135">
        <f>+F48+I48+L48</f>
        <v>0</v>
      </c>
      <c r="O48" s="136">
        <f>+E48+H48+K48</f>
        <v>1</v>
      </c>
      <c r="P48" s="134" t="str">
        <f>IF(O48&lt;&gt;1,"ERR"," ")</f>
        <v> </v>
      </c>
    </row>
    <row r="49" spans="1:15" ht="12.75">
      <c r="A49" t="s">
        <v>16</v>
      </c>
      <c r="C49" s="6"/>
      <c r="E49" s="10"/>
      <c r="F49" s="6"/>
      <c r="H49" s="10"/>
      <c r="I49" s="6"/>
      <c r="K49" s="10"/>
      <c r="L49" s="6"/>
      <c r="N49" s="6"/>
      <c r="O49" s="10"/>
    </row>
    <row r="50" spans="1:16" ht="12.75">
      <c r="A50">
        <v>4360</v>
      </c>
      <c r="B50" t="s">
        <v>35</v>
      </c>
      <c r="C50" s="6">
        <f>+'Results of Operations'!C50</f>
        <v>359294.6600456168</v>
      </c>
      <c r="E50" s="25">
        <f>+'[1]Monthly Data-Disposal Fees'!$L$52</f>
        <v>0.9899662229286706</v>
      </c>
      <c r="F50" s="6">
        <f t="shared" si="6"/>
        <v>355689.5775238</v>
      </c>
      <c r="H50" s="25">
        <f>+'[1]Monthly Data-Disposal Fees'!$N$52</f>
        <v>0.0007947546195113519</v>
      </c>
      <c r="I50" s="6">
        <f t="shared" si="7"/>
        <v>285.5510908370147</v>
      </c>
      <c r="K50" s="25">
        <f>+'[1]Monthly Data-Disposal Fees'!$M$52</f>
        <v>0.009239022451818001</v>
      </c>
      <c r="L50" s="6">
        <f t="shared" si="8"/>
        <v>3319.5314309797695</v>
      </c>
      <c r="N50" s="6">
        <f t="shared" si="9"/>
        <v>359294.6600456168</v>
      </c>
      <c r="O50" s="10">
        <f>+E50+H50+K50</f>
        <v>1</v>
      </c>
      <c r="P50" t="str">
        <f t="shared" si="11"/>
        <v> </v>
      </c>
    </row>
    <row r="51" spans="1:16" ht="12.75">
      <c r="A51">
        <v>4361</v>
      </c>
      <c r="B51" t="s">
        <v>36</v>
      </c>
      <c r="C51" s="6">
        <f>+'Results of Operations'!C51</f>
        <v>257625.00999999995</v>
      </c>
      <c r="E51" s="25">
        <f>+'Drop Box Allocation'!D20</f>
        <v>1</v>
      </c>
      <c r="F51" s="6">
        <f t="shared" si="6"/>
        <v>257625.00999999995</v>
      </c>
      <c r="H51" s="25">
        <f>+'Drop Box Allocation'!D21</f>
        <v>0</v>
      </c>
      <c r="I51" s="6">
        <f t="shared" si="7"/>
        <v>0</v>
      </c>
      <c r="K51" s="25">
        <f>+'Drop Box Allocation'!D22</f>
        <v>0</v>
      </c>
      <c r="L51" s="6">
        <f t="shared" si="8"/>
        <v>0</v>
      </c>
      <c r="N51" s="6">
        <f t="shared" si="9"/>
        <v>257625.00999999995</v>
      </c>
      <c r="O51" s="10">
        <f>+E51+H51+K51</f>
        <v>1</v>
      </c>
      <c r="P51" t="str">
        <f t="shared" si="11"/>
        <v> </v>
      </c>
    </row>
    <row r="52" spans="1:16" ht="12.75">
      <c r="A52">
        <v>4362</v>
      </c>
      <c r="B52" t="s">
        <v>37</v>
      </c>
      <c r="C52" s="6">
        <f>+'Results of Operations'!C52</f>
        <v>115632.74599685206</v>
      </c>
      <c r="E52" s="25">
        <f>+'[1]Monthly Data-Disposal Fees'!$L$29</f>
        <v>0</v>
      </c>
      <c r="F52" s="6">
        <f t="shared" si="6"/>
        <v>0</v>
      </c>
      <c r="H52" s="25">
        <f>+'[1]Monthly Data-Disposal Fees'!$N$29</f>
        <v>0.22755561751895914</v>
      </c>
      <c r="I52" s="6">
        <f t="shared" si="7"/>
        <v>26312.88092072662</v>
      </c>
      <c r="K52" s="25">
        <f>+'[1]Monthly Data-Disposal Fees'!$M$29</f>
        <v>0.7724443824810409</v>
      </c>
      <c r="L52" s="6">
        <f t="shared" si="8"/>
        <v>89319.86507612544</v>
      </c>
      <c r="N52" s="6">
        <f t="shared" si="9"/>
        <v>115632.74599685206</v>
      </c>
      <c r="O52" s="10">
        <f>+E52+H52+K52</f>
        <v>1</v>
      </c>
      <c r="P52" t="str">
        <f t="shared" si="11"/>
        <v> </v>
      </c>
    </row>
    <row r="53" spans="1:16" ht="12.75">
      <c r="A53">
        <v>4363</v>
      </c>
      <c r="B53" t="s">
        <v>38</v>
      </c>
      <c r="C53" s="6">
        <f>+'Results of Operations'!C53</f>
        <v>109081.02</v>
      </c>
      <c r="E53" s="25">
        <f>+'Drop Box Allocation'!D27</f>
        <v>0</v>
      </c>
      <c r="F53" s="6">
        <f t="shared" si="6"/>
        <v>0</v>
      </c>
      <c r="H53" s="25">
        <f>+'Drop Box Allocation'!D28</f>
        <v>0.27944459569833924</v>
      </c>
      <c r="I53" s="6">
        <f t="shared" si="7"/>
        <v>30482.10153226246</v>
      </c>
      <c r="K53" s="25">
        <f>+'Drop Box Allocation'!D29</f>
        <v>0.7205554043016608</v>
      </c>
      <c r="L53" s="6">
        <f t="shared" si="8"/>
        <v>78598.91846773755</v>
      </c>
      <c r="N53" s="6">
        <f t="shared" si="9"/>
        <v>109081.02</v>
      </c>
      <c r="O53" s="10">
        <f>+E53+H53+K53</f>
        <v>1</v>
      </c>
      <c r="P53" t="str">
        <f t="shared" si="11"/>
        <v> </v>
      </c>
    </row>
    <row r="54" spans="1:17" ht="12.75">
      <c r="A54" s="134">
        <v>4380</v>
      </c>
      <c r="B54" s="134" t="s">
        <v>364</v>
      </c>
      <c r="C54" s="135">
        <f>+'Results of Operations'!C54</f>
        <v>0</v>
      </c>
      <c r="D54" s="134"/>
      <c r="E54" s="136">
        <f>+'Drop Box Allocation'!D28</f>
        <v>0.27944459569833924</v>
      </c>
      <c r="F54" s="135">
        <f>+C54*E54</f>
        <v>0</v>
      </c>
      <c r="G54" s="134"/>
      <c r="H54" s="136">
        <f>+'Drop Box Allocation'!D29</f>
        <v>0.7205554043016608</v>
      </c>
      <c r="I54" s="135">
        <f>+C54*H54</f>
        <v>0</v>
      </c>
      <c r="J54" s="134"/>
      <c r="K54" s="136">
        <f>+'Drop Box Allocation'!D30</f>
        <v>0</v>
      </c>
      <c r="L54" s="135">
        <f>+C54*K54</f>
        <v>0</v>
      </c>
      <c r="M54" s="134"/>
      <c r="N54" s="135">
        <f>+F54+I54+L54</f>
        <v>0</v>
      </c>
      <c r="O54" s="136">
        <f>+E54+H54+K54</f>
        <v>1</v>
      </c>
      <c r="P54" s="134" t="str">
        <f>IF(O54&lt;&gt;1,"ERR"," ")</f>
        <v> </v>
      </c>
      <c r="Q54" s="134"/>
    </row>
    <row r="55" spans="1:15" ht="12.75">
      <c r="A55" t="s">
        <v>13</v>
      </c>
      <c r="C55" s="6"/>
      <c r="E55" s="10"/>
      <c r="F55" s="6"/>
      <c r="H55" s="10"/>
      <c r="I55" s="6"/>
      <c r="K55" s="10"/>
      <c r="L55" s="6"/>
      <c r="N55" s="6"/>
      <c r="O55" s="10"/>
    </row>
    <row r="56" spans="1:16" ht="12.75">
      <c r="A56">
        <v>4430</v>
      </c>
      <c r="B56" t="s">
        <v>39</v>
      </c>
      <c r="C56" s="6">
        <f>+'Results of Operations'!C56</f>
        <v>0</v>
      </c>
      <c r="E56" s="10">
        <v>1</v>
      </c>
      <c r="F56" s="6">
        <f t="shared" si="6"/>
        <v>0</v>
      </c>
      <c r="H56" s="10">
        <v>0</v>
      </c>
      <c r="I56" s="6">
        <f t="shared" si="7"/>
        <v>0</v>
      </c>
      <c r="K56" s="10">
        <v>0</v>
      </c>
      <c r="L56" s="6">
        <f t="shared" si="8"/>
        <v>0</v>
      </c>
      <c r="N56" s="6">
        <f t="shared" si="9"/>
        <v>0</v>
      </c>
      <c r="O56" s="10">
        <f>+E56+H56+K56</f>
        <v>1</v>
      </c>
      <c r="P56" t="str">
        <f t="shared" si="11"/>
        <v> </v>
      </c>
    </row>
    <row r="57" spans="1:16" ht="12.75">
      <c r="A57">
        <v>4450</v>
      </c>
      <c r="B57" t="s">
        <v>40</v>
      </c>
      <c r="C57" s="6">
        <f>+'Results of Operations'!C57</f>
        <v>3225</v>
      </c>
      <c r="E57" s="14">
        <v>1</v>
      </c>
      <c r="F57" s="6">
        <f t="shared" si="6"/>
        <v>3225</v>
      </c>
      <c r="H57" s="14">
        <v>0</v>
      </c>
      <c r="I57" s="6">
        <f t="shared" si="7"/>
        <v>0</v>
      </c>
      <c r="K57" s="14">
        <v>0</v>
      </c>
      <c r="L57" s="6">
        <f t="shared" si="8"/>
        <v>0</v>
      </c>
      <c r="N57" s="6">
        <f t="shared" si="9"/>
        <v>3225</v>
      </c>
      <c r="O57" s="10">
        <f>+E57+H57+K57</f>
        <v>1</v>
      </c>
      <c r="P57" t="str">
        <f t="shared" si="11"/>
        <v> </v>
      </c>
    </row>
    <row r="58" spans="1:15" ht="12.75">
      <c r="A58" t="s">
        <v>14</v>
      </c>
      <c r="C58" s="6"/>
      <c r="E58" s="10"/>
      <c r="F58" s="6"/>
      <c r="H58" s="10"/>
      <c r="I58" s="6"/>
      <c r="K58" s="10"/>
      <c r="L58" s="6"/>
      <c r="N58" s="6"/>
      <c r="O58" s="10"/>
    </row>
    <row r="59" spans="1:16" ht="12.75">
      <c r="A59">
        <v>4530</v>
      </c>
      <c r="B59" t="s">
        <v>41</v>
      </c>
      <c r="C59" s="6">
        <f>+'Results of Operations'!C59</f>
        <v>36319.526506167145</v>
      </c>
      <c r="E59" s="10">
        <f>+E25</f>
        <v>0.7777362630136332</v>
      </c>
      <c r="F59" s="6">
        <f t="shared" si="6"/>
        <v>28247.012819331034</v>
      </c>
      <c r="H59" s="10">
        <f>+H25</f>
        <v>0.07771862754182449</v>
      </c>
      <c r="I59" s="6">
        <f t="shared" si="7"/>
        <v>2822.7037530282264</v>
      </c>
      <c r="K59" s="10">
        <f>+K25</f>
        <v>0.14454510944454246</v>
      </c>
      <c r="L59" s="6">
        <f t="shared" si="8"/>
        <v>5249.809933807891</v>
      </c>
      <c r="N59" s="6">
        <f t="shared" si="9"/>
        <v>36319.52650616715</v>
      </c>
      <c r="O59" s="10">
        <f>+E59+H59+K59</f>
        <v>1</v>
      </c>
      <c r="P59" t="str">
        <f t="shared" si="11"/>
        <v> </v>
      </c>
    </row>
    <row r="60" spans="1:16" ht="12.75">
      <c r="A60">
        <v>4540</v>
      </c>
      <c r="B60" t="s">
        <v>42</v>
      </c>
      <c r="C60" s="6">
        <f>+'Results of Operations'!C60</f>
        <v>21275.189752642782</v>
      </c>
      <c r="E60" s="10">
        <f>+E25</f>
        <v>0.7777362630136332</v>
      </c>
      <c r="F60" s="6">
        <f t="shared" si="6"/>
        <v>16546.48657312634</v>
      </c>
      <c r="H60" s="10">
        <f>+H25</f>
        <v>0.07771862754182449</v>
      </c>
      <c r="I60" s="6">
        <f t="shared" si="7"/>
        <v>1653.4785482672853</v>
      </c>
      <c r="K60" s="10">
        <f>+K25</f>
        <v>0.14454510944454246</v>
      </c>
      <c r="L60" s="6">
        <f t="shared" si="8"/>
        <v>3075.2246312491593</v>
      </c>
      <c r="N60" s="6">
        <f t="shared" si="9"/>
        <v>21275.189752642786</v>
      </c>
      <c r="O60" s="10">
        <f>+E60+H60+K60</f>
        <v>1</v>
      </c>
      <c r="P60" t="str">
        <f t="shared" si="11"/>
        <v> </v>
      </c>
    </row>
    <row r="61" spans="1:16" ht="12.75">
      <c r="A61">
        <v>4580</v>
      </c>
      <c r="B61" t="s">
        <v>43</v>
      </c>
      <c r="C61" s="6">
        <f>+'Results of Operations'!C61</f>
        <v>0</v>
      </c>
      <c r="E61" s="10">
        <f>+E25</f>
        <v>0.7777362630136332</v>
      </c>
      <c r="F61" s="6">
        <f t="shared" si="6"/>
        <v>0</v>
      </c>
      <c r="H61" s="10">
        <f>+H25</f>
        <v>0.07771862754182449</v>
      </c>
      <c r="I61" s="6">
        <f t="shared" si="7"/>
        <v>0</v>
      </c>
      <c r="K61" s="10">
        <f>+K25</f>
        <v>0.14454510944454246</v>
      </c>
      <c r="L61" s="6">
        <f t="shared" si="8"/>
        <v>0</v>
      </c>
      <c r="N61" s="6">
        <f t="shared" si="9"/>
        <v>0</v>
      </c>
      <c r="O61" s="10">
        <f>+E61+H61+K61</f>
        <v>1</v>
      </c>
      <c r="P61" t="str">
        <f t="shared" si="11"/>
        <v> </v>
      </c>
    </row>
    <row r="62" spans="1:15" ht="12.75">
      <c r="A62" t="s">
        <v>17</v>
      </c>
      <c r="C62" s="6"/>
      <c r="E62" s="10"/>
      <c r="F62" s="6"/>
      <c r="H62" s="10"/>
      <c r="I62" s="6"/>
      <c r="K62" s="10"/>
      <c r="L62" s="6"/>
      <c r="N62" s="6"/>
      <c r="O62" s="10"/>
    </row>
    <row r="63" spans="1:16" ht="12.75">
      <c r="A63">
        <v>4611</v>
      </c>
      <c r="B63" t="s">
        <v>44</v>
      </c>
      <c r="C63" s="6">
        <f>+'Results of Operations'!C63</f>
        <v>63826.53374999999</v>
      </c>
      <c r="E63" s="25">
        <f>+'Overhead Allocation'!E20</f>
        <v>0.7156633429091205</v>
      </c>
      <c r="F63" s="6">
        <f t="shared" si="6"/>
        <v>45678.31050982679</v>
      </c>
      <c r="H63" s="25">
        <f>+'Overhead Allocation'!F20</f>
        <v>0.09342893060344455</v>
      </c>
      <c r="I63" s="6">
        <f t="shared" si="7"/>
        <v>5963.2447923871605</v>
      </c>
      <c r="K63" s="25">
        <f>+'Overhead Allocation'!G20</f>
        <v>0.19090772648743493</v>
      </c>
      <c r="L63" s="6">
        <f t="shared" si="8"/>
        <v>12184.978447786032</v>
      </c>
      <c r="N63" s="6">
        <f t="shared" si="9"/>
        <v>63826.53374999998</v>
      </c>
      <c r="O63" s="10">
        <f aca="true" t="shared" si="13" ref="O63:O80">+E63+H63+K63</f>
        <v>1</v>
      </c>
      <c r="P63" t="str">
        <f t="shared" si="11"/>
        <v> </v>
      </c>
    </row>
    <row r="64" spans="1:16" ht="12.75">
      <c r="A64">
        <v>4612</v>
      </c>
      <c r="B64" t="s">
        <v>45</v>
      </c>
      <c r="C64" s="6">
        <f>+'Results of Operations'!C64</f>
        <v>53684.9194</v>
      </c>
      <c r="E64" s="25">
        <f>+E63</f>
        <v>0.7156633429091205</v>
      </c>
      <c r="F64" s="6">
        <f t="shared" si="6"/>
        <v>38420.328881610694</v>
      </c>
      <c r="H64" s="25">
        <f>+H63</f>
        <v>0.09342893060344455</v>
      </c>
      <c r="I64" s="6">
        <f t="shared" si="7"/>
        <v>5015.724609074114</v>
      </c>
      <c r="K64" s="25">
        <f>+K63</f>
        <v>0.19090772648743493</v>
      </c>
      <c r="L64" s="6">
        <f t="shared" si="8"/>
        <v>10248.86590931519</v>
      </c>
      <c r="N64" s="6">
        <f t="shared" si="9"/>
        <v>53684.91939999999</v>
      </c>
      <c r="O64" s="10">
        <f t="shared" si="13"/>
        <v>1</v>
      </c>
      <c r="P64" t="str">
        <f t="shared" si="11"/>
        <v> </v>
      </c>
    </row>
    <row r="65" spans="1:16" ht="12.75">
      <c r="A65">
        <v>4613</v>
      </c>
      <c r="B65" t="s">
        <v>46</v>
      </c>
      <c r="C65" s="6">
        <f>+'Results of Operations'!C65</f>
        <v>76874.86642499999</v>
      </c>
      <c r="E65" s="10">
        <f>+$E$63</f>
        <v>0.7156633429091205</v>
      </c>
      <c r="F65" s="6">
        <f t="shared" si="6"/>
        <v>55016.523891407596</v>
      </c>
      <c r="H65" s="10">
        <f>+$H$63</f>
        <v>0.09342893060344455</v>
      </c>
      <c r="I65" s="6">
        <f t="shared" si="7"/>
        <v>7182.336560370393</v>
      </c>
      <c r="K65" s="10">
        <f>+$K$63</f>
        <v>0.19090772648743493</v>
      </c>
      <c r="L65" s="6">
        <f t="shared" si="8"/>
        <v>14676.005973221992</v>
      </c>
      <c r="N65" s="6">
        <f t="shared" si="9"/>
        <v>76874.86642499999</v>
      </c>
      <c r="O65" s="10">
        <f t="shared" si="13"/>
        <v>1</v>
      </c>
      <c r="P65" t="str">
        <f t="shared" si="11"/>
        <v> </v>
      </c>
    </row>
    <row r="66" spans="1:16" ht="12.75">
      <c r="A66">
        <v>4620</v>
      </c>
      <c r="B66" t="s">
        <v>47</v>
      </c>
      <c r="C66" s="6">
        <f>+'Results of Operations'!C66</f>
        <v>14746.110224999997</v>
      </c>
      <c r="E66" s="10">
        <f aca="true" t="shared" si="14" ref="E66:E74">+$E$63</f>
        <v>0.7156633429091205</v>
      </c>
      <c r="F66" s="6">
        <f t="shared" si="6"/>
        <v>10553.250538529861</v>
      </c>
      <c r="H66" s="10">
        <f aca="true" t="shared" si="15" ref="H66:H74">+$H$63</f>
        <v>0.09342893060344455</v>
      </c>
      <c r="I66" s="6">
        <f t="shared" si="7"/>
        <v>1377.7133088822688</v>
      </c>
      <c r="K66" s="10">
        <f aca="true" t="shared" si="16" ref="K66:K74">+$K$63</f>
        <v>0.19090772648743493</v>
      </c>
      <c r="L66" s="6">
        <f t="shared" si="8"/>
        <v>2815.146377587867</v>
      </c>
      <c r="N66" s="6">
        <f t="shared" si="9"/>
        <v>14746.110224999997</v>
      </c>
      <c r="O66" s="10">
        <f t="shared" si="13"/>
        <v>1</v>
      </c>
      <c r="P66" t="str">
        <f t="shared" si="11"/>
        <v> </v>
      </c>
    </row>
    <row r="67" spans="1:16" ht="12.75">
      <c r="A67">
        <v>4622</v>
      </c>
      <c r="B67" t="s">
        <v>48</v>
      </c>
      <c r="C67" s="6">
        <f>+'Results of Operations'!C67</f>
        <v>0</v>
      </c>
      <c r="E67" s="10">
        <f t="shared" si="14"/>
        <v>0.7156633429091205</v>
      </c>
      <c r="F67" s="6">
        <f t="shared" si="6"/>
        <v>0</v>
      </c>
      <c r="H67" s="10">
        <f t="shared" si="15"/>
        <v>0.09342893060344455</v>
      </c>
      <c r="I67" s="6">
        <f t="shared" si="7"/>
        <v>0</v>
      </c>
      <c r="K67" s="10">
        <f t="shared" si="16"/>
        <v>0.19090772648743493</v>
      </c>
      <c r="L67" s="6">
        <f t="shared" si="8"/>
        <v>0</v>
      </c>
      <c r="N67" s="6">
        <f t="shared" si="9"/>
        <v>0</v>
      </c>
      <c r="O67" s="10">
        <f t="shared" si="13"/>
        <v>1</v>
      </c>
      <c r="P67" t="str">
        <f t="shared" si="11"/>
        <v> </v>
      </c>
    </row>
    <row r="68" spans="1:16" ht="12.75">
      <c r="A68">
        <v>4624</v>
      </c>
      <c r="B68" t="s">
        <v>49</v>
      </c>
      <c r="C68" s="6">
        <f>+'Results of Operations'!C68</f>
        <v>451.8682</v>
      </c>
      <c r="E68" s="10">
        <f t="shared" si="14"/>
        <v>0.7156633429091205</v>
      </c>
      <c r="F68" s="6">
        <f t="shared" si="6"/>
        <v>323.385506566327</v>
      </c>
      <c r="H68" s="10">
        <f t="shared" si="15"/>
        <v>0.09342893060344455</v>
      </c>
      <c r="I68" s="6">
        <f t="shared" si="7"/>
        <v>42.2175626997034</v>
      </c>
      <c r="K68" s="10">
        <f t="shared" si="16"/>
        <v>0.19090772648743493</v>
      </c>
      <c r="L68" s="6">
        <f t="shared" si="8"/>
        <v>86.26513073396954</v>
      </c>
      <c r="N68" s="6">
        <f t="shared" si="9"/>
        <v>451.8682</v>
      </c>
      <c r="O68" s="10">
        <f t="shared" si="13"/>
        <v>1</v>
      </c>
      <c r="P68" t="str">
        <f t="shared" si="11"/>
        <v> </v>
      </c>
    </row>
    <row r="69" spans="1:16" ht="12.75">
      <c r="A69">
        <v>4625</v>
      </c>
      <c r="B69" t="s">
        <v>50</v>
      </c>
      <c r="C69" s="6">
        <f>+'Results of Operations'!C69</f>
        <v>5304.7008</v>
      </c>
      <c r="E69" s="10">
        <f t="shared" si="14"/>
        <v>0.7156633429091205</v>
      </c>
      <c r="F69" s="6">
        <f t="shared" si="6"/>
        <v>3796.3799076606856</v>
      </c>
      <c r="H69" s="10">
        <f t="shared" si="15"/>
        <v>0.09342893060344455</v>
      </c>
      <c r="I69" s="6">
        <f t="shared" si="7"/>
        <v>495.61252291523675</v>
      </c>
      <c r="K69" s="10">
        <f t="shared" si="16"/>
        <v>0.19090772648743493</v>
      </c>
      <c r="L69" s="6">
        <f t="shared" si="8"/>
        <v>1012.7083694240772</v>
      </c>
      <c r="N69" s="6">
        <f t="shared" si="9"/>
        <v>5304.7008</v>
      </c>
      <c r="O69" s="10">
        <f t="shared" si="13"/>
        <v>1</v>
      </c>
      <c r="P69" t="str">
        <f t="shared" si="11"/>
        <v> </v>
      </c>
    </row>
    <row r="70" spans="1:16" ht="12.75">
      <c r="A70">
        <v>4627</v>
      </c>
      <c r="B70" t="s">
        <v>51</v>
      </c>
      <c r="C70" s="6">
        <f>+'Results of Operations'!C70</f>
        <v>7593.205375000001</v>
      </c>
      <c r="E70" s="10">
        <f t="shared" si="14"/>
        <v>0.7156633429091205</v>
      </c>
      <c r="F70" s="6">
        <f t="shared" si="6"/>
        <v>5434.178742068003</v>
      </c>
      <c r="H70" s="10">
        <f t="shared" si="15"/>
        <v>0.09342893060344455</v>
      </c>
      <c r="I70" s="6">
        <f t="shared" si="7"/>
        <v>709.4250580385773</v>
      </c>
      <c r="K70" s="10">
        <f t="shared" si="16"/>
        <v>0.19090772648743493</v>
      </c>
      <c r="L70" s="6">
        <f t="shared" si="8"/>
        <v>1449.601574893421</v>
      </c>
      <c r="N70" s="6">
        <f t="shared" si="9"/>
        <v>7593.205375000001</v>
      </c>
      <c r="O70" s="10">
        <f t="shared" si="13"/>
        <v>1</v>
      </c>
      <c r="P70" t="str">
        <f t="shared" si="11"/>
        <v> </v>
      </c>
    </row>
    <row r="71" spans="1:16" ht="12.75">
      <c r="A71">
        <v>4630</v>
      </c>
      <c r="B71" t="s">
        <v>52</v>
      </c>
      <c r="C71" s="6">
        <f>+'Results of Operations'!C71</f>
        <v>377.29999999999995</v>
      </c>
      <c r="E71" s="10">
        <f t="shared" si="14"/>
        <v>0.7156633429091205</v>
      </c>
      <c r="F71" s="6">
        <f t="shared" si="6"/>
        <v>270.0197792796111</v>
      </c>
      <c r="H71" s="10">
        <f t="shared" si="15"/>
        <v>0.09342893060344455</v>
      </c>
      <c r="I71" s="6">
        <f t="shared" si="7"/>
        <v>35.250735516679626</v>
      </c>
      <c r="K71" s="10">
        <f t="shared" si="16"/>
        <v>0.19090772648743493</v>
      </c>
      <c r="L71" s="6">
        <f t="shared" si="8"/>
        <v>72.02948520370919</v>
      </c>
      <c r="N71" s="6">
        <f t="shared" si="9"/>
        <v>377.29999999999995</v>
      </c>
      <c r="O71" s="10">
        <f t="shared" si="13"/>
        <v>1</v>
      </c>
      <c r="P71" t="str">
        <f t="shared" si="11"/>
        <v> </v>
      </c>
    </row>
    <row r="72" spans="1:16" ht="12.75">
      <c r="A72">
        <v>4640</v>
      </c>
      <c r="B72" t="s">
        <v>53</v>
      </c>
      <c r="C72" s="6">
        <f>+'Results of Operations'!C72</f>
        <v>11326.468825</v>
      </c>
      <c r="E72" s="10">
        <f t="shared" si="14"/>
        <v>0.7156633429091205</v>
      </c>
      <c r="F72" s="6">
        <f t="shared" si="6"/>
        <v>8105.938542655438</v>
      </c>
      <c r="H72" s="10">
        <f t="shared" si="15"/>
        <v>0.09342893060344455</v>
      </c>
      <c r="I72" s="6">
        <f t="shared" si="7"/>
        <v>1058.219869833003</v>
      </c>
      <c r="K72" s="10">
        <f t="shared" si="16"/>
        <v>0.19090772648743493</v>
      </c>
      <c r="L72" s="6">
        <f t="shared" si="8"/>
        <v>2162.3104125115583</v>
      </c>
      <c r="N72" s="6">
        <f t="shared" si="9"/>
        <v>11326.468825</v>
      </c>
      <c r="O72" s="10">
        <f t="shared" si="13"/>
        <v>1</v>
      </c>
      <c r="P72" t="str">
        <f t="shared" si="11"/>
        <v> </v>
      </c>
    </row>
    <row r="73" spans="1:16" ht="12.75">
      <c r="A73">
        <v>4650</v>
      </c>
      <c r="B73" t="s">
        <v>54</v>
      </c>
      <c r="C73" s="6">
        <f>+'Results of Operations'!C73</f>
        <v>83781.59999999998</v>
      </c>
      <c r="E73" s="10">
        <f t="shared" si="14"/>
        <v>0.7156633429091205</v>
      </c>
      <c r="F73" s="6">
        <f t="shared" si="6"/>
        <v>59959.41993027475</v>
      </c>
      <c r="H73" s="10">
        <f t="shared" si="15"/>
        <v>0.09342893060344455</v>
      </c>
      <c r="I73" s="6">
        <f t="shared" si="7"/>
        <v>7827.625292245548</v>
      </c>
      <c r="K73" s="10">
        <f t="shared" si="16"/>
        <v>0.19090772648743493</v>
      </c>
      <c r="L73" s="6">
        <f t="shared" si="8"/>
        <v>15994.554777479674</v>
      </c>
      <c r="N73" s="6">
        <f t="shared" si="9"/>
        <v>83781.59999999998</v>
      </c>
      <c r="O73" s="10">
        <f t="shared" si="13"/>
        <v>1</v>
      </c>
      <c r="P73" t="str">
        <f t="shared" si="11"/>
        <v> </v>
      </c>
    </row>
    <row r="74" spans="1:16" ht="12.75">
      <c r="A74">
        <v>4652</v>
      </c>
      <c r="B74" t="s">
        <v>55</v>
      </c>
      <c r="C74" s="6">
        <f>+'Results of Operations'!C74</f>
        <v>9388.93375</v>
      </c>
      <c r="E74" s="10">
        <f t="shared" si="14"/>
        <v>0.7156633429091205</v>
      </c>
      <c r="F74" s="6">
        <f t="shared" si="6"/>
        <v>6719.315713877265</v>
      </c>
      <c r="H74" s="10">
        <f t="shared" si="15"/>
        <v>0.09342893060344455</v>
      </c>
      <c r="I74" s="6">
        <f t="shared" si="7"/>
        <v>877.1980397690884</v>
      </c>
      <c r="K74" s="10">
        <f t="shared" si="16"/>
        <v>0.19090772648743493</v>
      </c>
      <c r="L74" s="6">
        <f t="shared" si="8"/>
        <v>1792.4199963536466</v>
      </c>
      <c r="N74" s="6">
        <f t="shared" si="9"/>
        <v>9388.93375</v>
      </c>
      <c r="O74" s="10">
        <f t="shared" si="13"/>
        <v>1</v>
      </c>
      <c r="P74" t="str">
        <f t="shared" si="11"/>
        <v> </v>
      </c>
    </row>
    <row r="75" spans="1:16" ht="12.75">
      <c r="A75">
        <v>4660</v>
      </c>
      <c r="B75" t="s">
        <v>56</v>
      </c>
      <c r="C75" s="6">
        <f>+'Results of Operations'!C75</f>
        <v>0</v>
      </c>
      <c r="E75" s="25">
        <f>$E$21</f>
        <v>0.6748783247489285</v>
      </c>
      <c r="F75" s="109">
        <f t="shared" si="6"/>
        <v>0</v>
      </c>
      <c r="G75" s="130"/>
      <c r="H75" s="25">
        <f>$H$21</f>
        <v>0.08048602691779883</v>
      </c>
      <c r="I75" s="109">
        <f t="shared" si="7"/>
        <v>0</v>
      </c>
      <c r="J75" s="130"/>
      <c r="K75" s="25">
        <f>$K$21</f>
        <v>0.2446356483332728</v>
      </c>
      <c r="L75" s="109">
        <f t="shared" si="8"/>
        <v>0</v>
      </c>
      <c r="N75" s="6">
        <f t="shared" si="9"/>
        <v>0</v>
      </c>
      <c r="O75" s="10">
        <f t="shared" si="13"/>
        <v>1.0000000000000002</v>
      </c>
      <c r="P75" t="str">
        <f t="shared" si="11"/>
        <v> </v>
      </c>
    </row>
    <row r="76" spans="1:16" ht="12.75">
      <c r="A76">
        <v>4670</v>
      </c>
      <c r="B76" t="s">
        <v>57</v>
      </c>
      <c r="C76" s="6">
        <f>+'Results of Operations'!C76</f>
        <v>0</v>
      </c>
      <c r="E76" s="25">
        <f>$E$21</f>
        <v>0.6748783247489285</v>
      </c>
      <c r="F76" s="109">
        <f t="shared" si="6"/>
        <v>0</v>
      </c>
      <c r="G76" s="130"/>
      <c r="H76" s="25">
        <f>$H$21</f>
        <v>0.08048602691779883</v>
      </c>
      <c r="I76" s="109">
        <f t="shared" si="7"/>
        <v>0</v>
      </c>
      <c r="J76" s="130"/>
      <c r="K76" s="25">
        <f>$K$21</f>
        <v>0.2446356483332728</v>
      </c>
      <c r="L76" s="109">
        <f t="shared" si="8"/>
        <v>0</v>
      </c>
      <c r="N76" s="6">
        <f t="shared" si="9"/>
        <v>0</v>
      </c>
      <c r="O76" s="10">
        <f t="shared" si="13"/>
        <v>1.0000000000000002</v>
      </c>
      <c r="P76" t="str">
        <f t="shared" si="11"/>
        <v> </v>
      </c>
    </row>
    <row r="77" spans="1:16" ht="12.75">
      <c r="A77">
        <v>4680</v>
      </c>
      <c r="B77" t="s">
        <v>58</v>
      </c>
      <c r="C77" s="6">
        <f>+'Results of Operations'!C77</f>
        <v>10875.83</v>
      </c>
      <c r="E77" s="25">
        <f>+E21</f>
        <v>0.6748783247489285</v>
      </c>
      <c r="F77" s="6">
        <f t="shared" si="6"/>
        <v>7339.861930654139</v>
      </c>
      <c r="H77" s="25">
        <f>+H21</f>
        <v>0.08048602691779883</v>
      </c>
      <c r="I77" s="6">
        <f t="shared" si="7"/>
        <v>875.352346133404</v>
      </c>
      <c r="K77" s="25">
        <f>+K21</f>
        <v>0.2446356483332728</v>
      </c>
      <c r="L77" s="6">
        <f t="shared" si="8"/>
        <v>2660.6157232124583</v>
      </c>
      <c r="N77" s="6">
        <f t="shared" si="9"/>
        <v>10875.830000000002</v>
      </c>
      <c r="O77" s="10">
        <f t="shared" si="13"/>
        <v>1.0000000000000002</v>
      </c>
      <c r="P77" t="str">
        <f t="shared" si="11"/>
        <v> </v>
      </c>
    </row>
    <row r="78" spans="1:16" ht="12.75">
      <c r="A78">
        <v>4692</v>
      </c>
      <c r="B78" t="s">
        <v>59</v>
      </c>
      <c r="C78" s="6">
        <f>+'Results of Operations'!C78</f>
        <v>11278.303049999999</v>
      </c>
      <c r="E78" s="10">
        <f>+$E$63</f>
        <v>0.7156633429091205</v>
      </c>
      <c r="F78" s="6">
        <f t="shared" si="6"/>
        <v>8071.468063105129</v>
      </c>
      <c r="H78" s="10">
        <f>+$H$63</f>
        <v>0.09342893060344455</v>
      </c>
      <c r="I78" s="6">
        <f t="shared" si="7"/>
        <v>1053.719792983067</v>
      </c>
      <c r="K78" s="10">
        <f>+$K$63</f>
        <v>0.19090772648743493</v>
      </c>
      <c r="L78" s="6">
        <f t="shared" si="8"/>
        <v>2153.1151939118026</v>
      </c>
      <c r="N78" s="6">
        <f t="shared" si="9"/>
        <v>11278.303049999999</v>
      </c>
      <c r="O78" s="10">
        <f t="shared" si="13"/>
        <v>1</v>
      </c>
      <c r="P78" t="str">
        <f t="shared" si="11"/>
        <v> </v>
      </c>
    </row>
    <row r="79" spans="1:16" ht="12.75">
      <c r="A79">
        <v>4694</v>
      </c>
      <c r="B79" t="s">
        <v>60</v>
      </c>
      <c r="C79" s="6">
        <f>+'Results of Operations'!C79</f>
        <v>0</v>
      </c>
      <c r="E79" s="10">
        <f>+$E$63</f>
        <v>0.7156633429091205</v>
      </c>
      <c r="F79" s="6">
        <f t="shared" si="6"/>
        <v>0</v>
      </c>
      <c r="H79" s="10">
        <f>+$H$63</f>
        <v>0.09342893060344455</v>
      </c>
      <c r="I79" s="6">
        <f t="shared" si="7"/>
        <v>0</v>
      </c>
      <c r="K79" s="10">
        <f>+$K$63</f>
        <v>0.19090772648743493</v>
      </c>
      <c r="L79" s="6">
        <f t="shared" si="8"/>
        <v>0</v>
      </c>
      <c r="N79" s="6">
        <f t="shared" si="9"/>
        <v>0</v>
      </c>
      <c r="O79" s="10">
        <f t="shared" si="13"/>
        <v>1</v>
      </c>
      <c r="P79" t="str">
        <f t="shared" si="11"/>
        <v> </v>
      </c>
    </row>
    <row r="80" spans="1:16" ht="12.75">
      <c r="A80">
        <v>4698</v>
      </c>
      <c r="B80" t="s">
        <v>61</v>
      </c>
      <c r="C80" s="6">
        <f>+'Results of Operations'!C80</f>
        <v>223.29999999999998</v>
      </c>
      <c r="E80" s="10">
        <f>+$E$63</f>
        <v>0.7156633429091205</v>
      </c>
      <c r="F80" s="6">
        <f t="shared" si="6"/>
        <v>159.8076244716066</v>
      </c>
      <c r="H80" s="10">
        <f>+$H$63</f>
        <v>0.09342893060344455</v>
      </c>
      <c r="I80" s="6">
        <f t="shared" si="7"/>
        <v>20.862680203749168</v>
      </c>
      <c r="K80" s="10">
        <f>+$K$63</f>
        <v>0.19090772648743493</v>
      </c>
      <c r="L80" s="6">
        <f t="shared" si="8"/>
        <v>42.62969532464422</v>
      </c>
      <c r="N80" s="6">
        <f t="shared" si="9"/>
        <v>223.29999999999998</v>
      </c>
      <c r="O80" s="10">
        <f t="shared" si="13"/>
        <v>1</v>
      </c>
      <c r="P80" t="str">
        <f t="shared" si="11"/>
        <v> </v>
      </c>
    </row>
    <row r="81" spans="1:15" ht="12.75">
      <c r="A81" t="s">
        <v>18</v>
      </c>
      <c r="C81" s="6"/>
      <c r="E81" s="10"/>
      <c r="F81" s="6"/>
      <c r="H81" s="10"/>
      <c r="I81" s="6"/>
      <c r="K81" s="10"/>
      <c r="L81" s="6"/>
      <c r="N81" s="6"/>
      <c r="O81" s="10"/>
    </row>
    <row r="82" spans="1:16" ht="12.75">
      <c r="A82">
        <v>5010</v>
      </c>
      <c r="B82" t="s">
        <v>62</v>
      </c>
      <c r="C82" s="6">
        <f>+'Results of Operations'!C82</f>
        <v>163708.12378313148</v>
      </c>
      <c r="E82" s="25">
        <f>+'Depr Allocation'!L12</f>
        <v>0.7363295331586415</v>
      </c>
      <c r="F82" s="6">
        <f t="shared" si="6"/>
        <v>120543.1263595103</v>
      </c>
      <c r="H82" s="25">
        <f>+'Depr Allocation'!L14</f>
        <v>0.08410267149552095</v>
      </c>
      <c r="I82" s="6">
        <f t="shared" si="7"/>
        <v>13768.290555680787</v>
      </c>
      <c r="K82" s="25">
        <f>+'Depr Allocation'!L16</f>
        <v>0.1795677953458376</v>
      </c>
      <c r="L82" s="6">
        <f t="shared" si="8"/>
        <v>29396.706867940404</v>
      </c>
      <c r="N82" s="6">
        <f t="shared" si="9"/>
        <v>163708.12378313148</v>
      </c>
      <c r="O82" s="10">
        <f>+E82+H82+K82</f>
        <v>1</v>
      </c>
      <c r="P82" t="str">
        <f t="shared" si="11"/>
        <v> </v>
      </c>
    </row>
    <row r="83" spans="1:16" ht="12.75">
      <c r="A83">
        <v>5100</v>
      </c>
      <c r="B83" t="s">
        <v>63</v>
      </c>
      <c r="C83" s="6">
        <f>+'Results of Operations'!C83</f>
        <v>-9784.580954010182</v>
      </c>
      <c r="E83" s="10">
        <f>+E82</f>
        <v>0.7363295331586415</v>
      </c>
      <c r="F83" s="6">
        <f t="shared" si="6"/>
        <v>-7204.675926019252</v>
      </c>
      <c r="H83" s="10">
        <f>+H82</f>
        <v>0.08410267149552095</v>
      </c>
      <c r="I83" s="6">
        <f t="shared" si="7"/>
        <v>-822.9093976964493</v>
      </c>
      <c r="K83" s="10">
        <f>+K82</f>
        <v>0.1795677953458376</v>
      </c>
      <c r="L83" s="6">
        <f t="shared" si="8"/>
        <v>-1756.9956302944809</v>
      </c>
      <c r="N83" s="6">
        <f t="shared" si="9"/>
        <v>-9784.580954010182</v>
      </c>
      <c r="O83" s="10">
        <f>+E83+H83+K83</f>
        <v>1</v>
      </c>
      <c r="P83" t="str">
        <f t="shared" si="11"/>
        <v> </v>
      </c>
    </row>
    <row r="84" spans="1:15" ht="12.75">
      <c r="A84" t="s">
        <v>19</v>
      </c>
      <c r="C84" s="6"/>
      <c r="E84" s="10"/>
      <c r="F84" s="6"/>
      <c r="H84" s="10"/>
      <c r="I84" s="6"/>
      <c r="K84" s="10"/>
      <c r="L84" s="6"/>
      <c r="N84" s="6"/>
      <c r="O84" s="10"/>
    </row>
    <row r="85" spans="1:16" ht="12.75">
      <c r="A85">
        <v>5151</v>
      </c>
      <c r="B85" t="s">
        <v>64</v>
      </c>
      <c r="C85" s="6">
        <f>+'Results of Operations'!C85</f>
        <v>0</v>
      </c>
      <c r="E85" s="14">
        <v>1</v>
      </c>
      <c r="F85" s="6">
        <f t="shared" si="6"/>
        <v>0</v>
      </c>
      <c r="H85" s="14">
        <v>0</v>
      </c>
      <c r="I85" s="6">
        <f t="shared" si="7"/>
        <v>0</v>
      </c>
      <c r="K85" s="14">
        <v>0</v>
      </c>
      <c r="L85" s="6">
        <f t="shared" si="8"/>
        <v>0</v>
      </c>
      <c r="N85" s="6">
        <f t="shared" si="9"/>
        <v>0</v>
      </c>
      <c r="O85" s="10">
        <f>+E85+H85+K85</f>
        <v>1</v>
      </c>
      <c r="P85" t="str">
        <f t="shared" si="11"/>
        <v> </v>
      </c>
    </row>
    <row r="86" spans="1:15" ht="12.75">
      <c r="A86" t="s">
        <v>20</v>
      </c>
      <c r="C86" s="6"/>
      <c r="E86" s="10"/>
      <c r="F86" s="6"/>
      <c r="H86" s="10"/>
      <c r="I86" s="6"/>
      <c r="K86" s="10"/>
      <c r="L86" s="6"/>
      <c r="N86" s="6"/>
      <c r="O86" s="10"/>
    </row>
    <row r="87" spans="1:16" ht="12.75">
      <c r="A87">
        <v>5220</v>
      </c>
      <c r="B87" t="s">
        <v>65</v>
      </c>
      <c r="C87" s="6">
        <f>+'Results of Operations'!C87</f>
        <v>4157.704797456368</v>
      </c>
      <c r="E87" s="10">
        <f>+E25</f>
        <v>0.7777362630136332</v>
      </c>
      <c r="F87" s="6">
        <f t="shared" si="6"/>
        <v>3233.5977918875706</v>
      </c>
      <c r="H87" s="10">
        <f>+H25</f>
        <v>0.07771862754182449</v>
      </c>
      <c r="I87" s="6">
        <f t="shared" si="7"/>
        <v>323.1311105823683</v>
      </c>
      <c r="K87" s="10">
        <f>+K25</f>
        <v>0.14454510944454246</v>
      </c>
      <c r="L87" s="6">
        <f t="shared" si="8"/>
        <v>600.97589498643</v>
      </c>
      <c r="N87" s="6">
        <f t="shared" si="9"/>
        <v>4157.704797456369</v>
      </c>
      <c r="O87" s="10">
        <f aca="true" t="shared" si="17" ref="O87:O94">+E87+H87+K87</f>
        <v>1</v>
      </c>
      <c r="P87" t="str">
        <f t="shared" si="11"/>
        <v> </v>
      </c>
    </row>
    <row r="88" spans="1:16" ht="12.75">
      <c r="A88">
        <v>5230</v>
      </c>
      <c r="B88" t="s">
        <v>66</v>
      </c>
      <c r="C88" s="6">
        <f>+'Results of Operations'!C88</f>
        <v>2123.8568780487803</v>
      </c>
      <c r="E88" s="10">
        <f>+E27</f>
        <v>0.809</v>
      </c>
      <c r="F88" s="6">
        <f t="shared" si="6"/>
        <v>1718.2002143414634</v>
      </c>
      <c r="H88" s="10">
        <f>+H27</f>
        <v>0.046</v>
      </c>
      <c r="I88" s="6">
        <f t="shared" si="7"/>
        <v>97.69741639024389</v>
      </c>
      <c r="K88" s="10">
        <f>+K27</f>
        <v>0.145</v>
      </c>
      <c r="L88" s="6">
        <f t="shared" si="8"/>
        <v>307.9592473170731</v>
      </c>
      <c r="N88" s="6">
        <f t="shared" si="9"/>
        <v>2123.8568780487803</v>
      </c>
      <c r="O88" s="10">
        <f t="shared" si="17"/>
        <v>1</v>
      </c>
      <c r="P88" t="str">
        <f t="shared" si="11"/>
        <v> </v>
      </c>
    </row>
    <row r="89" spans="1:16" ht="12.75">
      <c r="A89">
        <v>5240</v>
      </c>
      <c r="B89" t="s">
        <v>67</v>
      </c>
      <c r="C89" s="6">
        <f>+'Results of Operations'!C89</f>
        <v>41064.37212276386</v>
      </c>
      <c r="E89" s="10">
        <f>+E25</f>
        <v>0.7777362630136332</v>
      </c>
      <c r="F89" s="6">
        <f t="shared" si="6"/>
        <v>31937.25131775958</v>
      </c>
      <c r="H89" s="10">
        <f>+H25</f>
        <v>0.07771862754182449</v>
      </c>
      <c r="I89" s="6">
        <f t="shared" si="7"/>
        <v>3191.466642247965</v>
      </c>
      <c r="K89" s="10">
        <f>+K25</f>
        <v>0.14454510944454246</v>
      </c>
      <c r="L89" s="6">
        <f t="shared" si="8"/>
        <v>5935.654162756321</v>
      </c>
      <c r="N89" s="6">
        <f t="shared" si="9"/>
        <v>41064.37212276387</v>
      </c>
      <c r="O89" s="10">
        <f t="shared" si="17"/>
        <v>1</v>
      </c>
      <c r="P89" t="str">
        <f t="shared" si="11"/>
        <v> </v>
      </c>
    </row>
    <row r="90" spans="1:16" ht="12.75">
      <c r="A90">
        <v>5241</v>
      </c>
      <c r="B90" t="s">
        <v>68</v>
      </c>
      <c r="C90" s="6">
        <f>+'Results of Operations'!C90</f>
        <v>516.6831988022273</v>
      </c>
      <c r="E90" s="10">
        <f>+E25</f>
        <v>0.7777362630136332</v>
      </c>
      <c r="F90" s="6">
        <f t="shared" si="6"/>
        <v>401.84326019837437</v>
      </c>
      <c r="H90" s="10">
        <f>+H25</f>
        <v>0.07771862754182449</v>
      </c>
      <c r="I90" s="6">
        <f t="shared" si="7"/>
        <v>40.15590908482876</v>
      </c>
      <c r="K90" s="10">
        <f>+K25</f>
        <v>0.14454510944454246</v>
      </c>
      <c r="L90" s="6">
        <f t="shared" si="8"/>
        <v>74.68402951902424</v>
      </c>
      <c r="N90" s="6">
        <f t="shared" si="9"/>
        <v>516.6831988022274</v>
      </c>
      <c r="O90" s="10">
        <f t="shared" si="17"/>
        <v>1</v>
      </c>
      <c r="P90" t="str">
        <f t="shared" si="11"/>
        <v> </v>
      </c>
    </row>
    <row r="91" spans="1:16" ht="12.75">
      <c r="A91">
        <v>5242</v>
      </c>
      <c r="B91" t="s">
        <v>69</v>
      </c>
      <c r="C91" s="6">
        <f>+'Results of Operations'!C91</f>
        <v>511.0660604106089</v>
      </c>
      <c r="E91" s="10">
        <f>+E25</f>
        <v>0.7777362630136332</v>
      </c>
      <c r="F91" s="6">
        <f t="shared" si="6"/>
        <v>397.47460797684664</v>
      </c>
      <c r="H91" s="10">
        <f>+H25</f>
        <v>0.07771862754182449</v>
      </c>
      <c r="I91" s="6">
        <f t="shared" si="7"/>
        <v>39.71935279831968</v>
      </c>
      <c r="K91" s="10">
        <f>+K25</f>
        <v>0.14454510944454246</v>
      </c>
      <c r="L91" s="6">
        <f t="shared" si="8"/>
        <v>73.87209963544261</v>
      </c>
      <c r="N91" s="6">
        <f t="shared" si="9"/>
        <v>511.06606041060894</v>
      </c>
      <c r="O91" s="10">
        <f t="shared" si="17"/>
        <v>1</v>
      </c>
      <c r="P91" t="str">
        <f t="shared" si="11"/>
        <v> </v>
      </c>
    </row>
    <row r="92" spans="1:16" ht="12.75">
      <c r="A92">
        <v>5260</v>
      </c>
      <c r="B92" t="s">
        <v>70</v>
      </c>
      <c r="C92" s="6">
        <f>+'Results of Operations'!C92</f>
        <v>32525.655411591222</v>
      </c>
      <c r="E92" s="10">
        <f>+E21</f>
        <v>0.6748783247489285</v>
      </c>
      <c r="F92" s="6">
        <f t="shared" si="6"/>
        <v>21950.859835535604</v>
      </c>
      <c r="H92" s="10">
        <f>+H21</f>
        <v>0.08048602691779883</v>
      </c>
      <c r="I92" s="6">
        <f t="shared" si="7"/>
        <v>2617.8607769763803</v>
      </c>
      <c r="K92" s="10">
        <f>+K21</f>
        <v>0.2446356483332728</v>
      </c>
      <c r="L92" s="6">
        <f t="shared" si="8"/>
        <v>7956.934799079242</v>
      </c>
      <c r="N92" s="6">
        <f t="shared" si="9"/>
        <v>32525.655411591226</v>
      </c>
      <c r="O92" s="10">
        <f t="shared" si="17"/>
        <v>1.0000000000000002</v>
      </c>
      <c r="P92" t="str">
        <f t="shared" si="11"/>
        <v> </v>
      </c>
    </row>
    <row r="93" spans="1:16" ht="12.75">
      <c r="A93">
        <v>5270</v>
      </c>
      <c r="B93" t="s">
        <v>71</v>
      </c>
      <c r="C93" s="6">
        <f>+'Results of Operations'!C93</f>
        <v>11534.289999999999</v>
      </c>
      <c r="E93" s="14">
        <v>0</v>
      </c>
      <c r="F93" s="6">
        <f t="shared" si="6"/>
        <v>0</v>
      </c>
      <c r="H93" s="14">
        <v>1</v>
      </c>
      <c r="I93" s="6">
        <f t="shared" si="7"/>
        <v>11534.289999999999</v>
      </c>
      <c r="K93" s="14">
        <v>0</v>
      </c>
      <c r="L93" s="6">
        <f t="shared" si="8"/>
        <v>0</v>
      </c>
      <c r="N93" s="6">
        <f t="shared" si="9"/>
        <v>11534.289999999999</v>
      </c>
      <c r="O93" s="10">
        <f t="shared" si="17"/>
        <v>1</v>
      </c>
      <c r="P93" t="str">
        <f t="shared" si="11"/>
        <v> </v>
      </c>
    </row>
    <row r="94" spans="1:16" ht="12.75">
      <c r="A94">
        <v>5290</v>
      </c>
      <c r="B94" t="s">
        <v>72</v>
      </c>
      <c r="C94" s="6">
        <f>+'Results of Operations'!C94</f>
        <v>1045.1444086186602</v>
      </c>
      <c r="E94" s="10">
        <f>+E25</f>
        <v>0.7777362630136332</v>
      </c>
      <c r="F94" s="6">
        <f t="shared" si="6"/>
        <v>812.8467066686704</v>
      </c>
      <c r="H94" s="10">
        <f>+H25</f>
        <v>0.07771862754182449</v>
      </c>
      <c r="I94" s="6">
        <f t="shared" si="7"/>
        <v>81.22718902085407</v>
      </c>
      <c r="K94" s="10">
        <f>+K25</f>
        <v>0.14454510944454246</v>
      </c>
      <c r="L94" s="6">
        <f t="shared" si="8"/>
        <v>151.07051292913584</v>
      </c>
      <c r="N94" s="6">
        <f t="shared" si="9"/>
        <v>1045.1444086186605</v>
      </c>
      <c r="O94" s="10">
        <f t="shared" si="17"/>
        <v>1</v>
      </c>
      <c r="P94" t="str">
        <f t="shared" si="11"/>
        <v> </v>
      </c>
    </row>
    <row r="95" spans="1:15" ht="12.75">
      <c r="A95" t="s">
        <v>21</v>
      </c>
      <c r="C95" s="6"/>
      <c r="E95" s="10"/>
      <c r="F95" s="6"/>
      <c r="H95" s="10"/>
      <c r="I95" s="6"/>
      <c r="K95" s="10"/>
      <c r="L95" s="6"/>
      <c r="N95" s="6"/>
      <c r="O95" s="10"/>
    </row>
    <row r="96" spans="1:16" ht="12.75">
      <c r="A96">
        <v>5320</v>
      </c>
      <c r="B96" t="s">
        <v>73</v>
      </c>
      <c r="C96" s="6">
        <f>+'Results of Operations'!C96</f>
        <v>70876.75</v>
      </c>
      <c r="E96" s="10">
        <f>$E$63</f>
        <v>0.7156633429091205</v>
      </c>
      <c r="F96" s="6">
        <f>+C96*E96</f>
        <v>50723.89183953401</v>
      </c>
      <c r="H96" s="10">
        <f>$H$63</f>
        <v>0.09342893060344455</v>
      </c>
      <c r="I96" s="6">
        <f>+C96*H96</f>
        <v>6621.938957147689</v>
      </c>
      <c r="K96" s="10">
        <f>$K$63</f>
        <v>0.19090772648743493</v>
      </c>
      <c r="L96" s="6">
        <f>+C96*K96</f>
        <v>13530.919203318303</v>
      </c>
      <c r="N96" s="6">
        <f>+F96+I96+L96</f>
        <v>70876.75</v>
      </c>
      <c r="O96" s="10">
        <f>+E96+H96+K96</f>
        <v>1</v>
      </c>
      <c r="P96" t="str">
        <f>IF(O96&lt;&gt;1,"ERR"," ")</f>
        <v> </v>
      </c>
    </row>
    <row r="97" spans="1:16" ht="13.5" thickBot="1">
      <c r="A97">
        <v>5322</v>
      </c>
      <c r="B97" s="130" t="s">
        <v>367</v>
      </c>
      <c r="C97" s="7">
        <f>+'Results of Operations'!C97</f>
        <v>0</v>
      </c>
      <c r="D97" s="5"/>
      <c r="E97" s="11">
        <f>+$E$63</f>
        <v>0.7156633429091205</v>
      </c>
      <c r="F97" s="7">
        <f t="shared" si="6"/>
        <v>0</v>
      </c>
      <c r="G97" s="5"/>
      <c r="H97" s="11">
        <f>+$H$63</f>
        <v>0.09342893060344455</v>
      </c>
      <c r="I97" s="7">
        <f t="shared" si="7"/>
        <v>0</v>
      </c>
      <c r="J97" s="5"/>
      <c r="K97" s="11">
        <f>+$K$63</f>
        <v>0.19090772648743493</v>
      </c>
      <c r="L97" s="7">
        <f t="shared" si="8"/>
        <v>0</v>
      </c>
      <c r="M97" s="5"/>
      <c r="N97" s="7">
        <f t="shared" si="9"/>
        <v>0</v>
      </c>
      <c r="O97" s="11">
        <f>+E97+H97+K97</f>
        <v>1</v>
      </c>
      <c r="P97" t="str">
        <f t="shared" si="11"/>
        <v> </v>
      </c>
    </row>
    <row r="98" spans="3:15" ht="12.75">
      <c r="C98" s="6"/>
      <c r="E98" s="10"/>
      <c r="H98" s="10"/>
      <c r="K98" s="10"/>
      <c r="O98" s="10"/>
    </row>
    <row r="99" spans="2:15" ht="13.5" thickBot="1">
      <c r="B99" t="s">
        <v>22</v>
      </c>
      <c r="C99" s="7">
        <f>SUM(C25:C97)</f>
        <v>2109583.8298280016</v>
      </c>
      <c r="D99" s="5"/>
      <c r="E99" s="11">
        <f>+F99/C99</f>
        <v>0.7270785422818651</v>
      </c>
      <c r="F99" s="7">
        <f>SUM(F25:F97)</f>
        <v>1533833.1358127375</v>
      </c>
      <c r="G99" s="5"/>
      <c r="H99" s="11">
        <f>+I99/C99</f>
        <v>0.08470911961331742</v>
      </c>
      <c r="I99" s="7">
        <f>SUM(I25:I97)</f>
        <v>178700.98897522045</v>
      </c>
      <c r="J99" s="5"/>
      <c r="K99" s="11">
        <f>+L99/C99</f>
        <v>0.18821233810481758</v>
      </c>
      <c r="L99" s="7">
        <f>SUM(L25:L97)</f>
        <v>397049.7050400438</v>
      </c>
      <c r="M99" s="5"/>
      <c r="N99" s="7">
        <f>SUM(N25:N97)</f>
        <v>2109583.8298280016</v>
      </c>
      <c r="O99" s="11">
        <f>+E99+H99+K99</f>
        <v>1</v>
      </c>
    </row>
    <row r="100" spans="3:15" ht="12.75">
      <c r="C100" s="6"/>
      <c r="E100" s="10"/>
      <c r="F100" s="6"/>
      <c r="H100" s="10"/>
      <c r="I100" s="6"/>
      <c r="K100" s="10"/>
      <c r="L100" s="6"/>
      <c r="N100" s="6"/>
      <c r="O100" s="10"/>
    </row>
    <row r="101" spans="2:15" ht="13.5" thickBot="1">
      <c r="B101" t="s">
        <v>23</v>
      </c>
      <c r="C101" s="8">
        <f>+C21-C99</f>
        <v>98017.37017199816</v>
      </c>
      <c r="D101" s="12"/>
      <c r="E101" s="13">
        <f>+F101/C101</f>
        <v>-0.4486035094173053</v>
      </c>
      <c r="F101" s="8">
        <f>+F21-F99</f>
        <v>-43970.93624301348</v>
      </c>
      <c r="G101" s="12"/>
      <c r="H101" s="13">
        <f>+I101/C101</f>
        <v>-0.01040570019850291</v>
      </c>
      <c r="I101" s="8">
        <f>+I21-I99</f>
        <v>-1019.9393682554946</v>
      </c>
      <c r="J101" s="12"/>
      <c r="K101" s="13">
        <f>+L101/C101</f>
        <v>1.459009209615809</v>
      </c>
      <c r="L101" s="8">
        <f>+L21-L99</f>
        <v>143008.2457832672</v>
      </c>
      <c r="M101" s="12"/>
      <c r="N101" s="8">
        <f>+N21-N99</f>
        <v>98017.37017199863</v>
      </c>
      <c r="O101" s="13">
        <f>+E101+H101+K101</f>
        <v>1.0000000000000007</v>
      </c>
    </row>
    <row r="102" spans="3:15" ht="13.5" thickTop="1">
      <c r="C102" s="6"/>
      <c r="E102" s="10"/>
      <c r="F102" s="6"/>
      <c r="H102" s="10"/>
      <c r="I102" s="6"/>
      <c r="K102" s="10"/>
      <c r="L102" s="6"/>
      <c r="N102" s="6"/>
      <c r="O102" s="10"/>
    </row>
    <row r="103" spans="2:15" ht="12.75">
      <c r="B103" t="s">
        <v>83</v>
      </c>
      <c r="C103" s="9">
        <f>+C99/C21</f>
        <v>0.9556000557655078</v>
      </c>
      <c r="E103" s="10"/>
      <c r="F103" s="9">
        <f>+F99/F21</f>
        <v>1.0295134249702504</v>
      </c>
      <c r="H103" s="10"/>
      <c r="I103" s="9">
        <f>+I99/I21</f>
        <v>1.0057402822108021</v>
      </c>
      <c r="K103" s="10"/>
      <c r="L103" s="9">
        <f>+L99/L21</f>
        <v>0.735198332761784</v>
      </c>
      <c r="N103" s="9">
        <f>+N99/N21</f>
        <v>0.9556000557655076</v>
      </c>
      <c r="O103" s="10"/>
    </row>
  </sheetData>
  <sheetProtection/>
  <mergeCells count="6">
    <mergeCell ref="K6:L6"/>
    <mergeCell ref="K7:L7"/>
    <mergeCell ref="E6:F6"/>
    <mergeCell ref="E7:F7"/>
    <mergeCell ref="H6:I6"/>
    <mergeCell ref="H7:I7"/>
  </mergeCells>
  <printOptions/>
  <pageMargins left="0.27" right="0.25" top="0.52" bottom="0.45" header="0.5" footer="0.5"/>
  <pageSetup fitToHeight="2" fitToWidth="1" horizontalDpi="300" verticalDpi="300" orientation="landscape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4" max="4" width="12.421875" style="0" customWidth="1"/>
    <col min="5" max="5" width="10.28125" style="0" bestFit="1" customWidth="1"/>
    <col min="11" max="11" width="12.57421875" style="0" customWidth="1"/>
    <col min="12" max="12" width="9.28125" style="0" bestFit="1" customWidth="1"/>
  </cols>
  <sheetData>
    <row r="1" ht="12.75">
      <c r="A1" t="s">
        <v>0</v>
      </c>
    </row>
    <row r="3" ht="12.75">
      <c r="A3" t="s">
        <v>180</v>
      </c>
    </row>
    <row r="5" ht="12.75">
      <c r="A5" s="133" t="s">
        <v>368</v>
      </c>
    </row>
    <row r="6" ht="12.75">
      <c r="A6" s="130" t="s">
        <v>365</v>
      </c>
    </row>
    <row r="7" spans="5:8" ht="12.75">
      <c r="E7" s="2" t="s">
        <v>177</v>
      </c>
      <c r="F7" s="2" t="s">
        <v>178</v>
      </c>
      <c r="G7" s="2" t="s">
        <v>179</v>
      </c>
      <c r="H7" s="2"/>
    </row>
    <row r="8" spans="1:8" ht="12.75">
      <c r="A8" t="s">
        <v>184</v>
      </c>
      <c r="E8" s="2" t="s">
        <v>189</v>
      </c>
      <c r="F8" s="2" t="s">
        <v>189</v>
      </c>
      <c r="G8" s="2" t="s">
        <v>189</v>
      </c>
      <c r="H8" s="2"/>
    </row>
    <row r="10" spans="2:7" ht="12.75">
      <c r="B10" t="s">
        <v>185</v>
      </c>
      <c r="E10" s="10">
        <f>+E25</f>
        <v>0.6699299068284921</v>
      </c>
      <c r="F10" s="10">
        <f>+E26</f>
        <v>0.07980508660457694</v>
      </c>
      <c r="G10" s="10">
        <f>+E27</f>
        <v>0.25026500656693107</v>
      </c>
    </row>
    <row r="11" spans="2:7" ht="12.75">
      <c r="B11" t="s">
        <v>252</v>
      </c>
      <c r="E11" s="10">
        <f>+E35</f>
        <v>0.7215723620674093</v>
      </c>
      <c r="F11" s="10">
        <f>+E36</f>
        <v>0.06341199558354649</v>
      </c>
      <c r="G11" s="10">
        <f>+E37</f>
        <v>0.21501564234904433</v>
      </c>
    </row>
    <row r="12" spans="2:7" ht="12.75">
      <c r="B12" t="s">
        <v>250</v>
      </c>
      <c r="E12" s="10">
        <f>+E44</f>
        <v>0.5446364473869837</v>
      </c>
      <c r="F12" s="10">
        <f>+E45</f>
        <v>0.14620695238052786</v>
      </c>
      <c r="G12" s="10">
        <f>+E46</f>
        <v>0.30915660023248853</v>
      </c>
    </row>
    <row r="13" spans="2:7" ht="12.75">
      <c r="B13" t="s">
        <v>186</v>
      </c>
      <c r="E13" s="10">
        <f>+E55</f>
        <v>0.8749514563106796</v>
      </c>
      <c r="F13" s="10">
        <f>+E56</f>
        <v>0.06174757281553398</v>
      </c>
      <c r="G13" s="10">
        <f>+E57</f>
        <v>0.0633009708737864</v>
      </c>
    </row>
    <row r="14" spans="2:7" ht="12.75">
      <c r="B14" t="s">
        <v>187</v>
      </c>
      <c r="E14" s="10">
        <f>+E65</f>
        <v>0.7777362630136331</v>
      </c>
      <c r="F14" s="10">
        <f>+E66</f>
        <v>0.07771862754182447</v>
      </c>
      <c r="G14" s="10">
        <f>+E67</f>
        <v>0.14454510944454244</v>
      </c>
    </row>
    <row r="15" spans="2:7" ht="12.75">
      <c r="B15" t="s">
        <v>288</v>
      </c>
      <c r="E15" s="10">
        <f>+E74</f>
        <v>0.7375917358527151</v>
      </c>
      <c r="F15" s="10">
        <f>+E75</f>
        <v>0.10289407063823068</v>
      </c>
      <c r="G15" s="10">
        <f>+E76</f>
        <v>0.15951419350905438</v>
      </c>
    </row>
    <row r="16" spans="2:7" ht="12.75">
      <c r="B16" t="s">
        <v>188</v>
      </c>
      <c r="E16" s="48">
        <f>+E83</f>
        <v>0.683225228903931</v>
      </c>
      <c r="F16" s="48">
        <f>+E84</f>
        <v>0.12221820865987153</v>
      </c>
      <c r="G16" s="48">
        <f>+E85</f>
        <v>0.19455656243619746</v>
      </c>
    </row>
    <row r="18" spans="5:8" ht="12.75">
      <c r="E18" s="41">
        <f>SUM(E10:E16)</f>
        <v>5.009643400363844</v>
      </c>
      <c r="F18" s="41">
        <f>SUM(F10:F16)</f>
        <v>0.6540025142241119</v>
      </c>
      <c r="G18" s="41">
        <f>SUM(G10:G16)</f>
        <v>1.3363540854120446</v>
      </c>
      <c r="H18" s="41">
        <f>SUM(E18:G18)</f>
        <v>7.000000000000001</v>
      </c>
    </row>
    <row r="19" spans="5:8" ht="13.5" thickBot="1">
      <c r="E19" s="58"/>
      <c r="F19" s="58"/>
      <c r="G19" s="58"/>
      <c r="H19" s="59"/>
    </row>
    <row r="20" spans="3:8" ht="13.5" thickBot="1">
      <c r="C20" t="s">
        <v>243</v>
      </c>
      <c r="E20" s="61">
        <f>+E18/H18</f>
        <v>0.7156633429091205</v>
      </c>
      <c r="F20" s="61">
        <f>+F18/H18</f>
        <v>0.09342893060344455</v>
      </c>
      <c r="G20" s="61">
        <f>+G18/H18</f>
        <v>0.19090772648743493</v>
      </c>
      <c r="H20" s="60">
        <f>SUM(E20:G20)</f>
        <v>1</v>
      </c>
    </row>
    <row r="23" ht="12.75">
      <c r="A23" t="s">
        <v>181</v>
      </c>
    </row>
    <row r="25" spans="1:11" ht="12.75">
      <c r="A25" t="s">
        <v>182</v>
      </c>
      <c r="D25" s="6">
        <f>+'Service Counts'!J75</f>
        <v>1231710.6104999997</v>
      </c>
      <c r="E25" s="10">
        <f>+D25/D29</f>
        <v>0.6699299068284921</v>
      </c>
      <c r="J25" s="6"/>
      <c r="K25" s="10"/>
    </row>
    <row r="26" spans="1:11" ht="12.75">
      <c r="A26" t="s">
        <v>178</v>
      </c>
      <c r="D26" s="6">
        <f>+'Service Counts'!S75</f>
        <v>146726.95</v>
      </c>
      <c r="E26" s="10">
        <f>+D26/D29</f>
        <v>0.07980508660457694</v>
      </c>
      <c r="J26" s="69"/>
      <c r="K26" s="127"/>
    </row>
    <row r="27" spans="1:11" ht="12.75">
      <c r="A27" t="s">
        <v>179</v>
      </c>
      <c r="D27" s="42">
        <f>+'Service Counts'!AB75</f>
        <v>460128.8297228637</v>
      </c>
      <c r="E27" s="48">
        <f>+D27/D29</f>
        <v>0.25026500656693107</v>
      </c>
      <c r="J27" s="69"/>
      <c r="K27" s="127"/>
    </row>
    <row r="28" spans="4:11" ht="12.75">
      <c r="D28" s="6"/>
      <c r="E28" s="10"/>
      <c r="J28" s="69"/>
      <c r="K28" s="127"/>
    </row>
    <row r="29" spans="4:11" ht="13.5" thickBot="1">
      <c r="D29" s="8">
        <f>SUM(D25:D27)</f>
        <v>1838566.3902228633</v>
      </c>
      <c r="E29" s="13">
        <f>SUM(E25:E27)</f>
        <v>1</v>
      </c>
      <c r="J29" s="69"/>
      <c r="K29" s="127"/>
    </row>
    <row r="30" spans="10:11" ht="13.5" thickTop="1">
      <c r="J30" s="17"/>
      <c r="K30" s="17"/>
    </row>
    <row r="31" spans="10:11" ht="12.75">
      <c r="J31" s="17"/>
      <c r="K31" s="17"/>
    </row>
    <row r="32" ht="12.75">
      <c r="H32" t="s">
        <v>329</v>
      </c>
    </row>
    <row r="33" spans="1:8" ht="12.75">
      <c r="A33" t="s">
        <v>251</v>
      </c>
      <c r="H33" t="s">
        <v>330</v>
      </c>
    </row>
    <row r="35" spans="1:12" ht="12.75">
      <c r="A35" t="s">
        <v>182</v>
      </c>
      <c r="D35" s="6">
        <f>SUM('Service Counts'!J10:J50)+SUM('Service Counts'!J72:J73)</f>
        <v>1131643.2704999999</v>
      </c>
      <c r="E35" s="10">
        <f>+D35/D39</f>
        <v>0.7215723620674093</v>
      </c>
      <c r="H35" t="s">
        <v>182</v>
      </c>
      <c r="K35" s="6">
        <f>SUM('Service Counts'!J10:J50)+SUM('Service Counts'!J72:J73)+'[2]Proforma AJEs'!$G$51</f>
        <v>1131643.2704999999</v>
      </c>
      <c r="L35" s="10">
        <f>+K35/K39</f>
        <v>0.7215723620674093</v>
      </c>
    </row>
    <row r="36" spans="1:12" ht="12.75">
      <c r="A36" t="s">
        <v>178</v>
      </c>
      <c r="D36" s="6">
        <f>SUM('Service Counts'!S10:S50)+SUM('Service Counts'!S72:S73)</f>
        <v>99449.15</v>
      </c>
      <c r="E36" s="10">
        <f>+D36/D39</f>
        <v>0.06341199558354649</v>
      </c>
      <c r="H36" t="s">
        <v>178</v>
      </c>
      <c r="K36" s="6">
        <f>SUM('Service Counts'!S10:S50)+SUM('Service Counts'!S72:S73)+'[2]Proforma AJEs'!$G$52</f>
        <v>99449.15</v>
      </c>
      <c r="L36" s="10">
        <f>+K36/K39</f>
        <v>0.06341199558354649</v>
      </c>
    </row>
    <row r="37" spans="1:12" ht="12.75">
      <c r="A37" t="s">
        <v>179</v>
      </c>
      <c r="D37" s="42">
        <f>SUM('Service Counts'!AB10:AB50)+SUM('Service Counts'!AB72:AB73)</f>
        <v>337209.4297228637</v>
      </c>
      <c r="E37" s="48">
        <f>+D37/D39</f>
        <v>0.21501564234904433</v>
      </c>
      <c r="H37" t="s">
        <v>179</v>
      </c>
      <c r="K37" s="42">
        <f>SUM('Service Counts'!AB10:AB50)+SUM('Service Counts'!AB72:AB73)+'[2]Proforma AJEs'!$G$53</f>
        <v>337209.4297228637</v>
      </c>
      <c r="L37" s="48">
        <f>+K37/K39</f>
        <v>0.21501564234904433</v>
      </c>
    </row>
    <row r="38" spans="4:12" ht="12.75">
      <c r="D38" s="6"/>
      <c r="E38" s="10"/>
      <c r="K38" s="6"/>
      <c r="L38" s="10"/>
    </row>
    <row r="39" spans="4:12" ht="13.5" thickBot="1">
      <c r="D39" s="8">
        <f>SUM(D35:D37)</f>
        <v>1568301.8502228635</v>
      </c>
      <c r="E39" s="13">
        <f>SUM(E35:E37)</f>
        <v>1</v>
      </c>
      <c r="K39" s="8">
        <f>SUM(K35:K37)</f>
        <v>1568301.8502228635</v>
      </c>
      <c r="L39" s="13">
        <f>SUM(L35:L37)</f>
        <v>1</v>
      </c>
    </row>
    <row r="40" ht="13.5" thickTop="1"/>
    <row r="42" ht="12.75">
      <c r="A42" t="s">
        <v>242</v>
      </c>
    </row>
    <row r="44" spans="1:5" ht="12.75">
      <c r="A44" t="s">
        <v>182</v>
      </c>
      <c r="D44" s="53">
        <f>+'Service Counts'!I75</f>
        <v>55690.340000000004</v>
      </c>
      <c r="E44" s="10">
        <f>+D44/D48</f>
        <v>0.5446364473869837</v>
      </c>
    </row>
    <row r="45" spans="1:5" ht="12.75">
      <c r="A45" t="s">
        <v>178</v>
      </c>
      <c r="D45" s="53">
        <f>+'Service Counts'!R75</f>
        <v>14950</v>
      </c>
      <c r="E45" s="10">
        <f>+D45/D48</f>
        <v>0.14620695238052786</v>
      </c>
    </row>
    <row r="46" spans="1:5" ht="12.75">
      <c r="A46" t="s">
        <v>179</v>
      </c>
      <c r="D46" s="57">
        <f>+'Service Counts'!AA75</f>
        <v>31611.979445727484</v>
      </c>
      <c r="E46" s="48">
        <f>+D46/D48</f>
        <v>0.30915660023248853</v>
      </c>
    </row>
    <row r="47" spans="4:5" ht="12.75">
      <c r="D47" s="53"/>
      <c r="E47" s="10"/>
    </row>
    <row r="48" spans="4:5" ht="13.5" thickBot="1">
      <c r="D48" s="56">
        <f>SUM(D44:D46)</f>
        <v>102252.31944572748</v>
      </c>
      <c r="E48" s="13">
        <f>SUM(E44:E46)</f>
        <v>1</v>
      </c>
    </row>
    <row r="49" ht="13.5" thickTop="1"/>
    <row r="52" ht="12.75">
      <c r="A52" t="s">
        <v>183</v>
      </c>
    </row>
    <row r="53" ht="12.75">
      <c r="A53" t="s">
        <v>338</v>
      </c>
    </row>
    <row r="55" spans="1:5" ht="12.75">
      <c r="A55" t="s">
        <v>182</v>
      </c>
      <c r="D55" s="64">
        <f>+'[1]General Data'!$D$33</f>
        <v>2253</v>
      </c>
      <c r="E55" s="10">
        <f>+D55/D59</f>
        <v>0.8749514563106796</v>
      </c>
    </row>
    <row r="56" spans="1:5" ht="12.75">
      <c r="A56" t="s">
        <v>178</v>
      </c>
      <c r="D56" s="64">
        <f>+'[1]General Data'!$D$34</f>
        <v>159</v>
      </c>
      <c r="E56" s="10">
        <f>+D56/D59</f>
        <v>0.06174757281553398</v>
      </c>
    </row>
    <row r="57" spans="1:5" ht="12.75">
      <c r="A57" t="s">
        <v>179</v>
      </c>
      <c r="D57" s="65">
        <f>+'[1]General Data'!$D$35</f>
        <v>163</v>
      </c>
      <c r="E57" s="48">
        <f>+D57/D59</f>
        <v>0.0633009708737864</v>
      </c>
    </row>
    <row r="58" spans="4:5" ht="12.75">
      <c r="D58" s="49"/>
      <c r="E58" s="10"/>
    </row>
    <row r="59" spans="4:5" ht="13.5" thickBot="1">
      <c r="D59" s="50">
        <f>SUM(D55:D57)</f>
        <v>2575</v>
      </c>
      <c r="E59" s="13">
        <f>SUM(E55:E57)</f>
        <v>1</v>
      </c>
    </row>
    <row r="60" ht="13.5" thickTop="1"/>
    <row r="63" ht="12.75">
      <c r="A63" t="s">
        <v>89</v>
      </c>
    </row>
    <row r="65" spans="1:5" ht="12.75">
      <c r="A65" t="s">
        <v>182</v>
      </c>
      <c r="D65" s="45">
        <f>+'Hours &amp; Miles'!D23</f>
        <v>5203.88</v>
      </c>
      <c r="E65" s="10">
        <f>+D65/D69</f>
        <v>0.7777362630136331</v>
      </c>
    </row>
    <row r="66" spans="1:5" ht="12.75">
      <c r="A66" t="s">
        <v>178</v>
      </c>
      <c r="D66" s="45">
        <f>+'Hours &amp; Miles'!E23</f>
        <v>520.0200000000001</v>
      </c>
      <c r="E66" s="10">
        <f>+D66/D69</f>
        <v>0.07771862754182447</v>
      </c>
    </row>
    <row r="67" spans="1:5" ht="12.75">
      <c r="A67" t="s">
        <v>179</v>
      </c>
      <c r="D67" s="47">
        <f>+'Hours &amp; Miles'!F23</f>
        <v>967.1600000000002</v>
      </c>
      <c r="E67" s="48">
        <f>+D67/D69</f>
        <v>0.14454510944454244</v>
      </c>
    </row>
    <row r="68" spans="4:5" ht="12.75">
      <c r="D68" s="45"/>
      <c r="E68" s="10"/>
    </row>
    <row r="69" spans="4:5" ht="13.5" thickBot="1">
      <c r="D69" s="46">
        <f>SUM(D65:D67)</f>
        <v>6691.06</v>
      </c>
      <c r="E69" s="13">
        <f>SUM(E65:E67)</f>
        <v>1</v>
      </c>
    </row>
    <row r="70" ht="13.5" thickTop="1"/>
    <row r="72" ht="12.75">
      <c r="A72" t="s">
        <v>91</v>
      </c>
    </row>
    <row r="74" spans="1:5" ht="12.75">
      <c r="A74" t="s">
        <v>182</v>
      </c>
      <c r="D74" s="45">
        <f>+'Hours &amp; Miles'!D44</f>
        <v>7380.070000000001</v>
      </c>
      <c r="E74" s="10">
        <f>+D74/D78</f>
        <v>0.7375917358527151</v>
      </c>
    </row>
    <row r="75" spans="1:5" ht="12.75">
      <c r="A75" t="s">
        <v>178</v>
      </c>
      <c r="D75" s="45">
        <f>+'Hours &amp; Miles'!E44</f>
        <v>1029.52</v>
      </c>
      <c r="E75" s="10">
        <f>+D75/D78</f>
        <v>0.10289407063823068</v>
      </c>
    </row>
    <row r="76" spans="1:5" ht="12.75">
      <c r="A76" t="s">
        <v>179</v>
      </c>
      <c r="D76" s="47">
        <f>+'Hours &amp; Miles'!F44</f>
        <v>1596.0399999999997</v>
      </c>
      <c r="E76" s="48">
        <f>+D76/D78</f>
        <v>0.15951419350905438</v>
      </c>
    </row>
    <row r="77" spans="4:5" ht="12.75">
      <c r="D77" s="45"/>
      <c r="E77" s="10"/>
    </row>
    <row r="78" spans="4:5" ht="13.5" thickBot="1">
      <c r="D78" s="46">
        <f>SUM(D74:D76)</f>
        <v>10005.63</v>
      </c>
      <c r="E78" s="13">
        <f>SUM(E74:E76)</f>
        <v>1</v>
      </c>
    </row>
    <row r="79" ht="13.5" thickTop="1"/>
    <row r="81" ht="12.75">
      <c r="A81" t="s">
        <v>92</v>
      </c>
    </row>
    <row r="83" spans="1:5" ht="12.75">
      <c r="A83" t="s">
        <v>182</v>
      </c>
      <c r="D83" s="45">
        <f>+'Hours &amp; Miles'!D66</f>
        <v>43503</v>
      </c>
      <c r="E83" s="10">
        <f>+D83/D87</f>
        <v>0.683225228903931</v>
      </c>
    </row>
    <row r="84" spans="1:5" ht="12.75">
      <c r="A84" t="s">
        <v>178</v>
      </c>
      <c r="D84" s="45">
        <f>+'Hours &amp; Miles'!E66</f>
        <v>7782</v>
      </c>
      <c r="E84" s="10">
        <f>+D84/D87</f>
        <v>0.12221820865987153</v>
      </c>
    </row>
    <row r="85" spans="1:5" ht="12.75">
      <c r="A85" t="s">
        <v>179</v>
      </c>
      <c r="D85" s="47">
        <f>+'Hours &amp; Miles'!F66</f>
        <v>12388</v>
      </c>
      <c r="E85" s="48">
        <f>+D85/D87</f>
        <v>0.19455656243619746</v>
      </c>
    </row>
    <row r="86" spans="4:5" ht="12.75">
      <c r="D86" s="45"/>
      <c r="E86" s="10"/>
    </row>
    <row r="87" spans="4:5" ht="13.5" thickBot="1">
      <c r="D87" s="46">
        <f>SUM(D83:D85)</f>
        <v>63673</v>
      </c>
      <c r="E87" s="13">
        <f>SUM(E83:E85)</f>
        <v>1</v>
      </c>
    </row>
    <row r="88" ht="13.5" thickTop="1"/>
  </sheetData>
  <sheetProtection/>
  <printOptions/>
  <pageMargins left="0.2" right="0.3" top="0.49" bottom="0.49" header="0.5" footer="0.5"/>
  <pageSetup fitToHeight="1" fitToWidth="1" horizontalDpi="300" verticalDpi="3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9.421875" style="0" bestFit="1" customWidth="1"/>
    <col min="4" max="4" width="11.57421875" style="0" customWidth="1"/>
    <col min="5" max="5" width="11.140625" style="0" customWidth="1"/>
    <col min="6" max="7" width="11.57421875" style="0" customWidth="1"/>
    <col min="8" max="8" width="10.8515625" style="0" customWidth="1"/>
    <col min="9" max="9" width="10.28125" style="0" customWidth="1"/>
    <col min="10" max="10" width="9.7109375" style="0" bestFit="1" customWidth="1"/>
    <col min="11" max="11" width="12.28125" style="0" customWidth="1"/>
  </cols>
  <sheetData>
    <row r="1" ht="12.75">
      <c r="A1" t="s">
        <v>0</v>
      </c>
    </row>
    <row r="3" ht="12.75">
      <c r="A3" t="s">
        <v>164</v>
      </c>
    </row>
    <row r="5" ht="12.75">
      <c r="A5" s="133" t="s">
        <v>368</v>
      </c>
    </row>
    <row r="9" spans="4:12" ht="12.75">
      <c r="D9" s="2" t="s">
        <v>165</v>
      </c>
      <c r="E9" s="2" t="s">
        <v>342</v>
      </c>
      <c r="F9" s="2"/>
      <c r="G9" s="2"/>
      <c r="H9" s="2" t="s">
        <v>342</v>
      </c>
      <c r="I9" s="2" t="s">
        <v>168</v>
      </c>
      <c r="J9" s="2" t="s">
        <v>169</v>
      </c>
      <c r="K9" s="2"/>
      <c r="L9" s="2"/>
    </row>
    <row r="10" spans="4:12" ht="13.5" thickBot="1">
      <c r="D10" s="19" t="s">
        <v>166</v>
      </c>
      <c r="E10" s="19" t="s">
        <v>166</v>
      </c>
      <c r="F10" s="19" t="s">
        <v>167</v>
      </c>
      <c r="G10" s="19" t="s">
        <v>346</v>
      </c>
      <c r="H10" s="19" t="s">
        <v>167</v>
      </c>
      <c r="I10" s="19" t="s">
        <v>166</v>
      </c>
      <c r="J10" s="19" t="s">
        <v>166</v>
      </c>
      <c r="K10" s="19" t="s">
        <v>1</v>
      </c>
      <c r="L10" s="2"/>
    </row>
    <row r="12" spans="1:12" ht="12.75">
      <c r="A12" t="s">
        <v>177</v>
      </c>
      <c r="D12" s="6">
        <f aca="true" t="shared" si="0" ref="D12:J12">+D18-D14-D16</f>
        <v>88624.06952184274</v>
      </c>
      <c r="E12" s="6">
        <f t="shared" si="0"/>
        <v>7486.342815063454</v>
      </c>
      <c r="F12" s="6">
        <f t="shared" si="0"/>
        <v>4889.821141463418</v>
      </c>
      <c r="G12" s="6">
        <f>+G18-G14-G16</f>
        <v>17656.041760719094</v>
      </c>
      <c r="H12" s="6">
        <f t="shared" si="0"/>
        <v>2485.6833987766213</v>
      </c>
      <c r="I12" s="6">
        <f t="shared" si="0"/>
        <v>1090.1341586058668</v>
      </c>
      <c r="J12" s="6">
        <f t="shared" si="0"/>
        <v>328.2568838088409</v>
      </c>
      <c r="K12" s="6">
        <f>SUM(D12:J12)</f>
        <v>122560.34968028002</v>
      </c>
      <c r="L12" s="10">
        <f>+K12/K18</f>
        <v>0.7363295331586415</v>
      </c>
    </row>
    <row r="13" spans="4:12" ht="12.75">
      <c r="D13" s="6"/>
      <c r="E13" s="6"/>
      <c r="F13" s="6"/>
      <c r="G13" s="6"/>
      <c r="H13" s="6"/>
      <c r="I13" s="6"/>
      <c r="J13" s="6"/>
      <c r="K13" s="6"/>
      <c r="L13" s="10"/>
    </row>
    <row r="14" spans="1:12" ht="12.75">
      <c r="A14" t="s">
        <v>178</v>
      </c>
      <c r="D14" s="6">
        <f>+D18*D26</f>
        <v>8856.139771237746</v>
      </c>
      <c r="E14" s="6">
        <f>+E18*E26</f>
        <v>3536.9963700644666</v>
      </c>
      <c r="F14" s="6">
        <f>+F18*F26</f>
        <v>279.3837951219514</v>
      </c>
      <c r="G14" s="6">
        <f>+G18*G26</f>
        <v>0</v>
      </c>
      <c r="H14" s="6">
        <f>+H18*H26</f>
        <v>1174.3855946473777</v>
      </c>
      <c r="I14" s="6">
        <f>+I18*I26</f>
        <v>108.93632542607114</v>
      </c>
      <c r="J14" s="6">
        <f>+J18*J26</f>
        <v>42.853514744534934</v>
      </c>
      <c r="K14" s="6">
        <f>SUM(D14:J14)</f>
        <v>13998.69537124215</v>
      </c>
      <c r="L14" s="10">
        <f>+K14/K18</f>
        <v>0.08410267149552095</v>
      </c>
    </row>
    <row r="15" spans="4:12" ht="12.75">
      <c r="D15" s="6"/>
      <c r="E15" s="6"/>
      <c r="F15" s="6"/>
      <c r="G15" s="6"/>
      <c r="H15" s="6"/>
      <c r="I15" s="6"/>
      <c r="J15" s="6"/>
      <c r="K15" s="6"/>
      <c r="L15" s="10"/>
    </row>
    <row r="16" spans="1:12" ht="12.75">
      <c r="A16" t="s">
        <v>179</v>
      </c>
      <c r="D16" s="42">
        <f>+D18*D27</f>
        <v>16471.105228934077</v>
      </c>
      <c r="E16" s="42">
        <f>+E18*E27</f>
        <v>9195.975100586369</v>
      </c>
      <c r="F16" s="42">
        <f>+F18*F27</f>
        <v>878.0633560975615</v>
      </c>
      <c r="G16" s="42">
        <f>+G18*G27</f>
        <v>0</v>
      </c>
      <c r="H16" s="42">
        <f>+H18*H27</f>
        <v>3053.3310065760015</v>
      </c>
      <c r="I16" s="42">
        <f>+I18*I27</f>
        <v>202.60539306003415</v>
      </c>
      <c r="J16" s="42">
        <f>+J18*J27</f>
        <v>87.56460144662422</v>
      </c>
      <c r="K16" s="42">
        <f>SUM(D16:J16)</f>
        <v>29888.64468670067</v>
      </c>
      <c r="L16" s="43">
        <f>+K16/K18</f>
        <v>0.1795677953458376</v>
      </c>
    </row>
    <row r="17" spans="4:12" ht="12.75">
      <c r="D17" s="6"/>
      <c r="E17" s="6"/>
      <c r="F17" s="6"/>
      <c r="G17" s="6"/>
      <c r="H17" s="6"/>
      <c r="I17" s="6"/>
      <c r="J17" s="6"/>
      <c r="K17" s="6"/>
      <c r="L17" s="10"/>
    </row>
    <row r="18" spans="2:13" ht="13.5" thickBot="1">
      <c r="B18" t="s">
        <v>1</v>
      </c>
      <c r="D18" s="71">
        <f>+'[2]Depr Allocation'!$D$12</f>
        <v>113951.31452201457</v>
      </c>
      <c r="E18" s="71">
        <f>+'[2]Depr Allocation'!$E$12</f>
        <v>20219.31428571429</v>
      </c>
      <c r="F18" s="71">
        <f>+'[2]Depr Allocation'!$F$12</f>
        <v>6047.26829268293</v>
      </c>
      <c r="G18" s="71">
        <f>+'[2]Depr Allocation'!$G$12</f>
        <v>17656.041760719094</v>
      </c>
      <c r="H18" s="71">
        <f>+'[2]Depr Allocation'!$H$12</f>
        <v>6713.400000000001</v>
      </c>
      <c r="I18" s="71">
        <f>+'[2]Depr Allocation'!$I$12</f>
        <v>1401.675877091972</v>
      </c>
      <c r="J18" s="71">
        <f>+'[2]Depr Allocation'!$J$12</f>
        <v>458.67500000000007</v>
      </c>
      <c r="K18" s="8">
        <f>SUM(D18:J18)</f>
        <v>166447.68973822283</v>
      </c>
      <c r="L18" s="13">
        <f>SUM(L12:L16)</f>
        <v>1</v>
      </c>
      <c r="M18" s="6">
        <f>SUM(D18:J18)-SUM(K12:K16)</f>
        <v>0</v>
      </c>
    </row>
    <row r="19" ht="13.5" thickTop="1"/>
    <row r="21" spans="4:10" ht="12.75">
      <c r="D21" s="2" t="s">
        <v>171</v>
      </c>
      <c r="E21" s="2" t="s">
        <v>342</v>
      </c>
      <c r="F21" s="2"/>
      <c r="G21" s="2"/>
      <c r="H21" s="2" t="s">
        <v>342</v>
      </c>
      <c r="I21" s="2" t="s">
        <v>171</v>
      </c>
      <c r="J21" s="2" t="s">
        <v>169</v>
      </c>
    </row>
    <row r="22" spans="1:10" ht="13.5" thickBot="1">
      <c r="A22" t="s">
        <v>170</v>
      </c>
      <c r="D22" s="19" t="s">
        <v>172</v>
      </c>
      <c r="E22" s="19" t="s">
        <v>126</v>
      </c>
      <c r="F22" s="19" t="s">
        <v>173</v>
      </c>
      <c r="G22" s="19" t="s">
        <v>173</v>
      </c>
      <c r="H22" s="19" t="s">
        <v>126</v>
      </c>
      <c r="I22" s="19" t="s">
        <v>172</v>
      </c>
      <c r="J22" s="19" t="s">
        <v>85</v>
      </c>
    </row>
    <row r="25" spans="1:10" ht="12.75">
      <c r="A25" t="s">
        <v>177</v>
      </c>
      <c r="D25" s="10">
        <f>+'Hours &amp; Miles'!D25</f>
        <v>0.7777362630136332</v>
      </c>
      <c r="E25" s="10">
        <f>+'Drop Box Allocation'!D10</f>
        <v>0.3702570081890876</v>
      </c>
      <c r="F25" s="10">
        <f>+'Container Count'!K22</f>
        <v>0.8086</v>
      </c>
      <c r="G25" s="10">
        <f>+'Container Count'!G10</f>
        <v>1</v>
      </c>
      <c r="H25" s="10">
        <f>+E25</f>
        <v>0.3702570081890876</v>
      </c>
      <c r="I25" s="10">
        <f>+D25</f>
        <v>0.7777362630136332</v>
      </c>
      <c r="J25" s="10">
        <f>+'Cost Allocations'!E63</f>
        <v>0.7156633429091205</v>
      </c>
    </row>
    <row r="26" spans="1:10" ht="12.75">
      <c r="A26" t="s">
        <v>178</v>
      </c>
      <c r="D26" s="10">
        <f>+'Hours &amp; Miles'!E25</f>
        <v>0.07771862754182449</v>
      </c>
      <c r="E26" s="10">
        <f>+'Drop Box Allocation'!D11</f>
        <v>0.17493156889912378</v>
      </c>
      <c r="F26" s="10">
        <f>+'Container Count'!K24</f>
        <v>0.0462</v>
      </c>
      <c r="G26" s="10">
        <f>+'Container Count'!G12</f>
        <v>0</v>
      </c>
      <c r="H26" s="10">
        <f>+E26</f>
        <v>0.17493156889912378</v>
      </c>
      <c r="I26" s="10">
        <f>+D26</f>
        <v>0.07771862754182449</v>
      </c>
      <c r="J26" s="10">
        <f>+'Cost Allocations'!H63</f>
        <v>0.09342893060344455</v>
      </c>
    </row>
    <row r="27" spans="1:10" ht="12.75">
      <c r="A27" t="s">
        <v>179</v>
      </c>
      <c r="D27" s="10">
        <f>+'Hours &amp; Miles'!F25</f>
        <v>0.14454510944454246</v>
      </c>
      <c r="E27" s="10">
        <f>+'Drop Box Allocation'!D12</f>
        <v>0.45481142291178855</v>
      </c>
      <c r="F27" s="10">
        <f>+'Container Count'!K26</f>
        <v>0.1452</v>
      </c>
      <c r="G27" s="10">
        <f>+'Container Count'!G14</f>
        <v>0</v>
      </c>
      <c r="H27" s="10">
        <f>+E27</f>
        <v>0.45481142291178855</v>
      </c>
      <c r="I27" s="10">
        <f>+D27</f>
        <v>0.14454510944454246</v>
      </c>
      <c r="J27" s="10">
        <f>+'Cost Allocations'!K63</f>
        <v>0.19090772648743493</v>
      </c>
    </row>
    <row r="29" spans="4:10" ht="12.75">
      <c r="D29" s="10">
        <f aca="true" t="shared" si="1" ref="D29:J29">SUM(D25:D27)</f>
        <v>1</v>
      </c>
      <c r="E29" s="10">
        <f t="shared" si="1"/>
        <v>0.9999999999999999</v>
      </c>
      <c r="F29" s="10">
        <f t="shared" si="1"/>
        <v>1</v>
      </c>
      <c r="G29" s="10">
        <f>SUM(G25:G27)</f>
        <v>1</v>
      </c>
      <c r="H29" s="10">
        <f t="shared" si="1"/>
        <v>0.9999999999999999</v>
      </c>
      <c r="I29" s="10">
        <f t="shared" si="1"/>
        <v>1</v>
      </c>
      <c r="J29" s="10">
        <f t="shared" si="1"/>
        <v>1</v>
      </c>
    </row>
  </sheetData>
  <sheetProtection/>
  <printOptions/>
  <pageMargins left="0.36" right="0.75" top="0.49" bottom="0.5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4">
      <selection activeCell="A6" sqref="A6"/>
    </sheetView>
  </sheetViews>
  <sheetFormatPr defaultColWidth="9.140625" defaultRowHeight="12.75"/>
  <cols>
    <col min="3" max="3" width="10.00390625" style="0" customWidth="1"/>
    <col min="4" max="4" width="9.421875" style="0" customWidth="1"/>
    <col min="5" max="6" width="10.00390625" style="0" customWidth="1"/>
  </cols>
  <sheetData>
    <row r="1" ht="12.75">
      <c r="A1" t="s">
        <v>0</v>
      </c>
    </row>
    <row r="3" ht="12.75">
      <c r="A3" t="s">
        <v>88</v>
      </c>
    </row>
    <row r="5" ht="12.75">
      <c r="A5" s="133" t="s">
        <v>368</v>
      </c>
    </row>
    <row r="8" spans="1:6" ht="13.5" thickBot="1">
      <c r="A8" t="s">
        <v>89</v>
      </c>
      <c r="C8" s="19" t="s">
        <v>1</v>
      </c>
      <c r="D8" s="19" t="s">
        <v>177</v>
      </c>
      <c r="E8" s="19" t="s">
        <v>178</v>
      </c>
      <c r="F8" s="19" t="s">
        <v>179</v>
      </c>
    </row>
    <row r="9" ht="12.75">
      <c r="E9" s="16"/>
    </row>
    <row r="10" spans="1:6" ht="12.75">
      <c r="A10" t="str">
        <f>+'[1]Monthly Data-Hours &amp; Miles'!$C$24</f>
        <v>January</v>
      </c>
      <c r="C10" s="16">
        <f>+D10+E10+F10</f>
        <v>449.21999999999997</v>
      </c>
      <c r="D10" s="16">
        <f>+'[1]Monthly Data-Hours &amp; Miles'!C$28</f>
        <v>335.83</v>
      </c>
      <c r="E10" s="16">
        <f>+'[1]Monthly Data-Hours &amp; Miles'!C$29</f>
        <v>41.52</v>
      </c>
      <c r="F10" s="16">
        <f>+'[1]Monthly Data-Hours &amp; Miles'!C$30</f>
        <v>71.87</v>
      </c>
    </row>
    <row r="11" spans="1:6" ht="12.75">
      <c r="A11" t="str">
        <f>+'[1]Monthly Data-Hours &amp; Miles'!$D$24</f>
        <v>February</v>
      </c>
      <c r="C11" s="16">
        <f aca="true" t="shared" si="0" ref="C11:C21">+D11+E11+F11</f>
        <v>376.67</v>
      </c>
      <c r="D11" s="16">
        <f>+'[1]Monthly Data-Hours &amp; Miles'!D$28</f>
        <v>279.93</v>
      </c>
      <c r="E11" s="16">
        <f>+'[1]Monthly Data-Hours &amp; Miles'!D$29</f>
        <v>40.31</v>
      </c>
      <c r="F11" s="16">
        <f>+'[1]Monthly Data-Hours &amp; Miles'!D$30</f>
        <v>56.43</v>
      </c>
    </row>
    <row r="12" spans="1:6" ht="12.75">
      <c r="A12" t="str">
        <f>+'[1]Monthly Data-Hours &amp; Miles'!$E$24</f>
        <v>March</v>
      </c>
      <c r="C12" s="16">
        <f t="shared" si="0"/>
        <v>422.38000000000005</v>
      </c>
      <c r="D12" s="16">
        <f>+'[1]Monthly Data-Hours &amp; Miles'!E$28</f>
        <v>314.92</v>
      </c>
      <c r="E12" s="16">
        <f>+'[1]Monthly Data-Hours &amp; Miles'!E$29</f>
        <v>41.73</v>
      </c>
      <c r="F12" s="16">
        <f>+'[1]Monthly Data-Hours &amp; Miles'!E$30</f>
        <v>65.73</v>
      </c>
    </row>
    <row r="13" spans="1:6" ht="12.75">
      <c r="A13" t="str">
        <f>+'[1]Monthly Data-Hours &amp; Miles'!$F$24</f>
        <v>April</v>
      </c>
      <c r="C13" s="16">
        <f t="shared" si="0"/>
        <v>442.28999999999996</v>
      </c>
      <c r="D13" s="16">
        <f>+'[1]Monthly Data-Hours &amp; Miles'!F$28</f>
        <v>334.58</v>
      </c>
      <c r="E13" s="16">
        <f>+'[1]Monthly Data-Hours &amp; Miles'!F$29</f>
        <v>39.27</v>
      </c>
      <c r="F13" s="16">
        <f>+'[1]Monthly Data-Hours &amp; Miles'!F$30</f>
        <v>68.44</v>
      </c>
    </row>
    <row r="14" spans="1:6" ht="12.75">
      <c r="A14" t="str">
        <f>+'[1]Monthly Data-Hours &amp; Miles'!$G$24</f>
        <v>May</v>
      </c>
      <c r="C14" s="16">
        <f t="shared" si="0"/>
        <v>589.15</v>
      </c>
      <c r="D14" s="16">
        <f>+'[1]Monthly Data-Hours &amp; Miles'!G$28</f>
        <v>457.75</v>
      </c>
      <c r="E14" s="16">
        <f>+'[1]Monthly Data-Hours &amp; Miles'!G$29</f>
        <v>43.15</v>
      </c>
      <c r="F14" s="16">
        <f>+'[1]Monthly Data-Hours &amp; Miles'!G$30</f>
        <v>88.25</v>
      </c>
    </row>
    <row r="15" spans="1:6" ht="12.75">
      <c r="A15" t="str">
        <f>+'[1]Monthly Data-Hours &amp; Miles'!$H$24</f>
        <v>June</v>
      </c>
      <c r="C15" s="16">
        <f t="shared" si="0"/>
        <v>596.9</v>
      </c>
      <c r="D15" s="16">
        <f>+'[1]Monthly Data-Hours &amp; Miles'!H$28</f>
        <v>469.2</v>
      </c>
      <c r="E15" s="16">
        <f>+'[1]Monthly Data-Hours &amp; Miles'!H$29</f>
        <v>44.19</v>
      </c>
      <c r="F15" s="16">
        <f>+'[1]Monthly Data-Hours &amp; Miles'!H$30</f>
        <v>83.51</v>
      </c>
    </row>
    <row r="16" spans="1:6" ht="12.75">
      <c r="A16" t="str">
        <f>+'[1]Monthly Data-Hours &amp; Miles'!$I$24</f>
        <v>July</v>
      </c>
      <c r="C16" s="16">
        <f t="shared" si="0"/>
        <v>694.87</v>
      </c>
      <c r="D16" s="16">
        <f>+'[1]Monthly Data-Hours &amp; Miles'!I$28</f>
        <v>531.18</v>
      </c>
      <c r="E16" s="16">
        <f>+'[1]Monthly Data-Hours &amp; Miles'!I$29</f>
        <v>48.11</v>
      </c>
      <c r="F16" s="16">
        <f>+'[1]Monthly Data-Hours &amp; Miles'!I$30</f>
        <v>115.58</v>
      </c>
    </row>
    <row r="17" spans="1:6" ht="12.75">
      <c r="A17" t="str">
        <f>+'[1]Monthly Data-Hours &amp; Miles'!$J$24</f>
        <v>August</v>
      </c>
      <c r="C17" s="16">
        <f t="shared" si="0"/>
        <v>719.0500000000001</v>
      </c>
      <c r="D17" s="16">
        <f>+'[1]Monthly Data-Hours &amp; Miles'!J$28</f>
        <v>589.44</v>
      </c>
      <c r="E17" s="16">
        <f>+'[1]Monthly Data-Hours &amp; Miles'!J$29</f>
        <v>42.76</v>
      </c>
      <c r="F17" s="16">
        <f>+'[1]Monthly Data-Hours &amp; Miles'!J$30</f>
        <v>86.85</v>
      </c>
    </row>
    <row r="18" spans="1:6" ht="12.75">
      <c r="A18" t="str">
        <f>+'[1]Monthly Data-Hours &amp; Miles'!$K$24</f>
        <v>September</v>
      </c>
      <c r="C18" s="16">
        <f t="shared" si="0"/>
        <v>627.84</v>
      </c>
      <c r="D18" s="16">
        <f>+'[1]Monthly Data-Hours &amp; Miles'!K$28</f>
        <v>500.38</v>
      </c>
      <c r="E18" s="16">
        <f>+'[1]Monthly Data-Hours &amp; Miles'!K$29</f>
        <v>42.23</v>
      </c>
      <c r="F18" s="16">
        <f>+'[1]Monthly Data-Hours &amp; Miles'!K$30</f>
        <v>85.23</v>
      </c>
    </row>
    <row r="19" spans="1:6" ht="12.75">
      <c r="A19" t="str">
        <f>+'[1]Monthly Data-Hours &amp; Miles'!$L$24</f>
        <v>October </v>
      </c>
      <c r="C19" s="16">
        <f t="shared" si="0"/>
        <v>692.08</v>
      </c>
      <c r="D19" s="16">
        <f>+'[1]Monthly Data-Hours &amp; Miles'!L$28</f>
        <v>534.33</v>
      </c>
      <c r="E19" s="16">
        <f>+'[1]Monthly Data-Hours &amp; Miles'!L$29</f>
        <v>51.04</v>
      </c>
      <c r="F19" s="16">
        <f>+'[1]Monthly Data-Hours &amp; Miles'!L$30</f>
        <v>106.71</v>
      </c>
    </row>
    <row r="20" spans="1:6" ht="12.75">
      <c r="A20" t="str">
        <f>+'[1]Monthly Data-Hours &amp; Miles'!$M$24</f>
        <v>November</v>
      </c>
      <c r="C20" s="16">
        <f t="shared" si="0"/>
        <v>585.78</v>
      </c>
      <c r="D20" s="16">
        <f>+'[1]Monthly Data-Hours &amp; Miles'!M$28</f>
        <v>464.79</v>
      </c>
      <c r="E20" s="16">
        <f>+'[1]Monthly Data-Hours &amp; Miles'!M$29</f>
        <v>45.39</v>
      </c>
      <c r="F20" s="16">
        <f>+'[1]Monthly Data-Hours &amp; Miles'!M$30</f>
        <v>75.6</v>
      </c>
    </row>
    <row r="21" spans="1:6" ht="12.75">
      <c r="A21" t="str">
        <f>+'[1]Monthly Data-Hours &amp; Miles'!$N$24</f>
        <v>December</v>
      </c>
      <c r="C21" s="18">
        <f t="shared" si="0"/>
        <v>494.83</v>
      </c>
      <c r="D21" s="18">
        <f>+'[1]Monthly Data-Hours &amp; Miles'!N$28</f>
        <v>391.55</v>
      </c>
      <c r="E21" s="18">
        <f>+'[1]Monthly Data-Hours &amp; Miles'!N$29</f>
        <v>40.32</v>
      </c>
      <c r="F21" s="18">
        <f>+'[1]Monthly Data-Hours &amp; Miles'!N$30</f>
        <v>62.96</v>
      </c>
    </row>
    <row r="22" ht="12.75">
      <c r="C22" s="17"/>
    </row>
    <row r="23" spans="2:6" ht="13.5" thickBot="1">
      <c r="B23" t="s">
        <v>90</v>
      </c>
      <c r="C23" s="20">
        <f>SUM(C10:C21)</f>
        <v>6691.0599999999995</v>
      </c>
      <c r="D23" s="20">
        <f>SUM(D10:D21)</f>
        <v>5203.88</v>
      </c>
      <c r="E23" s="20">
        <f>SUM(E10:E21)</f>
        <v>520.0200000000001</v>
      </c>
      <c r="F23" s="20">
        <f>SUM(F10:F21)</f>
        <v>967.1600000000002</v>
      </c>
    </row>
    <row r="24" ht="13.5" thickTop="1"/>
    <row r="25" spans="2:6" ht="13.5" thickBot="1">
      <c r="B25" t="s">
        <v>86</v>
      </c>
      <c r="C25" s="13">
        <f>SUM(D25:F25)</f>
        <v>1</v>
      </c>
      <c r="D25" s="13">
        <f>+D23/C23</f>
        <v>0.7777362630136332</v>
      </c>
      <c r="E25" s="13">
        <f>+E23/C23</f>
        <v>0.07771862754182449</v>
      </c>
      <c r="F25" s="13">
        <f>+F23/C23</f>
        <v>0.14454510944454246</v>
      </c>
    </row>
    <row r="26" ht="13.5" thickTop="1"/>
    <row r="29" spans="1:6" ht="13.5" thickBot="1">
      <c r="A29" t="s">
        <v>91</v>
      </c>
      <c r="C29" s="19" t="s">
        <v>1</v>
      </c>
      <c r="D29" s="19" t="s">
        <v>177</v>
      </c>
      <c r="E29" s="19" t="s">
        <v>178</v>
      </c>
      <c r="F29" s="19" t="s">
        <v>179</v>
      </c>
    </row>
    <row r="30" ht="12.75">
      <c r="E30" s="16"/>
    </row>
    <row r="31" spans="1:6" ht="12.75">
      <c r="A31" t="str">
        <f>+'[1]Monthly Data-Hours &amp; Miles'!$C$24</f>
        <v>January</v>
      </c>
      <c r="C31" s="16">
        <f>+D31+E31+F31</f>
        <v>682.11</v>
      </c>
      <c r="D31" s="16">
        <f>+'[1]Monthly Data-Hours &amp; Miles'!$C$63</f>
        <v>497.68</v>
      </c>
      <c r="E31" s="16">
        <f>+'[1]Monthly Data-Hours &amp; Miles'!$C$64</f>
        <v>83.04</v>
      </c>
      <c r="F31" s="16">
        <f>+'[1]Monthly Data-Hours &amp; Miles'!$C$65</f>
        <v>101.39</v>
      </c>
    </row>
    <row r="32" spans="1:6" ht="12.75">
      <c r="A32" t="str">
        <f>+'[1]Monthly Data-Hours &amp; Miles'!$D$24</f>
        <v>February</v>
      </c>
      <c r="C32" s="16">
        <f aca="true" t="shared" si="1" ref="C32:C42">+D32+E32+F32</f>
        <v>592.84</v>
      </c>
      <c r="D32" s="16">
        <f>+'[1]Monthly Data-Hours &amp; Miles'!$D$63</f>
        <v>419.11</v>
      </c>
      <c r="E32" s="16">
        <f>+'[1]Monthly Data-Hours &amp; Miles'!$D$64</f>
        <v>80.62</v>
      </c>
      <c r="F32" s="16">
        <f>+'[1]Monthly Data-Hours &amp; Miles'!$D$65</f>
        <v>93.11</v>
      </c>
    </row>
    <row r="33" spans="1:6" ht="12.75">
      <c r="A33" t="str">
        <f>+'[1]Monthly Data-Hours &amp; Miles'!$E$24</f>
        <v>March</v>
      </c>
      <c r="C33" s="16">
        <f t="shared" si="1"/>
        <v>643.88</v>
      </c>
      <c r="D33" s="16">
        <f>+'[1]Monthly Data-Hours &amp; Miles'!$E$63</f>
        <v>465.92</v>
      </c>
      <c r="E33" s="16">
        <f>+'[1]Monthly Data-Hours &amp; Miles'!$E$64</f>
        <v>83.46</v>
      </c>
      <c r="F33" s="16">
        <f>+'[1]Monthly Data-Hours &amp; Miles'!$E$65</f>
        <v>94.5</v>
      </c>
    </row>
    <row r="34" spans="1:6" ht="12.75">
      <c r="A34" t="str">
        <f>+'[1]Monthly Data-Hours &amp; Miles'!$F$24</f>
        <v>April</v>
      </c>
      <c r="C34" s="16">
        <f t="shared" si="1"/>
        <v>681.4300000000001</v>
      </c>
      <c r="D34" s="16">
        <f>+'[1]Monthly Data-Hours &amp; Miles'!$F$63</f>
        <v>505.07</v>
      </c>
      <c r="E34" s="16">
        <f>+'[1]Monthly Data-Hours &amp; Miles'!$F$64</f>
        <v>78.54</v>
      </c>
      <c r="F34" s="16">
        <f>+'[1]Monthly Data-Hours &amp; Miles'!$F$65</f>
        <v>97.82</v>
      </c>
    </row>
    <row r="35" spans="1:6" ht="12.75">
      <c r="A35" t="str">
        <f>+'[1]Monthly Data-Hours &amp; Miles'!$G$24</f>
        <v>May</v>
      </c>
      <c r="C35" s="16">
        <f t="shared" si="1"/>
        <v>915.31</v>
      </c>
      <c r="D35" s="16">
        <f>+'[1]Monthly Data-Hours &amp; Miles'!$G$63</f>
        <v>673.7</v>
      </c>
      <c r="E35" s="16">
        <f>+'[1]Monthly Data-Hours &amp; Miles'!$G$64</f>
        <v>86.3</v>
      </c>
      <c r="F35" s="16">
        <f>+'[1]Monthly Data-Hours &amp; Miles'!$G$65</f>
        <v>155.31</v>
      </c>
    </row>
    <row r="36" spans="1:6" ht="12.75">
      <c r="A36" t="str">
        <f>+'[1]Monthly Data-Hours &amp; Miles'!$H$24</f>
        <v>June</v>
      </c>
      <c r="C36" s="16">
        <f t="shared" si="1"/>
        <v>877.85</v>
      </c>
      <c r="D36" s="16">
        <f>+'[1]Monthly Data-Hours &amp; Miles'!$H$63</f>
        <v>653.44</v>
      </c>
      <c r="E36" s="16">
        <f>+'[1]Monthly Data-Hours &amp; Miles'!$H$64</f>
        <v>88.38</v>
      </c>
      <c r="F36" s="16">
        <f>+'[1]Monthly Data-Hours &amp; Miles'!$H$65</f>
        <v>136.03</v>
      </c>
    </row>
    <row r="37" spans="1:6" ht="12.75">
      <c r="A37" t="str">
        <f>+'[1]Monthly Data-Hours &amp; Miles'!$I$24</f>
        <v>July</v>
      </c>
      <c r="C37" s="16">
        <f t="shared" si="1"/>
        <v>998.29</v>
      </c>
      <c r="D37" s="16">
        <f>+'[1]Monthly Data-Hours &amp; Miles'!$I$63</f>
        <v>725.56</v>
      </c>
      <c r="E37" s="16">
        <f>+'[1]Monthly Data-Hours &amp; Miles'!$I$64</f>
        <v>92.89</v>
      </c>
      <c r="F37" s="16">
        <f>+'[1]Monthly Data-Hours &amp; Miles'!$I$65</f>
        <v>179.84</v>
      </c>
    </row>
    <row r="38" spans="1:6" ht="12.75">
      <c r="A38" t="str">
        <f>+'[1]Monthly Data-Hours &amp; Miles'!$J$24</f>
        <v>August</v>
      </c>
      <c r="C38" s="16">
        <f t="shared" si="1"/>
        <v>1037.46</v>
      </c>
      <c r="D38" s="16">
        <f>+'[1]Monthly Data-Hours &amp; Miles'!$J$63</f>
        <v>810.57</v>
      </c>
      <c r="E38" s="16">
        <f>+'[1]Monthly Data-Hours &amp; Miles'!$J$64</f>
        <v>85.52</v>
      </c>
      <c r="F38" s="16">
        <f>+'[1]Monthly Data-Hours &amp; Miles'!$J$65</f>
        <v>141.37</v>
      </c>
    </row>
    <row r="39" spans="1:6" ht="12.75">
      <c r="A39" t="str">
        <f>+'[1]Monthly Data-Hours &amp; Miles'!$K$24</f>
        <v>September</v>
      </c>
      <c r="C39" s="16">
        <f t="shared" si="1"/>
        <v>941.34</v>
      </c>
      <c r="D39" s="16">
        <f>+'[1]Monthly Data-Hours &amp; Miles'!$K$63</f>
        <v>695.55</v>
      </c>
      <c r="E39" s="16">
        <f>+'[1]Monthly Data-Hours &amp; Miles'!$K$64</f>
        <v>84.46</v>
      </c>
      <c r="F39" s="16">
        <f>+'[1]Monthly Data-Hours &amp; Miles'!$K$65</f>
        <v>161.33</v>
      </c>
    </row>
    <row r="40" spans="1:6" ht="12.75">
      <c r="A40" t="str">
        <f>+'[1]Monthly Data-Hours &amp; Miles'!$L$24</f>
        <v>October </v>
      </c>
      <c r="C40" s="16">
        <f t="shared" si="1"/>
        <v>1038.6100000000001</v>
      </c>
      <c r="D40" s="16">
        <f>+'[1]Monthly Data-Hours &amp; Miles'!$L$63</f>
        <v>729.65</v>
      </c>
      <c r="E40" s="16">
        <f>+'[1]Monthly Data-Hours &amp; Miles'!$L$64</f>
        <v>102.08</v>
      </c>
      <c r="F40" s="16">
        <f>+'[1]Monthly Data-Hours &amp; Miles'!$L$65</f>
        <v>206.88</v>
      </c>
    </row>
    <row r="41" spans="1:6" ht="12.75">
      <c r="A41" t="str">
        <f>+'[1]Monthly Data-Hours &amp; Miles'!$M$24</f>
        <v>November</v>
      </c>
      <c r="C41" s="16">
        <f t="shared" si="1"/>
        <v>877.44</v>
      </c>
      <c r="D41" s="16">
        <f>+'[1]Monthly Data-Hours &amp; Miles'!$M$63</f>
        <v>651.44</v>
      </c>
      <c r="E41" s="16">
        <f>+'[1]Monthly Data-Hours &amp; Miles'!$M$64</f>
        <v>87.61</v>
      </c>
      <c r="F41" s="16">
        <f>+'[1]Monthly Data-Hours &amp; Miles'!$M$65</f>
        <v>138.39</v>
      </c>
    </row>
    <row r="42" spans="1:6" ht="12.75">
      <c r="A42" t="str">
        <f>+'[1]Monthly Data-Hours &amp; Miles'!$N$24</f>
        <v>December</v>
      </c>
      <c r="C42" s="18">
        <f t="shared" si="1"/>
        <v>719.0699999999999</v>
      </c>
      <c r="D42" s="18">
        <f>+'[1]Monthly Data-Hours &amp; Miles'!$N$63</f>
        <v>552.38</v>
      </c>
      <c r="E42" s="18">
        <f>+'[1]Monthly Data-Hours &amp; Miles'!$N$64</f>
        <v>76.62</v>
      </c>
      <c r="F42" s="18">
        <f>+'[1]Monthly Data-Hours &amp; Miles'!$N$65</f>
        <v>90.07</v>
      </c>
    </row>
    <row r="43" ht="12.75">
      <c r="C43" s="17"/>
    </row>
    <row r="44" spans="2:6" ht="13.5" thickBot="1">
      <c r="B44" t="s">
        <v>90</v>
      </c>
      <c r="C44" s="20">
        <f>SUM(C31:C42)</f>
        <v>10005.630000000001</v>
      </c>
      <c r="D44" s="20">
        <f>SUM(D31:D42)</f>
        <v>7380.070000000001</v>
      </c>
      <c r="E44" s="20">
        <f>SUM(E31:E42)</f>
        <v>1029.52</v>
      </c>
      <c r="F44" s="20">
        <f>SUM(F31:F42)</f>
        <v>1596.0399999999997</v>
      </c>
    </row>
    <row r="45" ht="13.5" thickTop="1"/>
    <row r="46" spans="2:6" ht="13.5" thickBot="1">
      <c r="B46" t="s">
        <v>86</v>
      </c>
      <c r="C46" s="13">
        <f>SUM(D46:F46)</f>
        <v>0.9999999999999999</v>
      </c>
      <c r="D46" s="13">
        <f>+D44/C44</f>
        <v>0.7375917358527149</v>
      </c>
      <c r="E46" s="13">
        <f>+E44/C44</f>
        <v>0.10289407063823067</v>
      </c>
      <c r="F46" s="13">
        <f>+F44/C44</f>
        <v>0.15951419350905435</v>
      </c>
    </row>
    <row r="47" ht="13.5" thickTop="1"/>
    <row r="51" spans="1:6" ht="13.5" thickBot="1">
      <c r="A51" t="s">
        <v>92</v>
      </c>
      <c r="C51" s="19" t="s">
        <v>1</v>
      </c>
      <c r="D51" s="19" t="s">
        <v>177</v>
      </c>
      <c r="E51" s="19" t="s">
        <v>178</v>
      </c>
      <c r="F51" s="19" t="s">
        <v>179</v>
      </c>
    </row>
    <row r="52" ht="12.75">
      <c r="E52" s="16"/>
    </row>
    <row r="53" spans="1:6" ht="12.75">
      <c r="A53" t="str">
        <f>+'[1]Monthly Data-Hours &amp; Miles'!$C$24</f>
        <v>January</v>
      </c>
      <c r="C53" s="16">
        <f>+D53+E53+F53</f>
        <v>4614</v>
      </c>
      <c r="D53" s="16">
        <f>+'[1]Monthly Data-Hours &amp; Miles'!$C$45</f>
        <v>2930</v>
      </c>
      <c r="E53" s="16">
        <f>+'[1]Monthly Data-Hours &amp; Miles'!$C$46</f>
        <v>689</v>
      </c>
      <c r="F53" s="16">
        <f>+'[1]Monthly Data-Hours &amp; Miles'!$C$47</f>
        <v>995</v>
      </c>
    </row>
    <row r="54" spans="1:6" ht="12.75">
      <c r="A54" t="str">
        <f>+'[1]Monthly Data-Hours &amp; Miles'!$D$24</f>
        <v>February</v>
      </c>
      <c r="C54" s="16">
        <f aca="true" t="shared" si="2" ref="C54:C64">+D54+E54+F54</f>
        <v>3899</v>
      </c>
      <c r="D54" s="16">
        <f>+'[1]Monthly Data-Hours &amp; Miles'!$D$45</f>
        <v>2403</v>
      </c>
      <c r="E54" s="16">
        <f>+'[1]Monthly Data-Hours &amp; Miles'!$D$46</f>
        <v>612</v>
      </c>
      <c r="F54" s="16">
        <f>+'[1]Monthly Data-Hours &amp; Miles'!$D$47</f>
        <v>884</v>
      </c>
    </row>
    <row r="55" spans="1:6" ht="12.75">
      <c r="A55" t="str">
        <f>+'[1]Monthly Data-Hours &amp; Miles'!$E$24</f>
        <v>March</v>
      </c>
      <c r="C55" s="16">
        <f t="shared" si="2"/>
        <v>4273</v>
      </c>
      <c r="D55" s="16">
        <f>+'[1]Monthly Data-Hours &amp; Miles'!$E$45</f>
        <v>2653</v>
      </c>
      <c r="E55" s="16">
        <f>+'[1]Monthly Data-Hours &amp; Miles'!$E$46</f>
        <v>689</v>
      </c>
      <c r="F55" s="16">
        <f>+'[1]Monthly Data-Hours &amp; Miles'!$E$47</f>
        <v>931</v>
      </c>
    </row>
    <row r="56" spans="1:6" ht="12.75">
      <c r="A56" t="str">
        <f>+'[1]Monthly Data-Hours &amp; Miles'!$F$24</f>
        <v>April</v>
      </c>
      <c r="C56" s="16">
        <f t="shared" si="2"/>
        <v>4185</v>
      </c>
      <c r="D56" s="16">
        <f>+'[1]Monthly Data-Hours &amp; Miles'!$F$45</f>
        <v>2668</v>
      </c>
      <c r="E56" s="16">
        <f>+'[1]Monthly Data-Hours &amp; Miles'!$F$46</f>
        <v>611</v>
      </c>
      <c r="F56" s="16">
        <f>+'[1]Monthly Data-Hours &amp; Miles'!$F$47</f>
        <v>906</v>
      </c>
    </row>
    <row r="57" spans="1:6" ht="12.75">
      <c r="A57" t="str">
        <f>+'[1]Monthly Data-Hours &amp; Miles'!$G$24</f>
        <v>May</v>
      </c>
      <c r="C57" s="16">
        <f t="shared" si="2"/>
        <v>6023</v>
      </c>
      <c r="D57" s="16">
        <f>+'[1]Monthly Data-Hours &amp; Miles'!$G$45</f>
        <v>4148</v>
      </c>
      <c r="E57" s="16">
        <f>+'[1]Monthly Data-Hours &amp; Miles'!$G$46</f>
        <v>699</v>
      </c>
      <c r="F57" s="16">
        <f>+'[1]Monthly Data-Hours &amp; Miles'!$G$47</f>
        <v>1176</v>
      </c>
    </row>
    <row r="58" spans="1:6" ht="12.75">
      <c r="A58" t="str">
        <f>+'[1]Monthly Data-Hours &amp; Miles'!$H$24</f>
        <v>June</v>
      </c>
      <c r="C58" s="16">
        <f t="shared" si="2"/>
        <v>5527</v>
      </c>
      <c r="D58" s="16">
        <f>+'[1]Monthly Data-Hours &amp; Miles'!$H$45</f>
        <v>3873</v>
      </c>
      <c r="E58" s="16">
        <f>+'[1]Monthly Data-Hours &amp; Miles'!$H$46</f>
        <v>582</v>
      </c>
      <c r="F58" s="16">
        <f>+'[1]Monthly Data-Hours &amp; Miles'!$H$47</f>
        <v>1072</v>
      </c>
    </row>
    <row r="59" spans="1:6" ht="12.75">
      <c r="A59" t="str">
        <f>+'[1]Monthly Data-Hours &amp; Miles'!$I$24</f>
        <v>July</v>
      </c>
      <c r="C59" s="16">
        <f t="shared" si="2"/>
        <v>6548</v>
      </c>
      <c r="D59" s="16">
        <f>+'[1]Monthly Data-Hours &amp; Miles'!$I$45</f>
        <v>4448</v>
      </c>
      <c r="E59" s="16">
        <f>+'[1]Monthly Data-Hours &amp; Miles'!$I$46</f>
        <v>688</v>
      </c>
      <c r="F59" s="16">
        <f>+'[1]Monthly Data-Hours &amp; Miles'!$I$47</f>
        <v>1412</v>
      </c>
    </row>
    <row r="60" spans="1:6" ht="12.75">
      <c r="A60" t="str">
        <f>+'[1]Monthly Data-Hours &amp; Miles'!$J$24</f>
        <v>August</v>
      </c>
      <c r="C60" s="16">
        <f t="shared" si="2"/>
        <v>6850</v>
      </c>
      <c r="D60" s="16">
        <f>+'[1]Monthly Data-Hours &amp; Miles'!$J$45</f>
        <v>5100</v>
      </c>
      <c r="E60" s="16">
        <f>+'[1]Monthly Data-Hours &amp; Miles'!$J$46</f>
        <v>648</v>
      </c>
      <c r="F60" s="16">
        <f>+'[1]Monthly Data-Hours &amp; Miles'!$J$47</f>
        <v>1102</v>
      </c>
    </row>
    <row r="61" spans="1:6" ht="12.75">
      <c r="A61" t="str">
        <f>+'[1]Monthly Data-Hours &amp; Miles'!$K$24</f>
        <v>September</v>
      </c>
      <c r="C61" s="16">
        <f t="shared" si="2"/>
        <v>5326</v>
      </c>
      <c r="D61" s="16">
        <f>+'[1]Monthly Data-Hours &amp; Miles'!$K$45</f>
        <v>3771</v>
      </c>
      <c r="E61" s="16">
        <f>+'[1]Monthly Data-Hours &amp; Miles'!$K$46</f>
        <v>601</v>
      </c>
      <c r="F61" s="16">
        <f>+'[1]Monthly Data-Hours &amp; Miles'!$K$47</f>
        <v>954</v>
      </c>
    </row>
    <row r="62" spans="1:6" ht="12.75">
      <c r="A62" t="str">
        <f>+'[1]Monthly Data-Hours &amp; Miles'!$L$24</f>
        <v>October </v>
      </c>
      <c r="C62" s="16">
        <f t="shared" si="2"/>
        <v>6123</v>
      </c>
      <c r="D62" s="16">
        <f>+'[1]Monthly Data-Hours &amp; Miles'!$L$45</f>
        <v>4271</v>
      </c>
      <c r="E62" s="16">
        <f>+'[1]Monthly Data-Hours &amp; Miles'!$L$46</f>
        <v>687</v>
      </c>
      <c r="F62" s="16">
        <f>+'[1]Monthly Data-Hours &amp; Miles'!$L$47</f>
        <v>1165</v>
      </c>
    </row>
    <row r="63" spans="1:6" ht="12.75">
      <c r="A63" t="str">
        <f>+'[1]Monthly Data-Hours &amp; Miles'!$M$24</f>
        <v>November</v>
      </c>
      <c r="C63" s="16">
        <f t="shared" si="2"/>
        <v>5478</v>
      </c>
      <c r="D63" s="16">
        <f>+'[1]Monthly Data-Hours &amp; Miles'!$M$45</f>
        <v>3875</v>
      </c>
      <c r="E63" s="16">
        <f>+'[1]Monthly Data-Hours &amp; Miles'!$M$46</f>
        <v>668</v>
      </c>
      <c r="F63" s="16">
        <f>+'[1]Monthly Data-Hours &amp; Miles'!$M$47</f>
        <v>935</v>
      </c>
    </row>
    <row r="64" spans="1:6" ht="12.75">
      <c r="A64" t="str">
        <f>+'[1]Monthly Data-Hours &amp; Miles'!$N$24</f>
        <v>December</v>
      </c>
      <c r="C64" s="18">
        <f t="shared" si="2"/>
        <v>4827</v>
      </c>
      <c r="D64" s="18">
        <f>+'[1]Monthly Data-Hours &amp; Miles'!$N$45</f>
        <v>3363</v>
      </c>
      <c r="E64" s="18">
        <f>+'[1]Monthly Data-Hours &amp; Miles'!$N$46</f>
        <v>608</v>
      </c>
      <c r="F64" s="18">
        <f>+'[1]Monthly Data-Hours &amp; Miles'!$N$47</f>
        <v>856</v>
      </c>
    </row>
    <row r="65" ht="12.75">
      <c r="C65" s="17"/>
    </row>
    <row r="66" spans="2:6" ht="13.5" thickBot="1">
      <c r="B66" t="s">
        <v>90</v>
      </c>
      <c r="C66" s="20">
        <f>SUM(C53:C64)</f>
        <v>63673</v>
      </c>
      <c r="D66" s="20">
        <f>SUM(D53:D64)</f>
        <v>43503</v>
      </c>
      <c r="E66" s="20">
        <f>SUM(E53:E64)</f>
        <v>7782</v>
      </c>
      <c r="F66" s="20">
        <f>SUM(F53:F64)</f>
        <v>12388</v>
      </c>
    </row>
    <row r="67" ht="13.5" thickTop="1"/>
    <row r="68" spans="2:6" ht="13.5" thickBot="1">
      <c r="B68" t="s">
        <v>86</v>
      </c>
      <c r="C68" s="13">
        <f>SUM(D68:F68)</f>
        <v>1</v>
      </c>
      <c r="D68" s="13">
        <f>+D66/C66</f>
        <v>0.683225228903931</v>
      </c>
      <c r="E68" s="13">
        <f>+E66/C66</f>
        <v>0.12221820865987153</v>
      </c>
      <c r="F68" s="13">
        <f>+F66/C66</f>
        <v>0.19455656243619746</v>
      </c>
    </row>
    <row r="69" ht="13.5" thickTop="1"/>
  </sheetData>
  <sheetProtection/>
  <printOptions/>
  <pageMargins left="0.2" right="0.3" top="0.52" bottom="0.49" header="0.5" footer="0.5"/>
  <pageSetup fitToHeight="1" fitToWidth="1" horizontalDpi="300" verticalDpi="300" orientation="portrait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0.140625" style="0" bestFit="1" customWidth="1"/>
    <col min="11" max="11" width="10.28125" style="0" bestFit="1" customWidth="1"/>
  </cols>
  <sheetData>
    <row r="1" ht="12.75">
      <c r="A1" t="s">
        <v>0</v>
      </c>
    </row>
    <row r="3" ht="12.75">
      <c r="A3" t="s">
        <v>176</v>
      </c>
    </row>
    <row r="5" ht="12.75">
      <c r="A5" s="67">
        <v>43312</v>
      </c>
    </row>
    <row r="8" spans="3:7" ht="12.75">
      <c r="C8" s="2" t="s">
        <v>327</v>
      </c>
      <c r="D8" s="2" t="s">
        <v>327</v>
      </c>
      <c r="E8" s="2" t="s">
        <v>328</v>
      </c>
      <c r="F8" s="2" t="s">
        <v>1</v>
      </c>
      <c r="G8" s="2" t="s">
        <v>86</v>
      </c>
    </row>
    <row r="10" spans="1:7" ht="12.75">
      <c r="A10" t="s">
        <v>177</v>
      </c>
      <c r="C10" s="21">
        <f>+'[1]Monthly Data-Container Count'!C$16</f>
        <v>764</v>
      </c>
      <c r="D10" s="21">
        <f>+'[1]Monthly Data-Container Count'!D$16</f>
        <v>1282</v>
      </c>
      <c r="E10" s="21">
        <f>+'[1]Monthly Data-Container Count'!E$16</f>
        <v>1091</v>
      </c>
      <c r="F10" s="21">
        <f>SUM(C10:E10)</f>
        <v>3137</v>
      </c>
      <c r="G10" s="9">
        <f>(+F10/F16)</f>
        <v>1</v>
      </c>
    </row>
    <row r="11" ht="12.75">
      <c r="G11" s="9"/>
    </row>
    <row r="12" spans="1:7" ht="12.75">
      <c r="A12" t="s">
        <v>178</v>
      </c>
      <c r="C12" s="21">
        <f>+'[1]Monthly Data-Container Count'!C$17</f>
        <v>0</v>
      </c>
      <c r="D12" s="21">
        <f>+'[1]Monthly Data-Container Count'!D$17</f>
        <v>0</v>
      </c>
      <c r="E12" s="21">
        <f>+'[1]Monthly Data-Container Count'!E$17</f>
        <v>0</v>
      </c>
      <c r="F12" s="21">
        <f>SUM(C12:E12)</f>
        <v>0</v>
      </c>
      <c r="G12" s="9">
        <f>+F12/F16</f>
        <v>0</v>
      </c>
    </row>
    <row r="13" ht="12.75">
      <c r="G13" s="9"/>
    </row>
    <row r="14" spans="1:7" ht="12.75">
      <c r="A14" t="s">
        <v>179</v>
      </c>
      <c r="C14" s="22">
        <f>+'[1]Monthly Data-Container Count'!C$18</f>
        <v>0</v>
      </c>
      <c r="D14" s="22">
        <f>+'[1]Monthly Data-Container Count'!D$18</f>
        <v>0</v>
      </c>
      <c r="E14" s="22">
        <f>+'[1]Monthly Data-Container Count'!E$18</f>
        <v>0</v>
      </c>
      <c r="F14" s="22">
        <f>SUM(C14:E14)</f>
        <v>0</v>
      </c>
      <c r="G14" s="41">
        <f>+F14/F16</f>
        <v>0</v>
      </c>
    </row>
    <row r="15" ht="12.75">
      <c r="G15" s="10"/>
    </row>
    <row r="16" spans="1:7" ht="13.5" thickBot="1">
      <c r="A16" t="s">
        <v>93</v>
      </c>
      <c r="C16" s="23">
        <f>SUM(C10:C14)</f>
        <v>764</v>
      </c>
      <c r="D16" s="23">
        <f>SUM(D10:D14)</f>
        <v>1282</v>
      </c>
      <c r="E16" s="23">
        <f>SUM(E10:E14)</f>
        <v>1091</v>
      </c>
      <c r="F16" s="23">
        <f>SUM(C16:E16)</f>
        <v>3137</v>
      </c>
      <c r="G16" s="13">
        <f>SUM(G10:G14)</f>
        <v>1</v>
      </c>
    </row>
    <row r="17" ht="13.5" thickTop="1"/>
    <row r="20" spans="3:11" ht="12.75">
      <c r="C20" s="2" t="s">
        <v>94</v>
      </c>
      <c r="D20" s="2" t="s">
        <v>96</v>
      </c>
      <c r="E20" s="2" t="s">
        <v>95</v>
      </c>
      <c r="F20" s="2" t="s">
        <v>97</v>
      </c>
      <c r="G20" s="2" t="s">
        <v>98</v>
      </c>
      <c r="H20" s="2" t="s">
        <v>99</v>
      </c>
      <c r="I20" s="2" t="s">
        <v>100</v>
      </c>
      <c r="J20" s="2" t="s">
        <v>1</v>
      </c>
      <c r="K20" s="2" t="s">
        <v>86</v>
      </c>
    </row>
    <row r="22" spans="1:11" ht="12.75">
      <c r="A22" t="s">
        <v>177</v>
      </c>
      <c r="C22" s="21">
        <f>+'[1]Monthly Data-Container Count'!M$16</f>
        <v>342</v>
      </c>
      <c r="D22" s="21">
        <f>+'[1]Monthly Data-Container Count'!N$16</f>
        <v>70</v>
      </c>
      <c r="E22" s="21">
        <f>+'[1]Monthly Data-Container Count'!O$16</f>
        <v>260</v>
      </c>
      <c r="F22" s="21">
        <f>+'[1]Monthly Data-Container Count'!P$16</f>
        <v>6</v>
      </c>
      <c r="G22" s="21">
        <f>+'[1]Monthly Data-Container Count'!Q$16</f>
        <v>32</v>
      </c>
      <c r="H22" s="21">
        <f>+'[1]Monthly Data-Container Count'!R$16</f>
        <v>40</v>
      </c>
      <c r="I22" s="21">
        <f>+'[1]Monthly Data-Container Count'!S$16</f>
        <v>2</v>
      </c>
      <c r="J22" s="21">
        <f>SUM(C22:I22)</f>
        <v>752</v>
      </c>
      <c r="K22" s="9">
        <f>ROUND(+J22/$J$28,4)</f>
        <v>0.8086</v>
      </c>
    </row>
    <row r="23" ht="12.75">
      <c r="K23" s="9"/>
    </row>
    <row r="24" spans="1:11" ht="12.75">
      <c r="A24" t="s">
        <v>178</v>
      </c>
      <c r="C24" s="21">
        <f>+'[1]Monthly Data-Container Count'!M$17</f>
        <v>14</v>
      </c>
      <c r="D24" s="21">
        <f>+'[1]Monthly Data-Container Count'!N$17</f>
        <v>0</v>
      </c>
      <c r="E24" s="21">
        <f>+'[1]Monthly Data-Container Count'!O$17</f>
        <v>18</v>
      </c>
      <c r="F24" s="21">
        <f>+'[1]Monthly Data-Container Count'!P$17</f>
        <v>1</v>
      </c>
      <c r="G24" s="21">
        <f>+'[1]Monthly Data-Container Count'!Q$17</f>
        <v>8</v>
      </c>
      <c r="H24" s="21">
        <f>+'[1]Monthly Data-Container Count'!R$17</f>
        <v>2</v>
      </c>
      <c r="I24" s="21">
        <f>+'[1]Monthly Data-Container Count'!S$17</f>
        <v>0</v>
      </c>
      <c r="J24" s="21">
        <f>SUM(C24:I24)</f>
        <v>43</v>
      </c>
      <c r="K24" s="9">
        <f>ROUND(+J24/$J$28,4)</f>
        <v>0.0462</v>
      </c>
    </row>
    <row r="25" ht="12.75">
      <c r="K25" s="9"/>
    </row>
    <row r="26" spans="1:11" ht="12.75">
      <c r="A26" t="s">
        <v>179</v>
      </c>
      <c r="C26" s="22">
        <f>+'[1]Monthly Data-Container Count'!M$18</f>
        <v>30</v>
      </c>
      <c r="D26" s="22">
        <f>+'[1]Monthly Data-Container Count'!N$18</f>
        <v>0</v>
      </c>
      <c r="E26" s="22">
        <f>+'[1]Monthly Data-Container Count'!O$18</f>
        <v>49</v>
      </c>
      <c r="F26" s="22">
        <f>+'[1]Monthly Data-Container Count'!P$18</f>
        <v>0</v>
      </c>
      <c r="G26" s="22">
        <f>+'[1]Monthly Data-Container Count'!Q$18</f>
        <v>15</v>
      </c>
      <c r="H26" s="22">
        <f>+'[1]Monthly Data-Container Count'!R$18</f>
        <v>41</v>
      </c>
      <c r="I26" s="22">
        <f>+'[1]Monthly Data-Container Count'!S$18</f>
        <v>0</v>
      </c>
      <c r="J26" s="22">
        <f>SUM(C26:I26)</f>
        <v>135</v>
      </c>
      <c r="K26" s="9">
        <f>ROUND(+J26/$J$28,4)</f>
        <v>0.1452</v>
      </c>
    </row>
    <row r="27" ht="12.75">
      <c r="K27" s="10"/>
    </row>
    <row r="28" spans="1:11" ht="13.5" thickBot="1">
      <c r="A28" t="s">
        <v>93</v>
      </c>
      <c r="C28" s="23">
        <f>SUM(C22:C26)</f>
        <v>386</v>
      </c>
      <c r="D28" s="23">
        <f aca="true" t="shared" si="0" ref="D28:I28">SUM(D22:D26)</f>
        <v>70</v>
      </c>
      <c r="E28" s="23">
        <f t="shared" si="0"/>
        <v>327</v>
      </c>
      <c r="F28" s="23">
        <f t="shared" si="0"/>
        <v>7</v>
      </c>
      <c r="G28" s="23">
        <f t="shared" si="0"/>
        <v>55</v>
      </c>
      <c r="H28" s="23">
        <f t="shared" si="0"/>
        <v>83</v>
      </c>
      <c r="I28" s="23">
        <f t="shared" si="0"/>
        <v>2</v>
      </c>
      <c r="J28" s="23">
        <f>SUM(C28:I28)</f>
        <v>930</v>
      </c>
      <c r="K28" s="13">
        <f>SUM(K22:K26)</f>
        <v>1</v>
      </c>
    </row>
    <row r="29" ht="13.5" thickTop="1"/>
  </sheetData>
  <sheetProtection/>
  <printOptions/>
  <pageMargins left="0.22" right="0.3" top="0.52" bottom="1" header="0.5" footer="0.5"/>
  <pageSetup fitToHeight="1" fitToWidth="1"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3" max="3" width="11.140625" style="0" customWidth="1"/>
    <col min="6" max="6" width="11.421875" style="0" customWidth="1"/>
    <col min="8" max="8" width="11.28125" style="0" customWidth="1"/>
    <col min="9" max="9" width="10.8515625" style="0" customWidth="1"/>
  </cols>
  <sheetData>
    <row r="1" ht="12.75">
      <c r="A1" t="s">
        <v>0</v>
      </c>
    </row>
    <row r="3" ht="12.75">
      <c r="A3" t="s">
        <v>248</v>
      </c>
    </row>
    <row r="5" ht="12.75">
      <c r="A5" s="133" t="s">
        <v>368</v>
      </c>
    </row>
    <row r="6" ht="12.75">
      <c r="A6" s="15"/>
    </row>
    <row r="7" ht="12.75">
      <c r="F7" t="s">
        <v>331</v>
      </c>
    </row>
    <row r="8" spans="1:6" ht="12.75">
      <c r="A8" t="s">
        <v>333</v>
      </c>
      <c r="F8" t="s">
        <v>332</v>
      </c>
    </row>
    <row r="10" spans="1:9" ht="12.75">
      <c r="A10" t="s">
        <v>177</v>
      </c>
      <c r="C10" s="6">
        <f>SUM('Service Counts'!J53:J68)</f>
        <v>100067.34</v>
      </c>
      <c r="D10" s="10">
        <f>+C10/C14</f>
        <v>0.3702570081890876</v>
      </c>
      <c r="F10" t="s">
        <v>177</v>
      </c>
      <c r="H10" s="6">
        <f>SUM('Service Counts'!J53:J68)+'[2]Proforma AJEs'!$G$57</f>
        <v>100067.34</v>
      </c>
      <c r="I10" s="10">
        <f>+H10/H14</f>
        <v>0.3702570081890876</v>
      </c>
    </row>
    <row r="11" spans="1:9" ht="12.75">
      <c r="A11" t="s">
        <v>178</v>
      </c>
      <c r="C11" s="6">
        <f>SUM('Service Counts'!S53:S68)</f>
        <v>47277.8</v>
      </c>
      <c r="D11" s="10">
        <f>+C11/C14</f>
        <v>0.17493156889912378</v>
      </c>
      <c r="F11" t="s">
        <v>178</v>
      </c>
      <c r="H11" s="6">
        <f>SUM('Service Counts'!S53:S68)+'[2]Proforma AJEs'!$G$58</f>
        <v>47277.8</v>
      </c>
      <c r="I11" s="10">
        <f>+H11/H14</f>
        <v>0.17493156889912378</v>
      </c>
    </row>
    <row r="12" spans="1:9" ht="12.75">
      <c r="A12" t="s">
        <v>179</v>
      </c>
      <c r="C12" s="42">
        <f>SUM('Service Counts'!AB53:AB68)</f>
        <v>122919.40000000001</v>
      </c>
      <c r="D12" s="48">
        <f>+C12/C14</f>
        <v>0.45481142291178855</v>
      </c>
      <c r="F12" t="s">
        <v>179</v>
      </c>
      <c r="H12" s="42">
        <f>SUM('Service Counts'!AB53:AB68)+'[2]Proforma AJEs'!$G$59</f>
        <v>122919.40000000001</v>
      </c>
      <c r="I12" s="48">
        <f>+H12/H14</f>
        <v>0.45481142291178855</v>
      </c>
    </row>
    <row r="13" spans="4:9" ht="12.75">
      <c r="D13" s="10"/>
      <c r="I13" s="10"/>
    </row>
    <row r="14" spans="3:9" ht="13.5" thickBot="1">
      <c r="C14" s="8">
        <f>SUM(C10:C12)</f>
        <v>270264.54000000004</v>
      </c>
      <c r="D14" s="13">
        <f>SUM(D10:D12)</f>
        <v>0.9999999999999999</v>
      </c>
      <c r="H14" s="8">
        <f>SUM(H10:H12)</f>
        <v>270264.54000000004</v>
      </c>
      <c r="I14" s="13">
        <f>SUM(I10:I12)</f>
        <v>0.9999999999999999</v>
      </c>
    </row>
    <row r="15" ht="13.5" thickTop="1"/>
    <row r="17" ht="12.75">
      <c r="A17" t="s">
        <v>249</v>
      </c>
    </row>
    <row r="19" ht="12.75">
      <c r="A19" t="s">
        <v>334</v>
      </c>
    </row>
    <row r="20" spans="1:4" ht="12.75">
      <c r="A20" t="s">
        <v>177</v>
      </c>
      <c r="C20" s="6">
        <f>SUM('Service Counts'!J89:J91)</f>
        <v>253112.96</v>
      </c>
      <c r="D20" s="10">
        <f>+C20/C24</f>
        <v>1</v>
      </c>
    </row>
    <row r="21" spans="1:4" ht="12.75">
      <c r="A21" t="s">
        <v>178</v>
      </c>
      <c r="C21" s="6">
        <f>SUM('Service Counts'!S89:S91)</f>
        <v>0</v>
      </c>
      <c r="D21" s="10">
        <f>+C21/C24</f>
        <v>0</v>
      </c>
    </row>
    <row r="22" spans="1:4" ht="12.75">
      <c r="A22" t="s">
        <v>179</v>
      </c>
      <c r="C22" s="42">
        <f>SUM('Service Counts'!AB89:AB91)</f>
        <v>0</v>
      </c>
      <c r="D22" s="48">
        <f>+C22/C24</f>
        <v>0</v>
      </c>
    </row>
    <row r="23" ht="12.75">
      <c r="D23" s="10"/>
    </row>
    <row r="24" spans="3:4" ht="13.5" thickBot="1">
      <c r="C24" s="8">
        <f>SUM(C20:C22)</f>
        <v>253112.96</v>
      </c>
      <c r="D24" s="13">
        <f>SUM(D20:D22)</f>
        <v>1</v>
      </c>
    </row>
    <row r="25" ht="13.5" thickTop="1"/>
    <row r="26" ht="12.75">
      <c r="A26" t="s">
        <v>335</v>
      </c>
    </row>
    <row r="27" spans="1:4" ht="12.75">
      <c r="A27" t="s">
        <v>177</v>
      </c>
      <c r="C27" s="6">
        <f>+'Service Counts'!J92</f>
        <v>0</v>
      </c>
      <c r="D27" s="10">
        <f>+C27/C31</f>
        <v>0</v>
      </c>
    </row>
    <row r="28" spans="1:4" ht="12.75">
      <c r="A28" t="s">
        <v>178</v>
      </c>
      <c r="C28" s="6">
        <f>+'Service Counts'!S92</f>
        <v>30381.44</v>
      </c>
      <c r="D28" s="10">
        <f>+C28/C31</f>
        <v>0.27944459569833924</v>
      </c>
    </row>
    <row r="29" spans="1:4" ht="12.75">
      <c r="A29" t="s">
        <v>179</v>
      </c>
      <c r="C29" s="42">
        <f>+'Service Counts'!AB92</f>
        <v>78339.36</v>
      </c>
      <c r="D29" s="48">
        <f>+C29/C31</f>
        <v>0.7205554043016608</v>
      </c>
    </row>
    <row r="30" ht="12.75">
      <c r="D30" s="10"/>
    </row>
    <row r="31" spans="3:4" ht="13.5" thickBot="1">
      <c r="C31" s="8">
        <f>SUM(C27:C29)</f>
        <v>108720.8</v>
      </c>
      <c r="D31" s="13">
        <f>SUM(D27:D29)</f>
        <v>1</v>
      </c>
    </row>
    <row r="32" ht="13.5" thickTop="1"/>
    <row r="34" ht="12.75">
      <c r="A34" t="s">
        <v>336</v>
      </c>
    </row>
    <row r="35" spans="1:4" ht="12.75">
      <c r="A35" t="s">
        <v>177</v>
      </c>
      <c r="C35" s="6">
        <f>+C20+C27</f>
        <v>253112.96</v>
      </c>
      <c r="D35" s="10">
        <f>+C35/C39</f>
        <v>0.6995283137759175</v>
      </c>
    </row>
    <row r="36" spans="1:4" ht="12.75">
      <c r="A36" t="s">
        <v>178</v>
      </c>
      <c r="C36" s="6">
        <f>+C21+C28</f>
        <v>30381.44</v>
      </c>
      <c r="D36" s="10">
        <f>+C36/C39</f>
        <v>0.083965188875687</v>
      </c>
    </row>
    <row r="37" spans="1:4" ht="12.75">
      <c r="A37" t="s">
        <v>179</v>
      </c>
      <c r="C37" s="42">
        <f>+C22+C29</f>
        <v>78339.36</v>
      </c>
      <c r="D37" s="48">
        <f>+C37/C39</f>
        <v>0.2165064973483956</v>
      </c>
    </row>
    <row r="38" ht="12.75">
      <c r="D38" s="10"/>
    </row>
    <row r="39" spans="3:4" ht="13.5" thickBot="1">
      <c r="C39" s="8">
        <f>SUM(C35:C37)</f>
        <v>361833.75999999995</v>
      </c>
      <c r="D39" s="13">
        <f>SUM(D35:D37)</f>
        <v>1.0000000000000002</v>
      </c>
    </row>
    <row r="40" ht="13.5" thickTop="1"/>
  </sheetData>
  <sheetProtection/>
  <printOptions/>
  <pageMargins left="0.27" right="0.75" top="0.49" bottom="0.45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34">
      <selection activeCell="A6" sqref="A6"/>
    </sheetView>
  </sheetViews>
  <sheetFormatPr defaultColWidth="9.140625" defaultRowHeight="12.75"/>
  <cols>
    <col min="11" max="11" width="9.7109375" style="0" customWidth="1"/>
    <col min="12" max="12" width="10.421875" style="0" customWidth="1"/>
    <col min="13" max="13" width="9.8515625" style="0" customWidth="1"/>
    <col min="14" max="14" width="10.57421875" style="0" customWidth="1"/>
    <col min="15" max="15" width="10.00390625" style="0" customWidth="1"/>
    <col min="16" max="16" width="9.8515625" style="0" customWidth="1"/>
    <col min="17" max="17" width="10.57421875" style="0" customWidth="1"/>
  </cols>
  <sheetData>
    <row r="1" ht="12.75">
      <c r="A1" t="s">
        <v>0</v>
      </c>
    </row>
    <row r="3" ht="12.75">
      <c r="A3" t="s">
        <v>309</v>
      </c>
    </row>
    <row r="5" ht="12.75">
      <c r="A5" s="133" t="s">
        <v>356</v>
      </c>
    </row>
    <row r="9" ht="12.75">
      <c r="A9" s="83" t="s">
        <v>289</v>
      </c>
    </row>
    <row r="11" spans="1:10" ht="12.75">
      <c r="A11" s="83" t="s">
        <v>290</v>
      </c>
      <c r="J11" s="83" t="s">
        <v>291</v>
      </c>
    </row>
    <row r="12" spans="1:10" ht="12.75">
      <c r="A12" s="83"/>
      <c r="J12" s="83"/>
    </row>
    <row r="13" spans="3:17" ht="13.5" thickBot="1">
      <c r="C13" s="4" t="s">
        <v>177</v>
      </c>
      <c r="D13" s="4" t="s">
        <v>179</v>
      </c>
      <c r="E13" s="4" t="s">
        <v>178</v>
      </c>
      <c r="F13" s="4" t="s">
        <v>292</v>
      </c>
      <c r="G13" s="4" t="s">
        <v>293</v>
      </c>
      <c r="H13" s="4" t="s">
        <v>1</v>
      </c>
      <c r="L13" s="4" t="s">
        <v>177</v>
      </c>
      <c r="M13" s="4" t="s">
        <v>179</v>
      </c>
      <c r="N13" s="4" t="s">
        <v>178</v>
      </c>
      <c r="O13" s="4" t="s">
        <v>292</v>
      </c>
      <c r="P13" s="4" t="s">
        <v>293</v>
      </c>
      <c r="Q13" s="4" t="s">
        <v>1</v>
      </c>
    </row>
    <row r="14" spans="3:17" ht="13.5" thickTop="1">
      <c r="C14" s="75"/>
      <c r="D14" s="75"/>
      <c r="E14" s="75"/>
      <c r="F14" s="75"/>
      <c r="G14" s="75"/>
      <c r="H14" s="75"/>
      <c r="L14" s="75"/>
      <c r="M14" s="75"/>
      <c r="N14" s="75"/>
      <c r="O14" s="75"/>
      <c r="P14" s="75"/>
      <c r="Q14" s="75"/>
    </row>
    <row r="15" spans="1:17" ht="12.75">
      <c r="A15" t="s">
        <v>294</v>
      </c>
      <c r="C15" s="107">
        <f>+'[1]Monthly Data-Disposal Fees'!C12</f>
        <v>0</v>
      </c>
      <c r="D15" s="107">
        <f>+'[1]Monthly Data-Disposal Fees'!D12</f>
        <v>67</v>
      </c>
      <c r="E15" s="107">
        <f>+'[1]Monthly Data-Disposal Fees'!E12</f>
        <v>58</v>
      </c>
      <c r="F15" s="107">
        <f>+'[1]Monthly Data-Disposal Fees'!F12</f>
        <v>72</v>
      </c>
      <c r="G15" s="107">
        <f>+'[1]Monthly Data-Disposal Fees'!G12</f>
        <v>199</v>
      </c>
      <c r="H15" s="107">
        <f>SUM(C15:G15)</f>
        <v>396</v>
      </c>
      <c r="J15" t="s">
        <v>294</v>
      </c>
      <c r="L15" s="109">
        <f>+'[1]Monthly Data-Disposal Fees'!L12</f>
        <v>0</v>
      </c>
      <c r="M15" s="109">
        <f>+'[1]Monthly Data-Disposal Fees'!M12</f>
        <v>2086.47</v>
      </c>
      <c r="N15" s="109">
        <f>+'[1]Monthly Data-Disposal Fees'!N12</f>
        <v>1843.77</v>
      </c>
      <c r="O15" s="109">
        <f>+'[1]Monthly Data-Disposal Fees'!O12</f>
        <v>2350.63</v>
      </c>
      <c r="P15" s="109">
        <f>+'[1]Monthly Data-Disposal Fees'!P12</f>
        <v>6412</v>
      </c>
      <c r="Q15" s="6">
        <f>SUM(L15:P15)</f>
        <v>12692.869999999999</v>
      </c>
    </row>
    <row r="16" spans="1:17" ht="12.75">
      <c r="A16" t="s">
        <v>295</v>
      </c>
      <c r="C16" s="107">
        <f>+'[1]Monthly Data-Disposal Fees'!C13</f>
        <v>0</v>
      </c>
      <c r="D16" s="107">
        <f>+'[1]Monthly Data-Disposal Fees'!D13</f>
        <v>114</v>
      </c>
      <c r="E16" s="107">
        <f>+'[1]Monthly Data-Disposal Fees'!E13</f>
        <v>70</v>
      </c>
      <c r="F16" s="107">
        <f>+'[1]Monthly Data-Disposal Fees'!F13</f>
        <v>60</v>
      </c>
      <c r="G16" s="107">
        <f>+'[1]Monthly Data-Disposal Fees'!G13</f>
        <v>150</v>
      </c>
      <c r="H16" s="107">
        <f aca="true" t="shared" si="0" ref="H16:H26">SUM(C16:G16)</f>
        <v>394</v>
      </c>
      <c r="J16" t="s">
        <v>295</v>
      </c>
      <c r="L16" s="109">
        <f>+'[1]Monthly Data-Disposal Fees'!L13</f>
        <v>0</v>
      </c>
      <c r="M16" s="109">
        <f>+'[1]Monthly Data-Disposal Fees'!M13</f>
        <v>3696.74</v>
      </c>
      <c r="N16" s="109">
        <f>+'[1]Monthly Data-Disposal Fees'!N13</f>
        <v>2086.36</v>
      </c>
      <c r="O16" s="109">
        <f>+'[1]Monthly Data-Disposal Fees'!O13</f>
        <v>1892.32</v>
      </c>
      <c r="P16" s="109">
        <f>+'[1]Monthly Data-Disposal Fees'!P13</f>
        <v>4836.1</v>
      </c>
      <c r="Q16" s="6">
        <f aca="true" t="shared" si="1" ref="Q16:Q26">SUM(L16:P16)</f>
        <v>12511.52</v>
      </c>
    </row>
    <row r="17" spans="1:17" ht="12.75">
      <c r="A17" t="s">
        <v>296</v>
      </c>
      <c r="C17" s="107">
        <f>+'[1]Monthly Data-Disposal Fees'!C14</f>
        <v>0</v>
      </c>
      <c r="D17" s="107">
        <f>+'[1]Monthly Data-Disposal Fees'!D14</f>
        <v>191</v>
      </c>
      <c r="E17" s="107">
        <f>+'[1]Monthly Data-Disposal Fees'!E14</f>
        <v>54</v>
      </c>
      <c r="F17" s="107">
        <f>+'[1]Monthly Data-Disposal Fees'!F14</f>
        <v>62</v>
      </c>
      <c r="G17" s="107">
        <f>+'[1]Monthly Data-Disposal Fees'!G14</f>
        <v>189</v>
      </c>
      <c r="H17" s="107">
        <f t="shared" si="0"/>
        <v>496</v>
      </c>
      <c r="J17" t="s">
        <v>296</v>
      </c>
      <c r="L17" s="109">
        <f>+'[1]Monthly Data-Disposal Fees'!L14</f>
        <v>0</v>
      </c>
      <c r="M17" s="109">
        <f>+'[1]Monthly Data-Disposal Fees'!M14</f>
        <v>5804.19</v>
      </c>
      <c r="N17" s="109">
        <f>+'[1]Monthly Data-Disposal Fees'!N14</f>
        <v>1670.68</v>
      </c>
      <c r="O17" s="109">
        <f>+'[1]Monthly Data-Disposal Fees'!O14</f>
        <v>1908.92</v>
      </c>
      <c r="P17" s="109">
        <f>+'[1]Monthly Data-Disposal Fees'!P14</f>
        <v>5896.45</v>
      </c>
      <c r="Q17" s="6">
        <f t="shared" si="1"/>
        <v>15280.240000000002</v>
      </c>
    </row>
    <row r="18" spans="1:17" ht="12.75">
      <c r="A18" t="s">
        <v>297</v>
      </c>
      <c r="C18" s="107">
        <f>+'[1]Monthly Data-Disposal Fees'!C15</f>
        <v>0</v>
      </c>
      <c r="D18" s="107">
        <f>+'[1]Monthly Data-Disposal Fees'!D15</f>
        <v>204</v>
      </c>
      <c r="E18" s="107">
        <f>+'[1]Monthly Data-Disposal Fees'!E15</f>
        <v>64</v>
      </c>
      <c r="F18" s="107">
        <f>+'[1]Monthly Data-Disposal Fees'!F15</f>
        <v>77</v>
      </c>
      <c r="G18" s="107">
        <f>+'[1]Monthly Data-Disposal Fees'!G15</f>
        <v>192</v>
      </c>
      <c r="H18" s="107">
        <f t="shared" si="0"/>
        <v>537</v>
      </c>
      <c r="J18" t="s">
        <v>297</v>
      </c>
      <c r="L18" s="109">
        <f>+'[1]Monthly Data-Disposal Fees'!L15</f>
        <v>0</v>
      </c>
      <c r="M18" s="109">
        <f>+'[1]Monthly Data-Disposal Fees'!M15</f>
        <v>6141.94</v>
      </c>
      <c r="N18" s="109">
        <f>+'[1]Monthly Data-Disposal Fees'!N15</f>
        <v>1741.58</v>
      </c>
      <c r="O18" s="109">
        <f>+'[1]Monthly Data-Disposal Fees'!O15</f>
        <v>2365.3</v>
      </c>
      <c r="P18" s="109">
        <f>+'[1]Monthly Data-Disposal Fees'!P15</f>
        <v>6018.95</v>
      </c>
      <c r="Q18" s="6">
        <f t="shared" si="1"/>
        <v>16267.77</v>
      </c>
    </row>
    <row r="19" spans="1:17" ht="12.75">
      <c r="A19" t="s">
        <v>298</v>
      </c>
      <c r="C19" s="107">
        <f>+'[1]Monthly Data-Disposal Fees'!C16</f>
        <v>0</v>
      </c>
      <c r="D19" s="107">
        <f>+'[1]Monthly Data-Disposal Fees'!D16</f>
        <v>276</v>
      </c>
      <c r="E19" s="107">
        <f>+'[1]Monthly Data-Disposal Fees'!E16</f>
        <v>79</v>
      </c>
      <c r="F19" s="107">
        <f>+'[1]Monthly Data-Disposal Fees'!F16</f>
        <v>103</v>
      </c>
      <c r="G19" s="107">
        <f>+'[1]Monthly Data-Disposal Fees'!G16</f>
        <v>249</v>
      </c>
      <c r="H19" s="107">
        <f t="shared" si="0"/>
        <v>707</v>
      </c>
      <c r="J19" t="s">
        <v>298</v>
      </c>
      <c r="L19" s="109">
        <f>+'[1]Monthly Data-Disposal Fees'!L16</f>
        <v>0</v>
      </c>
      <c r="M19" s="109">
        <f>+'[1]Monthly Data-Disposal Fees'!M16</f>
        <v>7925.08</v>
      </c>
      <c r="N19" s="109">
        <f>+'[1]Monthly Data-Disposal Fees'!N16</f>
        <v>2190.23</v>
      </c>
      <c r="O19" s="109">
        <f>+'[1]Monthly Data-Disposal Fees'!O16</f>
        <v>3095.17</v>
      </c>
      <c r="P19" s="109">
        <f>+'[1]Monthly Data-Disposal Fees'!P16</f>
        <v>8042.66</v>
      </c>
      <c r="Q19" s="6">
        <f t="shared" si="1"/>
        <v>21253.14</v>
      </c>
    </row>
    <row r="20" spans="1:17" ht="12.75">
      <c r="A20" t="s">
        <v>299</v>
      </c>
      <c r="C20" s="107">
        <f>+'[1]Monthly Data-Disposal Fees'!C17</f>
        <v>0</v>
      </c>
      <c r="D20" s="107">
        <f>+'[1]Monthly Data-Disposal Fees'!D17</f>
        <v>280</v>
      </c>
      <c r="E20" s="107">
        <f>+'[1]Monthly Data-Disposal Fees'!E17</f>
        <v>85</v>
      </c>
      <c r="F20" s="107">
        <f>+'[1]Monthly Data-Disposal Fees'!F17</f>
        <v>86</v>
      </c>
      <c r="G20" s="107">
        <f>+'[1]Monthly Data-Disposal Fees'!G17</f>
        <v>203</v>
      </c>
      <c r="H20" s="107">
        <f t="shared" si="0"/>
        <v>654</v>
      </c>
      <c r="J20" t="s">
        <v>299</v>
      </c>
      <c r="L20" s="109">
        <f>+'[1]Monthly Data-Disposal Fees'!L17</f>
        <v>0</v>
      </c>
      <c r="M20" s="109">
        <f>+'[1]Monthly Data-Disposal Fees'!M17</f>
        <v>8134.05</v>
      </c>
      <c r="N20" s="109">
        <f>+'[1]Monthly Data-Disposal Fees'!N17</f>
        <v>2378.66</v>
      </c>
      <c r="O20" s="109">
        <f>+'[1]Monthly Data-Disposal Fees'!O17</f>
        <v>2660.51</v>
      </c>
      <c r="P20" s="109">
        <f>+'[1]Monthly Data-Disposal Fees'!P17</f>
        <v>6483.75</v>
      </c>
      <c r="Q20" s="6">
        <f t="shared" si="1"/>
        <v>19656.97</v>
      </c>
    </row>
    <row r="21" spans="1:17" ht="12.75">
      <c r="A21" t="s">
        <v>300</v>
      </c>
      <c r="C21" s="107">
        <f>+'[1]Monthly Data-Disposal Fees'!C18</f>
        <v>0</v>
      </c>
      <c r="D21" s="107">
        <f>+'[1]Monthly Data-Disposal Fees'!D18</f>
        <v>389</v>
      </c>
      <c r="E21" s="107">
        <f>+'[1]Monthly Data-Disposal Fees'!E18</f>
        <v>83</v>
      </c>
      <c r="F21" s="107">
        <f>+'[1]Monthly Data-Disposal Fees'!F18</f>
        <v>106</v>
      </c>
      <c r="G21" s="107">
        <f>+'[1]Monthly Data-Disposal Fees'!G18</f>
        <v>243</v>
      </c>
      <c r="H21" s="107">
        <f t="shared" si="0"/>
        <v>821</v>
      </c>
      <c r="J21" t="s">
        <v>300</v>
      </c>
      <c r="L21" s="109">
        <f>+'[1]Monthly Data-Disposal Fees'!L18</f>
        <v>0</v>
      </c>
      <c r="M21" s="109">
        <f>+'[1]Monthly Data-Disposal Fees'!M18</f>
        <v>11188.97</v>
      </c>
      <c r="N21" s="109">
        <f>+'[1]Monthly Data-Disposal Fees'!N18</f>
        <v>2333.62</v>
      </c>
      <c r="O21" s="109">
        <f>+'[1]Monthly Data-Disposal Fees'!O18</f>
        <v>3323.17</v>
      </c>
      <c r="P21" s="109">
        <f>+'[1]Monthly Data-Disposal Fees'!P18</f>
        <v>7906.45</v>
      </c>
      <c r="Q21" s="6">
        <f t="shared" si="1"/>
        <v>24752.210000000003</v>
      </c>
    </row>
    <row r="22" spans="1:17" ht="12.75">
      <c r="A22" t="s">
        <v>301</v>
      </c>
      <c r="C22" s="107">
        <f>+'[1]Monthly Data-Disposal Fees'!C19</f>
        <v>0</v>
      </c>
      <c r="D22" s="107">
        <f>+'[1]Monthly Data-Disposal Fees'!D19</f>
        <v>352</v>
      </c>
      <c r="E22" s="107">
        <f>+'[1]Monthly Data-Disposal Fees'!E19</f>
        <v>82</v>
      </c>
      <c r="F22" s="107">
        <f>+'[1]Monthly Data-Disposal Fees'!F19</f>
        <v>90</v>
      </c>
      <c r="G22" s="107">
        <f>+'[1]Monthly Data-Disposal Fees'!G19</f>
        <v>225</v>
      </c>
      <c r="H22" s="107">
        <f t="shared" si="0"/>
        <v>749</v>
      </c>
      <c r="J22" t="s">
        <v>301</v>
      </c>
      <c r="L22" s="109">
        <f>+'[1]Monthly Data-Disposal Fees'!L19</f>
        <v>0</v>
      </c>
      <c r="M22" s="109">
        <f>+'[1]Monthly Data-Disposal Fees'!M19</f>
        <v>10241.63</v>
      </c>
      <c r="N22" s="109">
        <f>+'[1]Monthly Data-Disposal Fees'!N19</f>
        <v>2162.43</v>
      </c>
      <c r="O22" s="109">
        <f>+'[1]Monthly Data-Disposal Fees'!O19</f>
        <v>2771.5</v>
      </c>
      <c r="P22" s="109">
        <f>+'[1]Monthly Data-Disposal Fees'!P19</f>
        <v>7148.73</v>
      </c>
      <c r="Q22" s="6">
        <f t="shared" si="1"/>
        <v>22324.29</v>
      </c>
    </row>
    <row r="23" spans="1:17" ht="12.75">
      <c r="A23" t="s">
        <v>302</v>
      </c>
      <c r="C23" s="107">
        <f>+'[1]Monthly Data-Disposal Fees'!C20</f>
        <v>0</v>
      </c>
      <c r="D23" s="107">
        <f>+'[1]Monthly Data-Disposal Fees'!D20</f>
        <v>315</v>
      </c>
      <c r="E23" s="107">
        <f>+'[1]Monthly Data-Disposal Fees'!E20</f>
        <v>77</v>
      </c>
      <c r="F23" s="107">
        <f>+'[1]Monthly Data-Disposal Fees'!F20</f>
        <v>83</v>
      </c>
      <c r="G23" s="107">
        <f>+'[1]Monthly Data-Disposal Fees'!G20</f>
        <v>212</v>
      </c>
      <c r="H23" s="107">
        <f t="shared" si="0"/>
        <v>687</v>
      </c>
      <c r="J23" t="s">
        <v>302</v>
      </c>
      <c r="L23" s="109">
        <f>+'[1]Monthly Data-Disposal Fees'!L20</f>
        <v>0</v>
      </c>
      <c r="M23" s="109">
        <f>+'[1]Monthly Data-Disposal Fees'!M20</f>
        <v>8640.45</v>
      </c>
      <c r="N23" s="109">
        <f>+'[1]Monthly Data-Disposal Fees'!N20</f>
        <v>2282.59</v>
      </c>
      <c r="O23" s="109">
        <f>+'[1]Monthly Data-Disposal Fees'!O20</f>
        <v>2639.93</v>
      </c>
      <c r="P23" s="109">
        <f>+'[1]Monthly Data-Disposal Fees'!P20</f>
        <v>6906.52</v>
      </c>
      <c r="Q23" s="6">
        <f t="shared" si="1"/>
        <v>20469.49</v>
      </c>
    </row>
    <row r="24" spans="1:17" ht="12.75">
      <c r="A24" t="s">
        <v>303</v>
      </c>
      <c r="C24" s="107">
        <f>+'[1]Monthly Data-Disposal Fees'!C21</f>
        <v>0</v>
      </c>
      <c r="D24" s="107">
        <f>+'[1]Monthly Data-Disposal Fees'!D21</f>
        <v>361</v>
      </c>
      <c r="E24" s="107">
        <f>+'[1]Monthly Data-Disposal Fees'!E21</f>
        <v>87</v>
      </c>
      <c r="F24" s="107">
        <f>+'[1]Monthly Data-Disposal Fees'!F21</f>
        <v>99</v>
      </c>
      <c r="G24" s="107">
        <f>+'[1]Monthly Data-Disposal Fees'!G21</f>
        <v>235</v>
      </c>
      <c r="H24" s="107">
        <f t="shared" si="0"/>
        <v>782</v>
      </c>
      <c r="J24" t="s">
        <v>303</v>
      </c>
      <c r="L24" s="109">
        <f>+'[1]Monthly Data-Disposal Fees'!L21</f>
        <v>0</v>
      </c>
      <c r="M24" s="109">
        <f>+'[1]Monthly Data-Disposal Fees'!M21</f>
        <v>10185.62</v>
      </c>
      <c r="N24" s="109">
        <f>+'[1]Monthly Data-Disposal Fees'!N21</f>
        <v>2287.82</v>
      </c>
      <c r="O24" s="109">
        <f>+'[1]Monthly Data-Disposal Fees'!O21</f>
        <v>2979.01</v>
      </c>
      <c r="P24" s="109">
        <f>+'[1]Monthly Data-Disposal Fees'!P21</f>
        <v>7551.54</v>
      </c>
      <c r="Q24" s="6">
        <f t="shared" si="1"/>
        <v>23003.99</v>
      </c>
    </row>
    <row r="25" spans="1:17" ht="12.75">
      <c r="A25" t="s">
        <v>304</v>
      </c>
      <c r="C25" s="107">
        <f>+'[1]Monthly Data-Disposal Fees'!C22</f>
        <v>0</v>
      </c>
      <c r="D25" s="107">
        <f>+'[1]Monthly Data-Disposal Fees'!D22</f>
        <v>202</v>
      </c>
      <c r="E25" s="107">
        <f>+'[1]Monthly Data-Disposal Fees'!E22</f>
        <v>63</v>
      </c>
      <c r="F25" s="107">
        <f>+'[1]Monthly Data-Disposal Fees'!F22</f>
        <v>79</v>
      </c>
      <c r="G25" s="107">
        <f>+'[1]Monthly Data-Disposal Fees'!G22</f>
        <v>200</v>
      </c>
      <c r="H25" s="107">
        <f t="shared" si="0"/>
        <v>544</v>
      </c>
      <c r="J25" t="s">
        <v>304</v>
      </c>
      <c r="L25" s="109">
        <f>+'[1]Monthly Data-Disposal Fees'!L22</f>
        <v>0</v>
      </c>
      <c r="M25" s="109">
        <f>+'[1]Monthly Data-Disposal Fees'!M22</f>
        <v>5582.66</v>
      </c>
      <c r="N25" s="109">
        <f>+'[1]Monthly Data-Disposal Fees'!N22</f>
        <v>1742.04</v>
      </c>
      <c r="O25" s="109">
        <f>+'[1]Monthly Data-Disposal Fees'!O22</f>
        <v>2306.22</v>
      </c>
      <c r="P25" s="109">
        <f>+'[1]Monthly Data-Disposal Fees'!P22</f>
        <v>6207.65</v>
      </c>
      <c r="Q25" s="6">
        <f t="shared" si="1"/>
        <v>15838.57</v>
      </c>
    </row>
    <row r="26" spans="1:17" ht="13.5" thickBot="1">
      <c r="A26" t="s">
        <v>305</v>
      </c>
      <c r="C26" s="108">
        <f>+'[1]Monthly Data-Disposal Fees'!C23</f>
        <v>0</v>
      </c>
      <c r="D26" s="108">
        <f>+'[1]Monthly Data-Disposal Fees'!D23</f>
        <v>87</v>
      </c>
      <c r="E26" s="108">
        <f>+'[1]Monthly Data-Disposal Fees'!E23</f>
        <v>52</v>
      </c>
      <c r="F26" s="108">
        <f>+'[1]Monthly Data-Disposal Fees'!F23</f>
        <v>68</v>
      </c>
      <c r="G26" s="108">
        <f>+'[1]Monthly Data-Disposal Fees'!G23</f>
        <v>168</v>
      </c>
      <c r="H26" s="108">
        <f t="shared" si="0"/>
        <v>375</v>
      </c>
      <c r="J26" t="s">
        <v>305</v>
      </c>
      <c r="L26" s="110">
        <f>+'[1]Monthly Data-Disposal Fees'!L23</f>
        <v>0</v>
      </c>
      <c r="M26" s="110">
        <f>+'[1]Monthly Data-Disposal Fees'!M23</f>
        <v>2371.69</v>
      </c>
      <c r="N26" s="110">
        <f>+'[1]Monthly Data-Disposal Fees'!N23</f>
        <v>1436.58</v>
      </c>
      <c r="O26" s="110">
        <f>+'[1]Monthly Data-Disposal Fees'!O23</f>
        <v>1907.02</v>
      </c>
      <c r="P26" s="110">
        <f>+'[1]Monthly Data-Disposal Fees'!P23</f>
        <v>5349.91</v>
      </c>
      <c r="Q26" s="7">
        <f t="shared" si="1"/>
        <v>11065.2</v>
      </c>
    </row>
    <row r="27" spans="3:17" ht="12.75">
      <c r="C27" s="53"/>
      <c r="D27" s="53"/>
      <c r="E27" s="53"/>
      <c r="F27" s="53"/>
      <c r="G27" s="53"/>
      <c r="H27" s="53"/>
      <c r="L27" s="6"/>
      <c r="M27" s="6"/>
      <c r="N27" s="6"/>
      <c r="O27" s="6"/>
      <c r="P27" s="6"/>
      <c r="Q27" s="6"/>
    </row>
    <row r="28" spans="2:17" ht="13.5" thickBot="1">
      <c r="B28" t="s">
        <v>1</v>
      </c>
      <c r="C28" s="56">
        <f aca="true" t="shared" si="2" ref="C28:H28">SUM(C15:C26)</f>
        <v>0</v>
      </c>
      <c r="D28" s="56">
        <f t="shared" si="2"/>
        <v>2838</v>
      </c>
      <c r="E28" s="56">
        <f t="shared" si="2"/>
        <v>854</v>
      </c>
      <c r="F28" s="56">
        <f t="shared" si="2"/>
        <v>985</v>
      </c>
      <c r="G28" s="56">
        <f t="shared" si="2"/>
        <v>2465</v>
      </c>
      <c r="H28" s="56">
        <f t="shared" si="2"/>
        <v>7142</v>
      </c>
      <c r="K28" t="s">
        <v>1</v>
      </c>
      <c r="L28" s="8">
        <f aca="true" t="shared" si="3" ref="L28:Q28">SUM(L15:L26)</f>
        <v>0</v>
      </c>
      <c r="M28" s="8">
        <f t="shared" si="3"/>
        <v>81999.49</v>
      </c>
      <c r="N28" s="8">
        <f t="shared" si="3"/>
        <v>24156.36</v>
      </c>
      <c r="O28" s="8">
        <f t="shared" si="3"/>
        <v>30199.7</v>
      </c>
      <c r="P28" s="8">
        <f t="shared" si="3"/>
        <v>78760.70999999999</v>
      </c>
      <c r="Q28" s="8">
        <f t="shared" si="3"/>
        <v>215116.26</v>
      </c>
    </row>
    <row r="29" ht="13.5" thickTop="1"/>
    <row r="30" spans="3:17" ht="13.5" thickBot="1">
      <c r="C30" s="13">
        <f>+C28/H28</f>
        <v>0</v>
      </c>
      <c r="D30" s="13">
        <f>+D28/H28</f>
        <v>0.39736768412209467</v>
      </c>
      <c r="E30" s="13">
        <f>+E28/H28</f>
        <v>0.11957434892187062</v>
      </c>
      <c r="F30" s="13">
        <f>+F28/H28</f>
        <v>0.1379165499859983</v>
      </c>
      <c r="G30" s="13">
        <f>+G28/H28</f>
        <v>0.3451414169700364</v>
      </c>
      <c r="H30" s="13">
        <f>SUM(C30:G30)</f>
        <v>1</v>
      </c>
      <c r="L30" s="13">
        <f>+L28/Q28</f>
        <v>0</v>
      </c>
      <c r="M30" s="13">
        <f>+M28/Q28</f>
        <v>0.3811868521700777</v>
      </c>
      <c r="N30" s="13">
        <f>+N28/Q28</f>
        <v>0.11229444022502065</v>
      </c>
      <c r="O30" s="13">
        <f>+O28/Q28</f>
        <v>0.14038780703978399</v>
      </c>
      <c r="P30" s="13">
        <f>+P28/Q28</f>
        <v>0.3661309005651176</v>
      </c>
      <c r="Q30" s="13">
        <f>SUM(L30:P30)</f>
        <v>1</v>
      </c>
    </row>
    <row r="31" ht="13.5" thickTop="1"/>
    <row r="32" spans="11:14" ht="13.5" thickBot="1">
      <c r="K32" t="s">
        <v>306</v>
      </c>
      <c r="L32" s="13">
        <f>+L28/SUM(L28:N28)</f>
        <v>0</v>
      </c>
      <c r="M32" s="13">
        <f>+M28/SUM(L28:N28)</f>
        <v>0.7724443824810409</v>
      </c>
      <c r="N32" s="13">
        <f>1-L32-M32</f>
        <v>0.22755561751895914</v>
      </c>
    </row>
    <row r="33" ht="13.5" thickTop="1"/>
    <row r="34" spans="1:10" ht="12.75">
      <c r="A34" s="83" t="s">
        <v>307</v>
      </c>
      <c r="J34" s="83" t="s">
        <v>308</v>
      </c>
    </row>
    <row r="35" spans="1:10" ht="12.75">
      <c r="A35" s="83"/>
      <c r="J35" s="83"/>
    </row>
    <row r="36" spans="3:17" ht="13.5" thickBot="1">
      <c r="C36" s="4" t="s">
        <v>177</v>
      </c>
      <c r="D36" s="4" t="s">
        <v>179</v>
      </c>
      <c r="E36" s="4" t="s">
        <v>178</v>
      </c>
      <c r="F36" s="4" t="s">
        <v>292</v>
      </c>
      <c r="G36" s="4" t="s">
        <v>293</v>
      </c>
      <c r="H36" s="4" t="s">
        <v>1</v>
      </c>
      <c r="L36" s="4" t="s">
        <v>177</v>
      </c>
      <c r="M36" s="4" t="s">
        <v>179</v>
      </c>
      <c r="N36" s="4" t="s">
        <v>178</v>
      </c>
      <c r="O36" s="4" t="s">
        <v>292</v>
      </c>
      <c r="P36" s="4" t="s">
        <v>293</v>
      </c>
      <c r="Q36" s="4" t="s">
        <v>1</v>
      </c>
    </row>
    <row r="37" spans="3:17" ht="13.5" thickTop="1">
      <c r="C37" s="75"/>
      <c r="D37" s="75"/>
      <c r="E37" s="75"/>
      <c r="F37" s="75"/>
      <c r="G37" s="75"/>
      <c r="H37" s="75"/>
      <c r="L37" s="75"/>
      <c r="M37" s="75"/>
      <c r="N37" s="75"/>
      <c r="O37" s="75"/>
      <c r="P37" s="75"/>
      <c r="Q37" s="75"/>
    </row>
    <row r="38" spans="1:17" ht="12.75">
      <c r="A38" t="s">
        <v>294</v>
      </c>
      <c r="C38" s="107">
        <f>+'[1]Monthly Data-Disposal Fees'!C35</f>
        <v>548</v>
      </c>
      <c r="D38" s="107">
        <f>+'[1]Monthly Data-Disposal Fees'!D35</f>
        <v>14</v>
      </c>
      <c r="E38" s="107">
        <f>+'[1]Monthly Data-Disposal Fees'!E35</f>
        <v>0</v>
      </c>
      <c r="F38" s="107">
        <f>+'[1]Monthly Data-Disposal Fees'!F35</f>
        <v>0</v>
      </c>
      <c r="G38" s="107">
        <f>+'[1]Monthly Data-Disposal Fees'!G35</f>
        <v>0</v>
      </c>
      <c r="H38" s="53">
        <f>SUM(C38:G38)</f>
        <v>562</v>
      </c>
      <c r="J38" t="s">
        <v>294</v>
      </c>
      <c r="L38" s="109">
        <f>+'[1]Monthly Data-Disposal Fees'!L35</f>
        <v>19711.56</v>
      </c>
      <c r="M38" s="109">
        <f>+'[1]Monthly Data-Disposal Fees'!M35</f>
        <v>503.58</v>
      </c>
      <c r="N38" s="109">
        <f>+'[1]Monthly Data-Disposal Fees'!N35</f>
        <v>0</v>
      </c>
      <c r="O38" s="109">
        <f>+'[1]Monthly Data-Disposal Fees'!O35</f>
        <v>0</v>
      </c>
      <c r="P38" s="109">
        <f>+'[1]Monthly Data-Disposal Fees'!P35</f>
        <v>0</v>
      </c>
      <c r="Q38" s="6">
        <f>SUM(L38:P38)</f>
        <v>20215.140000000003</v>
      </c>
    </row>
    <row r="39" spans="1:17" ht="12.75">
      <c r="A39" t="s">
        <v>295</v>
      </c>
      <c r="C39" s="107">
        <f>+'[1]Monthly Data-Disposal Fees'!C36</f>
        <v>474</v>
      </c>
      <c r="D39" s="107">
        <f>+'[1]Monthly Data-Disposal Fees'!D36</f>
        <v>6</v>
      </c>
      <c r="E39" s="107">
        <f>+'[1]Monthly Data-Disposal Fees'!E36</f>
        <v>0</v>
      </c>
      <c r="F39" s="107">
        <f>+'[1]Monthly Data-Disposal Fees'!F36</f>
        <v>0</v>
      </c>
      <c r="G39" s="107">
        <f>+'[1]Monthly Data-Disposal Fees'!G36</f>
        <v>2</v>
      </c>
      <c r="H39" s="53">
        <f aca="true" t="shared" si="4" ref="H39:H49">SUM(C39:G39)</f>
        <v>482</v>
      </c>
      <c r="J39" t="s">
        <v>295</v>
      </c>
      <c r="L39" s="109">
        <f>+'[1]Monthly Data-Disposal Fees'!L36</f>
        <v>17049.78</v>
      </c>
      <c r="M39" s="109">
        <f>+'[1]Monthly Data-Disposal Fees'!M36</f>
        <v>215.82</v>
      </c>
      <c r="N39" s="109">
        <f>+'[1]Monthly Data-Disposal Fees'!N36</f>
        <v>0</v>
      </c>
      <c r="O39" s="109">
        <f>+'[1]Monthly Data-Disposal Fees'!O36</f>
        <v>0</v>
      </c>
      <c r="P39" s="109">
        <f>+'[1]Monthly Data-Disposal Fees'!P36</f>
        <v>71.94</v>
      </c>
      <c r="Q39" s="6">
        <f aca="true" t="shared" si="5" ref="Q39:Q49">SUM(L39:P39)</f>
        <v>17337.539999999997</v>
      </c>
    </row>
    <row r="40" spans="1:17" ht="12.75">
      <c r="A40" t="s">
        <v>296</v>
      </c>
      <c r="C40" s="107">
        <f>+'[1]Monthly Data-Disposal Fees'!C37</f>
        <v>566</v>
      </c>
      <c r="D40" s="107">
        <f>+'[1]Monthly Data-Disposal Fees'!D37</f>
        <v>8</v>
      </c>
      <c r="E40" s="107">
        <f>+'[1]Monthly Data-Disposal Fees'!E37</f>
        <v>0</v>
      </c>
      <c r="F40" s="107">
        <f>+'[1]Monthly Data-Disposal Fees'!F37</f>
        <v>0</v>
      </c>
      <c r="G40" s="107">
        <f>+'[1]Monthly Data-Disposal Fees'!G37</f>
        <v>0</v>
      </c>
      <c r="H40" s="53">
        <f t="shared" si="4"/>
        <v>574</v>
      </c>
      <c r="J40" t="s">
        <v>296</v>
      </c>
      <c r="L40" s="109">
        <f>+'[1]Monthly Data-Disposal Fees'!L37</f>
        <v>20359.02</v>
      </c>
      <c r="M40" s="109">
        <f>+'[1]Monthly Data-Disposal Fees'!M37</f>
        <v>287.76</v>
      </c>
      <c r="N40" s="109">
        <f>+'[1]Monthly Data-Disposal Fees'!N37</f>
        <v>0</v>
      </c>
      <c r="O40" s="109">
        <f>+'[1]Monthly Data-Disposal Fees'!O37</f>
        <v>0</v>
      </c>
      <c r="P40" s="109">
        <f>+'[1]Monthly Data-Disposal Fees'!P37</f>
        <v>0</v>
      </c>
      <c r="Q40" s="6">
        <f t="shared" si="5"/>
        <v>20646.78</v>
      </c>
    </row>
    <row r="41" spans="1:17" ht="12.75">
      <c r="A41" t="s">
        <v>297</v>
      </c>
      <c r="C41" s="107">
        <f>+'[1]Monthly Data-Disposal Fees'!C38</f>
        <v>657</v>
      </c>
      <c r="D41" s="107">
        <f>+'[1]Monthly Data-Disposal Fees'!D38</f>
        <v>5</v>
      </c>
      <c r="E41" s="107">
        <f>+'[1]Monthly Data-Disposal Fees'!E38</f>
        <v>0</v>
      </c>
      <c r="F41" s="107">
        <f>+'[1]Monthly Data-Disposal Fees'!F38</f>
        <v>0</v>
      </c>
      <c r="G41" s="107">
        <f>+'[1]Monthly Data-Disposal Fees'!G38</f>
        <v>4</v>
      </c>
      <c r="H41" s="53">
        <f t="shared" si="4"/>
        <v>666</v>
      </c>
      <c r="J41" t="s">
        <v>297</v>
      </c>
      <c r="L41" s="109">
        <f>+'[1]Monthly Data-Disposal Fees'!L38</f>
        <v>23632.29</v>
      </c>
      <c r="M41" s="109">
        <f>+'[1]Monthly Data-Disposal Fees'!M38</f>
        <v>179.85</v>
      </c>
      <c r="N41" s="109">
        <f>+'[1]Monthly Data-Disposal Fees'!N38</f>
        <v>0</v>
      </c>
      <c r="O41" s="109">
        <f>+'[1]Monthly Data-Disposal Fees'!O38</f>
        <v>0</v>
      </c>
      <c r="P41" s="109">
        <f>+'[1]Monthly Data-Disposal Fees'!P38</f>
        <v>143.88</v>
      </c>
      <c r="Q41" s="6">
        <f t="shared" si="5"/>
        <v>23956.02</v>
      </c>
    </row>
    <row r="42" spans="1:17" ht="12.75">
      <c r="A42" t="s">
        <v>298</v>
      </c>
      <c r="C42" s="107">
        <f>+'[1]Monthly Data-Disposal Fees'!C39</f>
        <v>938</v>
      </c>
      <c r="D42" s="107">
        <f>+'[1]Monthly Data-Disposal Fees'!D39</f>
        <v>9</v>
      </c>
      <c r="E42" s="107">
        <f>+'[1]Monthly Data-Disposal Fees'!E39</f>
        <v>0</v>
      </c>
      <c r="F42" s="107">
        <f>+'[1]Monthly Data-Disposal Fees'!F39</f>
        <v>0</v>
      </c>
      <c r="G42" s="107">
        <f>+'[1]Monthly Data-Disposal Fees'!G39</f>
        <v>0</v>
      </c>
      <c r="H42" s="53">
        <f t="shared" si="4"/>
        <v>947</v>
      </c>
      <c r="J42" t="s">
        <v>298</v>
      </c>
      <c r="L42" s="109">
        <f>+'[1]Monthly Data-Disposal Fees'!L39</f>
        <v>33739.86</v>
      </c>
      <c r="M42" s="109">
        <f>+'[1]Monthly Data-Disposal Fees'!M39</f>
        <v>323.73</v>
      </c>
      <c r="N42" s="109">
        <f>+'[1]Monthly Data-Disposal Fees'!N39</f>
        <v>0</v>
      </c>
      <c r="O42" s="109">
        <f>+'[1]Monthly Data-Disposal Fees'!O39</f>
        <v>0</v>
      </c>
      <c r="P42" s="109">
        <f>+'[1]Monthly Data-Disposal Fees'!P39</f>
        <v>0</v>
      </c>
      <c r="Q42" s="6">
        <f t="shared" si="5"/>
        <v>34063.590000000004</v>
      </c>
    </row>
    <row r="43" spans="1:17" ht="12.75">
      <c r="A43" t="s">
        <v>299</v>
      </c>
      <c r="C43" s="107">
        <f>+'[1]Monthly Data-Disposal Fees'!C40</f>
        <v>912</v>
      </c>
      <c r="D43" s="107">
        <f>+'[1]Monthly Data-Disposal Fees'!D40</f>
        <v>36</v>
      </c>
      <c r="E43" s="107">
        <f>+'[1]Monthly Data-Disposal Fees'!E40</f>
        <v>0</v>
      </c>
      <c r="F43" s="107">
        <f>+'[1]Monthly Data-Disposal Fees'!F40</f>
        <v>0</v>
      </c>
      <c r="G43" s="107">
        <f>+'[1]Monthly Data-Disposal Fees'!G40</f>
        <v>0</v>
      </c>
      <c r="H43" s="53">
        <f t="shared" si="4"/>
        <v>948</v>
      </c>
      <c r="J43" t="s">
        <v>299</v>
      </c>
      <c r="L43" s="109">
        <f>+'[1]Monthly Data-Disposal Fees'!L40</f>
        <v>32804.64</v>
      </c>
      <c r="M43" s="109">
        <f>+'[1]Monthly Data-Disposal Fees'!M40</f>
        <v>1294.92</v>
      </c>
      <c r="N43" s="109">
        <f>+'[1]Monthly Data-Disposal Fees'!N40</f>
        <v>0</v>
      </c>
      <c r="O43" s="109">
        <f>+'[1]Monthly Data-Disposal Fees'!O40</f>
        <v>0</v>
      </c>
      <c r="P43" s="109">
        <f>+'[1]Monthly Data-Disposal Fees'!P40</f>
        <v>0</v>
      </c>
      <c r="Q43" s="6">
        <f t="shared" si="5"/>
        <v>34099.56</v>
      </c>
    </row>
    <row r="44" spans="1:17" ht="12.75">
      <c r="A44" t="s">
        <v>300</v>
      </c>
      <c r="C44" s="107">
        <f>+'[1]Monthly Data-Disposal Fees'!C41</f>
        <v>1210</v>
      </c>
      <c r="D44" s="107">
        <f>+'[1]Monthly Data-Disposal Fees'!D41</f>
        <v>0</v>
      </c>
      <c r="E44" s="107">
        <f>+'[1]Monthly Data-Disposal Fees'!E41</f>
        <v>0</v>
      </c>
      <c r="F44" s="107">
        <f>+'[1]Monthly Data-Disposal Fees'!F41</f>
        <v>0</v>
      </c>
      <c r="G44" s="107">
        <f>+'[1]Monthly Data-Disposal Fees'!G41</f>
        <v>0</v>
      </c>
      <c r="H44" s="53">
        <f t="shared" si="4"/>
        <v>1210</v>
      </c>
      <c r="J44" t="s">
        <v>300</v>
      </c>
      <c r="L44" s="109">
        <f>+'[1]Monthly Data-Disposal Fees'!L41</f>
        <v>43523.7</v>
      </c>
      <c r="M44" s="109">
        <f>+'[1]Monthly Data-Disposal Fees'!M41</f>
        <v>0</v>
      </c>
      <c r="N44" s="109">
        <f>+'[1]Monthly Data-Disposal Fees'!N41</f>
        <v>0</v>
      </c>
      <c r="O44" s="109">
        <f>+'[1]Monthly Data-Disposal Fees'!O41</f>
        <v>0</v>
      </c>
      <c r="P44" s="109">
        <f>+'[1]Monthly Data-Disposal Fees'!P41</f>
        <v>0</v>
      </c>
      <c r="Q44" s="6">
        <f t="shared" si="5"/>
        <v>43523.7</v>
      </c>
    </row>
    <row r="45" spans="1:17" ht="12.75">
      <c r="A45" t="s">
        <v>301</v>
      </c>
      <c r="C45" s="107">
        <f>+'[1]Monthly Data-Disposal Fees'!C42</f>
        <v>1296</v>
      </c>
      <c r="D45" s="107">
        <f>+'[1]Monthly Data-Disposal Fees'!D42</f>
        <v>0</v>
      </c>
      <c r="E45" s="107">
        <f>+'[1]Monthly Data-Disposal Fees'!E42</f>
        <v>0</v>
      </c>
      <c r="F45" s="107">
        <f>+'[1]Monthly Data-Disposal Fees'!F42</f>
        <v>0</v>
      </c>
      <c r="G45" s="107">
        <f>+'[1]Monthly Data-Disposal Fees'!G42</f>
        <v>0</v>
      </c>
      <c r="H45" s="53">
        <f t="shared" si="4"/>
        <v>1296</v>
      </c>
      <c r="J45" t="s">
        <v>301</v>
      </c>
      <c r="L45" s="109">
        <f>+'[1]Monthly Data-Disposal Fees'!L42</f>
        <v>46617.12</v>
      </c>
      <c r="M45" s="109">
        <f>+'[1]Monthly Data-Disposal Fees'!M42</f>
        <v>0</v>
      </c>
      <c r="N45" s="109">
        <f>+'[1]Monthly Data-Disposal Fees'!N42</f>
        <v>0</v>
      </c>
      <c r="O45" s="109">
        <f>+'[1]Monthly Data-Disposal Fees'!O42</f>
        <v>0</v>
      </c>
      <c r="P45" s="109">
        <f>+'[1]Monthly Data-Disposal Fees'!P42</f>
        <v>0</v>
      </c>
      <c r="Q45" s="6">
        <f t="shared" si="5"/>
        <v>46617.12</v>
      </c>
    </row>
    <row r="46" spans="1:17" ht="12.75">
      <c r="A46" t="s">
        <v>302</v>
      </c>
      <c r="C46" s="107">
        <f>+'[1]Monthly Data-Disposal Fees'!C43</f>
        <v>970</v>
      </c>
      <c r="D46" s="107">
        <f>+'[1]Monthly Data-Disposal Fees'!D43</f>
        <v>0</v>
      </c>
      <c r="E46" s="107">
        <f>+'[1]Monthly Data-Disposal Fees'!E43</f>
        <v>0</v>
      </c>
      <c r="F46" s="107">
        <f>+'[1]Monthly Data-Disposal Fees'!F43</f>
        <v>0</v>
      </c>
      <c r="G46" s="107">
        <f>+'[1]Monthly Data-Disposal Fees'!G43</f>
        <v>0</v>
      </c>
      <c r="H46" s="53">
        <f t="shared" si="4"/>
        <v>970</v>
      </c>
      <c r="J46" t="s">
        <v>302</v>
      </c>
      <c r="L46" s="109">
        <f>+'[1]Monthly Data-Disposal Fees'!L43</f>
        <v>34890.9</v>
      </c>
      <c r="M46" s="109">
        <f>+'[1]Monthly Data-Disposal Fees'!M43</f>
        <v>0</v>
      </c>
      <c r="N46" s="109">
        <f>+'[1]Monthly Data-Disposal Fees'!N43</f>
        <v>0</v>
      </c>
      <c r="O46" s="109">
        <f>+'[1]Monthly Data-Disposal Fees'!O43</f>
        <v>0</v>
      </c>
      <c r="P46" s="109">
        <f>+'[1]Monthly Data-Disposal Fees'!P43</f>
        <v>0</v>
      </c>
      <c r="Q46" s="6">
        <f t="shared" si="5"/>
        <v>34890.9</v>
      </c>
    </row>
    <row r="47" spans="1:17" ht="12.75">
      <c r="A47" t="s">
        <v>303</v>
      </c>
      <c r="C47" s="107">
        <f>+'[1]Monthly Data-Disposal Fees'!C44</f>
        <v>949</v>
      </c>
      <c r="D47" s="107">
        <f>+'[1]Monthly Data-Disposal Fees'!D44</f>
        <v>6</v>
      </c>
      <c r="E47" s="107">
        <f>+'[1]Monthly Data-Disposal Fees'!E44</f>
        <v>0</v>
      </c>
      <c r="F47" s="107">
        <f>+'[1]Monthly Data-Disposal Fees'!F44</f>
        <v>0</v>
      </c>
      <c r="G47" s="107">
        <f>+'[1]Monthly Data-Disposal Fees'!G44</f>
        <v>0</v>
      </c>
      <c r="H47" s="53">
        <f t="shared" si="4"/>
        <v>955</v>
      </c>
      <c r="J47" t="s">
        <v>303</v>
      </c>
      <c r="L47" s="109">
        <f>+'[1]Monthly Data-Disposal Fees'!L44</f>
        <v>34135.53</v>
      </c>
      <c r="M47" s="109">
        <f>+'[1]Monthly Data-Disposal Fees'!M44</f>
        <v>215.82</v>
      </c>
      <c r="N47" s="109">
        <f>+'[1]Monthly Data-Disposal Fees'!N44</f>
        <v>0</v>
      </c>
      <c r="O47" s="109">
        <f>+'[1]Monthly Data-Disposal Fees'!O44</f>
        <v>0</v>
      </c>
      <c r="P47" s="109">
        <f>+'[1]Monthly Data-Disposal Fees'!P44</f>
        <v>0</v>
      </c>
      <c r="Q47" s="6">
        <f t="shared" si="5"/>
        <v>34351.35</v>
      </c>
    </row>
    <row r="48" spans="1:17" ht="12.75">
      <c r="A48" t="s">
        <v>304</v>
      </c>
      <c r="C48" s="107">
        <f>+'[1]Monthly Data-Disposal Fees'!C45</f>
        <v>801</v>
      </c>
      <c r="D48" s="107">
        <f>+'[1]Monthly Data-Disposal Fees'!D45</f>
        <v>0</v>
      </c>
      <c r="E48" s="107">
        <f>+'[1]Monthly Data-Disposal Fees'!E45</f>
        <v>8</v>
      </c>
      <c r="F48" s="107">
        <f>+'[1]Monthly Data-Disposal Fees'!F45</f>
        <v>4</v>
      </c>
      <c r="G48" s="107">
        <f>+'[1]Monthly Data-Disposal Fees'!G45</f>
        <v>8</v>
      </c>
      <c r="H48" s="53">
        <f t="shared" si="4"/>
        <v>821</v>
      </c>
      <c r="J48" t="s">
        <v>304</v>
      </c>
      <c r="L48" s="109">
        <f>+'[1]Monthly Data-Disposal Fees'!L45</f>
        <v>28811.97</v>
      </c>
      <c r="M48" s="109">
        <f>+'[1]Monthly Data-Disposal Fees'!M45</f>
        <v>0</v>
      </c>
      <c r="N48" s="109">
        <f>+'[1]Monthly Data-Disposal Fees'!N45</f>
        <v>287.76</v>
      </c>
      <c r="O48" s="109">
        <f>+'[1]Monthly Data-Disposal Fees'!O45</f>
        <v>143.88</v>
      </c>
      <c r="P48" s="109">
        <f>+'[1]Monthly Data-Disposal Fees'!P45</f>
        <v>287.76</v>
      </c>
      <c r="Q48" s="6">
        <f t="shared" si="5"/>
        <v>29531.37</v>
      </c>
    </row>
    <row r="49" spans="1:17" ht="13.5" thickBot="1">
      <c r="A49" t="s">
        <v>305</v>
      </c>
      <c r="C49" s="108">
        <f>+'[1]Monthly Data-Disposal Fees'!C46</f>
        <v>644</v>
      </c>
      <c r="D49" s="108">
        <f>+'[1]Monthly Data-Disposal Fees'!D46</f>
        <v>9</v>
      </c>
      <c r="E49" s="108">
        <f>+'[1]Monthly Data-Disposal Fees'!E46</f>
        <v>0</v>
      </c>
      <c r="F49" s="108">
        <f>+'[1]Monthly Data-Disposal Fees'!F46</f>
        <v>0</v>
      </c>
      <c r="G49" s="108">
        <f>+'[1]Monthly Data-Disposal Fees'!G46</f>
        <v>0</v>
      </c>
      <c r="H49" s="54">
        <f t="shared" si="4"/>
        <v>653</v>
      </c>
      <c r="J49" t="s">
        <v>305</v>
      </c>
      <c r="L49" s="110">
        <f>+'[1]Monthly Data-Disposal Fees'!L46</f>
        <v>23164.68</v>
      </c>
      <c r="M49" s="110">
        <f>+'[1]Monthly Data-Disposal Fees'!M46</f>
        <v>323.73</v>
      </c>
      <c r="N49" s="110">
        <f>+'[1]Monthly Data-Disposal Fees'!N46</f>
        <v>0</v>
      </c>
      <c r="O49" s="110">
        <f>+'[1]Monthly Data-Disposal Fees'!O46</f>
        <v>0</v>
      </c>
      <c r="P49" s="110">
        <f>+'[1]Monthly Data-Disposal Fees'!P46</f>
        <v>0</v>
      </c>
      <c r="Q49" s="7">
        <f t="shared" si="5"/>
        <v>23488.41</v>
      </c>
    </row>
    <row r="50" spans="3:17" ht="12.75">
      <c r="C50" s="53"/>
      <c r="D50" s="53"/>
      <c r="E50" s="53"/>
      <c r="F50" s="53"/>
      <c r="G50" s="53"/>
      <c r="H50" s="53"/>
      <c r="L50" s="6"/>
      <c r="M50" s="6"/>
      <c r="N50" s="6"/>
      <c r="O50" s="6"/>
      <c r="P50" s="6"/>
      <c r="Q50" s="6"/>
    </row>
    <row r="51" spans="2:17" ht="13.5" thickBot="1">
      <c r="B51" t="s">
        <v>1</v>
      </c>
      <c r="C51" s="56">
        <f aca="true" t="shared" si="6" ref="C51:H51">SUM(C38:C49)</f>
        <v>9965</v>
      </c>
      <c r="D51" s="56">
        <f t="shared" si="6"/>
        <v>93</v>
      </c>
      <c r="E51" s="56">
        <f t="shared" si="6"/>
        <v>8</v>
      </c>
      <c r="F51" s="56">
        <f t="shared" si="6"/>
        <v>4</v>
      </c>
      <c r="G51" s="56">
        <f t="shared" si="6"/>
        <v>14</v>
      </c>
      <c r="H51" s="56">
        <f t="shared" si="6"/>
        <v>10084</v>
      </c>
      <c r="K51" t="s">
        <v>1</v>
      </c>
      <c r="L51" s="8">
        <f aca="true" t="shared" si="7" ref="L51:Q51">SUM(L38:L49)</f>
        <v>358441.05</v>
      </c>
      <c r="M51" s="8">
        <f t="shared" si="7"/>
        <v>3345.21</v>
      </c>
      <c r="N51" s="8">
        <f t="shared" si="7"/>
        <v>287.76</v>
      </c>
      <c r="O51" s="8">
        <f t="shared" si="7"/>
        <v>143.88</v>
      </c>
      <c r="P51" s="8">
        <f t="shared" si="7"/>
        <v>503.58</v>
      </c>
      <c r="Q51" s="8">
        <f t="shared" si="7"/>
        <v>362721.48</v>
      </c>
    </row>
    <row r="52" ht="13.5" thickTop="1"/>
    <row r="53" spans="3:17" ht="13.5" thickBot="1">
      <c r="C53" s="13">
        <f>+C51/H51</f>
        <v>0.9881991273304245</v>
      </c>
      <c r="D53" s="13">
        <f>+D51/H51</f>
        <v>0.009222530741769139</v>
      </c>
      <c r="E53" s="13">
        <f>+E51/H51</f>
        <v>0.0007933359777865926</v>
      </c>
      <c r="F53" s="13">
        <f>+F51/H51</f>
        <v>0.0003966679888932963</v>
      </c>
      <c r="G53" s="13">
        <f>+G51/H51</f>
        <v>0.001388337961126537</v>
      </c>
      <c r="H53" s="13">
        <f>SUM(C53:G53)</f>
        <v>1</v>
      </c>
      <c r="L53" s="13">
        <f>+L51/Q51</f>
        <v>0.9881991273304245</v>
      </c>
      <c r="M53" s="13">
        <f>+M51/Q51</f>
        <v>0.00922253074176914</v>
      </c>
      <c r="N53" s="13">
        <f>+N51/Q51</f>
        <v>0.0007933359777865926</v>
      </c>
      <c r="O53" s="13">
        <f>+O51/Q51</f>
        <v>0.0003966679888932963</v>
      </c>
      <c r="P53" s="13">
        <f>+P51/Q51</f>
        <v>0.0013883379611265372</v>
      </c>
      <c r="Q53" s="13">
        <f>SUM(L53:P53)</f>
        <v>1</v>
      </c>
    </row>
    <row r="54" ht="13.5" thickTop="1"/>
    <row r="55" spans="11:14" ht="13.5" thickBot="1">
      <c r="K55" t="s">
        <v>306</v>
      </c>
      <c r="L55" s="13">
        <f>+L51/SUM(L51:N51)</f>
        <v>0.9899662229286706</v>
      </c>
      <c r="M55" s="13">
        <f>+M51/SUM(L51:N51)</f>
        <v>0.009239022451818001</v>
      </c>
      <c r="N55" s="13">
        <f>1-L55-M55</f>
        <v>0.0007947546195113519</v>
      </c>
    </row>
    <row r="56" ht="13.5" thickTop="1"/>
  </sheetData>
  <sheetProtection/>
  <printOptions/>
  <pageMargins left="0.25" right="0.25" top="0.25" bottom="0.25" header="0.5" footer="0.5"/>
  <pageSetup fitToHeight="1" fitToWidth="1" horizontalDpi="300" verticalDpi="3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8"/>
  <sheetViews>
    <sheetView workbookViewId="0" topLeftCell="A1">
      <pane xSplit="3120" topLeftCell="K1" activePane="topRight" state="split"/>
      <selection pane="topLeft" activeCell="A20" sqref="A20:A22"/>
      <selection pane="topRight" activeCell="A20" sqref="A20:A22"/>
    </sheetView>
  </sheetViews>
  <sheetFormatPr defaultColWidth="9.140625" defaultRowHeight="12.75"/>
  <cols>
    <col min="1" max="1" width="18.8515625" style="0" customWidth="1"/>
    <col min="2" max="2" width="7.140625" style="0" customWidth="1"/>
    <col min="3" max="3" width="10.00390625" style="0" customWidth="1"/>
    <col min="4" max="4" width="9.140625" style="0" customWidth="1"/>
    <col min="5" max="5" width="11.57421875" style="0" customWidth="1"/>
    <col min="6" max="6" width="9.421875" style="0" customWidth="1"/>
    <col min="7" max="7" width="8.8515625" style="0" customWidth="1"/>
    <col min="8" max="8" width="13.8515625" style="0" customWidth="1"/>
    <col min="9" max="9" width="9.421875" style="0" customWidth="1"/>
    <col min="10" max="10" width="13.57421875" style="0" customWidth="1"/>
    <col min="11" max="11" width="7.421875" style="0" customWidth="1"/>
    <col min="12" max="12" width="10.00390625" style="0" customWidth="1"/>
    <col min="13" max="13" width="9.7109375" style="0" customWidth="1"/>
    <col min="14" max="14" width="11.57421875" style="0" customWidth="1"/>
    <col min="15" max="16" width="8.57421875" style="0" customWidth="1"/>
    <col min="17" max="17" width="11.421875" style="0" customWidth="1"/>
    <col min="18" max="18" width="9.421875" style="0" customWidth="1"/>
    <col min="19" max="19" width="12.28125" style="0" customWidth="1"/>
    <col min="20" max="20" width="8.140625" style="0" customWidth="1"/>
    <col min="21" max="21" width="6.8515625" style="0" customWidth="1"/>
    <col min="22" max="22" width="8.57421875" style="0" customWidth="1"/>
    <col min="23" max="23" width="11.57421875" style="0" customWidth="1"/>
    <col min="24" max="24" width="8.57421875" style="0" customWidth="1"/>
    <col min="25" max="25" width="8.421875" style="0" customWidth="1"/>
    <col min="26" max="26" width="11.421875" style="0" customWidth="1"/>
    <col min="27" max="27" width="9.421875" style="0" customWidth="1"/>
    <col min="28" max="28" width="12.28125" style="0" customWidth="1"/>
    <col min="29" max="29" width="12.00390625" style="0" customWidth="1"/>
    <col min="31" max="31" width="13.140625" style="0" customWidth="1"/>
    <col min="32" max="32" width="14.140625" style="0" customWidth="1"/>
  </cols>
  <sheetData>
    <row r="1" ht="12.75">
      <c r="A1" t="s">
        <v>0</v>
      </c>
    </row>
    <row r="2" spans="1:5" ht="12.75">
      <c r="A2" t="s">
        <v>191</v>
      </c>
      <c r="E2" t="s">
        <v>320</v>
      </c>
    </row>
    <row r="3" spans="1:5" ht="12.75">
      <c r="A3" s="132" t="s">
        <v>355</v>
      </c>
      <c r="E3" t="s">
        <v>319</v>
      </c>
    </row>
    <row r="5" spans="3:28" ht="13.5" thickBot="1">
      <c r="C5" s="51" t="s">
        <v>194</v>
      </c>
      <c r="D5" s="5"/>
      <c r="E5" s="5"/>
      <c r="F5" s="51" t="s">
        <v>194</v>
      </c>
      <c r="G5" s="5"/>
      <c r="H5" s="5"/>
      <c r="I5" s="51" t="s">
        <v>314</v>
      </c>
      <c r="J5" s="5"/>
      <c r="L5" s="51" t="s">
        <v>241</v>
      </c>
      <c r="M5" s="5"/>
      <c r="N5" s="5"/>
      <c r="O5" s="51" t="s">
        <v>241</v>
      </c>
      <c r="P5" s="5"/>
      <c r="Q5" s="5"/>
      <c r="R5" s="51" t="s">
        <v>316</v>
      </c>
      <c r="S5" s="5"/>
      <c r="U5" s="51" t="s">
        <v>317</v>
      </c>
      <c r="V5" s="5"/>
      <c r="W5" s="5"/>
      <c r="X5" s="51" t="s">
        <v>317</v>
      </c>
      <c r="Y5" s="5"/>
      <c r="Z5" s="5"/>
      <c r="AA5" s="51" t="s">
        <v>318</v>
      </c>
      <c r="AB5" s="5"/>
    </row>
    <row r="6" spans="3:30" ht="13.5" thickBot="1">
      <c r="C6" s="51" t="s">
        <v>348</v>
      </c>
      <c r="D6" s="5"/>
      <c r="E6" s="5"/>
      <c r="F6" s="51" t="s">
        <v>349</v>
      </c>
      <c r="G6" s="5"/>
      <c r="H6" s="5"/>
      <c r="I6" s="51" t="s">
        <v>315</v>
      </c>
      <c r="J6" s="5"/>
      <c r="L6" s="51" t="s">
        <v>345</v>
      </c>
      <c r="M6" s="5"/>
      <c r="N6" s="5"/>
      <c r="O6" s="51" t="s">
        <v>344</v>
      </c>
      <c r="P6" s="5"/>
      <c r="Q6" s="5"/>
      <c r="R6" s="51" t="s">
        <v>315</v>
      </c>
      <c r="S6" s="5"/>
      <c r="T6" s="17"/>
      <c r="U6" s="51" t="s">
        <v>343</v>
      </c>
      <c r="V6" s="5"/>
      <c r="W6" s="5"/>
      <c r="X6" s="51" t="s">
        <v>344</v>
      </c>
      <c r="Y6" s="5"/>
      <c r="Z6" s="5"/>
      <c r="AA6" s="51" t="s">
        <v>315</v>
      </c>
      <c r="AB6" s="5"/>
      <c r="AC6" s="17"/>
      <c r="AD6" s="2" t="s">
        <v>1</v>
      </c>
    </row>
    <row r="7" spans="3:30" ht="12.75">
      <c r="C7" s="2"/>
      <c r="D7" s="2"/>
      <c r="E7" s="2"/>
      <c r="F7" s="2"/>
      <c r="G7" s="2"/>
      <c r="H7" s="2"/>
      <c r="I7" s="123" t="s">
        <v>313</v>
      </c>
      <c r="J7" s="124"/>
      <c r="L7" s="2"/>
      <c r="M7" s="2"/>
      <c r="N7" s="2"/>
      <c r="O7" s="2"/>
      <c r="P7" s="2"/>
      <c r="Q7" s="2"/>
      <c r="R7" s="123" t="s">
        <v>313</v>
      </c>
      <c r="S7" s="124"/>
      <c r="T7" s="17"/>
      <c r="U7" s="2"/>
      <c r="V7" s="2"/>
      <c r="W7" s="2"/>
      <c r="X7" s="2"/>
      <c r="Y7" s="2"/>
      <c r="Z7" s="2"/>
      <c r="AA7" s="123" t="s">
        <v>313</v>
      </c>
      <c r="AB7" s="124"/>
      <c r="AC7" s="75"/>
      <c r="AD7" s="75" t="s">
        <v>351</v>
      </c>
    </row>
    <row r="8" spans="1:31" ht="13.5" thickBot="1">
      <c r="A8" s="5" t="s">
        <v>192</v>
      </c>
      <c r="B8" s="5"/>
      <c r="C8" s="19" t="s">
        <v>173</v>
      </c>
      <c r="D8" s="19" t="s">
        <v>80</v>
      </c>
      <c r="E8" s="19" t="s">
        <v>1</v>
      </c>
      <c r="F8" s="19" t="s">
        <v>173</v>
      </c>
      <c r="G8" s="19" t="s">
        <v>80</v>
      </c>
      <c r="H8" s="19" t="s">
        <v>1</v>
      </c>
      <c r="I8" s="73" t="s">
        <v>173</v>
      </c>
      <c r="J8" s="74" t="s">
        <v>1</v>
      </c>
      <c r="L8" s="19" t="s">
        <v>173</v>
      </c>
      <c r="M8" s="19" t="s">
        <v>80</v>
      </c>
      <c r="N8" s="19" t="s">
        <v>1</v>
      </c>
      <c r="O8" s="19" t="s">
        <v>173</v>
      </c>
      <c r="P8" s="19" t="s">
        <v>80</v>
      </c>
      <c r="Q8" s="19" t="s">
        <v>1</v>
      </c>
      <c r="R8" s="73" t="s">
        <v>173</v>
      </c>
      <c r="S8" s="74" t="s">
        <v>1</v>
      </c>
      <c r="T8" s="17"/>
      <c r="U8" s="19" t="s">
        <v>173</v>
      </c>
      <c r="V8" s="19" t="s">
        <v>80</v>
      </c>
      <c r="W8" s="19" t="s">
        <v>1</v>
      </c>
      <c r="X8" s="19" t="s">
        <v>173</v>
      </c>
      <c r="Y8" s="19" t="s">
        <v>80</v>
      </c>
      <c r="Z8" s="19" t="s">
        <v>1</v>
      </c>
      <c r="AA8" s="73" t="s">
        <v>173</v>
      </c>
      <c r="AB8" s="74" t="s">
        <v>1</v>
      </c>
      <c r="AC8" s="75"/>
      <c r="AD8" s="62" t="s">
        <v>173</v>
      </c>
      <c r="AE8" s="62" t="s">
        <v>1</v>
      </c>
    </row>
    <row r="9" spans="1:29" ht="12.75">
      <c r="A9" t="s">
        <v>195</v>
      </c>
      <c r="I9" s="77"/>
      <c r="J9" s="79"/>
      <c r="R9" s="77"/>
      <c r="S9" s="79"/>
      <c r="T9" s="17"/>
      <c r="AA9" s="77"/>
      <c r="AB9" s="79"/>
      <c r="AC9" s="17"/>
    </row>
    <row r="10" spans="1:34" ht="12.75">
      <c r="A10" t="s">
        <v>274</v>
      </c>
      <c r="C10" s="53">
        <f>+'[1]Service Count Data'!$X$52</f>
        <v>0</v>
      </c>
      <c r="D10" s="82">
        <v>14.72</v>
      </c>
      <c r="E10" s="52">
        <f>+C10*D10</f>
        <v>0</v>
      </c>
      <c r="F10" s="53">
        <f>+'[1]Service Count Data'!$AD$52</f>
        <v>12</v>
      </c>
      <c r="G10" s="82">
        <v>14.72</v>
      </c>
      <c r="H10" s="52">
        <f aca="true" t="shared" si="0" ref="H10:H33">+F10*G10</f>
        <v>176.64000000000001</v>
      </c>
      <c r="I10" s="112">
        <f>+C10+F10</f>
        <v>12</v>
      </c>
      <c r="J10" s="114">
        <f>+E10+H10</f>
        <v>176.64000000000001</v>
      </c>
      <c r="L10" s="53">
        <f>+'[1]Service Count Data'!$X$53</f>
        <v>0</v>
      </c>
      <c r="M10" s="104">
        <v>13.65</v>
      </c>
      <c r="N10" s="52">
        <f>+L10*M10</f>
        <v>0</v>
      </c>
      <c r="O10" s="53">
        <f>+'[1]Service Count Data'!$AD$53</f>
        <v>0</v>
      </c>
      <c r="P10" s="104">
        <v>13.65</v>
      </c>
      <c r="Q10" s="52">
        <f>+O10*P10</f>
        <v>0</v>
      </c>
      <c r="R10" s="112">
        <f>+L10+O10</f>
        <v>0</v>
      </c>
      <c r="S10" s="114">
        <f>+N10+Q10</f>
        <v>0</v>
      </c>
      <c r="U10" s="53">
        <f>+'[1]Service Count Data'!$X$54</f>
        <v>0</v>
      </c>
      <c r="V10" s="104">
        <v>13.65</v>
      </c>
      <c r="W10" s="52">
        <f>+U10*V10</f>
        <v>0</v>
      </c>
      <c r="X10" s="53">
        <f>+'[1]Service Count Data'!$AD$54</f>
        <v>0</v>
      </c>
      <c r="Y10" s="104">
        <v>13.65</v>
      </c>
      <c r="Z10" s="52">
        <f>+X10*Y10</f>
        <v>0</v>
      </c>
      <c r="AA10" s="112">
        <f>+U10+X10</f>
        <v>0</v>
      </c>
      <c r="AB10" s="114">
        <f>+W10+Z10</f>
        <v>0</v>
      </c>
      <c r="AC10" s="52">
        <f>+R10+AA10</f>
        <v>0</v>
      </c>
      <c r="AD10" s="53">
        <f>+I10+R10+AA10</f>
        <v>12</v>
      </c>
      <c r="AE10" s="52">
        <f>+J10+S10+AB10</f>
        <v>176.64000000000001</v>
      </c>
      <c r="AH10" s="53">
        <f>+R10+AA10</f>
        <v>0</v>
      </c>
    </row>
    <row r="11" spans="1:34" ht="12.75">
      <c r="A11" t="s">
        <v>196</v>
      </c>
      <c r="C11" s="53">
        <f>+'[1]Service Count Data'!$X$55</f>
        <v>0</v>
      </c>
      <c r="D11" s="82">
        <v>8.69</v>
      </c>
      <c r="E11" s="52">
        <f>+C11*D11</f>
        <v>0</v>
      </c>
      <c r="F11" s="53">
        <f>+'[1]Service Count Data'!$AD$55</f>
        <v>53</v>
      </c>
      <c r="G11" s="82">
        <v>8.69</v>
      </c>
      <c r="H11" s="52">
        <f t="shared" si="0"/>
        <v>460.57</v>
      </c>
      <c r="I11" s="112">
        <f>+C11+F11</f>
        <v>53</v>
      </c>
      <c r="J11" s="115">
        <f>+E11+H11</f>
        <v>460.57</v>
      </c>
      <c r="L11" s="53">
        <f>+'[1]Service Count Data'!$X$56</f>
        <v>0</v>
      </c>
      <c r="M11" s="104">
        <v>8.75</v>
      </c>
      <c r="N11" s="52">
        <f>+L11*M11</f>
        <v>0</v>
      </c>
      <c r="O11" s="53">
        <f>+'[1]Service Count Data'!$AD$56</f>
        <v>0</v>
      </c>
      <c r="P11" s="104">
        <v>8.75</v>
      </c>
      <c r="Q11" s="52">
        <f>+O11*P11</f>
        <v>0</v>
      </c>
      <c r="R11" s="112">
        <f>+L11+O11</f>
        <v>0</v>
      </c>
      <c r="S11" s="115">
        <f>+N11+Q11</f>
        <v>0</v>
      </c>
      <c r="U11" s="53">
        <f>+'[1]Service Count Data'!$X$57</f>
        <v>0</v>
      </c>
      <c r="V11" s="104">
        <v>8.75</v>
      </c>
      <c r="W11" s="52">
        <f>+U11*V11</f>
        <v>0</v>
      </c>
      <c r="X11" s="53">
        <f>+'[1]Service Count Data'!$AD$57</f>
        <v>14</v>
      </c>
      <c r="Y11" s="104">
        <v>8.75</v>
      </c>
      <c r="Z11" s="52">
        <f>+X11*Y11</f>
        <v>122.5</v>
      </c>
      <c r="AA11" s="112">
        <f aca="true" t="shared" si="1" ref="AA11:AA33">+U11+X11</f>
        <v>14</v>
      </c>
      <c r="AB11" s="115">
        <f>+W11+Z11</f>
        <v>122.5</v>
      </c>
      <c r="AC11" s="53">
        <f aca="true" t="shared" si="2" ref="AC11:AC73">+R11+AA11</f>
        <v>14</v>
      </c>
      <c r="AD11" s="53">
        <f aca="true" t="shared" si="3" ref="AD11:AD33">+I11+R11+AA11</f>
        <v>67</v>
      </c>
      <c r="AE11" s="6">
        <f>+J11+S11+AB11</f>
        <v>583.0699999999999</v>
      </c>
      <c r="AH11" s="53">
        <f aca="true" t="shared" si="4" ref="AH11:AH33">+R11+AA11</f>
        <v>14</v>
      </c>
    </row>
    <row r="12" spans="1:34" ht="12.75">
      <c r="A12" t="s">
        <v>197</v>
      </c>
      <c r="C12" s="53">
        <f>+'[1]Service Count Data'!$X$58</f>
        <v>0</v>
      </c>
      <c r="D12" s="82">
        <v>12.69</v>
      </c>
      <c r="E12" s="6">
        <f>+C12*D12</f>
        <v>0</v>
      </c>
      <c r="F12" s="53">
        <f>+'[1]Service Count Data'!$AD$58</f>
        <v>16</v>
      </c>
      <c r="G12" s="82">
        <v>12.69</v>
      </c>
      <c r="H12" s="6">
        <f t="shared" si="0"/>
        <v>203.04</v>
      </c>
      <c r="I12" s="112">
        <f aca="true" t="shared" si="5" ref="I12:I33">+C12+F12</f>
        <v>16</v>
      </c>
      <c r="J12" s="115">
        <f aca="true" t="shared" si="6" ref="J12:J33">+E12+H12</f>
        <v>203.04</v>
      </c>
      <c r="L12" s="53">
        <f>+'[1]Service Count Data'!$X$59</f>
        <v>0</v>
      </c>
      <c r="M12" s="104">
        <v>12.6</v>
      </c>
      <c r="N12" s="6">
        <f>+L12*M12</f>
        <v>0</v>
      </c>
      <c r="O12" s="53">
        <f>+'[1]Service Count Data'!$AD$59</f>
        <v>0</v>
      </c>
      <c r="P12" s="104">
        <v>12.6</v>
      </c>
      <c r="Q12" s="6">
        <f>+O12*P12</f>
        <v>0</v>
      </c>
      <c r="R12" s="112">
        <f aca="true" t="shared" si="7" ref="R12:R33">+L12+O12</f>
        <v>0</v>
      </c>
      <c r="S12" s="115">
        <f aca="true" t="shared" si="8" ref="S12:S33">+N12+Q12</f>
        <v>0</v>
      </c>
      <c r="U12" s="53">
        <f>+'[1]Service Count Data'!$X$60</f>
        <v>0</v>
      </c>
      <c r="V12" s="104">
        <v>12.6</v>
      </c>
      <c r="W12" s="6">
        <f>+U12*V12</f>
        <v>0</v>
      </c>
      <c r="X12" s="53">
        <f>+'[1]Service Count Data'!$AD$60</f>
        <v>0</v>
      </c>
      <c r="Y12" s="104">
        <v>12.6</v>
      </c>
      <c r="Z12" s="6">
        <f>+X12*Y12</f>
        <v>0</v>
      </c>
      <c r="AA12" s="112">
        <f t="shared" si="1"/>
        <v>0</v>
      </c>
      <c r="AB12" s="115">
        <f aca="true" t="shared" si="9" ref="AB12:AB33">+W12+Z12</f>
        <v>0</v>
      </c>
      <c r="AC12" s="53">
        <f t="shared" si="2"/>
        <v>0</v>
      </c>
      <c r="AD12" s="53">
        <f t="shared" si="3"/>
        <v>16</v>
      </c>
      <c r="AE12" s="6">
        <f aca="true" t="shared" si="10" ref="AE12:AE33">+J12+S12+AB12</f>
        <v>203.04</v>
      </c>
      <c r="AH12" s="53">
        <f t="shared" si="4"/>
        <v>0</v>
      </c>
    </row>
    <row r="13" spans="1:34" ht="12.75">
      <c r="A13" t="s">
        <v>198</v>
      </c>
      <c r="C13" s="53">
        <f>+'[1]Service Count Data'!$X$61</f>
        <v>0</v>
      </c>
      <c r="D13" s="82">
        <v>16.69</v>
      </c>
      <c r="E13" s="6">
        <f aca="true" t="shared" si="11" ref="E13:E33">+C13*D13</f>
        <v>0</v>
      </c>
      <c r="F13" s="53">
        <f>+'[1]Service Count Data'!$AD$61</f>
        <v>1</v>
      </c>
      <c r="G13" s="82">
        <v>16.69</v>
      </c>
      <c r="H13" s="6">
        <f t="shared" si="0"/>
        <v>16.69</v>
      </c>
      <c r="I13" s="112">
        <f t="shared" si="5"/>
        <v>1</v>
      </c>
      <c r="J13" s="115">
        <f t="shared" si="6"/>
        <v>16.69</v>
      </c>
      <c r="L13" s="53">
        <f>+'[1]Service Count Data'!$X$62</f>
        <v>0</v>
      </c>
      <c r="M13" s="104">
        <v>16.45</v>
      </c>
      <c r="N13" s="6">
        <f aca="true" t="shared" si="12" ref="N13:N33">+L13*M13</f>
        <v>0</v>
      </c>
      <c r="O13" s="53">
        <f>+'[1]Service Count Data'!$AD$62</f>
        <v>0</v>
      </c>
      <c r="P13" s="104">
        <v>16.45</v>
      </c>
      <c r="Q13" s="6">
        <f aca="true" t="shared" si="13" ref="Q13:Q33">+O13*P13</f>
        <v>0</v>
      </c>
      <c r="R13" s="112">
        <f t="shared" si="7"/>
        <v>0</v>
      </c>
      <c r="S13" s="115">
        <f t="shared" si="8"/>
        <v>0</v>
      </c>
      <c r="U13" s="53">
        <f>+'[1]Service Count Data'!$X$63</f>
        <v>0</v>
      </c>
      <c r="V13" s="104">
        <v>16.45</v>
      </c>
      <c r="W13" s="6">
        <f aca="true" t="shared" si="14" ref="W13:W33">+U13*V13</f>
        <v>0</v>
      </c>
      <c r="X13" s="53">
        <f>+'[1]Service Count Data'!$AD$63</f>
        <v>0</v>
      </c>
      <c r="Y13" s="104">
        <v>16.45</v>
      </c>
      <c r="Z13" s="6">
        <f aca="true" t="shared" si="15" ref="Z13:Z33">+X13*Y13</f>
        <v>0</v>
      </c>
      <c r="AA13" s="112">
        <f t="shared" si="1"/>
        <v>0</v>
      </c>
      <c r="AB13" s="115">
        <f t="shared" si="9"/>
        <v>0</v>
      </c>
      <c r="AC13" s="53">
        <f t="shared" si="2"/>
        <v>0</v>
      </c>
      <c r="AD13" s="53">
        <f t="shared" si="3"/>
        <v>1</v>
      </c>
      <c r="AE13" s="6">
        <f t="shared" si="10"/>
        <v>16.69</v>
      </c>
      <c r="AH13" s="53">
        <f t="shared" si="4"/>
        <v>0</v>
      </c>
    </row>
    <row r="14" spans="1:34" ht="12.75">
      <c r="A14" t="s">
        <v>199</v>
      </c>
      <c r="C14" s="53">
        <f>+'[1]Service Count Data'!$X$10</f>
        <v>0</v>
      </c>
      <c r="D14" s="82">
        <v>18.1</v>
      </c>
      <c r="E14" s="6">
        <f t="shared" si="11"/>
        <v>0</v>
      </c>
      <c r="F14" s="53">
        <f>+'[1]Service Count Data'!$AD$10</f>
        <v>780</v>
      </c>
      <c r="G14" s="82">
        <v>18.1</v>
      </c>
      <c r="H14" s="6">
        <f t="shared" si="0"/>
        <v>14118.000000000002</v>
      </c>
      <c r="I14" s="112">
        <f t="shared" si="5"/>
        <v>780</v>
      </c>
      <c r="J14" s="115">
        <f t="shared" si="6"/>
        <v>14118.000000000002</v>
      </c>
      <c r="L14" s="53">
        <f>+'[1]Service Count Data'!$X$11</f>
        <v>0</v>
      </c>
      <c r="M14" s="104">
        <v>16.35</v>
      </c>
      <c r="N14" s="6">
        <f t="shared" si="12"/>
        <v>0</v>
      </c>
      <c r="O14" s="53">
        <f>+'[1]Service Count Data'!$AD$11</f>
        <v>539.8</v>
      </c>
      <c r="P14" s="104">
        <v>16.35</v>
      </c>
      <c r="Q14" s="6">
        <f t="shared" si="13"/>
        <v>8825.73</v>
      </c>
      <c r="R14" s="112">
        <f t="shared" si="7"/>
        <v>539.8</v>
      </c>
      <c r="S14" s="115">
        <f t="shared" si="8"/>
        <v>8825.73</v>
      </c>
      <c r="U14" s="53">
        <f>+'[1]Service Count Data'!$X$12</f>
        <v>0</v>
      </c>
      <c r="V14" s="104">
        <v>16.35</v>
      </c>
      <c r="W14" s="6">
        <f t="shared" si="14"/>
        <v>0</v>
      </c>
      <c r="X14" s="53">
        <f>+'[1]Service Count Data'!$AD$12</f>
        <v>420.0592378752887</v>
      </c>
      <c r="Y14" s="104">
        <v>16.35</v>
      </c>
      <c r="Z14" s="6">
        <f t="shared" si="15"/>
        <v>6867.968539260971</v>
      </c>
      <c r="AA14" s="112">
        <f t="shared" si="1"/>
        <v>420.0592378752887</v>
      </c>
      <c r="AB14" s="115">
        <f t="shared" si="9"/>
        <v>6867.968539260971</v>
      </c>
      <c r="AC14" s="53">
        <f t="shared" si="2"/>
        <v>959.8592378752887</v>
      </c>
      <c r="AD14" s="53">
        <f t="shared" si="3"/>
        <v>1739.8592378752887</v>
      </c>
      <c r="AE14" s="6">
        <f t="shared" si="10"/>
        <v>29811.698539260975</v>
      </c>
      <c r="AH14" s="53">
        <f t="shared" si="4"/>
        <v>959.8592378752887</v>
      </c>
    </row>
    <row r="15" spans="1:34" ht="12.75">
      <c r="A15" t="s">
        <v>201</v>
      </c>
      <c r="C15" s="53">
        <f>+'[1]Service Count Data'!$X$13</f>
        <v>0</v>
      </c>
      <c r="D15" s="82">
        <v>22.25</v>
      </c>
      <c r="E15" s="6">
        <f t="shared" si="11"/>
        <v>0</v>
      </c>
      <c r="F15" s="53">
        <f>+'[1]Service Count Data'!$AD$13</f>
        <v>327.35</v>
      </c>
      <c r="G15" s="82">
        <v>22.25</v>
      </c>
      <c r="H15" s="6">
        <f t="shared" si="0"/>
        <v>7283.5375</v>
      </c>
      <c r="I15" s="112">
        <f t="shared" si="5"/>
        <v>327.35</v>
      </c>
      <c r="J15" s="115">
        <f t="shared" si="6"/>
        <v>7283.5375</v>
      </c>
      <c r="L15" s="53">
        <f>+'[1]Service Count Data'!$X$14</f>
        <v>0</v>
      </c>
      <c r="M15" s="104">
        <v>20.55</v>
      </c>
      <c r="N15" s="6">
        <f t="shared" si="12"/>
        <v>0</v>
      </c>
      <c r="O15" s="53">
        <f>+'[1]Service Count Data'!$AD$14</f>
        <v>773.7</v>
      </c>
      <c r="P15" s="104">
        <v>20.55</v>
      </c>
      <c r="Q15" s="6">
        <f t="shared" si="13"/>
        <v>15899.535000000002</v>
      </c>
      <c r="R15" s="112">
        <f t="shared" si="7"/>
        <v>773.7</v>
      </c>
      <c r="S15" s="115">
        <f t="shared" si="8"/>
        <v>15899.535000000002</v>
      </c>
      <c r="U15" s="53">
        <f>+'[1]Service Count Data'!$X$15</f>
        <v>0</v>
      </c>
      <c r="V15" s="104">
        <v>20.55</v>
      </c>
      <c r="W15" s="6">
        <f t="shared" si="14"/>
        <v>0</v>
      </c>
      <c r="X15" s="53">
        <f>+'[1]Service Count Data'!$AD$15</f>
        <v>654.2017321016167</v>
      </c>
      <c r="Y15" s="104">
        <v>20.55</v>
      </c>
      <c r="Z15" s="6">
        <f t="shared" si="15"/>
        <v>13443.845594688224</v>
      </c>
      <c r="AA15" s="112">
        <f t="shared" si="1"/>
        <v>654.2017321016167</v>
      </c>
      <c r="AB15" s="115">
        <f t="shared" si="9"/>
        <v>13443.845594688224</v>
      </c>
      <c r="AC15" s="53">
        <f t="shared" si="2"/>
        <v>1427.9017321016167</v>
      </c>
      <c r="AD15" s="53">
        <f t="shared" si="3"/>
        <v>1755.2517321016169</v>
      </c>
      <c r="AE15" s="6">
        <f t="shared" si="10"/>
        <v>36626.918094688226</v>
      </c>
      <c r="AH15" s="53">
        <f t="shared" si="4"/>
        <v>1427.9017321016167</v>
      </c>
    </row>
    <row r="16" spans="1:34" ht="12.75">
      <c r="A16" t="s">
        <v>200</v>
      </c>
      <c r="C16" s="53">
        <f>+'[1]Service Count Data'!$X$16</f>
        <v>0</v>
      </c>
      <c r="D16" s="82">
        <v>27.94</v>
      </c>
      <c r="E16" s="6">
        <f t="shared" si="11"/>
        <v>0</v>
      </c>
      <c r="F16" s="53">
        <f>+'[1]Service Count Data'!$AD$16</f>
        <v>44.75</v>
      </c>
      <c r="G16" s="82">
        <v>27.94</v>
      </c>
      <c r="H16" s="6">
        <f t="shared" si="0"/>
        <v>1250.315</v>
      </c>
      <c r="I16" s="112">
        <f t="shared" si="5"/>
        <v>44.75</v>
      </c>
      <c r="J16" s="115">
        <f t="shared" si="6"/>
        <v>1250.315</v>
      </c>
      <c r="L16" s="53">
        <f>+'[1]Service Count Data'!$X$17</f>
        <v>0</v>
      </c>
      <c r="M16" s="104">
        <v>24.25</v>
      </c>
      <c r="N16" s="6">
        <f t="shared" si="12"/>
        <v>0</v>
      </c>
      <c r="O16" s="53">
        <f>+'[1]Service Count Data'!$AD$17</f>
        <v>185</v>
      </c>
      <c r="P16" s="104">
        <v>24.25</v>
      </c>
      <c r="Q16" s="6">
        <f t="shared" si="13"/>
        <v>4486.25</v>
      </c>
      <c r="R16" s="112">
        <f t="shared" si="7"/>
        <v>185</v>
      </c>
      <c r="S16" s="115">
        <f t="shared" si="8"/>
        <v>4486.25</v>
      </c>
      <c r="U16" s="53">
        <f>+'[1]Service Count Data'!$X$18</f>
        <v>0</v>
      </c>
      <c r="V16" s="104">
        <v>24.25</v>
      </c>
      <c r="W16" s="6">
        <f t="shared" si="14"/>
        <v>0</v>
      </c>
      <c r="X16" s="53">
        <f>+'[1]Service Count Data'!$AD$18</f>
        <v>92.10461893764433</v>
      </c>
      <c r="Y16" s="104">
        <v>24.25</v>
      </c>
      <c r="Z16" s="6">
        <f t="shared" si="15"/>
        <v>2233.5370092378753</v>
      </c>
      <c r="AA16" s="112">
        <f t="shared" si="1"/>
        <v>92.10461893764433</v>
      </c>
      <c r="AB16" s="115">
        <f t="shared" si="9"/>
        <v>2233.5370092378753</v>
      </c>
      <c r="AC16" s="53">
        <f t="shared" si="2"/>
        <v>277.1046189376443</v>
      </c>
      <c r="AD16" s="53">
        <f t="shared" si="3"/>
        <v>321.8546189376443</v>
      </c>
      <c r="AE16" s="6">
        <f t="shared" si="10"/>
        <v>7970.102009237876</v>
      </c>
      <c r="AH16" s="53">
        <f t="shared" si="4"/>
        <v>277.1046189376443</v>
      </c>
    </row>
    <row r="17" spans="1:34" ht="12.75">
      <c r="A17" t="s">
        <v>202</v>
      </c>
      <c r="C17" s="53">
        <f>+'[1]Service Count Data'!$X$19</f>
        <v>0</v>
      </c>
      <c r="D17" s="82">
        <v>33.98</v>
      </c>
      <c r="E17" s="6">
        <f t="shared" si="11"/>
        <v>0</v>
      </c>
      <c r="F17" s="53">
        <f>+'[1]Service Count Data'!$AD$19</f>
        <v>15.75</v>
      </c>
      <c r="G17" s="82">
        <v>33.98</v>
      </c>
      <c r="H17" s="6">
        <f t="shared" si="0"/>
        <v>535.185</v>
      </c>
      <c r="I17" s="112">
        <f t="shared" si="5"/>
        <v>15.75</v>
      </c>
      <c r="J17" s="115">
        <f t="shared" si="6"/>
        <v>535.185</v>
      </c>
      <c r="L17" s="53">
        <f>+'[1]Service Count Data'!$X$20</f>
        <v>0</v>
      </c>
      <c r="M17" s="104">
        <v>27.75</v>
      </c>
      <c r="N17" s="6">
        <f t="shared" si="12"/>
        <v>0</v>
      </c>
      <c r="O17" s="53">
        <f>+'[1]Service Count Data'!$AD$20</f>
        <v>70.65</v>
      </c>
      <c r="P17" s="104">
        <v>27.75</v>
      </c>
      <c r="Q17" s="6">
        <f t="shared" si="13"/>
        <v>1960.5375000000001</v>
      </c>
      <c r="R17" s="112">
        <f t="shared" si="7"/>
        <v>70.65</v>
      </c>
      <c r="S17" s="115">
        <f t="shared" si="8"/>
        <v>1960.5375000000001</v>
      </c>
      <c r="U17" s="53">
        <f>+'[1]Service Count Data'!$X$21</f>
        <v>0</v>
      </c>
      <c r="V17" s="104">
        <v>27.75</v>
      </c>
      <c r="W17" s="6">
        <f t="shared" si="14"/>
        <v>0</v>
      </c>
      <c r="X17" s="53">
        <f>+'[1]Service Count Data'!$AD$21</f>
        <v>56.75</v>
      </c>
      <c r="Y17" s="104">
        <v>27.75</v>
      </c>
      <c r="Z17" s="6">
        <f t="shared" si="15"/>
        <v>1574.8125</v>
      </c>
      <c r="AA17" s="112">
        <f t="shared" si="1"/>
        <v>56.75</v>
      </c>
      <c r="AB17" s="115">
        <f t="shared" si="9"/>
        <v>1574.8125</v>
      </c>
      <c r="AC17" s="53">
        <f t="shared" si="2"/>
        <v>127.4</v>
      </c>
      <c r="AD17" s="53">
        <f t="shared" si="3"/>
        <v>143.15</v>
      </c>
      <c r="AE17" s="6">
        <f t="shared" si="10"/>
        <v>4070.535</v>
      </c>
      <c r="AH17" s="53">
        <f t="shared" si="4"/>
        <v>127.4</v>
      </c>
    </row>
    <row r="18" spans="1:34" ht="12.75">
      <c r="A18" t="s">
        <v>203</v>
      </c>
      <c r="C18" s="53">
        <f>+'[1]Service Count Data'!$X$22</f>
        <v>0</v>
      </c>
      <c r="D18" s="82">
        <v>38.71</v>
      </c>
      <c r="E18" s="6">
        <f t="shared" si="11"/>
        <v>0</v>
      </c>
      <c r="F18" s="53">
        <f>+'[1]Service Count Data'!$AD$22</f>
        <v>0</v>
      </c>
      <c r="G18" s="82">
        <v>38.71</v>
      </c>
      <c r="H18" s="6">
        <f t="shared" si="0"/>
        <v>0</v>
      </c>
      <c r="I18" s="112">
        <f t="shared" si="5"/>
        <v>0</v>
      </c>
      <c r="J18" s="115">
        <f t="shared" si="6"/>
        <v>0</v>
      </c>
      <c r="L18" s="53">
        <f>+'[1]Service Count Data'!$X$23</f>
        <v>0</v>
      </c>
      <c r="M18" s="104">
        <v>33.25</v>
      </c>
      <c r="N18" s="6">
        <f t="shared" si="12"/>
        <v>0</v>
      </c>
      <c r="O18" s="53">
        <f>+'[1]Service Count Data'!$AD$23</f>
        <v>44.75</v>
      </c>
      <c r="P18" s="104">
        <v>33.25</v>
      </c>
      <c r="Q18" s="6">
        <f t="shared" si="13"/>
        <v>1487.9375</v>
      </c>
      <c r="R18" s="112">
        <f t="shared" si="7"/>
        <v>44.75</v>
      </c>
      <c r="S18" s="115">
        <f t="shared" si="8"/>
        <v>1487.9375</v>
      </c>
      <c r="U18" s="53">
        <f>+'[1]Service Count Data'!$X$24</f>
        <v>0</v>
      </c>
      <c r="V18" s="104">
        <v>33.25</v>
      </c>
      <c r="W18" s="6">
        <f t="shared" si="14"/>
        <v>0</v>
      </c>
      <c r="X18" s="53">
        <f>+'[1]Service Count Data'!$AD$24</f>
        <v>6.0046189376443415</v>
      </c>
      <c r="Y18" s="104">
        <v>33.25</v>
      </c>
      <c r="Z18" s="6">
        <f t="shared" si="15"/>
        <v>199.65357967667435</v>
      </c>
      <c r="AA18" s="112">
        <f t="shared" si="1"/>
        <v>6.0046189376443415</v>
      </c>
      <c r="AB18" s="115">
        <f t="shared" si="9"/>
        <v>199.65357967667435</v>
      </c>
      <c r="AC18" s="53">
        <f t="shared" si="2"/>
        <v>50.75461893764434</v>
      </c>
      <c r="AD18" s="53">
        <f t="shared" si="3"/>
        <v>50.75461893764434</v>
      </c>
      <c r="AE18" s="6">
        <f t="shared" si="10"/>
        <v>1687.5910796766743</v>
      </c>
      <c r="AH18" s="53">
        <f t="shared" si="4"/>
        <v>50.75461893764434</v>
      </c>
    </row>
    <row r="19" spans="1:34" ht="12.75">
      <c r="A19" t="s">
        <v>204</v>
      </c>
      <c r="C19" s="53">
        <f>+'[1]Service Count Data'!$X$25</f>
        <v>0</v>
      </c>
      <c r="D19" s="82">
        <v>44.69</v>
      </c>
      <c r="E19" s="6">
        <f t="shared" si="11"/>
        <v>0</v>
      </c>
      <c r="F19" s="53">
        <f>+'[1]Service Count Data'!$AD$25</f>
        <v>25</v>
      </c>
      <c r="G19" s="82">
        <v>44.69</v>
      </c>
      <c r="H19" s="6">
        <f t="shared" si="0"/>
        <v>1117.25</v>
      </c>
      <c r="I19" s="112">
        <f t="shared" si="5"/>
        <v>25</v>
      </c>
      <c r="J19" s="115">
        <f t="shared" si="6"/>
        <v>1117.25</v>
      </c>
      <c r="L19" s="53">
        <f>+'[1]Service Count Data'!$X$26</f>
        <v>0</v>
      </c>
      <c r="M19" s="104">
        <v>36.85</v>
      </c>
      <c r="N19" s="6">
        <f t="shared" si="12"/>
        <v>0</v>
      </c>
      <c r="O19" s="53">
        <f>+'[1]Service Count Data'!$AD$26</f>
        <v>29.85</v>
      </c>
      <c r="P19" s="104">
        <v>36.85</v>
      </c>
      <c r="Q19" s="6">
        <f t="shared" si="13"/>
        <v>1099.9725</v>
      </c>
      <c r="R19" s="112">
        <f t="shared" si="7"/>
        <v>29.85</v>
      </c>
      <c r="S19" s="115">
        <f t="shared" si="8"/>
        <v>1099.9725</v>
      </c>
      <c r="U19" s="53">
        <f>+'[1]Service Count Data'!$X$27</f>
        <v>0</v>
      </c>
      <c r="V19" s="104">
        <v>36.85</v>
      </c>
      <c r="W19" s="6">
        <f t="shared" si="14"/>
        <v>0</v>
      </c>
      <c r="X19" s="53">
        <f>+'[1]Service Count Data'!$AD$27</f>
        <v>61.85</v>
      </c>
      <c r="Y19" s="104">
        <v>36.85</v>
      </c>
      <c r="Z19" s="6">
        <f t="shared" si="15"/>
        <v>2279.1725</v>
      </c>
      <c r="AA19" s="112">
        <f t="shared" si="1"/>
        <v>61.85</v>
      </c>
      <c r="AB19" s="115">
        <f t="shared" si="9"/>
        <v>2279.1725</v>
      </c>
      <c r="AC19" s="53">
        <f t="shared" si="2"/>
        <v>91.7</v>
      </c>
      <c r="AD19" s="53">
        <f t="shared" si="3"/>
        <v>116.7</v>
      </c>
      <c r="AE19" s="6">
        <f t="shared" si="10"/>
        <v>4496.395</v>
      </c>
      <c r="AH19" s="53">
        <f t="shared" si="4"/>
        <v>91.7</v>
      </c>
    </row>
    <row r="20" spans="1:34" ht="12.75">
      <c r="A20" s="130" t="s">
        <v>352</v>
      </c>
      <c r="C20" s="53">
        <f>+'[1]Service Count Data'!$X$37</f>
        <v>0</v>
      </c>
      <c r="D20" s="82">
        <v>12</v>
      </c>
      <c r="E20" s="6">
        <f aca="true" t="shared" si="16" ref="E20:E27">+C20*D20</f>
        <v>0</v>
      </c>
      <c r="F20" s="53">
        <f>+'[1]Service Count Data'!$AD$28</f>
        <v>79.05</v>
      </c>
      <c r="G20" s="82">
        <v>12</v>
      </c>
      <c r="H20" s="6">
        <f>+F20*G20</f>
        <v>948.5999999999999</v>
      </c>
      <c r="I20" s="112">
        <f aca="true" t="shared" si="17" ref="I20:I27">+C20+F20</f>
        <v>79.05</v>
      </c>
      <c r="J20" s="115">
        <f aca="true" t="shared" si="18" ref="J20:J27">+E20+H20</f>
        <v>948.5999999999999</v>
      </c>
      <c r="L20" s="53">
        <f>+'[1]Service Count Data'!$X$38</f>
        <v>0</v>
      </c>
      <c r="M20" s="104">
        <v>0</v>
      </c>
      <c r="N20" s="6">
        <f aca="true" t="shared" si="19" ref="N20:N27">+L20*M20</f>
        <v>0</v>
      </c>
      <c r="O20" s="53">
        <f>+'[1]Service Count Data'!$AD$29</f>
        <v>0</v>
      </c>
      <c r="P20" s="104">
        <v>0</v>
      </c>
      <c r="Q20" s="6">
        <f aca="true" t="shared" si="20" ref="Q20:Q27">+O20*P20</f>
        <v>0</v>
      </c>
      <c r="R20" s="112">
        <f aca="true" t="shared" si="21" ref="R20:R27">+L20+O20</f>
        <v>0</v>
      </c>
      <c r="S20" s="115">
        <f aca="true" t="shared" si="22" ref="S20:S27">+N20+Q20</f>
        <v>0</v>
      </c>
      <c r="U20" s="53">
        <f>+'[1]Service Count Data'!$X$39</f>
        <v>0</v>
      </c>
      <c r="V20" s="104">
        <v>0</v>
      </c>
      <c r="W20" s="6">
        <f aca="true" t="shared" si="23" ref="W20:W27">+U20*V20</f>
        <v>0</v>
      </c>
      <c r="X20" s="53">
        <f>+'[1]Service Count Data'!$AD$30</f>
        <v>6.0046189376443415</v>
      </c>
      <c r="Y20" s="104">
        <v>0</v>
      </c>
      <c r="Z20" s="6">
        <f aca="true" t="shared" si="24" ref="Z20:Z27">+X20*Y20</f>
        <v>0</v>
      </c>
      <c r="AA20" s="112">
        <f aca="true" t="shared" si="25" ref="AA20:AA27">+U20+X20</f>
        <v>6.0046189376443415</v>
      </c>
      <c r="AB20" s="115">
        <f aca="true" t="shared" si="26" ref="AB20:AB27">+W20+Z20</f>
        <v>0</v>
      </c>
      <c r="AC20" s="53">
        <f>+R20+AA20</f>
        <v>6.0046189376443415</v>
      </c>
      <c r="AD20" s="53">
        <f aca="true" t="shared" si="27" ref="AD20:AE22">+I20+R20+AA20</f>
        <v>85.05461893764434</v>
      </c>
      <c r="AE20" s="6">
        <f t="shared" si="27"/>
        <v>948.5999999999999</v>
      </c>
      <c r="AH20" s="53"/>
    </row>
    <row r="21" spans="1:34" ht="12.75">
      <c r="A21" s="130" t="s">
        <v>353</v>
      </c>
      <c r="C21" s="53">
        <f>+'[1]Service Count Data'!$X$40</f>
        <v>0</v>
      </c>
      <c r="D21" s="82">
        <v>18.1</v>
      </c>
      <c r="E21" s="6">
        <f t="shared" si="16"/>
        <v>0</v>
      </c>
      <c r="F21" s="53">
        <f>+'[1]Service Count Data'!$AD$31</f>
        <v>5923.35</v>
      </c>
      <c r="G21" s="82">
        <v>18.1</v>
      </c>
      <c r="H21" s="6">
        <f>+F21*G21</f>
        <v>107212.63500000001</v>
      </c>
      <c r="I21" s="112">
        <f t="shared" si="17"/>
        <v>5923.35</v>
      </c>
      <c r="J21" s="115">
        <f t="shared" si="18"/>
        <v>107212.63500000001</v>
      </c>
      <c r="L21" s="53">
        <f>+'[1]Service Count Data'!$X$41</f>
        <v>0</v>
      </c>
      <c r="M21" s="104">
        <v>0</v>
      </c>
      <c r="N21" s="6">
        <f t="shared" si="19"/>
        <v>0</v>
      </c>
      <c r="O21" s="53">
        <f>+'[1]Service Count Data'!$AD$32</f>
        <v>0</v>
      </c>
      <c r="P21" s="104">
        <v>0</v>
      </c>
      <c r="Q21" s="6">
        <f t="shared" si="20"/>
        <v>0</v>
      </c>
      <c r="R21" s="112">
        <f t="shared" si="21"/>
        <v>0</v>
      </c>
      <c r="S21" s="115">
        <f t="shared" si="22"/>
        <v>0</v>
      </c>
      <c r="U21" s="53">
        <f>+'[1]Service Count Data'!$X$42</f>
        <v>0</v>
      </c>
      <c r="V21" s="104">
        <v>0</v>
      </c>
      <c r="W21" s="6">
        <f t="shared" si="23"/>
        <v>0</v>
      </c>
      <c r="X21" s="53">
        <f>+'[1]Service Count Data'!$AD$33</f>
        <v>0</v>
      </c>
      <c r="Y21" s="104">
        <v>0</v>
      </c>
      <c r="Z21" s="6">
        <f t="shared" si="24"/>
        <v>0</v>
      </c>
      <c r="AA21" s="112">
        <f t="shared" si="25"/>
        <v>0</v>
      </c>
      <c r="AB21" s="115">
        <f t="shared" si="26"/>
        <v>0</v>
      </c>
      <c r="AC21" s="53">
        <f>+R21+AA21</f>
        <v>0</v>
      </c>
      <c r="AD21" s="53">
        <f t="shared" si="27"/>
        <v>5923.35</v>
      </c>
      <c r="AE21" s="6">
        <f t="shared" si="27"/>
        <v>107212.63500000001</v>
      </c>
      <c r="AH21" s="53"/>
    </row>
    <row r="22" spans="1:34" ht="12.75">
      <c r="A22" s="130" t="s">
        <v>354</v>
      </c>
      <c r="C22" s="53">
        <f>+'[1]Service Count Data'!$X$43</f>
        <v>0</v>
      </c>
      <c r="D22" s="82">
        <v>30.95</v>
      </c>
      <c r="E22" s="6">
        <f t="shared" si="16"/>
        <v>0</v>
      </c>
      <c r="F22" s="53">
        <f>+'[1]Service Count Data'!$AD$34</f>
        <v>0</v>
      </c>
      <c r="G22" s="82">
        <v>30.95</v>
      </c>
      <c r="H22" s="6">
        <f>+F22*G22</f>
        <v>0</v>
      </c>
      <c r="I22" s="112">
        <f t="shared" si="17"/>
        <v>0</v>
      </c>
      <c r="J22" s="115">
        <f t="shared" si="18"/>
        <v>0</v>
      </c>
      <c r="L22" s="53">
        <f>+'[1]Service Count Data'!$X$44</f>
        <v>0</v>
      </c>
      <c r="M22" s="104">
        <v>0</v>
      </c>
      <c r="N22" s="6">
        <f t="shared" si="19"/>
        <v>0</v>
      </c>
      <c r="O22" s="53">
        <f>+'[1]Service Count Data'!$AD$35</f>
        <v>0</v>
      </c>
      <c r="P22" s="104">
        <v>0</v>
      </c>
      <c r="Q22" s="6">
        <f t="shared" si="20"/>
        <v>0</v>
      </c>
      <c r="R22" s="112">
        <f t="shared" si="21"/>
        <v>0</v>
      </c>
      <c r="S22" s="115">
        <f t="shared" si="22"/>
        <v>0</v>
      </c>
      <c r="U22" s="53">
        <f>+'[1]Service Count Data'!$X$45</f>
        <v>0</v>
      </c>
      <c r="V22" s="104">
        <v>0</v>
      </c>
      <c r="W22" s="6">
        <f t="shared" si="23"/>
        <v>0</v>
      </c>
      <c r="X22" s="53">
        <f>+'[1]Service Count Data'!$AD$36</f>
        <v>6.0046189376443415</v>
      </c>
      <c r="Y22" s="104">
        <v>0</v>
      </c>
      <c r="Z22" s="6">
        <f t="shared" si="24"/>
        <v>0</v>
      </c>
      <c r="AA22" s="112">
        <f t="shared" si="25"/>
        <v>6.0046189376443415</v>
      </c>
      <c r="AB22" s="115">
        <f t="shared" si="26"/>
        <v>0</v>
      </c>
      <c r="AC22" s="53">
        <f>+R22+AA22</f>
        <v>6.0046189376443415</v>
      </c>
      <c r="AD22" s="53">
        <f t="shared" si="27"/>
        <v>6.0046189376443415</v>
      </c>
      <c r="AE22" s="6">
        <f t="shared" si="27"/>
        <v>0</v>
      </c>
      <c r="AH22" s="53"/>
    </row>
    <row r="23" spans="1:34" ht="12.75">
      <c r="A23" t="s">
        <v>347</v>
      </c>
      <c r="C23" s="53">
        <f>+'[1]Service Count Data'!$X$37</f>
        <v>0</v>
      </c>
      <c r="D23" s="82">
        <v>13</v>
      </c>
      <c r="E23" s="6">
        <f t="shared" si="16"/>
        <v>0</v>
      </c>
      <c r="F23" s="53">
        <f>+'[1]Service Count Data'!$AD$37</f>
        <v>59</v>
      </c>
      <c r="G23" s="82">
        <v>13</v>
      </c>
      <c r="H23" s="6">
        <f t="shared" si="0"/>
        <v>767</v>
      </c>
      <c r="I23" s="112">
        <f t="shared" si="17"/>
        <v>59</v>
      </c>
      <c r="J23" s="115">
        <f t="shared" si="18"/>
        <v>767</v>
      </c>
      <c r="L23" s="53">
        <f>+'[1]Service Count Data'!$X$38</f>
        <v>0</v>
      </c>
      <c r="M23" s="104">
        <v>0</v>
      </c>
      <c r="N23" s="6">
        <f t="shared" si="19"/>
        <v>0</v>
      </c>
      <c r="O23" s="53">
        <f>+'[1]Service Count Data'!$AD$38</f>
        <v>0</v>
      </c>
      <c r="P23" s="104">
        <v>0</v>
      </c>
      <c r="Q23" s="6">
        <f t="shared" si="20"/>
        <v>0</v>
      </c>
      <c r="R23" s="112">
        <f t="shared" si="21"/>
        <v>0</v>
      </c>
      <c r="S23" s="115">
        <f t="shared" si="22"/>
        <v>0</v>
      </c>
      <c r="U23" s="53">
        <f>+'[1]Service Count Data'!$X$39</f>
        <v>0</v>
      </c>
      <c r="V23" s="104">
        <v>0</v>
      </c>
      <c r="W23" s="6">
        <f t="shared" si="23"/>
        <v>0</v>
      </c>
      <c r="X23" s="53">
        <f>+'[1]Service Count Data'!$AD$39</f>
        <v>0</v>
      </c>
      <c r="Y23" s="104">
        <v>0</v>
      </c>
      <c r="Z23" s="6">
        <f t="shared" si="24"/>
        <v>0</v>
      </c>
      <c r="AA23" s="112">
        <f t="shared" si="25"/>
        <v>0</v>
      </c>
      <c r="AB23" s="115">
        <f t="shared" si="26"/>
        <v>0</v>
      </c>
      <c r="AC23" s="53">
        <f t="shared" si="2"/>
        <v>0</v>
      </c>
      <c r="AD23" s="53">
        <f t="shared" si="3"/>
        <v>59</v>
      </c>
      <c r="AE23" s="6">
        <f>+J23+S23+AB23</f>
        <v>767</v>
      </c>
      <c r="AH23" s="53">
        <f t="shared" si="4"/>
        <v>0</v>
      </c>
    </row>
    <row r="24" spans="1:34" ht="12.75">
      <c r="A24" t="s">
        <v>321</v>
      </c>
      <c r="C24" s="53">
        <f>+'[1]Service Count Data'!$X$40</f>
        <v>0</v>
      </c>
      <c r="D24" s="82">
        <v>22.25</v>
      </c>
      <c r="E24" s="6">
        <f t="shared" si="16"/>
        <v>0</v>
      </c>
      <c r="F24" s="53">
        <f>+'[1]Service Count Data'!$AD$40</f>
        <v>8992.7</v>
      </c>
      <c r="G24" s="82">
        <v>22.25</v>
      </c>
      <c r="H24" s="6">
        <f t="shared" si="0"/>
        <v>200087.575</v>
      </c>
      <c r="I24" s="112">
        <f t="shared" si="17"/>
        <v>8992.7</v>
      </c>
      <c r="J24" s="115">
        <f t="shared" si="18"/>
        <v>200087.575</v>
      </c>
      <c r="L24" s="53">
        <f>+'[1]Service Count Data'!$X$41</f>
        <v>0</v>
      </c>
      <c r="M24" s="104">
        <v>0</v>
      </c>
      <c r="N24" s="6">
        <f t="shared" si="19"/>
        <v>0</v>
      </c>
      <c r="O24" s="53">
        <f>+'[1]Service Count Data'!$AD$41</f>
        <v>0</v>
      </c>
      <c r="P24" s="104">
        <v>0</v>
      </c>
      <c r="Q24" s="6">
        <f t="shared" si="20"/>
        <v>0</v>
      </c>
      <c r="R24" s="112">
        <f t="shared" si="21"/>
        <v>0</v>
      </c>
      <c r="S24" s="115">
        <f t="shared" si="22"/>
        <v>0</v>
      </c>
      <c r="U24" s="53">
        <f>+'[1]Service Count Data'!$X$42</f>
        <v>0</v>
      </c>
      <c r="V24" s="104">
        <v>0</v>
      </c>
      <c r="W24" s="6">
        <f t="shared" si="23"/>
        <v>0</v>
      </c>
      <c r="X24" s="53">
        <f>+'[1]Service Count Data'!$AD$42</f>
        <v>0</v>
      </c>
      <c r="Y24" s="104">
        <v>0</v>
      </c>
      <c r="Z24" s="6">
        <f t="shared" si="24"/>
        <v>0</v>
      </c>
      <c r="AA24" s="112">
        <f t="shared" si="25"/>
        <v>0</v>
      </c>
      <c r="AB24" s="115">
        <f t="shared" si="26"/>
        <v>0</v>
      </c>
      <c r="AC24" s="53">
        <f t="shared" si="2"/>
        <v>0</v>
      </c>
      <c r="AD24" s="53">
        <f t="shared" si="3"/>
        <v>8992.7</v>
      </c>
      <c r="AE24" s="6">
        <f>+J24+S24+AB24</f>
        <v>200087.575</v>
      </c>
      <c r="AH24" s="53">
        <f t="shared" si="4"/>
        <v>0</v>
      </c>
    </row>
    <row r="25" spans="1:34" ht="12.75">
      <c r="A25" t="s">
        <v>322</v>
      </c>
      <c r="C25" s="53">
        <f>+'[1]Service Count Data'!$X$43</f>
        <v>0</v>
      </c>
      <c r="D25" s="82">
        <v>36.05</v>
      </c>
      <c r="E25" s="6">
        <f t="shared" si="16"/>
        <v>0</v>
      </c>
      <c r="F25" s="53">
        <f>+'[1]Service Count Data'!$AD$43</f>
        <v>354.25</v>
      </c>
      <c r="G25" s="82">
        <v>36.05</v>
      </c>
      <c r="H25" s="6">
        <f t="shared" si="0"/>
        <v>12770.7125</v>
      </c>
      <c r="I25" s="112">
        <f t="shared" si="17"/>
        <v>354.25</v>
      </c>
      <c r="J25" s="115">
        <f t="shared" si="18"/>
        <v>12770.7125</v>
      </c>
      <c r="L25" s="53">
        <f>+'[1]Service Count Data'!$X$44</f>
        <v>0</v>
      </c>
      <c r="M25" s="104">
        <v>0</v>
      </c>
      <c r="N25" s="6">
        <f t="shared" si="19"/>
        <v>0</v>
      </c>
      <c r="O25" s="53">
        <f>+'[1]Service Count Data'!$AD$44</f>
        <v>0</v>
      </c>
      <c r="P25" s="104">
        <v>0</v>
      </c>
      <c r="Q25" s="6">
        <f t="shared" si="20"/>
        <v>0</v>
      </c>
      <c r="R25" s="112">
        <f t="shared" si="21"/>
        <v>0</v>
      </c>
      <c r="S25" s="115">
        <f t="shared" si="22"/>
        <v>0</v>
      </c>
      <c r="U25" s="53">
        <f>+'[1]Service Count Data'!$X$45</f>
        <v>0</v>
      </c>
      <c r="V25" s="104">
        <v>0</v>
      </c>
      <c r="W25" s="6">
        <f t="shared" si="23"/>
        <v>0</v>
      </c>
      <c r="X25" s="53">
        <f>+'[1]Service Count Data'!$AD$45</f>
        <v>0</v>
      </c>
      <c r="Y25" s="104">
        <v>0</v>
      </c>
      <c r="Z25" s="6">
        <f t="shared" si="24"/>
        <v>0</v>
      </c>
      <c r="AA25" s="112">
        <f t="shared" si="25"/>
        <v>0</v>
      </c>
      <c r="AB25" s="115">
        <f t="shared" si="26"/>
        <v>0</v>
      </c>
      <c r="AC25" s="53">
        <f t="shared" si="2"/>
        <v>0</v>
      </c>
      <c r="AD25" s="53">
        <f t="shared" si="3"/>
        <v>354.25</v>
      </c>
      <c r="AE25" s="6">
        <f>+J25+S25+AB25</f>
        <v>12770.7125</v>
      </c>
      <c r="AH25" s="53">
        <f t="shared" si="4"/>
        <v>0</v>
      </c>
    </row>
    <row r="26" spans="1:34" ht="12.75">
      <c r="A26" t="s">
        <v>323</v>
      </c>
      <c r="C26" s="53">
        <f>+'[1]Service Count Data'!$X$46</f>
        <v>0</v>
      </c>
      <c r="D26" s="82">
        <v>27.94</v>
      </c>
      <c r="E26" s="6">
        <f t="shared" si="16"/>
        <v>0</v>
      </c>
      <c r="F26" s="53">
        <f>+'[1]Service Count Data'!$AD$46</f>
        <v>4556.7</v>
      </c>
      <c r="G26" s="82">
        <v>27.94</v>
      </c>
      <c r="H26" s="6">
        <f t="shared" si="0"/>
        <v>127314.198</v>
      </c>
      <c r="I26" s="112">
        <f t="shared" si="17"/>
        <v>4556.7</v>
      </c>
      <c r="J26" s="115">
        <f t="shared" si="18"/>
        <v>127314.198</v>
      </c>
      <c r="L26" s="53">
        <f>+'[1]Service Count Data'!$X$47</f>
        <v>0</v>
      </c>
      <c r="M26" s="104">
        <v>0</v>
      </c>
      <c r="N26" s="6">
        <f t="shared" si="19"/>
        <v>0</v>
      </c>
      <c r="O26" s="53">
        <f>+'[1]Service Count Data'!$AD$47</f>
        <v>0</v>
      </c>
      <c r="P26" s="104">
        <v>0</v>
      </c>
      <c r="Q26" s="6">
        <f t="shared" si="20"/>
        <v>0</v>
      </c>
      <c r="R26" s="112">
        <f t="shared" si="21"/>
        <v>0</v>
      </c>
      <c r="S26" s="115">
        <f t="shared" si="22"/>
        <v>0</v>
      </c>
      <c r="U26" s="53">
        <f>+'[1]Service Count Data'!$X$48</f>
        <v>0</v>
      </c>
      <c r="V26" s="104">
        <v>0</v>
      </c>
      <c r="W26" s="6">
        <f t="shared" si="23"/>
        <v>0</v>
      </c>
      <c r="X26" s="53">
        <f>+'[1]Service Count Data'!$AD$48</f>
        <v>0</v>
      </c>
      <c r="Y26" s="104">
        <v>0</v>
      </c>
      <c r="Z26" s="6">
        <f t="shared" si="24"/>
        <v>0</v>
      </c>
      <c r="AA26" s="112">
        <f t="shared" si="25"/>
        <v>0</v>
      </c>
      <c r="AB26" s="115">
        <f t="shared" si="26"/>
        <v>0</v>
      </c>
      <c r="AC26" s="53">
        <f t="shared" si="2"/>
        <v>0</v>
      </c>
      <c r="AD26" s="53">
        <f t="shared" si="3"/>
        <v>4556.7</v>
      </c>
      <c r="AE26" s="6">
        <f>+J26+S26+AB26</f>
        <v>127314.198</v>
      </c>
      <c r="AH26" s="53">
        <f t="shared" si="4"/>
        <v>0</v>
      </c>
    </row>
    <row r="27" spans="1:34" ht="12.75">
      <c r="A27" t="s">
        <v>324</v>
      </c>
      <c r="C27" s="53">
        <f>+'[1]Service Count Data'!$X$49</f>
        <v>0</v>
      </c>
      <c r="D27" s="82">
        <v>49.05</v>
      </c>
      <c r="E27" s="6">
        <f t="shared" si="16"/>
        <v>0</v>
      </c>
      <c r="F27" s="53">
        <f>+'[1]Service Count Data'!$AD$49</f>
        <v>1120.05</v>
      </c>
      <c r="G27" s="82">
        <v>49.05</v>
      </c>
      <c r="H27" s="6">
        <f t="shared" si="0"/>
        <v>54938.45249999999</v>
      </c>
      <c r="I27" s="112">
        <f t="shared" si="17"/>
        <v>1120.05</v>
      </c>
      <c r="J27" s="115">
        <f t="shared" si="18"/>
        <v>54938.45249999999</v>
      </c>
      <c r="L27" s="53">
        <f>+'[1]Service Count Data'!$X$50</f>
        <v>0</v>
      </c>
      <c r="M27" s="104">
        <v>0</v>
      </c>
      <c r="N27" s="6">
        <f t="shared" si="19"/>
        <v>0</v>
      </c>
      <c r="O27" s="53">
        <f>+'[1]Service Count Data'!$AD$50</f>
        <v>0</v>
      </c>
      <c r="P27" s="104">
        <v>0</v>
      </c>
      <c r="Q27" s="6">
        <f t="shared" si="20"/>
        <v>0</v>
      </c>
      <c r="R27" s="112">
        <f t="shared" si="21"/>
        <v>0</v>
      </c>
      <c r="S27" s="115">
        <f t="shared" si="22"/>
        <v>0</v>
      </c>
      <c r="U27" s="53">
        <f>+'[1]Service Count Data'!$X$51</f>
        <v>0</v>
      </c>
      <c r="V27" s="104">
        <v>0</v>
      </c>
      <c r="W27" s="6">
        <f t="shared" si="23"/>
        <v>0</v>
      </c>
      <c r="X27" s="53">
        <f>+'[1]Service Count Data'!$AD$51</f>
        <v>0</v>
      </c>
      <c r="Y27" s="104">
        <v>0</v>
      </c>
      <c r="Z27" s="6">
        <f t="shared" si="24"/>
        <v>0</v>
      </c>
      <c r="AA27" s="112">
        <f t="shared" si="25"/>
        <v>0</v>
      </c>
      <c r="AB27" s="115">
        <f t="shared" si="26"/>
        <v>0</v>
      </c>
      <c r="AC27" s="53">
        <f t="shared" si="2"/>
        <v>0</v>
      </c>
      <c r="AD27" s="53">
        <f t="shared" si="3"/>
        <v>1120.05</v>
      </c>
      <c r="AE27" s="6">
        <f>+J27+S27+AB27</f>
        <v>54938.45249999999</v>
      </c>
      <c r="AH27" s="53">
        <f t="shared" si="4"/>
        <v>0</v>
      </c>
    </row>
    <row r="28" spans="1:34" ht="12.75">
      <c r="A28" t="s">
        <v>205</v>
      </c>
      <c r="C28" s="53">
        <f>+'[1]Service Count Data'!$X$82</f>
        <v>0</v>
      </c>
      <c r="D28" s="82">
        <v>4</v>
      </c>
      <c r="E28" s="6">
        <f t="shared" si="11"/>
        <v>0</v>
      </c>
      <c r="F28" s="53">
        <f>+'[1]Service Count Data'!$AD$82</f>
        <v>2257</v>
      </c>
      <c r="G28" s="82">
        <v>4</v>
      </c>
      <c r="H28" s="6">
        <f t="shared" si="0"/>
        <v>9028</v>
      </c>
      <c r="I28" s="112">
        <f t="shared" si="5"/>
        <v>2257</v>
      </c>
      <c r="J28" s="115">
        <f t="shared" si="6"/>
        <v>9028</v>
      </c>
      <c r="L28" s="53">
        <f>+'[1]Service Count Data'!$X$83</f>
        <v>0</v>
      </c>
      <c r="M28" s="104">
        <v>3.95</v>
      </c>
      <c r="N28" s="6">
        <f t="shared" si="12"/>
        <v>0</v>
      </c>
      <c r="O28" s="53">
        <f>+'[1]Service Count Data'!$AD$83</f>
        <v>308</v>
      </c>
      <c r="P28" s="104">
        <v>3.95</v>
      </c>
      <c r="Q28" s="6">
        <f t="shared" si="13"/>
        <v>1216.6000000000001</v>
      </c>
      <c r="R28" s="112">
        <f t="shared" si="7"/>
        <v>308</v>
      </c>
      <c r="S28" s="115">
        <f t="shared" si="8"/>
        <v>1216.6000000000001</v>
      </c>
      <c r="U28" s="53">
        <f>+'[1]Service Count Data'!$X$84</f>
        <v>0</v>
      </c>
      <c r="V28" s="104">
        <v>3.95</v>
      </c>
      <c r="W28" s="6">
        <f t="shared" si="14"/>
        <v>0</v>
      </c>
      <c r="X28" s="53">
        <f>+'[1]Service Count Data'!$AD$84</f>
        <v>226</v>
      </c>
      <c r="Y28" s="104">
        <v>3.95</v>
      </c>
      <c r="Z28" s="6">
        <f t="shared" si="15"/>
        <v>892.7</v>
      </c>
      <c r="AA28" s="112">
        <f t="shared" si="1"/>
        <v>226</v>
      </c>
      <c r="AB28" s="115">
        <f t="shared" si="9"/>
        <v>892.7</v>
      </c>
      <c r="AC28" s="53">
        <f t="shared" si="2"/>
        <v>534</v>
      </c>
      <c r="AD28" s="53">
        <f t="shared" si="3"/>
        <v>2791</v>
      </c>
      <c r="AE28" s="6">
        <f t="shared" si="10"/>
        <v>11137.300000000001</v>
      </c>
      <c r="AH28" s="53">
        <f t="shared" si="4"/>
        <v>534</v>
      </c>
    </row>
    <row r="29" spans="1:34" ht="12.75">
      <c r="A29" t="s">
        <v>310</v>
      </c>
      <c r="C29" s="53">
        <f>+'[1]Service Count Data'!$X$91</f>
        <v>0</v>
      </c>
      <c r="D29" s="82">
        <v>2.95</v>
      </c>
      <c r="E29" s="6">
        <f t="shared" si="11"/>
        <v>0</v>
      </c>
      <c r="F29" s="53">
        <f>+'[1]Service Count Data'!$AD$91</f>
        <v>0</v>
      </c>
      <c r="G29" s="82">
        <v>2.95</v>
      </c>
      <c r="H29" s="6">
        <f t="shared" si="0"/>
        <v>0</v>
      </c>
      <c r="I29" s="112">
        <f t="shared" si="5"/>
        <v>0</v>
      </c>
      <c r="J29" s="115">
        <f t="shared" si="6"/>
        <v>0</v>
      </c>
      <c r="L29" s="53">
        <f>+'[1]Service Count Data'!$X$92</f>
        <v>0</v>
      </c>
      <c r="M29" s="104">
        <v>2.95</v>
      </c>
      <c r="N29" s="6">
        <f t="shared" si="12"/>
        <v>0</v>
      </c>
      <c r="O29" s="53">
        <f>+'[1]Service Count Data'!$AD$92</f>
        <v>6</v>
      </c>
      <c r="P29" s="104">
        <v>2.95</v>
      </c>
      <c r="Q29" s="6">
        <f t="shared" si="13"/>
        <v>17.700000000000003</v>
      </c>
      <c r="R29" s="112">
        <f t="shared" si="7"/>
        <v>6</v>
      </c>
      <c r="S29" s="115">
        <f t="shared" si="8"/>
        <v>17.700000000000003</v>
      </c>
      <c r="U29" s="53">
        <f>+'[1]Service Count Data'!$X$93</f>
        <v>0</v>
      </c>
      <c r="V29" s="104">
        <v>2.95</v>
      </c>
      <c r="W29" s="6">
        <f t="shared" si="14"/>
        <v>0</v>
      </c>
      <c r="X29" s="53">
        <f>+'[1]Service Count Data'!$AD$93</f>
        <v>0</v>
      </c>
      <c r="Y29" s="104">
        <v>2.95</v>
      </c>
      <c r="Z29" s="6">
        <f t="shared" si="15"/>
        <v>0</v>
      </c>
      <c r="AA29" s="112">
        <f t="shared" si="1"/>
        <v>0</v>
      </c>
      <c r="AB29" s="115">
        <f t="shared" si="9"/>
        <v>0</v>
      </c>
      <c r="AC29" s="53">
        <f t="shared" si="2"/>
        <v>6</v>
      </c>
      <c r="AD29" s="53">
        <f t="shared" si="3"/>
        <v>6</v>
      </c>
      <c r="AE29" s="6">
        <f t="shared" si="10"/>
        <v>17.700000000000003</v>
      </c>
      <c r="AH29" s="53">
        <f t="shared" si="4"/>
        <v>6</v>
      </c>
    </row>
    <row r="30" spans="1:34" ht="12.75">
      <c r="A30" t="s">
        <v>311</v>
      </c>
      <c r="C30" s="53">
        <f>+'[1]Service Count Data'!$Y$91</f>
        <v>0</v>
      </c>
      <c r="D30" s="82">
        <v>1.8</v>
      </c>
      <c r="E30" s="6">
        <f>+C30*D30</f>
        <v>0</v>
      </c>
      <c r="F30" s="53">
        <f>+'[1]Service Count Data'!$AE$91</f>
        <v>0</v>
      </c>
      <c r="G30" s="82">
        <v>1.8</v>
      </c>
      <c r="H30" s="6">
        <f t="shared" si="0"/>
        <v>0</v>
      </c>
      <c r="I30" s="112">
        <f t="shared" si="5"/>
        <v>0</v>
      </c>
      <c r="J30" s="115">
        <f t="shared" si="6"/>
        <v>0</v>
      </c>
      <c r="L30" s="53">
        <f>+'[1]Service Count Data'!$Y$92</f>
        <v>0</v>
      </c>
      <c r="M30" s="104">
        <v>1.65</v>
      </c>
      <c r="N30" s="6">
        <f t="shared" si="12"/>
        <v>0</v>
      </c>
      <c r="O30" s="53">
        <f>+'[1]Service Count Data'!$AE$92</f>
        <v>0</v>
      </c>
      <c r="P30" s="104">
        <v>1.65</v>
      </c>
      <c r="Q30" s="6">
        <f t="shared" si="13"/>
        <v>0</v>
      </c>
      <c r="R30" s="112">
        <f t="shared" si="7"/>
        <v>0</v>
      </c>
      <c r="S30" s="115">
        <f t="shared" si="8"/>
        <v>0</v>
      </c>
      <c r="U30" s="53">
        <f>+'[1]Service Count Data'!$Y$93</f>
        <v>0</v>
      </c>
      <c r="V30" s="104">
        <v>1.65</v>
      </c>
      <c r="W30" s="6">
        <f t="shared" si="14"/>
        <v>0</v>
      </c>
      <c r="X30" s="53">
        <f>+'[1]Service Count Data'!$Y$93</f>
        <v>0</v>
      </c>
      <c r="Y30" s="104">
        <v>1.65</v>
      </c>
      <c r="Z30" s="6">
        <f t="shared" si="15"/>
        <v>0</v>
      </c>
      <c r="AA30" s="112">
        <f t="shared" si="1"/>
        <v>0</v>
      </c>
      <c r="AB30" s="115">
        <f t="shared" si="9"/>
        <v>0</v>
      </c>
      <c r="AC30" s="53">
        <f t="shared" si="2"/>
        <v>0</v>
      </c>
      <c r="AD30" s="53">
        <f t="shared" si="3"/>
        <v>0</v>
      </c>
      <c r="AE30" s="6">
        <f t="shared" si="10"/>
        <v>0</v>
      </c>
      <c r="AH30" s="53">
        <f t="shared" si="4"/>
        <v>0</v>
      </c>
    </row>
    <row r="31" spans="1:34" ht="12.75">
      <c r="A31" t="s">
        <v>206</v>
      </c>
      <c r="C31" s="53">
        <f>+'[1]Service Count Data'!$X$151</f>
        <v>0</v>
      </c>
      <c r="D31" s="82">
        <v>12.75</v>
      </c>
      <c r="E31" s="6">
        <f t="shared" si="11"/>
        <v>0</v>
      </c>
      <c r="F31" s="53">
        <f>+'[1]Service Count Data'!$AD$151</f>
        <v>134.16</v>
      </c>
      <c r="G31" s="82">
        <v>12.75</v>
      </c>
      <c r="H31" s="6">
        <f t="shared" si="0"/>
        <v>1710.54</v>
      </c>
      <c r="I31" s="112">
        <f t="shared" si="5"/>
        <v>134.16</v>
      </c>
      <c r="J31" s="115">
        <f t="shared" si="6"/>
        <v>1710.54</v>
      </c>
      <c r="L31" s="53">
        <f>+'[1]Service Count Data'!$X$152</f>
        <v>0</v>
      </c>
      <c r="M31" s="104">
        <v>10.55</v>
      </c>
      <c r="N31" s="6">
        <f t="shared" si="12"/>
        <v>0</v>
      </c>
      <c r="O31" s="53">
        <f>+'[1]Service Count Data'!$AD$152</f>
        <v>11.25</v>
      </c>
      <c r="P31" s="104">
        <v>10.55</v>
      </c>
      <c r="Q31" s="6">
        <f t="shared" si="13"/>
        <v>118.68750000000001</v>
      </c>
      <c r="R31" s="112">
        <f t="shared" si="7"/>
        <v>11.25</v>
      </c>
      <c r="S31" s="115">
        <f t="shared" si="8"/>
        <v>118.68750000000001</v>
      </c>
      <c r="U31" s="53">
        <f>+'[1]Service Count Data'!$X$153</f>
        <v>0</v>
      </c>
      <c r="V31" s="104">
        <v>10.55</v>
      </c>
      <c r="W31" s="6">
        <f t="shared" si="14"/>
        <v>0</v>
      </c>
      <c r="X31" s="53">
        <f>+'[1]Service Count Data'!$AD$153</f>
        <v>0</v>
      </c>
      <c r="Y31" s="104">
        <v>10.55</v>
      </c>
      <c r="Z31" s="6">
        <f t="shared" si="15"/>
        <v>0</v>
      </c>
      <c r="AA31" s="112">
        <f t="shared" si="1"/>
        <v>0</v>
      </c>
      <c r="AB31" s="115">
        <f t="shared" si="9"/>
        <v>0</v>
      </c>
      <c r="AC31" s="53">
        <f t="shared" si="2"/>
        <v>11.25</v>
      </c>
      <c r="AD31" s="53">
        <f t="shared" si="3"/>
        <v>145.41</v>
      </c>
      <c r="AE31" s="6">
        <f t="shared" si="10"/>
        <v>1829.2275</v>
      </c>
      <c r="AH31" s="53">
        <f t="shared" si="4"/>
        <v>11.25</v>
      </c>
    </row>
    <row r="32" spans="1:34" ht="12.75">
      <c r="A32" t="s">
        <v>207</v>
      </c>
      <c r="C32" s="53">
        <f>+'[1]Service Count Data'!$X$172</f>
        <v>0</v>
      </c>
      <c r="D32" s="82">
        <v>21.2</v>
      </c>
      <c r="E32" s="6">
        <f t="shared" si="11"/>
        <v>0</v>
      </c>
      <c r="F32" s="53">
        <f>+'[1]Service Count Data'!$AD$172</f>
        <v>460.5</v>
      </c>
      <c r="G32" s="82">
        <v>21.2</v>
      </c>
      <c r="H32" s="6">
        <f t="shared" si="0"/>
        <v>9762.6</v>
      </c>
      <c r="I32" s="112">
        <f t="shared" si="5"/>
        <v>460.5</v>
      </c>
      <c r="J32" s="115">
        <f t="shared" si="6"/>
        <v>9762.6</v>
      </c>
      <c r="L32" s="53">
        <f>+'[1]Service Count Data'!$X$173</f>
        <v>0</v>
      </c>
      <c r="M32" s="104">
        <v>19.6</v>
      </c>
      <c r="N32" s="6">
        <f t="shared" si="12"/>
        <v>0</v>
      </c>
      <c r="O32" s="53">
        <f>+'[1]Service Count Data'!$AD$173</f>
        <v>81</v>
      </c>
      <c r="P32" s="104">
        <v>19.6</v>
      </c>
      <c r="Q32" s="6">
        <f t="shared" si="13"/>
        <v>1587.6000000000001</v>
      </c>
      <c r="R32" s="112">
        <f t="shared" si="7"/>
        <v>81</v>
      </c>
      <c r="S32" s="115">
        <f t="shared" si="8"/>
        <v>1587.6000000000001</v>
      </c>
      <c r="U32" s="53">
        <f>+'[1]Service Count Data'!$X$174</f>
        <v>0</v>
      </c>
      <c r="V32" s="104">
        <v>19.6</v>
      </c>
      <c r="W32" s="6">
        <f t="shared" si="14"/>
        <v>0</v>
      </c>
      <c r="X32" s="53">
        <f>+'[1]Service Count Data'!$AD$174</f>
        <v>1197</v>
      </c>
      <c r="Y32" s="104">
        <v>19.6</v>
      </c>
      <c r="Z32" s="6">
        <f t="shared" si="15"/>
        <v>23461.2</v>
      </c>
      <c r="AA32" s="112">
        <f t="shared" si="1"/>
        <v>1197</v>
      </c>
      <c r="AB32" s="115">
        <f t="shared" si="9"/>
        <v>23461.2</v>
      </c>
      <c r="AC32" s="53">
        <f t="shared" si="2"/>
        <v>1278</v>
      </c>
      <c r="AD32" s="53">
        <f t="shared" si="3"/>
        <v>1738.5</v>
      </c>
      <c r="AE32" s="6">
        <f t="shared" si="10"/>
        <v>34811.4</v>
      </c>
      <c r="AH32" s="53">
        <f t="shared" si="4"/>
        <v>1278</v>
      </c>
    </row>
    <row r="33" spans="1:34" ht="12.75">
      <c r="A33" t="s">
        <v>208</v>
      </c>
      <c r="C33" s="53">
        <f>+'[1]Service Count Data'!$X$154</f>
        <v>0</v>
      </c>
      <c r="D33" s="82">
        <v>12.3</v>
      </c>
      <c r="E33" s="6">
        <f t="shared" si="11"/>
        <v>0</v>
      </c>
      <c r="F33" s="53">
        <f>+'[1]Service Count Data'!$AD$154</f>
        <v>0</v>
      </c>
      <c r="G33" s="82">
        <v>12.3</v>
      </c>
      <c r="H33" s="6">
        <f t="shared" si="0"/>
        <v>0</v>
      </c>
      <c r="I33" s="112">
        <f t="shared" si="5"/>
        <v>0</v>
      </c>
      <c r="J33" s="115">
        <f t="shared" si="6"/>
        <v>0</v>
      </c>
      <c r="L33" s="53">
        <f>+'[1]Service Count Data'!$X$155</f>
        <v>0</v>
      </c>
      <c r="M33" s="104">
        <v>12.2</v>
      </c>
      <c r="N33" s="6">
        <f t="shared" si="12"/>
        <v>0</v>
      </c>
      <c r="O33" s="53">
        <f>+'[1]Service Count Data'!$AD$155</f>
        <v>0</v>
      </c>
      <c r="P33" s="104">
        <v>12.2</v>
      </c>
      <c r="Q33" s="6">
        <f t="shared" si="13"/>
        <v>0</v>
      </c>
      <c r="R33" s="112">
        <f t="shared" si="7"/>
        <v>0</v>
      </c>
      <c r="S33" s="115">
        <f t="shared" si="8"/>
        <v>0</v>
      </c>
      <c r="U33" s="53">
        <f>+'[1]Service Count Data'!$X$156</f>
        <v>0</v>
      </c>
      <c r="V33" s="104">
        <v>12.2</v>
      </c>
      <c r="W33" s="6">
        <f t="shared" si="14"/>
        <v>0</v>
      </c>
      <c r="X33" s="53">
        <f>+'[1]Service Count Data'!$AD$156</f>
        <v>0</v>
      </c>
      <c r="Y33" s="104">
        <v>12.2</v>
      </c>
      <c r="Z33" s="6">
        <f t="shared" si="15"/>
        <v>0</v>
      </c>
      <c r="AA33" s="112">
        <f t="shared" si="1"/>
        <v>0</v>
      </c>
      <c r="AB33" s="115">
        <f t="shared" si="9"/>
        <v>0</v>
      </c>
      <c r="AC33" s="53">
        <f t="shared" si="2"/>
        <v>0</v>
      </c>
      <c r="AD33" s="53">
        <f t="shared" si="3"/>
        <v>0</v>
      </c>
      <c r="AE33" s="6">
        <f t="shared" si="10"/>
        <v>0</v>
      </c>
      <c r="AF33" s="52">
        <f>SUM(AE10:AE33)</f>
        <v>637477.4802228638</v>
      </c>
      <c r="AH33" s="53">
        <f t="shared" si="4"/>
        <v>0</v>
      </c>
    </row>
    <row r="34" spans="3:29" ht="12.75">
      <c r="C34" s="53"/>
      <c r="D34" s="83"/>
      <c r="F34" s="53"/>
      <c r="G34" s="83"/>
      <c r="I34" s="112"/>
      <c r="J34" s="116"/>
      <c r="L34" s="53"/>
      <c r="M34" s="83"/>
      <c r="O34" s="53"/>
      <c r="P34" s="83"/>
      <c r="R34" s="112"/>
      <c r="S34" s="116"/>
      <c r="U34" s="53"/>
      <c r="V34" s="83"/>
      <c r="X34" s="53"/>
      <c r="Y34" s="83"/>
      <c r="AA34" s="112"/>
      <c r="AB34" s="116"/>
      <c r="AC34" s="53">
        <f t="shared" si="2"/>
        <v>0</v>
      </c>
    </row>
    <row r="35" spans="1:29" ht="12.75">
      <c r="A35" t="s">
        <v>209</v>
      </c>
      <c r="C35" s="53"/>
      <c r="D35" s="83"/>
      <c r="F35" s="53"/>
      <c r="G35" s="83"/>
      <c r="I35" s="112"/>
      <c r="J35" s="116"/>
      <c r="L35" s="53"/>
      <c r="M35" s="83"/>
      <c r="O35" s="53"/>
      <c r="P35" s="83"/>
      <c r="R35" s="112"/>
      <c r="S35" s="116"/>
      <c r="U35" s="53"/>
      <c r="V35" s="83"/>
      <c r="X35" s="53"/>
      <c r="Y35" s="83"/>
      <c r="AA35" s="112"/>
      <c r="AB35" s="116"/>
      <c r="AC35" s="53">
        <f t="shared" si="2"/>
        <v>0</v>
      </c>
    </row>
    <row r="36" spans="1:34" ht="12.75">
      <c r="A36" t="s">
        <v>210</v>
      </c>
      <c r="C36" s="53">
        <f>+'[1]Service Count Data'!$X$250</f>
        <v>0</v>
      </c>
      <c r="D36" s="82">
        <v>16.3</v>
      </c>
      <c r="E36" s="6">
        <f aca="true" t="shared" si="28" ref="E36:E50">+C36*D36</f>
        <v>0</v>
      </c>
      <c r="F36" s="53">
        <f>+'[1]Service Count Data'!$AD$250</f>
        <v>7180</v>
      </c>
      <c r="G36" s="82">
        <v>16.3</v>
      </c>
      <c r="H36" s="6">
        <f aca="true" t="shared" si="29" ref="H36:H50">+F36*G36</f>
        <v>117034</v>
      </c>
      <c r="I36" s="112">
        <f aca="true" t="shared" si="30" ref="I36:I50">+C36+F36</f>
        <v>7180</v>
      </c>
      <c r="J36" s="115">
        <f aca="true" t="shared" si="31" ref="J36:J50">+E36+H36</f>
        <v>117034</v>
      </c>
      <c r="L36" s="53">
        <f>+'[1]Service Count Data'!$X$251</f>
        <v>0</v>
      </c>
      <c r="M36" s="82">
        <v>15.25</v>
      </c>
      <c r="N36" s="6">
        <f aca="true" t="shared" si="32" ref="N36:N50">+L36*M36</f>
        <v>0</v>
      </c>
      <c r="O36" s="53">
        <f>+'[1]Service Count Data'!$AD$251</f>
        <v>681</v>
      </c>
      <c r="P36" s="82">
        <v>15.25</v>
      </c>
      <c r="Q36" s="6">
        <f aca="true" t="shared" si="33" ref="Q36:Q50">+O36*P36</f>
        <v>10385.25</v>
      </c>
      <c r="R36" s="112">
        <f aca="true" t="shared" si="34" ref="R36:R50">+L36+O36</f>
        <v>681</v>
      </c>
      <c r="S36" s="115">
        <f aca="true" t="shared" si="35" ref="S36:S50">+N36+Q36</f>
        <v>10385.25</v>
      </c>
      <c r="U36" s="53">
        <f>+'[1]Service Count Data'!$X$252</f>
        <v>0</v>
      </c>
      <c r="V36" s="82">
        <v>15.25</v>
      </c>
      <c r="W36" s="6">
        <f aca="true" t="shared" si="36" ref="W36:W50">+U36*V36</f>
        <v>0</v>
      </c>
      <c r="X36" s="53">
        <f>+'[1]Service Count Data'!$AD$252</f>
        <v>1509</v>
      </c>
      <c r="Y36" s="82">
        <v>15.25</v>
      </c>
      <c r="Z36" s="6">
        <f aca="true" t="shared" si="37" ref="Z36:Z50">+X36*Y36</f>
        <v>23012.25</v>
      </c>
      <c r="AA36" s="112">
        <f aca="true" t="shared" si="38" ref="AA36:AA50">+U36+X36</f>
        <v>1509</v>
      </c>
      <c r="AB36" s="115">
        <f aca="true" t="shared" si="39" ref="AB36:AB50">+W36+Z36</f>
        <v>23012.25</v>
      </c>
      <c r="AC36" s="53">
        <f t="shared" si="2"/>
        <v>2190</v>
      </c>
      <c r="AD36" s="53">
        <f aca="true" t="shared" si="40" ref="AD36:AD50">+I36+R36+AA36</f>
        <v>9370</v>
      </c>
      <c r="AE36" s="6">
        <f aca="true" t="shared" si="41" ref="AE36:AE50">+J36+S36+AB36</f>
        <v>150431.5</v>
      </c>
      <c r="AH36" s="53">
        <f aca="true" t="shared" si="42" ref="AH36:AH50">+R36+AA36</f>
        <v>2190</v>
      </c>
    </row>
    <row r="37" spans="1:34" ht="12.75">
      <c r="A37" t="s">
        <v>211</v>
      </c>
      <c r="C37" s="53">
        <f>+'[1]Service Count Data'!$X$253</f>
        <v>0</v>
      </c>
      <c r="D37" s="82">
        <v>21.96</v>
      </c>
      <c r="E37" s="6">
        <f t="shared" si="28"/>
        <v>0</v>
      </c>
      <c r="F37" s="53">
        <f>+'[1]Service Count Data'!$AD$253</f>
        <v>1957</v>
      </c>
      <c r="G37" s="82">
        <v>21.96</v>
      </c>
      <c r="H37" s="6">
        <f t="shared" si="29"/>
        <v>42975.72</v>
      </c>
      <c r="I37" s="112">
        <f t="shared" si="30"/>
        <v>1957</v>
      </c>
      <c r="J37" s="115">
        <f t="shared" si="31"/>
        <v>42975.72</v>
      </c>
      <c r="L37" s="53">
        <f>+'[1]Service Count Data'!$X$254</f>
        <v>0</v>
      </c>
      <c r="M37" s="82">
        <v>20.4</v>
      </c>
      <c r="N37" s="6">
        <f t="shared" si="32"/>
        <v>0</v>
      </c>
      <c r="O37" s="53">
        <f>+'[1]Service Count Data'!$AD$254</f>
        <v>0</v>
      </c>
      <c r="P37" s="82">
        <v>20.4</v>
      </c>
      <c r="Q37" s="6">
        <f t="shared" si="33"/>
        <v>0</v>
      </c>
      <c r="R37" s="112">
        <f t="shared" si="34"/>
        <v>0</v>
      </c>
      <c r="S37" s="115">
        <f t="shared" si="35"/>
        <v>0</v>
      </c>
      <c r="U37" s="53">
        <f>+'[1]Service Count Data'!$X$255</f>
        <v>0</v>
      </c>
      <c r="V37" s="82">
        <v>20.4</v>
      </c>
      <c r="W37" s="6">
        <f t="shared" si="36"/>
        <v>0</v>
      </c>
      <c r="X37" s="53">
        <f>+'[1]Service Count Data'!$AD$255</f>
        <v>0</v>
      </c>
      <c r="Y37" s="82">
        <v>20.4</v>
      </c>
      <c r="Z37" s="6">
        <f t="shared" si="37"/>
        <v>0</v>
      </c>
      <c r="AA37" s="112">
        <f t="shared" si="38"/>
        <v>0</v>
      </c>
      <c r="AB37" s="115">
        <f t="shared" si="39"/>
        <v>0</v>
      </c>
      <c r="AC37" s="53">
        <f t="shared" si="2"/>
        <v>0</v>
      </c>
      <c r="AD37" s="53">
        <f t="shared" si="40"/>
        <v>1957</v>
      </c>
      <c r="AE37" s="6">
        <f t="shared" si="41"/>
        <v>42975.72</v>
      </c>
      <c r="AH37" s="53">
        <f t="shared" si="42"/>
        <v>0</v>
      </c>
    </row>
    <row r="38" spans="1:34" ht="12.75">
      <c r="A38" t="s">
        <v>213</v>
      </c>
      <c r="C38" s="53">
        <f>+'[1]Service Count Data'!$X$256</f>
        <v>0</v>
      </c>
      <c r="D38" s="82">
        <v>26.03</v>
      </c>
      <c r="E38" s="6">
        <f t="shared" si="28"/>
        <v>0</v>
      </c>
      <c r="F38" s="53">
        <f>+'[1]Service Count Data'!$AD$256</f>
        <v>6813</v>
      </c>
      <c r="G38" s="82">
        <v>26.03</v>
      </c>
      <c r="H38" s="6">
        <f t="shared" si="29"/>
        <v>177342.39</v>
      </c>
      <c r="I38" s="112">
        <f t="shared" si="30"/>
        <v>6813</v>
      </c>
      <c r="J38" s="115">
        <f t="shared" si="31"/>
        <v>177342.39</v>
      </c>
      <c r="L38" s="53">
        <f>+'[1]Service Count Data'!$X$257</f>
        <v>0</v>
      </c>
      <c r="M38" s="82">
        <v>23.3</v>
      </c>
      <c r="N38" s="6">
        <f t="shared" si="32"/>
        <v>0</v>
      </c>
      <c r="O38" s="53">
        <f>+'[1]Service Count Data'!$AD$257</f>
        <v>644</v>
      </c>
      <c r="P38" s="82">
        <v>23.3</v>
      </c>
      <c r="Q38" s="6">
        <f t="shared" si="33"/>
        <v>15005.2</v>
      </c>
      <c r="R38" s="112">
        <f t="shared" si="34"/>
        <v>644</v>
      </c>
      <c r="S38" s="115">
        <f t="shared" si="35"/>
        <v>15005.2</v>
      </c>
      <c r="U38" s="53">
        <f>+'[1]Service Count Data'!$X$258</f>
        <v>0</v>
      </c>
      <c r="V38" s="82">
        <v>23.3</v>
      </c>
      <c r="W38" s="6">
        <f t="shared" si="36"/>
        <v>0</v>
      </c>
      <c r="X38" s="53">
        <f>+'[1]Service Count Data'!$AD$258</f>
        <v>1704</v>
      </c>
      <c r="Y38" s="82">
        <v>23.31</v>
      </c>
      <c r="Z38" s="6">
        <f t="shared" si="37"/>
        <v>39720.24</v>
      </c>
      <c r="AA38" s="112">
        <f t="shared" si="38"/>
        <v>1704</v>
      </c>
      <c r="AB38" s="115">
        <f t="shared" si="39"/>
        <v>39720.24</v>
      </c>
      <c r="AC38" s="53">
        <f t="shared" si="2"/>
        <v>2348</v>
      </c>
      <c r="AD38" s="53">
        <f t="shared" si="40"/>
        <v>9161</v>
      </c>
      <c r="AE38" s="6">
        <f t="shared" si="41"/>
        <v>232067.83000000002</v>
      </c>
      <c r="AH38" s="53">
        <f t="shared" si="42"/>
        <v>2348</v>
      </c>
    </row>
    <row r="39" spans="1:34" ht="12.75">
      <c r="A39" t="s">
        <v>214</v>
      </c>
      <c r="C39" s="53">
        <f>+'[1]Service Count Data'!$X$259</f>
        <v>0</v>
      </c>
      <c r="D39" s="82">
        <v>36.46</v>
      </c>
      <c r="E39" s="6">
        <f t="shared" si="28"/>
        <v>0</v>
      </c>
      <c r="F39" s="53">
        <f>+'[1]Service Count Data'!$AD$259</f>
        <v>695</v>
      </c>
      <c r="G39" s="82">
        <v>36.46</v>
      </c>
      <c r="H39" s="6">
        <f t="shared" si="29"/>
        <v>25339.7</v>
      </c>
      <c r="I39" s="112">
        <f t="shared" si="30"/>
        <v>695</v>
      </c>
      <c r="J39" s="115">
        <f t="shared" si="31"/>
        <v>25339.7</v>
      </c>
      <c r="L39" s="53">
        <f>+'[1]Service Count Data'!$X$260</f>
        <v>0</v>
      </c>
      <c r="M39" s="82">
        <v>30.5</v>
      </c>
      <c r="N39" s="6">
        <f t="shared" si="32"/>
        <v>0</v>
      </c>
      <c r="O39" s="53">
        <f>+'[1]Service Count Data'!$AD$260</f>
        <v>42</v>
      </c>
      <c r="P39" s="82">
        <v>30.5</v>
      </c>
      <c r="Q39" s="6">
        <f t="shared" si="33"/>
        <v>1281</v>
      </c>
      <c r="R39" s="112">
        <f t="shared" si="34"/>
        <v>42</v>
      </c>
      <c r="S39" s="115">
        <f t="shared" si="35"/>
        <v>1281</v>
      </c>
      <c r="U39" s="53">
        <f>+'[1]Service Count Data'!$X$261</f>
        <v>0</v>
      </c>
      <c r="V39" s="82">
        <v>30.5</v>
      </c>
      <c r="W39" s="6">
        <f t="shared" si="36"/>
        <v>0</v>
      </c>
      <c r="X39" s="53">
        <f>+'[1]Service Count Data'!$AD$261</f>
        <v>0</v>
      </c>
      <c r="Y39" s="82">
        <v>30.5</v>
      </c>
      <c r="Z39" s="6">
        <f t="shared" si="37"/>
        <v>0</v>
      </c>
      <c r="AA39" s="112">
        <f t="shared" si="38"/>
        <v>0</v>
      </c>
      <c r="AB39" s="115">
        <f t="shared" si="39"/>
        <v>0</v>
      </c>
      <c r="AC39" s="53">
        <f t="shared" si="2"/>
        <v>42</v>
      </c>
      <c r="AD39" s="53">
        <f t="shared" si="40"/>
        <v>737</v>
      </c>
      <c r="AE39" s="6">
        <f t="shared" si="41"/>
        <v>26620.7</v>
      </c>
      <c r="AH39" s="53">
        <f t="shared" si="42"/>
        <v>42</v>
      </c>
    </row>
    <row r="40" spans="1:34" ht="12.75">
      <c r="A40" t="s">
        <v>212</v>
      </c>
      <c r="C40" s="53">
        <f>+'[1]Service Count Data'!$X$262</f>
        <v>0</v>
      </c>
      <c r="D40" s="82">
        <v>47.98</v>
      </c>
      <c r="E40" s="6">
        <f t="shared" si="28"/>
        <v>0</v>
      </c>
      <c r="F40" s="53">
        <f>+'[1]Service Count Data'!$AD$262</f>
        <v>1421</v>
      </c>
      <c r="G40" s="82">
        <v>47.98</v>
      </c>
      <c r="H40" s="6">
        <f t="shared" si="29"/>
        <v>68179.58</v>
      </c>
      <c r="I40" s="112">
        <f t="shared" si="30"/>
        <v>1421</v>
      </c>
      <c r="J40" s="115">
        <f t="shared" si="31"/>
        <v>68179.58</v>
      </c>
      <c r="L40" s="53">
        <f>+'[1]Service Count Data'!$X$263</f>
        <v>0</v>
      </c>
      <c r="M40" s="82">
        <v>38.95</v>
      </c>
      <c r="N40" s="6">
        <f t="shared" si="32"/>
        <v>0</v>
      </c>
      <c r="O40" s="53">
        <f>+'[1]Service Count Data'!$AD$263</f>
        <v>677</v>
      </c>
      <c r="P40" s="82">
        <v>38.95</v>
      </c>
      <c r="Q40" s="6">
        <f t="shared" si="33"/>
        <v>26369.15</v>
      </c>
      <c r="R40" s="112">
        <f t="shared" si="34"/>
        <v>677</v>
      </c>
      <c r="S40" s="115">
        <f t="shared" si="35"/>
        <v>26369.15</v>
      </c>
      <c r="U40" s="53">
        <f>+'[1]Service Count Data'!$X$264</f>
        <v>0</v>
      </c>
      <c r="V40" s="82">
        <v>38.95</v>
      </c>
      <c r="W40" s="6">
        <f t="shared" si="36"/>
        <v>0</v>
      </c>
      <c r="X40" s="53">
        <f>+'[1]Service Count Data'!$AD$264</f>
        <v>894</v>
      </c>
      <c r="Y40" s="82">
        <v>38.95</v>
      </c>
      <c r="Z40" s="6">
        <f t="shared" si="37"/>
        <v>34821.3</v>
      </c>
      <c r="AA40" s="112">
        <f t="shared" si="38"/>
        <v>894</v>
      </c>
      <c r="AB40" s="115">
        <f t="shared" si="39"/>
        <v>34821.3</v>
      </c>
      <c r="AC40" s="53">
        <f t="shared" si="2"/>
        <v>1571</v>
      </c>
      <c r="AD40" s="53">
        <f t="shared" si="40"/>
        <v>2992</v>
      </c>
      <c r="AE40" s="6">
        <f t="shared" si="41"/>
        <v>129370.03000000001</v>
      </c>
      <c r="AH40" s="53">
        <f t="shared" si="42"/>
        <v>1571</v>
      </c>
    </row>
    <row r="41" spans="1:34" ht="12.75">
      <c r="A41" t="s">
        <v>215</v>
      </c>
      <c r="C41" s="53">
        <f>+'[1]Service Count Data'!$X$265</f>
        <v>0</v>
      </c>
      <c r="D41" s="82">
        <v>70.47</v>
      </c>
      <c r="E41" s="6">
        <f t="shared" si="28"/>
        <v>0</v>
      </c>
      <c r="F41" s="53">
        <f>+'[1]Service Count Data'!$AD$265</f>
        <v>1962</v>
      </c>
      <c r="G41" s="82">
        <v>70.47</v>
      </c>
      <c r="H41" s="6">
        <f t="shared" si="29"/>
        <v>138262.13999999998</v>
      </c>
      <c r="I41" s="112">
        <f t="shared" si="30"/>
        <v>1962</v>
      </c>
      <c r="J41" s="115">
        <f t="shared" si="31"/>
        <v>138262.13999999998</v>
      </c>
      <c r="L41" s="53">
        <f>+'[1]Service Count Data'!$X$266</f>
        <v>0</v>
      </c>
      <c r="M41" s="82">
        <v>61.6</v>
      </c>
      <c r="N41" s="6">
        <f t="shared" si="32"/>
        <v>0</v>
      </c>
      <c r="O41" s="53">
        <f>+'[1]Service Count Data'!$AD$266</f>
        <v>152</v>
      </c>
      <c r="P41" s="82">
        <v>61.6</v>
      </c>
      <c r="Q41" s="6">
        <f t="shared" si="33"/>
        <v>9363.2</v>
      </c>
      <c r="R41" s="112">
        <f t="shared" si="34"/>
        <v>152</v>
      </c>
      <c r="S41" s="115">
        <f t="shared" si="35"/>
        <v>9363.2</v>
      </c>
      <c r="U41" s="53">
        <f>+'[1]Service Count Data'!$X$267</f>
        <v>0</v>
      </c>
      <c r="V41" s="82">
        <v>61.6</v>
      </c>
      <c r="W41" s="6">
        <f t="shared" si="36"/>
        <v>0</v>
      </c>
      <c r="X41" s="53">
        <f>+'[1]Service Count Data'!$AD$267</f>
        <v>3043</v>
      </c>
      <c r="Y41" s="82">
        <v>61.6</v>
      </c>
      <c r="Z41" s="6">
        <f t="shared" si="37"/>
        <v>187448.80000000002</v>
      </c>
      <c r="AA41" s="112">
        <f t="shared" si="38"/>
        <v>3043</v>
      </c>
      <c r="AB41" s="115">
        <f t="shared" si="39"/>
        <v>187448.80000000002</v>
      </c>
      <c r="AC41" s="53">
        <f t="shared" si="2"/>
        <v>3195</v>
      </c>
      <c r="AD41" s="53">
        <f t="shared" si="40"/>
        <v>5157</v>
      </c>
      <c r="AE41" s="6">
        <f t="shared" si="41"/>
        <v>335074.14</v>
      </c>
      <c r="AH41" s="53">
        <f t="shared" si="42"/>
        <v>3195</v>
      </c>
    </row>
    <row r="42" spans="1:34" ht="12.75">
      <c r="A42" t="s">
        <v>216</v>
      </c>
      <c r="C42" s="53">
        <f>+'[1]Service Count Data'!$X$268</f>
        <v>0</v>
      </c>
      <c r="D42" s="82">
        <v>88.14</v>
      </c>
      <c r="E42" s="6">
        <f t="shared" si="28"/>
        <v>0</v>
      </c>
      <c r="F42" s="53">
        <f>+'[1]Service Count Data'!$AD$268</f>
        <v>0</v>
      </c>
      <c r="G42" s="82">
        <v>88.14</v>
      </c>
      <c r="H42" s="6">
        <f t="shared" si="29"/>
        <v>0</v>
      </c>
      <c r="I42" s="112">
        <f t="shared" si="30"/>
        <v>0</v>
      </c>
      <c r="J42" s="115">
        <f t="shared" si="31"/>
        <v>0</v>
      </c>
      <c r="L42" s="53">
        <f>+'[1]Service Count Data'!$X$269</f>
        <v>0</v>
      </c>
      <c r="M42" s="82">
        <v>81.9</v>
      </c>
      <c r="N42" s="6">
        <f t="shared" si="32"/>
        <v>0</v>
      </c>
      <c r="O42" s="53">
        <f>+'[1]Service Count Data'!$AD$269</f>
        <v>0</v>
      </c>
      <c r="P42" s="82">
        <v>81.9</v>
      </c>
      <c r="Q42" s="6">
        <f t="shared" si="33"/>
        <v>0</v>
      </c>
      <c r="R42" s="112">
        <f t="shared" si="34"/>
        <v>0</v>
      </c>
      <c r="S42" s="115">
        <f t="shared" si="35"/>
        <v>0</v>
      </c>
      <c r="U42" s="53">
        <f>+'[1]Service Count Data'!$X$270</f>
        <v>0</v>
      </c>
      <c r="V42" s="82">
        <v>81.9</v>
      </c>
      <c r="W42" s="6">
        <f>+U42*V42</f>
        <v>0</v>
      </c>
      <c r="X42" s="53">
        <f>+'[1]Service Count Data'!$AD$270</f>
        <v>0</v>
      </c>
      <c r="Y42" s="82">
        <v>81.9</v>
      </c>
      <c r="Z42" s="6">
        <f t="shared" si="37"/>
        <v>0</v>
      </c>
      <c r="AA42" s="112">
        <f t="shared" si="38"/>
        <v>0</v>
      </c>
      <c r="AB42" s="115">
        <f t="shared" si="39"/>
        <v>0</v>
      </c>
      <c r="AC42" s="53">
        <f t="shared" si="2"/>
        <v>0</v>
      </c>
      <c r="AD42" s="53">
        <f t="shared" si="40"/>
        <v>0</v>
      </c>
      <c r="AE42" s="6">
        <f t="shared" si="41"/>
        <v>0</v>
      </c>
      <c r="AH42" s="53">
        <f t="shared" si="42"/>
        <v>0</v>
      </c>
    </row>
    <row r="43" spans="1:34" ht="12.75">
      <c r="A43" t="s">
        <v>217</v>
      </c>
      <c r="C43" s="53">
        <f>+'[1]Service Count Data'!$X$118</f>
        <v>0</v>
      </c>
      <c r="D43" s="82">
        <v>9.25</v>
      </c>
      <c r="E43" s="6">
        <f t="shared" si="28"/>
        <v>0</v>
      </c>
      <c r="F43" s="53">
        <f>+'[1]Service Count Data'!$AD$118</f>
        <v>108</v>
      </c>
      <c r="G43" s="82">
        <v>9.25</v>
      </c>
      <c r="H43" s="6">
        <f t="shared" si="29"/>
        <v>999</v>
      </c>
      <c r="I43" s="112">
        <f t="shared" si="30"/>
        <v>108</v>
      </c>
      <c r="J43" s="115">
        <f t="shared" si="31"/>
        <v>999</v>
      </c>
      <c r="L43" s="53">
        <f>+'[1]Service Count Data'!$X$119</f>
        <v>0</v>
      </c>
      <c r="M43" s="82">
        <v>8.25</v>
      </c>
      <c r="N43" s="6">
        <f t="shared" si="32"/>
        <v>0</v>
      </c>
      <c r="O43" s="53">
        <f>+'[1]Service Count Data'!$AD$119</f>
        <v>2</v>
      </c>
      <c r="P43" s="82">
        <v>8.25</v>
      </c>
      <c r="Q43" s="6">
        <f t="shared" si="33"/>
        <v>16.5</v>
      </c>
      <c r="R43" s="112">
        <f t="shared" si="34"/>
        <v>2</v>
      </c>
      <c r="S43" s="115">
        <f t="shared" si="35"/>
        <v>16.5</v>
      </c>
      <c r="U43" s="53">
        <f>+'[1]Service Count Data'!$X$120</f>
        <v>0</v>
      </c>
      <c r="V43" s="82">
        <v>8.25</v>
      </c>
      <c r="W43" s="6">
        <f t="shared" si="36"/>
        <v>0</v>
      </c>
      <c r="X43" s="53">
        <f>+'[1]Service Count Data'!$AD$120</f>
        <v>5</v>
      </c>
      <c r="Y43" s="82">
        <v>8.25</v>
      </c>
      <c r="Z43" s="6">
        <f t="shared" si="37"/>
        <v>41.25</v>
      </c>
      <c r="AA43" s="112">
        <f t="shared" si="38"/>
        <v>5</v>
      </c>
      <c r="AB43" s="115">
        <f t="shared" si="39"/>
        <v>41.25</v>
      </c>
      <c r="AC43" s="53">
        <f t="shared" si="2"/>
        <v>7</v>
      </c>
      <c r="AD43" s="53">
        <f t="shared" si="40"/>
        <v>115</v>
      </c>
      <c r="AE43" s="6">
        <f t="shared" si="41"/>
        <v>1056.75</v>
      </c>
      <c r="AH43" s="53">
        <f t="shared" si="42"/>
        <v>7</v>
      </c>
    </row>
    <row r="44" spans="1:34" ht="12.75">
      <c r="A44" t="s">
        <v>218</v>
      </c>
      <c r="C44" s="53">
        <f>+'[1]Service Count Data'!$X$121</f>
        <v>0</v>
      </c>
      <c r="D44" s="82">
        <v>12.15</v>
      </c>
      <c r="E44" s="6">
        <f t="shared" si="28"/>
        <v>0</v>
      </c>
      <c r="F44" s="53">
        <f>+'[1]Service Count Data'!$AD$121</f>
        <v>7</v>
      </c>
      <c r="G44" s="82">
        <v>12.15</v>
      </c>
      <c r="H44" s="6">
        <f t="shared" si="29"/>
        <v>85.05</v>
      </c>
      <c r="I44" s="112">
        <f t="shared" si="30"/>
        <v>7</v>
      </c>
      <c r="J44" s="115">
        <f t="shared" si="31"/>
        <v>85.05</v>
      </c>
      <c r="L44" s="53">
        <f>+'[1]Service Count Data'!$X$122</f>
        <v>0</v>
      </c>
      <c r="M44" s="82">
        <v>10.9</v>
      </c>
      <c r="N44" s="6">
        <f t="shared" si="32"/>
        <v>0</v>
      </c>
      <c r="O44" s="53">
        <f>+'[1]Service Count Data'!$AD$122</f>
        <v>0</v>
      </c>
      <c r="P44" s="82">
        <v>10.9</v>
      </c>
      <c r="Q44" s="6">
        <f t="shared" si="33"/>
        <v>0</v>
      </c>
      <c r="R44" s="112">
        <f t="shared" si="34"/>
        <v>0</v>
      </c>
      <c r="S44" s="115">
        <f t="shared" si="35"/>
        <v>0</v>
      </c>
      <c r="U44" s="53">
        <f>+'[1]Service Count Data'!$X$123</f>
        <v>0</v>
      </c>
      <c r="V44" s="82">
        <v>10.9</v>
      </c>
      <c r="W44" s="6">
        <f t="shared" si="36"/>
        <v>0</v>
      </c>
      <c r="X44" s="53">
        <f>+'[1]Service Count Data'!$AD$123</f>
        <v>0</v>
      </c>
      <c r="Y44" s="82">
        <v>10.9</v>
      </c>
      <c r="Z44" s="6">
        <f t="shared" si="37"/>
        <v>0</v>
      </c>
      <c r="AA44" s="112">
        <f t="shared" si="38"/>
        <v>0</v>
      </c>
      <c r="AB44" s="115">
        <f t="shared" si="39"/>
        <v>0</v>
      </c>
      <c r="AC44" s="53">
        <f t="shared" si="2"/>
        <v>0</v>
      </c>
      <c r="AD44" s="53">
        <f t="shared" si="40"/>
        <v>7</v>
      </c>
      <c r="AE44" s="6">
        <f t="shared" si="41"/>
        <v>85.05</v>
      </c>
      <c r="AH44" s="53">
        <f t="shared" si="42"/>
        <v>0</v>
      </c>
    </row>
    <row r="45" spans="1:34" ht="12.75">
      <c r="A45" t="s">
        <v>219</v>
      </c>
      <c r="C45" s="53">
        <f>+'[1]Service Count Data'!$X$124</f>
        <v>0</v>
      </c>
      <c r="D45" s="82">
        <v>16.05</v>
      </c>
      <c r="E45" s="6">
        <f t="shared" si="28"/>
        <v>0</v>
      </c>
      <c r="F45" s="53">
        <f>+'[1]Service Count Data'!$AD$124</f>
        <v>53</v>
      </c>
      <c r="G45" s="82">
        <v>16.05</v>
      </c>
      <c r="H45" s="6">
        <f t="shared" si="29"/>
        <v>850.6500000000001</v>
      </c>
      <c r="I45" s="112">
        <f t="shared" si="30"/>
        <v>53</v>
      </c>
      <c r="J45" s="115">
        <f t="shared" si="31"/>
        <v>850.6500000000001</v>
      </c>
      <c r="L45" s="53">
        <f>+'[1]Service Count Data'!$X$125</f>
        <v>0</v>
      </c>
      <c r="M45" s="82">
        <v>14.5</v>
      </c>
      <c r="N45" s="6">
        <f t="shared" si="32"/>
        <v>0</v>
      </c>
      <c r="O45" s="53">
        <f>+'[1]Service Count Data'!$AD$125</f>
        <v>2</v>
      </c>
      <c r="P45" s="82">
        <v>14.5</v>
      </c>
      <c r="Q45" s="6">
        <f t="shared" si="33"/>
        <v>29</v>
      </c>
      <c r="R45" s="112">
        <f t="shared" si="34"/>
        <v>2</v>
      </c>
      <c r="S45" s="115">
        <f t="shared" si="35"/>
        <v>29</v>
      </c>
      <c r="U45" s="53">
        <f>+'[1]Service Count Data'!$X$126</f>
        <v>0</v>
      </c>
      <c r="V45" s="82">
        <v>14.5</v>
      </c>
      <c r="W45" s="6">
        <f t="shared" si="36"/>
        <v>0</v>
      </c>
      <c r="X45" s="53">
        <f>+'[1]Service Count Data'!$AD$126</f>
        <v>5</v>
      </c>
      <c r="Y45" s="82">
        <v>14.5</v>
      </c>
      <c r="Z45" s="6">
        <f t="shared" si="37"/>
        <v>72.5</v>
      </c>
      <c r="AA45" s="112">
        <f t="shared" si="38"/>
        <v>5</v>
      </c>
      <c r="AB45" s="115">
        <f t="shared" si="39"/>
        <v>72.5</v>
      </c>
      <c r="AC45" s="53">
        <f t="shared" si="2"/>
        <v>7</v>
      </c>
      <c r="AD45" s="53">
        <f t="shared" si="40"/>
        <v>60</v>
      </c>
      <c r="AE45" s="6">
        <f t="shared" si="41"/>
        <v>952.1500000000001</v>
      </c>
      <c r="AH45" s="53">
        <f t="shared" si="42"/>
        <v>7</v>
      </c>
    </row>
    <row r="46" spans="1:34" ht="12.75">
      <c r="A46" t="s">
        <v>220</v>
      </c>
      <c r="C46" s="53">
        <f>+'[1]Service Count Data'!$X$127</f>
        <v>0</v>
      </c>
      <c r="D46" s="82">
        <v>17.75</v>
      </c>
      <c r="E46" s="6">
        <f t="shared" si="28"/>
        <v>0</v>
      </c>
      <c r="F46" s="53">
        <f>+'[1]Service Count Data'!$AD$127</f>
        <v>1</v>
      </c>
      <c r="G46" s="82">
        <v>17.75</v>
      </c>
      <c r="H46" s="6">
        <f t="shared" si="29"/>
        <v>17.75</v>
      </c>
      <c r="I46" s="112">
        <f t="shared" si="30"/>
        <v>1</v>
      </c>
      <c r="J46" s="115">
        <f t="shared" si="31"/>
        <v>17.75</v>
      </c>
      <c r="L46" s="53">
        <f>+'[1]Service Count Data'!$X$128</f>
        <v>0</v>
      </c>
      <c r="M46" s="82">
        <v>15.2</v>
      </c>
      <c r="N46" s="6">
        <f t="shared" si="32"/>
        <v>0</v>
      </c>
      <c r="O46" s="53">
        <f>+'[1]Service Count Data'!$AD$128</f>
        <v>0</v>
      </c>
      <c r="P46" s="82">
        <v>15.2</v>
      </c>
      <c r="Q46" s="6">
        <f t="shared" si="33"/>
        <v>0</v>
      </c>
      <c r="R46" s="112">
        <f t="shared" si="34"/>
        <v>0</v>
      </c>
      <c r="S46" s="115">
        <f t="shared" si="35"/>
        <v>0</v>
      </c>
      <c r="U46" s="53">
        <f>+'[1]Service Count Data'!$X$129</f>
        <v>0</v>
      </c>
      <c r="V46" s="82">
        <v>15.2</v>
      </c>
      <c r="W46" s="6">
        <f t="shared" si="36"/>
        <v>0</v>
      </c>
      <c r="X46" s="53">
        <f>+'[1]Service Count Data'!$AD$129</f>
        <v>0</v>
      </c>
      <c r="Y46" s="82">
        <v>15.2</v>
      </c>
      <c r="Z46" s="6">
        <f t="shared" si="37"/>
        <v>0</v>
      </c>
      <c r="AA46" s="112">
        <f t="shared" si="38"/>
        <v>0</v>
      </c>
      <c r="AB46" s="115">
        <f t="shared" si="39"/>
        <v>0</v>
      </c>
      <c r="AC46" s="53">
        <f t="shared" si="2"/>
        <v>0</v>
      </c>
      <c r="AD46" s="53">
        <f t="shared" si="40"/>
        <v>1</v>
      </c>
      <c r="AE46" s="6">
        <f t="shared" si="41"/>
        <v>17.75</v>
      </c>
      <c r="AH46" s="53">
        <f t="shared" si="42"/>
        <v>0</v>
      </c>
    </row>
    <row r="47" spans="1:34" ht="12.75">
      <c r="A47" t="s">
        <v>221</v>
      </c>
      <c r="C47" s="53">
        <f>+'[1]Service Count Data'!$X$130</f>
        <v>0</v>
      </c>
      <c r="D47" s="82">
        <v>17.75</v>
      </c>
      <c r="E47" s="6">
        <f t="shared" si="28"/>
        <v>0</v>
      </c>
      <c r="F47" s="53">
        <f>+'[1]Service Count Data'!$AD$130</f>
        <v>8</v>
      </c>
      <c r="G47" s="82">
        <v>17.75</v>
      </c>
      <c r="H47" s="6">
        <f t="shared" si="29"/>
        <v>142</v>
      </c>
      <c r="I47" s="112">
        <f t="shared" si="30"/>
        <v>8</v>
      </c>
      <c r="J47" s="115">
        <f t="shared" si="31"/>
        <v>142</v>
      </c>
      <c r="L47" s="53">
        <f>+'[1]Service Count Data'!$X$131</f>
        <v>0</v>
      </c>
      <c r="M47" s="82">
        <v>15.8</v>
      </c>
      <c r="N47" s="6">
        <f t="shared" si="32"/>
        <v>0</v>
      </c>
      <c r="O47" s="53">
        <f>+'[1]Service Count Data'!$AD$131</f>
        <v>0</v>
      </c>
      <c r="P47" s="82">
        <v>15.8</v>
      </c>
      <c r="Q47" s="6">
        <f t="shared" si="33"/>
        <v>0</v>
      </c>
      <c r="R47" s="112">
        <f t="shared" si="34"/>
        <v>0</v>
      </c>
      <c r="S47" s="115">
        <f t="shared" si="35"/>
        <v>0</v>
      </c>
      <c r="U47" s="53">
        <f>+'[1]Service Count Data'!$X$132</f>
        <v>0</v>
      </c>
      <c r="V47" s="82">
        <v>15.8</v>
      </c>
      <c r="W47" s="6">
        <f t="shared" si="36"/>
        <v>0</v>
      </c>
      <c r="X47" s="53">
        <f>+'[1]Service Count Data'!$AD$132</f>
        <v>1</v>
      </c>
      <c r="Y47" s="82">
        <v>15.8</v>
      </c>
      <c r="Z47" s="6">
        <f t="shared" si="37"/>
        <v>15.8</v>
      </c>
      <c r="AA47" s="112">
        <f t="shared" si="38"/>
        <v>1</v>
      </c>
      <c r="AB47" s="115">
        <f t="shared" si="39"/>
        <v>15.8</v>
      </c>
      <c r="AC47" s="53">
        <f t="shared" si="2"/>
        <v>1</v>
      </c>
      <c r="AD47" s="53">
        <f t="shared" si="40"/>
        <v>9</v>
      </c>
      <c r="AE47" s="6">
        <f t="shared" si="41"/>
        <v>157.8</v>
      </c>
      <c r="AH47" s="53">
        <f t="shared" si="42"/>
        <v>1</v>
      </c>
    </row>
    <row r="48" spans="1:34" ht="12.75">
      <c r="A48" t="s">
        <v>222</v>
      </c>
      <c r="C48" s="53">
        <f>+'[1]Service Count Data'!$X$133</f>
        <v>0</v>
      </c>
      <c r="D48" s="82">
        <v>20.45</v>
      </c>
      <c r="E48" s="6">
        <f t="shared" si="28"/>
        <v>0</v>
      </c>
      <c r="F48" s="53">
        <f>+'[1]Service Count Data'!$AD$133</f>
        <v>7</v>
      </c>
      <c r="G48" s="82">
        <v>20.45</v>
      </c>
      <c r="H48" s="6">
        <f t="shared" si="29"/>
        <v>143.15</v>
      </c>
      <c r="I48" s="112">
        <f t="shared" si="30"/>
        <v>7</v>
      </c>
      <c r="J48" s="115">
        <f t="shared" si="31"/>
        <v>143.15</v>
      </c>
      <c r="L48" s="53">
        <f>+'[1]Service Count Data'!$X$134</f>
        <v>0</v>
      </c>
      <c r="M48" s="82">
        <v>18.35</v>
      </c>
      <c r="N48" s="6">
        <f t="shared" si="32"/>
        <v>0</v>
      </c>
      <c r="O48" s="53">
        <f>+'[1]Service Count Data'!$AD$134</f>
        <v>2</v>
      </c>
      <c r="P48" s="82">
        <v>18.35</v>
      </c>
      <c r="Q48" s="6">
        <f t="shared" si="33"/>
        <v>36.7</v>
      </c>
      <c r="R48" s="112">
        <f t="shared" si="34"/>
        <v>2</v>
      </c>
      <c r="S48" s="115">
        <f t="shared" si="35"/>
        <v>36.7</v>
      </c>
      <c r="U48" s="53">
        <f>+'[1]Service Count Data'!$X$135</f>
        <v>0</v>
      </c>
      <c r="V48" s="82">
        <v>18.35</v>
      </c>
      <c r="W48" s="6">
        <f t="shared" si="36"/>
        <v>0</v>
      </c>
      <c r="X48" s="53">
        <f>+'[1]Service Count Data'!$AD$135</f>
        <v>6</v>
      </c>
      <c r="Y48" s="82">
        <v>18.35</v>
      </c>
      <c r="Z48" s="6">
        <f t="shared" si="37"/>
        <v>110.10000000000001</v>
      </c>
      <c r="AA48" s="112">
        <f t="shared" si="38"/>
        <v>6</v>
      </c>
      <c r="AB48" s="115">
        <f t="shared" si="39"/>
        <v>110.10000000000001</v>
      </c>
      <c r="AC48" s="53">
        <f t="shared" si="2"/>
        <v>8</v>
      </c>
      <c r="AD48" s="53">
        <f t="shared" si="40"/>
        <v>15</v>
      </c>
      <c r="AE48" s="6">
        <f t="shared" si="41"/>
        <v>289.95000000000005</v>
      </c>
      <c r="AH48" s="53">
        <f t="shared" si="42"/>
        <v>8</v>
      </c>
    </row>
    <row r="49" spans="1:34" ht="12.75">
      <c r="A49" t="s">
        <v>223</v>
      </c>
      <c r="C49" s="53">
        <f>+'[1]Service Count Data'!$X$238</f>
        <v>0</v>
      </c>
      <c r="D49" s="82">
        <v>2.6</v>
      </c>
      <c r="E49" s="6">
        <f t="shared" si="28"/>
        <v>0</v>
      </c>
      <c r="F49" s="53">
        <f>+'[1]Service Count Data'!$AD$238</f>
        <v>1</v>
      </c>
      <c r="G49" s="82">
        <v>2.6</v>
      </c>
      <c r="H49" s="6">
        <f t="shared" si="29"/>
        <v>2.6</v>
      </c>
      <c r="I49" s="112">
        <f t="shared" si="30"/>
        <v>1</v>
      </c>
      <c r="J49" s="115">
        <f t="shared" si="31"/>
        <v>2.6</v>
      </c>
      <c r="L49" s="53">
        <f>+'[1]Service Count Data'!$X$239</f>
        <v>0</v>
      </c>
      <c r="M49" s="82">
        <v>2.3</v>
      </c>
      <c r="N49" s="6">
        <f t="shared" si="32"/>
        <v>0</v>
      </c>
      <c r="O49" s="53">
        <f>+'[1]Service Count Data'!$AD$239</f>
        <v>0</v>
      </c>
      <c r="P49" s="82">
        <v>2.3</v>
      </c>
      <c r="Q49" s="6">
        <f t="shared" si="33"/>
        <v>0</v>
      </c>
      <c r="R49" s="112">
        <f t="shared" si="34"/>
        <v>0</v>
      </c>
      <c r="S49" s="115">
        <f t="shared" si="35"/>
        <v>0</v>
      </c>
      <c r="U49" s="53">
        <f>+'[1]Service Count Data'!$X$240</f>
        <v>0</v>
      </c>
      <c r="V49" s="82">
        <v>2.3</v>
      </c>
      <c r="W49" s="6">
        <f t="shared" si="36"/>
        <v>0</v>
      </c>
      <c r="X49" s="53">
        <f>+'[1]Service Count Data'!$AD$240</f>
        <v>0</v>
      </c>
      <c r="Y49" s="82">
        <v>2.3</v>
      </c>
      <c r="Z49" s="6">
        <f t="shared" si="37"/>
        <v>0</v>
      </c>
      <c r="AA49" s="112">
        <f t="shared" si="38"/>
        <v>0</v>
      </c>
      <c r="AB49" s="115">
        <f t="shared" si="39"/>
        <v>0</v>
      </c>
      <c r="AC49" s="53">
        <f t="shared" si="2"/>
        <v>0</v>
      </c>
      <c r="AD49" s="53">
        <f t="shared" si="40"/>
        <v>1</v>
      </c>
      <c r="AE49" s="6">
        <f t="shared" si="41"/>
        <v>2.6</v>
      </c>
      <c r="AH49" s="53">
        <f t="shared" si="42"/>
        <v>0</v>
      </c>
    </row>
    <row r="50" spans="1:34" ht="12.75">
      <c r="A50" t="s">
        <v>224</v>
      </c>
      <c r="C50" s="53">
        <f>+'[1]Service Count Data'!$X$169</f>
        <v>0</v>
      </c>
      <c r="D50" s="82">
        <v>1.5</v>
      </c>
      <c r="E50" s="6">
        <f t="shared" si="28"/>
        <v>0</v>
      </c>
      <c r="F50" s="53">
        <f>+'[1]Service Count Data'!$AD$169</f>
        <v>4401</v>
      </c>
      <c r="G50" s="82">
        <v>1.5</v>
      </c>
      <c r="H50" s="6">
        <f t="shared" si="29"/>
        <v>6601.5</v>
      </c>
      <c r="I50" s="112">
        <f t="shared" si="30"/>
        <v>4401</v>
      </c>
      <c r="J50" s="115">
        <f t="shared" si="31"/>
        <v>6601.5</v>
      </c>
      <c r="L50" s="53">
        <f>+'[1]Service Count Data'!$X$170</f>
        <v>0</v>
      </c>
      <c r="M50" s="82">
        <v>1.3</v>
      </c>
      <c r="N50" s="6">
        <f t="shared" si="32"/>
        <v>0</v>
      </c>
      <c r="O50" s="53">
        <f>+'[1]Service Count Data'!$AD$170</f>
        <v>202</v>
      </c>
      <c r="P50" s="82">
        <v>1.3</v>
      </c>
      <c r="Q50" s="6">
        <f t="shared" si="33"/>
        <v>262.6</v>
      </c>
      <c r="R50" s="112">
        <f t="shared" si="34"/>
        <v>202</v>
      </c>
      <c r="S50" s="115">
        <f t="shared" si="35"/>
        <v>262.6</v>
      </c>
      <c r="U50" s="53">
        <f>+'[1]Service Count Data'!$X$171</f>
        <v>0</v>
      </c>
      <c r="V50" s="82">
        <v>1.3</v>
      </c>
      <c r="W50" s="6">
        <f t="shared" si="36"/>
        <v>0</v>
      </c>
      <c r="X50" s="53">
        <f>+'[1]Service Count Data'!$AD$171</f>
        <v>686</v>
      </c>
      <c r="Y50" s="82">
        <v>1.3</v>
      </c>
      <c r="Z50" s="6">
        <f t="shared" si="37"/>
        <v>891.8000000000001</v>
      </c>
      <c r="AA50" s="112">
        <f t="shared" si="38"/>
        <v>686</v>
      </c>
      <c r="AB50" s="115">
        <f t="shared" si="39"/>
        <v>891.8000000000001</v>
      </c>
      <c r="AC50" s="53">
        <f t="shared" si="2"/>
        <v>888</v>
      </c>
      <c r="AD50" s="53">
        <f t="shared" si="40"/>
        <v>5289</v>
      </c>
      <c r="AE50" s="6">
        <f t="shared" si="41"/>
        <v>7755.900000000001</v>
      </c>
      <c r="AF50" s="6">
        <f>SUM(AE36:AE50)</f>
        <v>926857.8700000001</v>
      </c>
      <c r="AH50" s="53">
        <f t="shared" si="42"/>
        <v>888</v>
      </c>
    </row>
    <row r="51" spans="3:29" ht="12.75">
      <c r="C51" s="53"/>
      <c r="D51" s="83"/>
      <c r="F51" s="53"/>
      <c r="G51" s="83"/>
      <c r="I51" s="112"/>
      <c r="J51" s="116"/>
      <c r="L51" s="53"/>
      <c r="M51" s="83"/>
      <c r="O51" s="53"/>
      <c r="P51" s="83"/>
      <c r="R51" s="112"/>
      <c r="S51" s="116"/>
      <c r="U51" s="53"/>
      <c r="V51" s="83"/>
      <c r="X51" s="53"/>
      <c r="Y51" s="83"/>
      <c r="AA51" s="112"/>
      <c r="AB51" s="116"/>
      <c r="AC51" s="53">
        <f t="shared" si="2"/>
        <v>0</v>
      </c>
    </row>
    <row r="52" spans="1:29" ht="12.75">
      <c r="A52" t="s">
        <v>225</v>
      </c>
      <c r="C52" s="53"/>
      <c r="D52" s="83"/>
      <c r="F52" s="53"/>
      <c r="G52" s="83"/>
      <c r="I52" s="112"/>
      <c r="J52" s="116"/>
      <c r="L52" s="53"/>
      <c r="M52" s="83"/>
      <c r="O52" s="53"/>
      <c r="P52" s="83"/>
      <c r="R52" s="112"/>
      <c r="S52" s="116"/>
      <c r="U52" s="53"/>
      <c r="V52" s="83"/>
      <c r="X52" s="53"/>
      <c r="Y52" s="83"/>
      <c r="AA52" s="112"/>
      <c r="AB52" s="116"/>
      <c r="AC52" s="53">
        <f t="shared" si="2"/>
        <v>0</v>
      </c>
    </row>
    <row r="53" spans="1:34" ht="12.75">
      <c r="A53" t="s">
        <v>276</v>
      </c>
      <c r="C53" s="53">
        <f>+'[1]Service Count Data'!$X$211</f>
        <v>0</v>
      </c>
      <c r="D53" s="82">
        <v>105</v>
      </c>
      <c r="E53" s="6">
        <f>+C53*D53</f>
        <v>0</v>
      </c>
      <c r="F53" s="53">
        <f>+'[1]Service Count Data'!$AD$211</f>
        <v>56</v>
      </c>
      <c r="G53" s="82">
        <v>105</v>
      </c>
      <c r="H53" s="6">
        <f aca="true" t="shared" si="43" ref="H53:H68">+F53*G53</f>
        <v>5880</v>
      </c>
      <c r="I53" s="112">
        <f aca="true" t="shared" si="44" ref="I53:I68">+C53+F53</f>
        <v>56</v>
      </c>
      <c r="J53" s="115">
        <f aca="true" t="shared" si="45" ref="J53:J68">+E53+H53</f>
        <v>5880</v>
      </c>
      <c r="L53" s="53">
        <f>+'[1]Service Count Data'!$X$212</f>
        <v>0</v>
      </c>
      <c r="M53" s="82">
        <v>95.05</v>
      </c>
      <c r="N53" s="6">
        <f aca="true" t="shared" si="46" ref="N53:N68">+L53*M53</f>
        <v>0</v>
      </c>
      <c r="O53" s="53">
        <f>+'[1]Service Count Data'!$AD$212</f>
        <v>0</v>
      </c>
      <c r="P53" s="82">
        <v>95.05</v>
      </c>
      <c r="Q53" s="6">
        <f aca="true" t="shared" si="47" ref="Q53:Q68">+O53*P53</f>
        <v>0</v>
      </c>
      <c r="R53" s="112">
        <f aca="true" t="shared" si="48" ref="R53:R68">+L53+O53</f>
        <v>0</v>
      </c>
      <c r="S53" s="115">
        <f aca="true" t="shared" si="49" ref="S53:S68">+N53+Q53</f>
        <v>0</v>
      </c>
      <c r="U53" s="53">
        <f>+'[1]Service Count Data'!$X$213</f>
        <v>0</v>
      </c>
      <c r="V53" s="82">
        <v>95.05</v>
      </c>
      <c r="W53" s="6">
        <f aca="true" t="shared" si="50" ref="W53:W68">+U53*V53</f>
        <v>0</v>
      </c>
      <c r="X53" s="53">
        <f>+'[1]Service Count Data'!$AD$213</f>
        <v>0</v>
      </c>
      <c r="Y53" s="82">
        <v>95.05</v>
      </c>
      <c r="Z53" s="6">
        <f aca="true" t="shared" si="51" ref="Z53:Z68">+X53*Y53</f>
        <v>0</v>
      </c>
      <c r="AA53" s="112">
        <f aca="true" t="shared" si="52" ref="AA53:AA68">+U53+X53</f>
        <v>0</v>
      </c>
      <c r="AB53" s="115">
        <f aca="true" t="shared" si="53" ref="AB53:AB68">+W53+Z53</f>
        <v>0</v>
      </c>
      <c r="AC53" s="53">
        <f t="shared" si="2"/>
        <v>0</v>
      </c>
      <c r="AD53" s="53">
        <f aca="true" t="shared" si="54" ref="AD53:AD68">+I53+R53+AA53</f>
        <v>56</v>
      </c>
      <c r="AE53" s="6">
        <f aca="true" t="shared" si="55" ref="AE53:AE68">+J53+S53+AB53</f>
        <v>5880</v>
      </c>
      <c r="AH53" s="53">
        <f aca="true" t="shared" si="56" ref="AH53:AH68">+R53+AA53</f>
        <v>0</v>
      </c>
    </row>
    <row r="54" spans="1:34" ht="12.75">
      <c r="A54" t="s">
        <v>226</v>
      </c>
      <c r="C54" s="53">
        <f>+'[1]Service Count Data'!$X$217</f>
        <v>0</v>
      </c>
      <c r="D54" s="82">
        <v>128</v>
      </c>
      <c r="E54" s="6">
        <f aca="true" t="shared" si="57" ref="E54:E67">+C54*D54</f>
        <v>0</v>
      </c>
      <c r="F54" s="53">
        <f>+'[1]Service Count Data'!$AD$217</f>
        <v>138</v>
      </c>
      <c r="G54" s="82">
        <v>128</v>
      </c>
      <c r="H54" s="6">
        <f t="shared" si="43"/>
        <v>17664</v>
      </c>
      <c r="I54" s="112">
        <f t="shared" si="44"/>
        <v>138</v>
      </c>
      <c r="J54" s="115">
        <f t="shared" si="45"/>
        <v>17664</v>
      </c>
      <c r="L54" s="53">
        <f>+'[1]Service Count Data'!$X$218</f>
        <v>0</v>
      </c>
      <c r="M54" s="82">
        <v>114.95</v>
      </c>
      <c r="N54" s="6">
        <f t="shared" si="46"/>
        <v>0</v>
      </c>
      <c r="O54" s="53">
        <f>+'[1]Service Count Data'!$AD$218</f>
        <v>27</v>
      </c>
      <c r="P54" s="82">
        <v>114.95</v>
      </c>
      <c r="Q54" s="6">
        <f t="shared" si="47"/>
        <v>3103.65</v>
      </c>
      <c r="R54" s="112">
        <f t="shared" si="48"/>
        <v>27</v>
      </c>
      <c r="S54" s="115">
        <f t="shared" si="49"/>
        <v>3103.65</v>
      </c>
      <c r="U54" s="53">
        <f>+'[1]Service Count Data'!$X$219</f>
        <v>0</v>
      </c>
      <c r="V54" s="82">
        <v>114.95</v>
      </c>
      <c r="W54" s="6">
        <f t="shared" si="50"/>
        <v>0</v>
      </c>
      <c r="X54" s="53">
        <f>+'[1]Service Count Data'!$AD$219</f>
        <v>51</v>
      </c>
      <c r="Y54" s="82">
        <v>114.95</v>
      </c>
      <c r="Z54" s="6">
        <f t="shared" si="51"/>
        <v>5862.45</v>
      </c>
      <c r="AA54" s="112">
        <f t="shared" si="52"/>
        <v>51</v>
      </c>
      <c r="AB54" s="115">
        <f t="shared" si="53"/>
        <v>5862.45</v>
      </c>
      <c r="AC54" s="53">
        <f t="shared" si="2"/>
        <v>78</v>
      </c>
      <c r="AD54" s="53">
        <f t="shared" si="54"/>
        <v>216</v>
      </c>
      <c r="AE54" s="6">
        <f t="shared" si="55"/>
        <v>26630.100000000002</v>
      </c>
      <c r="AH54" s="53">
        <f t="shared" si="56"/>
        <v>78</v>
      </c>
    </row>
    <row r="55" spans="1:34" ht="12.75">
      <c r="A55" t="s">
        <v>227</v>
      </c>
      <c r="C55" s="53">
        <f>+'[1]Service Count Data'!$X$223</f>
        <v>0</v>
      </c>
      <c r="D55" s="82">
        <v>138</v>
      </c>
      <c r="E55" s="6">
        <f t="shared" si="57"/>
        <v>0</v>
      </c>
      <c r="F55" s="53">
        <f>+'[1]Service Count Data'!$AD$223</f>
        <v>217.23</v>
      </c>
      <c r="G55" s="82">
        <v>138</v>
      </c>
      <c r="H55" s="6">
        <f t="shared" si="43"/>
        <v>29977.739999999998</v>
      </c>
      <c r="I55" s="112">
        <f t="shared" si="44"/>
        <v>217.23</v>
      </c>
      <c r="J55" s="115">
        <f t="shared" si="45"/>
        <v>29977.739999999998</v>
      </c>
      <c r="L55" s="53">
        <f>+'[1]Service Count Data'!$X$224</f>
        <v>0</v>
      </c>
      <c r="M55" s="82">
        <v>124.95</v>
      </c>
      <c r="N55" s="6">
        <f t="shared" si="46"/>
        <v>0</v>
      </c>
      <c r="O55" s="53">
        <f>+'[1]Service Count Data'!$AD$224</f>
        <v>144</v>
      </c>
      <c r="P55" s="82">
        <v>124.95</v>
      </c>
      <c r="Q55" s="6">
        <f t="shared" si="47"/>
        <v>17992.8</v>
      </c>
      <c r="R55" s="112">
        <f t="shared" si="48"/>
        <v>144</v>
      </c>
      <c r="S55" s="115">
        <f t="shared" si="49"/>
        <v>17992.8</v>
      </c>
      <c r="U55" s="53">
        <f>+'[1]Service Count Data'!$X$225</f>
        <v>0</v>
      </c>
      <c r="V55" s="82">
        <v>124.95</v>
      </c>
      <c r="W55" s="6">
        <f t="shared" si="50"/>
        <v>0</v>
      </c>
      <c r="X55" s="53">
        <f>+'[1]Service Count Data'!$AD$225</f>
        <v>513</v>
      </c>
      <c r="Y55" s="82">
        <v>124.95</v>
      </c>
      <c r="Z55" s="6">
        <f t="shared" si="51"/>
        <v>64099.35</v>
      </c>
      <c r="AA55" s="112">
        <f t="shared" si="52"/>
        <v>513</v>
      </c>
      <c r="AB55" s="115">
        <f t="shared" si="53"/>
        <v>64099.35</v>
      </c>
      <c r="AC55" s="53">
        <f t="shared" si="2"/>
        <v>657</v>
      </c>
      <c r="AD55" s="53">
        <f t="shared" si="54"/>
        <v>874.23</v>
      </c>
      <c r="AE55" s="6">
        <f t="shared" si="55"/>
        <v>112069.88999999998</v>
      </c>
      <c r="AH55" s="53">
        <f t="shared" si="56"/>
        <v>657</v>
      </c>
    </row>
    <row r="56" spans="1:34" ht="12.75">
      <c r="A56" t="s">
        <v>228</v>
      </c>
      <c r="C56" s="53">
        <f>+'[1]Service Count Data'!$X$229</f>
        <v>0</v>
      </c>
      <c r="D56" s="82">
        <v>0</v>
      </c>
      <c r="E56" s="6">
        <f t="shared" si="57"/>
        <v>0</v>
      </c>
      <c r="F56" s="53">
        <f>+'[1]Service Count Data'!$AD$229</f>
        <v>0</v>
      </c>
      <c r="G56" s="82">
        <v>0</v>
      </c>
      <c r="H56" s="6">
        <f t="shared" si="43"/>
        <v>0</v>
      </c>
      <c r="I56" s="112">
        <f t="shared" si="44"/>
        <v>0</v>
      </c>
      <c r="J56" s="115">
        <f t="shared" si="45"/>
        <v>0</v>
      </c>
      <c r="L56" s="53">
        <f>+'[1]Service Count Data'!$X$230</f>
        <v>0</v>
      </c>
      <c r="M56" s="82">
        <v>0</v>
      </c>
      <c r="N56" s="6">
        <f t="shared" si="46"/>
        <v>0</v>
      </c>
      <c r="O56" s="53">
        <f>+'[1]Service Count Data'!$AD$230</f>
        <v>0</v>
      </c>
      <c r="P56" s="82">
        <v>0</v>
      </c>
      <c r="Q56" s="6">
        <f t="shared" si="47"/>
        <v>0</v>
      </c>
      <c r="R56" s="112">
        <f t="shared" si="48"/>
        <v>0</v>
      </c>
      <c r="S56" s="115">
        <f t="shared" si="49"/>
        <v>0</v>
      </c>
      <c r="U56" s="53">
        <f>+'[1]Service Count Data'!$X$231</f>
        <v>0</v>
      </c>
      <c r="V56" s="82">
        <v>0</v>
      </c>
      <c r="W56" s="6">
        <f t="shared" si="50"/>
        <v>0</v>
      </c>
      <c r="X56" s="53">
        <f>+'[1]Service Count Data'!$AD$231</f>
        <v>0</v>
      </c>
      <c r="Y56" s="82">
        <v>0</v>
      </c>
      <c r="Z56" s="6">
        <f t="shared" si="51"/>
        <v>0</v>
      </c>
      <c r="AA56" s="112">
        <f t="shared" si="52"/>
        <v>0</v>
      </c>
      <c r="AB56" s="115">
        <f t="shared" si="53"/>
        <v>0</v>
      </c>
      <c r="AC56" s="53">
        <f t="shared" si="2"/>
        <v>0</v>
      </c>
      <c r="AD56" s="53">
        <f t="shared" si="54"/>
        <v>0</v>
      </c>
      <c r="AE56" s="6">
        <f t="shared" si="55"/>
        <v>0</v>
      </c>
      <c r="AH56" s="53">
        <f t="shared" si="56"/>
        <v>0</v>
      </c>
    </row>
    <row r="57" spans="1:34" ht="12.75">
      <c r="A57" t="s">
        <v>275</v>
      </c>
      <c r="C57" s="53">
        <f>+'[1]Service Count Data'!$X$214</f>
        <v>0</v>
      </c>
      <c r="D57" s="82">
        <v>3.35</v>
      </c>
      <c r="E57" s="6">
        <f>+C57*D57</f>
        <v>0</v>
      </c>
      <c r="F57" s="53">
        <f>+'[1]Service Count Data'!$AD$214</f>
        <v>485</v>
      </c>
      <c r="G57" s="82">
        <v>3.35</v>
      </c>
      <c r="H57" s="6">
        <f t="shared" si="43"/>
        <v>1624.75</v>
      </c>
      <c r="I57" s="112">
        <f t="shared" si="44"/>
        <v>485</v>
      </c>
      <c r="J57" s="115">
        <f t="shared" si="45"/>
        <v>1624.75</v>
      </c>
      <c r="L57" s="53">
        <f>+'[1]Service Count Data'!$X$215</f>
        <v>0</v>
      </c>
      <c r="M57" s="82">
        <v>3.05</v>
      </c>
      <c r="N57" s="6">
        <f t="shared" si="46"/>
        <v>0</v>
      </c>
      <c r="O57" s="53">
        <f>+'[1]Service Count Data'!$AD$215</f>
        <v>0</v>
      </c>
      <c r="P57" s="82">
        <v>3.05</v>
      </c>
      <c r="Q57" s="6">
        <f t="shared" si="47"/>
        <v>0</v>
      </c>
      <c r="R57" s="112">
        <f t="shared" si="48"/>
        <v>0</v>
      </c>
      <c r="S57" s="115">
        <f t="shared" si="49"/>
        <v>0</v>
      </c>
      <c r="U57" s="53">
        <f>+'[1]Service Count Data'!$X$216</f>
        <v>0</v>
      </c>
      <c r="V57" s="82">
        <v>3.05</v>
      </c>
      <c r="W57" s="6">
        <f t="shared" si="50"/>
        <v>0</v>
      </c>
      <c r="X57" s="53">
        <f>+'[1]Service Count Data'!$AD$216</f>
        <v>0</v>
      </c>
      <c r="Y57" s="82">
        <v>3.05</v>
      </c>
      <c r="Z57" s="6">
        <f t="shared" si="51"/>
        <v>0</v>
      </c>
      <c r="AA57" s="112">
        <f t="shared" si="52"/>
        <v>0</v>
      </c>
      <c r="AB57" s="115">
        <f t="shared" si="53"/>
        <v>0</v>
      </c>
      <c r="AC57" s="53">
        <f t="shared" si="2"/>
        <v>0</v>
      </c>
      <c r="AD57" s="53">
        <f t="shared" si="54"/>
        <v>485</v>
      </c>
      <c r="AE57" s="6">
        <f t="shared" si="55"/>
        <v>1624.75</v>
      </c>
      <c r="AH57" s="53">
        <f t="shared" si="56"/>
        <v>0</v>
      </c>
    </row>
    <row r="58" spans="1:34" ht="12.75">
      <c r="A58" t="s">
        <v>229</v>
      </c>
      <c r="C58" s="53">
        <f>+'[1]Service Count Data'!$X$220</f>
        <v>0</v>
      </c>
      <c r="D58" s="82">
        <v>3.85</v>
      </c>
      <c r="E58" s="6">
        <f t="shared" si="57"/>
        <v>0</v>
      </c>
      <c r="F58" s="53">
        <f>+'[1]Service Count Data'!$AD$220</f>
        <v>2187</v>
      </c>
      <c r="G58" s="82">
        <v>3.85</v>
      </c>
      <c r="H58" s="6">
        <f t="shared" si="43"/>
        <v>8419.95</v>
      </c>
      <c r="I58" s="112">
        <f t="shared" si="44"/>
        <v>2187</v>
      </c>
      <c r="J58" s="115">
        <f t="shared" si="45"/>
        <v>8419.95</v>
      </c>
      <c r="L58" s="53">
        <f>+'[1]Service Count Data'!$X$221</f>
        <v>0</v>
      </c>
      <c r="M58" s="82">
        <v>3.55</v>
      </c>
      <c r="N58" s="6">
        <f t="shared" si="46"/>
        <v>0</v>
      </c>
      <c r="O58" s="53">
        <f>+'[1]Service Count Data'!$AD$221</f>
        <v>645</v>
      </c>
      <c r="P58" s="82">
        <v>3.55</v>
      </c>
      <c r="Q58" s="6">
        <f t="shared" si="47"/>
        <v>2289.75</v>
      </c>
      <c r="R58" s="112">
        <f t="shared" si="48"/>
        <v>645</v>
      </c>
      <c r="S58" s="115">
        <f t="shared" si="49"/>
        <v>2289.75</v>
      </c>
      <c r="U58" s="53">
        <f>+'[1]Service Count Data'!$X$222</f>
        <v>0</v>
      </c>
      <c r="V58" s="82">
        <v>3.55</v>
      </c>
      <c r="W58" s="6">
        <f t="shared" si="50"/>
        <v>0</v>
      </c>
      <c r="X58" s="53">
        <f>+'[1]Service Count Data'!$AD$222</f>
        <v>980</v>
      </c>
      <c r="Y58" s="82">
        <v>3.55</v>
      </c>
      <c r="Z58" s="6">
        <f t="shared" si="51"/>
        <v>3479</v>
      </c>
      <c r="AA58" s="112">
        <f t="shared" si="52"/>
        <v>980</v>
      </c>
      <c r="AB58" s="115">
        <f t="shared" si="53"/>
        <v>3479</v>
      </c>
      <c r="AC58" s="53">
        <f t="shared" si="2"/>
        <v>1625</v>
      </c>
      <c r="AD58" s="53">
        <f t="shared" si="54"/>
        <v>3812</v>
      </c>
      <c r="AE58" s="6">
        <f t="shared" si="55"/>
        <v>14188.7</v>
      </c>
      <c r="AH58" s="53">
        <f t="shared" si="56"/>
        <v>1625</v>
      </c>
    </row>
    <row r="59" spans="1:34" ht="12.75">
      <c r="A59" t="s">
        <v>230</v>
      </c>
      <c r="C59" s="53">
        <f>+'[1]Service Count Data'!$X$226</f>
        <v>0</v>
      </c>
      <c r="D59" s="82">
        <v>4.6</v>
      </c>
      <c r="E59" s="6">
        <f t="shared" si="57"/>
        <v>0</v>
      </c>
      <c r="F59" s="53">
        <f>+'[1]Service Count Data'!$AD$226</f>
        <v>2485</v>
      </c>
      <c r="G59" s="82">
        <v>4.6</v>
      </c>
      <c r="H59" s="6">
        <f t="shared" si="43"/>
        <v>11431</v>
      </c>
      <c r="I59" s="112">
        <f t="shared" si="44"/>
        <v>2485</v>
      </c>
      <c r="J59" s="115">
        <f t="shared" si="45"/>
        <v>11431</v>
      </c>
      <c r="L59" s="53">
        <f>+'[1]Service Count Data'!$X$227</f>
        <v>0</v>
      </c>
      <c r="M59" s="82">
        <v>4.2</v>
      </c>
      <c r="N59" s="6">
        <f t="shared" si="46"/>
        <v>0</v>
      </c>
      <c r="O59" s="53">
        <f>+'[1]Service Count Data'!$AD$227</f>
        <v>1183</v>
      </c>
      <c r="P59" s="82">
        <v>4.2</v>
      </c>
      <c r="Q59" s="6">
        <f t="shared" si="47"/>
        <v>4968.6</v>
      </c>
      <c r="R59" s="112">
        <f t="shared" si="48"/>
        <v>1183</v>
      </c>
      <c r="S59" s="115">
        <f t="shared" si="49"/>
        <v>4968.6</v>
      </c>
      <c r="U59" s="53">
        <f>+'[1]Service Count Data'!$X$228</f>
        <v>0</v>
      </c>
      <c r="V59" s="82">
        <v>4.2</v>
      </c>
      <c r="W59" s="6">
        <f t="shared" si="50"/>
        <v>0</v>
      </c>
      <c r="X59" s="53">
        <f>+'[1]Service Count Data'!$AD$228</f>
        <v>3038</v>
      </c>
      <c r="Y59" s="82">
        <v>4.2</v>
      </c>
      <c r="Z59" s="6">
        <f t="shared" si="51"/>
        <v>12759.6</v>
      </c>
      <c r="AA59" s="112">
        <f t="shared" si="52"/>
        <v>3038</v>
      </c>
      <c r="AB59" s="115">
        <f t="shared" si="53"/>
        <v>12759.6</v>
      </c>
      <c r="AC59" s="53">
        <f t="shared" si="2"/>
        <v>4221</v>
      </c>
      <c r="AD59" s="53">
        <f t="shared" si="54"/>
        <v>6706</v>
      </c>
      <c r="AE59" s="6">
        <f t="shared" si="55"/>
        <v>29159.199999999997</v>
      </c>
      <c r="AH59" s="53">
        <f t="shared" si="56"/>
        <v>4221</v>
      </c>
    </row>
    <row r="60" spans="1:34" ht="12.75">
      <c r="A60" t="s">
        <v>234</v>
      </c>
      <c r="C60" s="53">
        <f>+'[1]Service Count Data'!$X$232</f>
        <v>0</v>
      </c>
      <c r="D60" s="82">
        <v>0</v>
      </c>
      <c r="E60" s="6">
        <f t="shared" si="57"/>
        <v>0</v>
      </c>
      <c r="F60" s="53">
        <f>+'[1]Service Count Data'!$AD$232</f>
        <v>0</v>
      </c>
      <c r="G60" s="82">
        <v>0</v>
      </c>
      <c r="H60" s="6">
        <f t="shared" si="43"/>
        <v>0</v>
      </c>
      <c r="I60" s="112">
        <f t="shared" si="44"/>
        <v>0</v>
      </c>
      <c r="J60" s="115">
        <f t="shared" si="45"/>
        <v>0</v>
      </c>
      <c r="L60" s="53">
        <f>+'[1]Service Count Data'!$X$233</f>
        <v>0</v>
      </c>
      <c r="M60" s="82">
        <v>0</v>
      </c>
      <c r="N60" s="6">
        <f t="shared" si="46"/>
        <v>0</v>
      </c>
      <c r="O60" s="53">
        <f>+'[1]Service Count Data'!$AD$233</f>
        <v>0</v>
      </c>
      <c r="P60" s="82">
        <v>0</v>
      </c>
      <c r="Q60" s="6">
        <f t="shared" si="47"/>
        <v>0</v>
      </c>
      <c r="R60" s="112">
        <f t="shared" si="48"/>
        <v>0</v>
      </c>
      <c r="S60" s="115">
        <f t="shared" si="49"/>
        <v>0</v>
      </c>
      <c r="U60" s="53">
        <f>+'[1]Service Count Data'!$X$234</f>
        <v>0</v>
      </c>
      <c r="V60" s="82">
        <v>0</v>
      </c>
      <c r="W60" s="6">
        <f t="shared" si="50"/>
        <v>0</v>
      </c>
      <c r="X60" s="53">
        <f>+'[1]Service Count Data'!$AD$234</f>
        <v>0</v>
      </c>
      <c r="Y60" s="82">
        <v>0</v>
      </c>
      <c r="Z60" s="6">
        <f t="shared" si="51"/>
        <v>0</v>
      </c>
      <c r="AA60" s="112">
        <f t="shared" si="52"/>
        <v>0</v>
      </c>
      <c r="AB60" s="115">
        <f t="shared" si="53"/>
        <v>0</v>
      </c>
      <c r="AC60" s="53">
        <f t="shared" si="2"/>
        <v>0</v>
      </c>
      <c r="AD60" s="53">
        <f t="shared" si="54"/>
        <v>0</v>
      </c>
      <c r="AE60" s="6">
        <f t="shared" si="55"/>
        <v>0</v>
      </c>
      <c r="AH60" s="53">
        <f t="shared" si="56"/>
        <v>0</v>
      </c>
    </row>
    <row r="61" spans="1:34" ht="12.75">
      <c r="A61" t="s">
        <v>277</v>
      </c>
      <c r="C61" s="53">
        <f>+'[1]Service Count Data'!$X$139</f>
        <v>0</v>
      </c>
      <c r="D61" s="82">
        <v>39</v>
      </c>
      <c r="E61" s="6">
        <f>+C61*D61</f>
        <v>0</v>
      </c>
      <c r="F61" s="53">
        <f>+'[1]Service Count Data'!$AD$139</f>
        <v>20</v>
      </c>
      <c r="G61" s="82">
        <v>39</v>
      </c>
      <c r="H61" s="6">
        <f t="shared" si="43"/>
        <v>780</v>
      </c>
      <c r="I61" s="112">
        <f t="shared" si="44"/>
        <v>20</v>
      </c>
      <c r="J61" s="115">
        <f t="shared" si="45"/>
        <v>780</v>
      </c>
      <c r="L61" s="53">
        <f>+'[1]Service Count Data'!$X$140</f>
        <v>0</v>
      </c>
      <c r="M61" s="82">
        <v>35</v>
      </c>
      <c r="N61" s="6">
        <f t="shared" si="46"/>
        <v>0</v>
      </c>
      <c r="O61" s="53">
        <f>+'[1]Service Count Data'!$AD$140</f>
        <v>0</v>
      </c>
      <c r="P61" s="82">
        <v>35</v>
      </c>
      <c r="Q61" s="6">
        <f t="shared" si="47"/>
        <v>0</v>
      </c>
      <c r="R61" s="112">
        <f t="shared" si="48"/>
        <v>0</v>
      </c>
      <c r="S61" s="115">
        <f t="shared" si="49"/>
        <v>0</v>
      </c>
      <c r="U61" s="53">
        <f>+'[1]Service Count Data'!$X$141</f>
        <v>0</v>
      </c>
      <c r="V61" s="82">
        <v>35</v>
      </c>
      <c r="W61" s="6">
        <f t="shared" si="50"/>
        <v>0</v>
      </c>
      <c r="X61" s="53">
        <f>+'[1]Service Count Data'!$AD$141</f>
        <v>0</v>
      </c>
      <c r="Y61" s="82">
        <v>35</v>
      </c>
      <c r="Z61" s="6">
        <f t="shared" si="51"/>
        <v>0</v>
      </c>
      <c r="AA61" s="112">
        <f t="shared" si="52"/>
        <v>0</v>
      </c>
      <c r="AB61" s="115">
        <f t="shared" si="53"/>
        <v>0</v>
      </c>
      <c r="AC61" s="53">
        <f t="shared" si="2"/>
        <v>0</v>
      </c>
      <c r="AD61" s="53">
        <f t="shared" si="54"/>
        <v>20</v>
      </c>
      <c r="AE61" s="6">
        <f t="shared" si="55"/>
        <v>780</v>
      </c>
      <c r="AH61" s="53">
        <f t="shared" si="56"/>
        <v>0</v>
      </c>
    </row>
    <row r="62" spans="1:34" ht="12.75">
      <c r="A62" t="s">
        <v>231</v>
      </c>
      <c r="C62" s="53">
        <f>+'[1]Service Count Data'!$X$142</f>
        <v>0</v>
      </c>
      <c r="D62" s="82">
        <v>39</v>
      </c>
      <c r="E62" s="6">
        <f t="shared" si="57"/>
        <v>0</v>
      </c>
      <c r="F62" s="53">
        <f>+'[1]Service Count Data'!$AD$142</f>
        <v>32</v>
      </c>
      <c r="G62" s="82">
        <v>39</v>
      </c>
      <c r="H62" s="6">
        <f t="shared" si="43"/>
        <v>1248</v>
      </c>
      <c r="I62" s="112">
        <f t="shared" si="44"/>
        <v>32</v>
      </c>
      <c r="J62" s="115">
        <f t="shared" si="45"/>
        <v>1248</v>
      </c>
      <c r="L62" s="53">
        <f>+'[1]Service Count Data'!$X$143</f>
        <v>0</v>
      </c>
      <c r="M62" s="82">
        <v>35</v>
      </c>
      <c r="N62" s="6">
        <f t="shared" si="46"/>
        <v>0</v>
      </c>
      <c r="O62" s="53">
        <f>+'[1]Service Count Data'!$AD$143</f>
        <v>3</v>
      </c>
      <c r="P62" s="82">
        <v>35</v>
      </c>
      <c r="Q62" s="6">
        <f t="shared" si="47"/>
        <v>105</v>
      </c>
      <c r="R62" s="112">
        <f t="shared" si="48"/>
        <v>3</v>
      </c>
      <c r="S62" s="115">
        <f t="shared" si="49"/>
        <v>105</v>
      </c>
      <c r="U62" s="53">
        <f>+'[1]Service Count Data'!$X$144</f>
        <v>0</v>
      </c>
      <c r="V62" s="82">
        <v>35</v>
      </c>
      <c r="W62" s="6">
        <f t="shared" si="50"/>
        <v>0</v>
      </c>
      <c r="X62" s="53">
        <f>+'[1]Service Count Data'!$AD$144</f>
        <v>5</v>
      </c>
      <c r="Y62" s="82">
        <v>35</v>
      </c>
      <c r="Z62" s="6">
        <f t="shared" si="51"/>
        <v>175</v>
      </c>
      <c r="AA62" s="112">
        <f t="shared" si="52"/>
        <v>5</v>
      </c>
      <c r="AB62" s="115">
        <f t="shared" si="53"/>
        <v>175</v>
      </c>
      <c r="AC62" s="53">
        <f t="shared" si="2"/>
        <v>8</v>
      </c>
      <c r="AD62" s="53">
        <f t="shared" si="54"/>
        <v>40</v>
      </c>
      <c r="AE62" s="6">
        <f t="shared" si="55"/>
        <v>1528</v>
      </c>
      <c r="AH62" s="53">
        <f t="shared" si="56"/>
        <v>8</v>
      </c>
    </row>
    <row r="63" spans="1:34" ht="12.75">
      <c r="A63" t="s">
        <v>232</v>
      </c>
      <c r="C63" s="53">
        <f>+'[1]Service Count Data'!$X$145</f>
        <v>0</v>
      </c>
      <c r="D63" s="82">
        <v>39</v>
      </c>
      <c r="E63" s="6">
        <f t="shared" si="57"/>
        <v>0</v>
      </c>
      <c r="F63" s="53">
        <f>+'[1]Service Count Data'!$AD$145</f>
        <v>21</v>
      </c>
      <c r="G63" s="82">
        <v>39</v>
      </c>
      <c r="H63" s="6">
        <f t="shared" si="43"/>
        <v>819</v>
      </c>
      <c r="I63" s="112">
        <f t="shared" si="44"/>
        <v>21</v>
      </c>
      <c r="J63" s="115">
        <f t="shared" si="45"/>
        <v>819</v>
      </c>
      <c r="L63" s="53">
        <f>+'[1]Service Count Data'!$X$146</f>
        <v>0</v>
      </c>
      <c r="M63" s="82">
        <v>35</v>
      </c>
      <c r="N63" s="6">
        <f t="shared" si="46"/>
        <v>0</v>
      </c>
      <c r="O63" s="53">
        <f>+'[1]Service Count Data'!$AD$146</f>
        <v>4</v>
      </c>
      <c r="P63" s="82">
        <v>35</v>
      </c>
      <c r="Q63" s="6">
        <f t="shared" si="47"/>
        <v>140</v>
      </c>
      <c r="R63" s="112">
        <f t="shared" si="48"/>
        <v>4</v>
      </c>
      <c r="S63" s="115">
        <f t="shared" si="49"/>
        <v>140</v>
      </c>
      <c r="U63" s="53">
        <f>+'[1]Service Count Data'!$X$147</f>
        <v>0</v>
      </c>
      <c r="V63" s="82">
        <v>35</v>
      </c>
      <c r="W63" s="6">
        <f t="shared" si="50"/>
        <v>0</v>
      </c>
      <c r="X63" s="53">
        <f>+'[1]Service Count Data'!$AD$147</f>
        <v>12</v>
      </c>
      <c r="Y63" s="82">
        <v>35</v>
      </c>
      <c r="Z63" s="6">
        <f t="shared" si="51"/>
        <v>420</v>
      </c>
      <c r="AA63" s="112">
        <f t="shared" si="52"/>
        <v>12</v>
      </c>
      <c r="AB63" s="115">
        <f t="shared" si="53"/>
        <v>420</v>
      </c>
      <c r="AC63" s="53">
        <f t="shared" si="2"/>
        <v>16</v>
      </c>
      <c r="AD63" s="53">
        <f t="shared" si="54"/>
        <v>37</v>
      </c>
      <c r="AE63" s="6">
        <f t="shared" si="55"/>
        <v>1379</v>
      </c>
      <c r="AH63" s="53">
        <f t="shared" si="56"/>
        <v>16</v>
      </c>
    </row>
    <row r="64" spans="1:34" ht="12.75">
      <c r="A64" t="s">
        <v>233</v>
      </c>
      <c r="C64" s="53">
        <f>+'[1]Service Count Data'!$X$148</f>
        <v>0</v>
      </c>
      <c r="D64" s="82">
        <v>0</v>
      </c>
      <c r="E64" s="6">
        <f t="shared" si="57"/>
        <v>0</v>
      </c>
      <c r="F64" s="53">
        <f>+'[1]Service Count Data'!$AD$148</f>
        <v>0</v>
      </c>
      <c r="G64" s="82">
        <v>0</v>
      </c>
      <c r="H64" s="6">
        <f t="shared" si="43"/>
        <v>0</v>
      </c>
      <c r="I64" s="112">
        <f t="shared" si="44"/>
        <v>0</v>
      </c>
      <c r="J64" s="115">
        <f t="shared" si="45"/>
        <v>0</v>
      </c>
      <c r="L64" s="53">
        <f>+'[1]Service Count Data'!$X$149</f>
        <v>0</v>
      </c>
      <c r="M64" s="82">
        <v>0</v>
      </c>
      <c r="N64" s="6">
        <f t="shared" si="46"/>
        <v>0</v>
      </c>
      <c r="O64" s="53">
        <f>+'[1]Service Count Data'!$AD$149</f>
        <v>0</v>
      </c>
      <c r="P64" s="82">
        <v>0</v>
      </c>
      <c r="Q64" s="6">
        <f t="shared" si="47"/>
        <v>0</v>
      </c>
      <c r="R64" s="112">
        <f t="shared" si="48"/>
        <v>0</v>
      </c>
      <c r="S64" s="115">
        <f t="shared" si="49"/>
        <v>0</v>
      </c>
      <c r="U64" s="53">
        <f>+'[1]Service Count Data'!$X$150</f>
        <v>0</v>
      </c>
      <c r="V64" s="82">
        <v>0</v>
      </c>
      <c r="W64" s="6">
        <f t="shared" si="50"/>
        <v>0</v>
      </c>
      <c r="X64" s="53">
        <f>+'[1]Service Count Data'!$AD$150</f>
        <v>0</v>
      </c>
      <c r="Y64" s="82">
        <v>0</v>
      </c>
      <c r="Z64" s="6">
        <f t="shared" si="51"/>
        <v>0</v>
      </c>
      <c r="AA64" s="112">
        <f t="shared" si="52"/>
        <v>0</v>
      </c>
      <c r="AB64" s="115">
        <f t="shared" si="53"/>
        <v>0</v>
      </c>
      <c r="AC64" s="53">
        <f t="shared" si="2"/>
        <v>0</v>
      </c>
      <c r="AD64" s="53">
        <f t="shared" si="54"/>
        <v>0</v>
      </c>
      <c r="AE64" s="6">
        <f t="shared" si="55"/>
        <v>0</v>
      </c>
      <c r="AH64" s="53">
        <f t="shared" si="56"/>
        <v>0</v>
      </c>
    </row>
    <row r="65" spans="1:34" ht="12.75">
      <c r="A65" t="s">
        <v>235</v>
      </c>
      <c r="C65" s="53">
        <f>+'[1]Service Count Data'!$X$175</f>
        <v>0</v>
      </c>
      <c r="D65" s="82">
        <v>2.45</v>
      </c>
      <c r="E65" s="6">
        <f t="shared" si="57"/>
        <v>0</v>
      </c>
      <c r="F65" s="53">
        <f>+'[1]Service Count Data'!$AD$175</f>
        <v>50</v>
      </c>
      <c r="G65" s="82">
        <v>2.45</v>
      </c>
      <c r="H65" s="6">
        <f t="shared" si="43"/>
        <v>122.50000000000001</v>
      </c>
      <c r="I65" s="112">
        <f t="shared" si="44"/>
        <v>50</v>
      </c>
      <c r="J65" s="115">
        <f t="shared" si="45"/>
        <v>122.50000000000001</v>
      </c>
      <c r="L65" s="53">
        <f>+'[1]Service Count Data'!$X$176</f>
        <v>0</v>
      </c>
      <c r="M65" s="82">
        <v>2.2</v>
      </c>
      <c r="N65" s="6">
        <f t="shared" si="46"/>
        <v>0</v>
      </c>
      <c r="O65" s="53">
        <f>+'[1]Service Count Data'!$AD$176</f>
        <v>8490</v>
      </c>
      <c r="P65" s="82">
        <v>2.2</v>
      </c>
      <c r="Q65" s="6">
        <f t="shared" si="47"/>
        <v>18678</v>
      </c>
      <c r="R65" s="112">
        <f t="shared" si="48"/>
        <v>8490</v>
      </c>
      <c r="S65" s="115">
        <f t="shared" si="49"/>
        <v>18678</v>
      </c>
      <c r="U65" s="53">
        <f>+'[1]Service Count Data'!$X$177</f>
        <v>0</v>
      </c>
      <c r="V65" s="82">
        <v>2.2</v>
      </c>
      <c r="W65" s="6">
        <f t="shared" si="50"/>
        <v>0</v>
      </c>
      <c r="X65" s="53">
        <f>+'[1]Service Count Data'!$AD$177</f>
        <v>16420</v>
      </c>
      <c r="Y65" s="82">
        <v>2.2</v>
      </c>
      <c r="Z65" s="6">
        <f t="shared" si="51"/>
        <v>36124</v>
      </c>
      <c r="AA65" s="112">
        <f t="shared" si="52"/>
        <v>16420</v>
      </c>
      <c r="AB65" s="115">
        <f t="shared" si="53"/>
        <v>36124</v>
      </c>
      <c r="AC65" s="53">
        <f t="shared" si="2"/>
        <v>24910</v>
      </c>
      <c r="AD65" s="53">
        <f t="shared" si="54"/>
        <v>24960</v>
      </c>
      <c r="AE65" s="6">
        <f t="shared" si="55"/>
        <v>54924.5</v>
      </c>
      <c r="AH65" s="53">
        <f t="shared" si="56"/>
        <v>24910</v>
      </c>
    </row>
    <row r="66" spans="1:34" ht="12.75">
      <c r="A66" t="s">
        <v>337</v>
      </c>
      <c r="C66" s="53">
        <f>+'[1]Service Count Data'!$X$208</f>
        <v>0</v>
      </c>
      <c r="D66" s="82">
        <v>30.9</v>
      </c>
      <c r="E66" s="6">
        <f>+C66*D66</f>
        <v>0</v>
      </c>
      <c r="F66" s="53">
        <f>+'[1]Service Count Data'!$AD$208</f>
        <v>36</v>
      </c>
      <c r="G66" s="82">
        <v>30.9</v>
      </c>
      <c r="H66" s="6">
        <f t="shared" si="43"/>
        <v>1112.3999999999999</v>
      </c>
      <c r="I66" s="112">
        <f>+C66+F66</f>
        <v>36</v>
      </c>
      <c r="J66" s="115">
        <f>+E66+H66</f>
        <v>1112.3999999999999</v>
      </c>
      <c r="L66" s="53">
        <f>+'[1]Service Count Data'!$X$209</f>
        <v>0</v>
      </c>
      <c r="M66" s="82">
        <v>0</v>
      </c>
      <c r="N66" s="6">
        <f>+L66*M66</f>
        <v>0</v>
      </c>
      <c r="O66" s="53">
        <f>+'[1]Service Count Data'!$AD$209</f>
        <v>0</v>
      </c>
      <c r="P66" s="82">
        <v>0</v>
      </c>
      <c r="Q66" s="6">
        <f>+O66*P66</f>
        <v>0</v>
      </c>
      <c r="R66" s="112">
        <f>+L66+O66</f>
        <v>0</v>
      </c>
      <c r="S66" s="115">
        <f>+N66+Q66</f>
        <v>0</v>
      </c>
      <c r="U66" s="53">
        <f>+'[1]Service Count Data'!$X$210</f>
        <v>0</v>
      </c>
      <c r="V66" s="82">
        <v>0</v>
      </c>
      <c r="W66" s="6">
        <f>+U66*V66</f>
        <v>0</v>
      </c>
      <c r="X66" s="53">
        <f>+'[1]Service Count Data'!$AD$210</f>
        <v>0</v>
      </c>
      <c r="Y66" s="82">
        <v>0</v>
      </c>
      <c r="Z66" s="6">
        <f>+X66*Y66</f>
        <v>0</v>
      </c>
      <c r="AA66" s="112">
        <f>+U66+X66</f>
        <v>0</v>
      </c>
      <c r="AB66" s="115">
        <f>+W66+Z66</f>
        <v>0</v>
      </c>
      <c r="AC66" s="53">
        <f t="shared" si="2"/>
        <v>0</v>
      </c>
      <c r="AD66" s="53">
        <f t="shared" si="54"/>
        <v>36</v>
      </c>
      <c r="AE66" s="6">
        <f>+J66+S66+AB66</f>
        <v>1112.3999999999999</v>
      </c>
      <c r="AF66" s="6"/>
      <c r="AH66" s="53">
        <f t="shared" si="56"/>
        <v>0</v>
      </c>
    </row>
    <row r="67" spans="1:34" ht="12.75">
      <c r="A67" t="s">
        <v>236</v>
      </c>
      <c r="C67" s="53">
        <f>+'[1]Service Count Data'!$X$202</f>
        <v>0</v>
      </c>
      <c r="D67" s="82">
        <v>163</v>
      </c>
      <c r="E67" s="6">
        <f t="shared" si="57"/>
        <v>0</v>
      </c>
      <c r="F67" s="53">
        <f>+'[1]Service Count Data'!$AD$202</f>
        <v>0</v>
      </c>
      <c r="G67" s="82">
        <v>163</v>
      </c>
      <c r="H67" s="6">
        <f t="shared" si="43"/>
        <v>0</v>
      </c>
      <c r="I67" s="112">
        <f t="shared" si="44"/>
        <v>0</v>
      </c>
      <c r="J67" s="115">
        <f t="shared" si="45"/>
        <v>0</v>
      </c>
      <c r="L67" s="53">
        <f>+'[1]Service Count Data'!$X$203</f>
        <v>0</v>
      </c>
      <c r="M67" s="82">
        <v>0</v>
      </c>
      <c r="N67" s="6">
        <f t="shared" si="46"/>
        <v>0</v>
      </c>
      <c r="O67" s="53">
        <f>+'[1]Service Count Data'!$AD$203</f>
        <v>0</v>
      </c>
      <c r="P67" s="82">
        <v>0</v>
      </c>
      <c r="Q67" s="6">
        <f t="shared" si="47"/>
        <v>0</v>
      </c>
      <c r="R67" s="112">
        <f t="shared" si="48"/>
        <v>0</v>
      </c>
      <c r="S67" s="115">
        <f t="shared" si="49"/>
        <v>0</v>
      </c>
      <c r="U67" s="53">
        <f>+'[1]Service Count Data'!$X$204</f>
        <v>0</v>
      </c>
      <c r="V67" s="82">
        <v>0</v>
      </c>
      <c r="W67" s="6">
        <f t="shared" si="50"/>
        <v>0</v>
      </c>
      <c r="X67" s="53">
        <f>+'[1]Service Count Data'!$AD$204</f>
        <v>0</v>
      </c>
      <c r="Y67" s="82">
        <v>0</v>
      </c>
      <c r="Z67" s="6">
        <f t="shared" si="51"/>
        <v>0</v>
      </c>
      <c r="AA67" s="112">
        <f t="shared" si="52"/>
        <v>0</v>
      </c>
      <c r="AB67" s="115">
        <f t="shared" si="53"/>
        <v>0</v>
      </c>
      <c r="AC67" s="53">
        <f t="shared" si="2"/>
        <v>0</v>
      </c>
      <c r="AD67" s="53">
        <f t="shared" si="54"/>
        <v>0</v>
      </c>
      <c r="AE67" s="6">
        <f t="shared" si="55"/>
        <v>0</v>
      </c>
      <c r="AF67" s="6"/>
      <c r="AH67" s="53">
        <f t="shared" si="56"/>
        <v>0</v>
      </c>
    </row>
    <row r="68" spans="1:34" ht="12.75">
      <c r="A68" t="s">
        <v>253</v>
      </c>
      <c r="C68" s="53">
        <f>+'[1]Service Count Data'!$X$205</f>
        <v>0</v>
      </c>
      <c r="D68" s="82">
        <v>198</v>
      </c>
      <c r="E68" s="6">
        <f>+C68*D68</f>
        <v>0</v>
      </c>
      <c r="F68" s="53">
        <f>+'[1]Service Count Data'!$AD$205</f>
        <v>106</v>
      </c>
      <c r="G68" s="82">
        <v>198</v>
      </c>
      <c r="H68" s="6">
        <f t="shared" si="43"/>
        <v>20988</v>
      </c>
      <c r="I68" s="112">
        <f t="shared" si="44"/>
        <v>106</v>
      </c>
      <c r="J68" s="115">
        <f t="shared" si="45"/>
        <v>20988</v>
      </c>
      <c r="L68" s="53">
        <f>+'[1]Service Count Data'!$X$206</f>
        <v>0</v>
      </c>
      <c r="M68" s="82">
        <v>0</v>
      </c>
      <c r="N68" s="6">
        <f t="shared" si="46"/>
        <v>0</v>
      </c>
      <c r="O68" s="53">
        <f>+'[1]Service Count Data'!$AD$206</f>
        <v>0</v>
      </c>
      <c r="P68" s="82">
        <v>0</v>
      </c>
      <c r="Q68" s="6">
        <f t="shared" si="47"/>
        <v>0</v>
      </c>
      <c r="R68" s="112">
        <f t="shared" si="48"/>
        <v>0</v>
      </c>
      <c r="S68" s="115">
        <f t="shared" si="49"/>
        <v>0</v>
      </c>
      <c r="U68" s="53">
        <f>+'[1]Service Count Data'!$X$207</f>
        <v>0</v>
      </c>
      <c r="V68" s="82">
        <v>0</v>
      </c>
      <c r="W68" s="6">
        <f t="shared" si="50"/>
        <v>0</v>
      </c>
      <c r="X68" s="53">
        <f>+'[1]Service Count Data'!$AD$207</f>
        <v>0</v>
      </c>
      <c r="Y68" s="82">
        <v>0</v>
      </c>
      <c r="Z68" s="6">
        <f t="shared" si="51"/>
        <v>0</v>
      </c>
      <c r="AA68" s="112">
        <f t="shared" si="52"/>
        <v>0</v>
      </c>
      <c r="AB68" s="115">
        <f t="shared" si="53"/>
        <v>0</v>
      </c>
      <c r="AC68" s="53">
        <f t="shared" si="2"/>
        <v>0</v>
      </c>
      <c r="AD68" s="53">
        <f t="shared" si="54"/>
        <v>106</v>
      </c>
      <c r="AE68" s="6">
        <f t="shared" si="55"/>
        <v>20988</v>
      </c>
      <c r="AF68" s="6">
        <f>SUM(AE53:AE68)</f>
        <v>270264.54000000004</v>
      </c>
      <c r="AH68" s="53">
        <f t="shared" si="56"/>
        <v>0</v>
      </c>
    </row>
    <row r="69" spans="3:29" ht="12.75">
      <c r="C69" s="53"/>
      <c r="D69" s="83"/>
      <c r="F69" s="53"/>
      <c r="G69" s="83"/>
      <c r="I69" s="112"/>
      <c r="J69" s="116"/>
      <c r="L69" s="53"/>
      <c r="M69" s="106"/>
      <c r="O69" s="53"/>
      <c r="P69" s="106"/>
      <c r="R69" s="112"/>
      <c r="S69" s="116"/>
      <c r="U69" s="53"/>
      <c r="V69" s="106"/>
      <c r="X69" s="53"/>
      <c r="Y69" s="106"/>
      <c r="AA69" s="112"/>
      <c r="AB69" s="116"/>
      <c r="AC69" s="53">
        <f t="shared" si="2"/>
        <v>0</v>
      </c>
    </row>
    <row r="70" spans="1:29" ht="12.75">
      <c r="A70" t="s">
        <v>237</v>
      </c>
      <c r="C70" s="53"/>
      <c r="D70" s="83"/>
      <c r="F70" s="53"/>
      <c r="G70" s="83"/>
      <c r="I70" s="112"/>
      <c r="J70" s="116"/>
      <c r="L70" s="53"/>
      <c r="M70" s="106"/>
      <c r="O70" s="53"/>
      <c r="P70" s="106"/>
      <c r="R70" s="112"/>
      <c r="S70" s="116"/>
      <c r="U70" s="53"/>
      <c r="V70" s="106"/>
      <c r="X70" s="53"/>
      <c r="Y70" s="106"/>
      <c r="AA70" s="112"/>
      <c r="AB70" s="116"/>
      <c r="AC70" s="53">
        <f t="shared" si="2"/>
        <v>0</v>
      </c>
    </row>
    <row r="71" spans="1:29" ht="12.75">
      <c r="A71" t="s">
        <v>238</v>
      </c>
      <c r="C71" s="53"/>
      <c r="D71" s="83"/>
      <c r="F71" s="53"/>
      <c r="G71" s="83"/>
      <c r="I71" s="112"/>
      <c r="J71" s="116"/>
      <c r="L71" s="53"/>
      <c r="M71" s="106"/>
      <c r="O71" s="53"/>
      <c r="P71" s="106"/>
      <c r="R71" s="112"/>
      <c r="S71" s="116"/>
      <c r="U71" s="53"/>
      <c r="V71" s="106"/>
      <c r="X71" s="53"/>
      <c r="Y71" s="106"/>
      <c r="AA71" s="112"/>
      <c r="AB71" s="116"/>
      <c r="AC71" s="53">
        <f t="shared" si="2"/>
        <v>0</v>
      </c>
    </row>
    <row r="72" spans="1:34" ht="12.75">
      <c r="A72" t="s">
        <v>239</v>
      </c>
      <c r="C72" s="53">
        <f>+'[1]Service Count Data'!$X$160+'[1]Service Count Data'!$X$163</f>
        <v>0</v>
      </c>
      <c r="D72" s="82">
        <v>129</v>
      </c>
      <c r="E72" s="6">
        <f>+C72*D72</f>
        <v>0</v>
      </c>
      <c r="F72" s="53">
        <f>+'[1]Service Count Data'!$AD$160+'[1]Service Count Data'!$AD$163</f>
        <v>30.5</v>
      </c>
      <c r="G72" s="82">
        <v>129</v>
      </c>
      <c r="H72" s="6">
        <f>+F72*G72</f>
        <v>3934.5</v>
      </c>
      <c r="I72" s="112">
        <f>+C72+F72</f>
        <v>30.5</v>
      </c>
      <c r="J72" s="115">
        <f>+E72+H72</f>
        <v>3934.5</v>
      </c>
      <c r="L72" s="53">
        <f>+'[1]Service Count Data'!$X$161+'[1]Service Count Data'!$X$164</f>
        <v>0</v>
      </c>
      <c r="M72" s="82">
        <v>129</v>
      </c>
      <c r="N72" s="6">
        <f>+L72*M72</f>
        <v>0</v>
      </c>
      <c r="O72" s="53">
        <f>+'[1]Service Count Data'!$AD$161+'[1]Service Count Data'!$AD$164</f>
        <v>0</v>
      </c>
      <c r="P72" s="82">
        <v>129</v>
      </c>
      <c r="Q72" s="6">
        <f>+O72*P72</f>
        <v>0</v>
      </c>
      <c r="R72" s="112">
        <f>+L72+O72</f>
        <v>0</v>
      </c>
      <c r="S72" s="115">
        <f>+N72+Q72</f>
        <v>0</v>
      </c>
      <c r="U72" s="53">
        <f>+'[1]Service Count Data'!$X$162+'[1]Service Count Data'!$X$165</f>
        <v>0</v>
      </c>
      <c r="V72" s="82">
        <v>129</v>
      </c>
      <c r="W72" s="6">
        <f>+U72*V72</f>
        <v>0</v>
      </c>
      <c r="X72" s="53">
        <f>+'[1]Service Count Data'!$AD$162+'[1]Service Count Data'!$AD$165</f>
        <v>0</v>
      </c>
      <c r="Y72" s="82">
        <v>129</v>
      </c>
      <c r="Z72" s="6">
        <f>+X72*Y72</f>
        <v>0</v>
      </c>
      <c r="AA72" s="112">
        <f>+U72+X72</f>
        <v>0</v>
      </c>
      <c r="AB72" s="115">
        <f>+W72+Z72</f>
        <v>0</v>
      </c>
      <c r="AC72" s="53">
        <f t="shared" si="2"/>
        <v>0</v>
      </c>
      <c r="AD72" s="53">
        <f>+I72+R72+AA72</f>
        <v>30.5</v>
      </c>
      <c r="AE72" s="6">
        <f>+J72+S72+AB72</f>
        <v>3934.5</v>
      </c>
      <c r="AH72" s="53">
        <f>+R72+AA72</f>
        <v>0</v>
      </c>
    </row>
    <row r="73" spans="1:34" ht="13.5" thickBot="1">
      <c r="A73" t="s">
        <v>240</v>
      </c>
      <c r="C73" s="54">
        <f>+'[1]Service Count Data'!$X$160+'[1]Service Count Data'!$X$166</f>
        <v>0</v>
      </c>
      <c r="D73" s="82">
        <v>32</v>
      </c>
      <c r="E73" s="7">
        <f>+C73*D73</f>
        <v>0</v>
      </c>
      <c r="F73" s="54">
        <f>+'[1]Service Count Data'!$AD$160+'[1]Service Count Data'!$AD$166</f>
        <v>1</v>
      </c>
      <c r="G73" s="82">
        <v>32</v>
      </c>
      <c r="H73" s="117">
        <f>+F73*G73</f>
        <v>32</v>
      </c>
      <c r="I73" s="113">
        <f>+C73+F73</f>
        <v>1</v>
      </c>
      <c r="J73" s="117">
        <f>+E73+H73</f>
        <v>32</v>
      </c>
      <c r="L73" s="54">
        <f>+'[1]Service Count Data'!$X$161+'[1]Service Count Data'!$X$167</f>
        <v>0</v>
      </c>
      <c r="M73" s="82">
        <v>32</v>
      </c>
      <c r="N73" s="7">
        <f>+L73*M73</f>
        <v>0</v>
      </c>
      <c r="O73" s="54">
        <f>+'[1]Service Count Data'!$AD$161+'[1]Service Count Data'!$AD$167</f>
        <v>0</v>
      </c>
      <c r="P73" s="82">
        <v>32</v>
      </c>
      <c r="Q73" s="7">
        <f>+O73*P73</f>
        <v>0</v>
      </c>
      <c r="R73" s="113">
        <f>+L73+O73</f>
        <v>0</v>
      </c>
      <c r="S73" s="117">
        <f>+N73+Q73</f>
        <v>0</v>
      </c>
      <c r="U73" s="54">
        <f>+'[1]Service Count Data'!$X$162+'[1]Service Count Data'!$X$168</f>
        <v>0</v>
      </c>
      <c r="V73" s="82">
        <v>32</v>
      </c>
      <c r="W73" s="7">
        <f>+U73*V73</f>
        <v>0</v>
      </c>
      <c r="X73" s="54">
        <f>+'[1]Service Count Data'!$AD$162+'[1]Service Count Data'!$AD$168</f>
        <v>0</v>
      </c>
      <c r="Y73" s="82">
        <v>32</v>
      </c>
      <c r="Z73" s="7">
        <f>+X73*Y73</f>
        <v>0</v>
      </c>
      <c r="AA73" s="113">
        <f>+U73+X73</f>
        <v>0</v>
      </c>
      <c r="AB73" s="117">
        <f>+W73+Z73</f>
        <v>0</v>
      </c>
      <c r="AC73" s="53">
        <f t="shared" si="2"/>
        <v>0</v>
      </c>
      <c r="AD73" s="53">
        <f>+I73+R73+AA73</f>
        <v>1</v>
      </c>
      <c r="AE73" s="7">
        <f>+J73+S73+AB73</f>
        <v>32</v>
      </c>
      <c r="AF73" s="7">
        <f>SUM(AE72:AE73)</f>
        <v>3966.5</v>
      </c>
      <c r="AH73" s="53">
        <f>+R73+AA73</f>
        <v>0</v>
      </c>
    </row>
    <row r="74" spans="3:29" ht="12.75">
      <c r="C74" s="53"/>
      <c r="D74" s="52"/>
      <c r="F74" s="53"/>
      <c r="G74" s="52"/>
      <c r="I74" s="118"/>
      <c r="J74" s="79"/>
      <c r="L74" s="53"/>
      <c r="M74" s="52"/>
      <c r="O74" s="53"/>
      <c r="P74" s="52"/>
      <c r="R74" s="118"/>
      <c r="S74" s="79"/>
      <c r="U74" s="53"/>
      <c r="V74" s="52"/>
      <c r="X74" s="53"/>
      <c r="Y74" s="52"/>
      <c r="AA74" s="118"/>
      <c r="AB74" s="79"/>
      <c r="AC74" s="17"/>
    </row>
    <row r="75" spans="3:31" ht="12.75">
      <c r="C75" s="53">
        <f>SUM(C10:C73)</f>
        <v>0</v>
      </c>
      <c r="D75" s="52"/>
      <c r="E75" s="55">
        <f>SUM(E10:E73)</f>
        <v>0</v>
      </c>
      <c r="F75" s="53">
        <f>SUM(F10:F73)</f>
        <v>55690.340000000004</v>
      </c>
      <c r="G75" s="52"/>
      <c r="H75" s="55">
        <f>SUM(H10:H73)</f>
        <v>1231710.6104999997</v>
      </c>
      <c r="I75" s="112">
        <f>SUM(I10:I73)</f>
        <v>55690.340000000004</v>
      </c>
      <c r="J75" s="121">
        <f>SUM(J10:J73)</f>
        <v>1231710.6104999997</v>
      </c>
      <c r="L75" s="53">
        <f>SUM(L10:L73)</f>
        <v>0</v>
      </c>
      <c r="M75" s="52"/>
      <c r="N75" s="55">
        <f>SUM(N10:N73)</f>
        <v>0</v>
      </c>
      <c r="O75" s="53">
        <f>SUM(O10:O73)</f>
        <v>14950</v>
      </c>
      <c r="P75" s="52"/>
      <c r="Q75" s="55">
        <f>SUM(Q10:Q73)</f>
        <v>146726.95</v>
      </c>
      <c r="R75" s="112">
        <f>SUM(R10:R73)</f>
        <v>14950</v>
      </c>
      <c r="S75" s="121">
        <f>SUM(S10:S73)</f>
        <v>146726.95</v>
      </c>
      <c r="U75" s="53">
        <f>SUM(U10:U73)</f>
        <v>0</v>
      </c>
      <c r="V75" s="52"/>
      <c r="W75" s="55">
        <f>SUM(W10:W73)</f>
        <v>0</v>
      </c>
      <c r="X75" s="53">
        <f>SUM(X10:X73)</f>
        <v>31611.979445727484</v>
      </c>
      <c r="Y75" s="52"/>
      <c r="Z75" s="55">
        <f>SUM(Z10:Z73)</f>
        <v>460128.8297228637</v>
      </c>
      <c r="AA75" s="112">
        <f>SUM(AA10:AA73)</f>
        <v>31611.979445727484</v>
      </c>
      <c r="AB75" s="121">
        <f>SUM(AB10:AB73)</f>
        <v>460128.8297228637</v>
      </c>
      <c r="AC75" s="55"/>
      <c r="AE75" s="55">
        <f>SUM(AE10:AE73)</f>
        <v>1838566.3902228638</v>
      </c>
    </row>
    <row r="76" spans="3:28" ht="12.75">
      <c r="C76" s="53"/>
      <c r="D76" s="52"/>
      <c r="F76" s="53"/>
      <c r="G76" s="52"/>
      <c r="I76" s="112"/>
      <c r="J76" s="116"/>
      <c r="L76" s="53"/>
      <c r="M76" s="52"/>
      <c r="O76" s="53"/>
      <c r="P76" s="52"/>
      <c r="R76" s="112"/>
      <c r="S76" s="116"/>
      <c r="U76" s="53"/>
      <c r="V76" s="52"/>
      <c r="X76" s="53"/>
      <c r="Y76" s="52"/>
      <c r="AA76" s="112"/>
      <c r="AB76" s="116"/>
    </row>
    <row r="77" spans="4:32" ht="12.75">
      <c r="D77" s="52"/>
      <c r="E77" s="9"/>
      <c r="G77" s="52"/>
      <c r="H77" s="9"/>
      <c r="I77" s="119"/>
      <c r="J77" s="122"/>
      <c r="K77" s="9"/>
      <c r="M77" s="52"/>
      <c r="N77" s="9"/>
      <c r="P77" s="52"/>
      <c r="Q77" s="9"/>
      <c r="R77" s="119"/>
      <c r="S77" s="122"/>
      <c r="T77" s="9"/>
      <c r="V77" s="52"/>
      <c r="W77" s="9"/>
      <c r="Y77" s="52"/>
      <c r="Z77" s="9"/>
      <c r="AA77" s="119"/>
      <c r="AB77" s="122"/>
      <c r="AC77" s="9"/>
      <c r="AD77" s="9" t="s">
        <v>266</v>
      </c>
      <c r="AE77" s="9"/>
      <c r="AF77" s="128">
        <f>SUM(AF33:AF73)</f>
        <v>1838566.390222864</v>
      </c>
    </row>
    <row r="78" spans="4:32" ht="12.75">
      <c r="D78" s="52"/>
      <c r="E78" s="9"/>
      <c r="G78" s="52"/>
      <c r="H78" s="9"/>
      <c r="I78" s="119"/>
      <c r="J78" s="122"/>
      <c r="K78" s="9"/>
      <c r="M78" s="52"/>
      <c r="N78" s="9"/>
      <c r="P78" s="52"/>
      <c r="Q78" s="9"/>
      <c r="R78" s="119"/>
      <c r="S78" s="122"/>
      <c r="T78" s="9"/>
      <c r="V78" s="52"/>
      <c r="W78" s="9"/>
      <c r="Y78" s="52"/>
      <c r="Z78" s="9"/>
      <c r="AA78" s="119"/>
      <c r="AB78" s="122"/>
      <c r="AC78" s="9"/>
      <c r="AD78" t="s">
        <v>339</v>
      </c>
      <c r="AF78" s="6">
        <v>2266</v>
      </c>
    </row>
    <row r="79" spans="4:32" ht="12.75">
      <c r="D79" s="52"/>
      <c r="E79" s="9"/>
      <c r="G79" s="52"/>
      <c r="H79" s="9"/>
      <c r="I79" s="119"/>
      <c r="J79" s="122"/>
      <c r="K79" s="9"/>
      <c r="M79" s="52"/>
      <c r="N79" s="9"/>
      <c r="P79" s="52"/>
      <c r="Q79" s="9"/>
      <c r="R79" s="119"/>
      <c r="S79" s="122"/>
      <c r="T79" s="9"/>
      <c r="V79" s="52"/>
      <c r="W79" s="9"/>
      <c r="Y79" s="52"/>
      <c r="Z79" s="9"/>
      <c r="AA79" s="119"/>
      <c r="AB79" s="122"/>
      <c r="AC79" s="9"/>
      <c r="AD79" t="s">
        <v>340</v>
      </c>
      <c r="AF79" s="6">
        <v>0</v>
      </c>
    </row>
    <row r="80" spans="4:32" ht="12.75">
      <c r="D80" s="52"/>
      <c r="E80" s="9"/>
      <c r="G80" s="52"/>
      <c r="H80" s="9"/>
      <c r="I80" s="119"/>
      <c r="J80" s="122"/>
      <c r="K80" s="9"/>
      <c r="M80" s="52"/>
      <c r="N80" s="9"/>
      <c r="P80" s="52"/>
      <c r="Q80" s="9"/>
      <c r="R80" s="119"/>
      <c r="S80" s="122"/>
      <c r="T80" s="9"/>
      <c r="V80" s="52"/>
      <c r="W80" s="9"/>
      <c r="Y80" s="52"/>
      <c r="Z80" s="9"/>
      <c r="AA80" s="119"/>
      <c r="AB80" s="122"/>
      <c r="AC80" s="9"/>
      <c r="AD80" t="s">
        <v>341</v>
      </c>
      <c r="AF80" s="6">
        <v>0</v>
      </c>
    </row>
    <row r="81" spans="4:28" ht="12.75">
      <c r="D81" s="52"/>
      <c r="G81" s="52"/>
      <c r="I81" s="119"/>
      <c r="J81" s="116"/>
      <c r="M81" s="52"/>
      <c r="P81" s="52"/>
      <c r="R81" s="119"/>
      <c r="S81" s="116"/>
      <c r="V81" s="52"/>
      <c r="Y81" s="52"/>
      <c r="AA81" s="119"/>
      <c r="AB81" s="116"/>
    </row>
    <row r="82" spans="4:31" ht="12.75">
      <c r="D82" s="52"/>
      <c r="G82" s="52"/>
      <c r="I82" s="119"/>
      <c r="J82" s="116"/>
      <c r="M82" s="52"/>
      <c r="P82" s="52"/>
      <c r="R82" s="119"/>
      <c r="S82" s="116"/>
      <c r="V82" s="52"/>
      <c r="Y82" s="52"/>
      <c r="AA82" s="119"/>
      <c r="AB82" s="116"/>
      <c r="AC82" t="s">
        <v>254</v>
      </c>
      <c r="AD82">
        <v>3100</v>
      </c>
      <c r="AE82" s="6">
        <f>+'[2]Results of Operations'!$C$11</f>
        <v>1570488.1799999997</v>
      </c>
    </row>
    <row r="83" spans="9:31" ht="12.75">
      <c r="I83" s="119"/>
      <c r="J83" s="116"/>
      <c r="R83" s="119"/>
      <c r="S83" s="116"/>
      <c r="AA83" s="119"/>
      <c r="AB83" s="116"/>
      <c r="AD83">
        <v>3300</v>
      </c>
      <c r="AE83" s="6">
        <f>+'[2]Results of Operations'!$C$14</f>
        <v>270406.99</v>
      </c>
    </row>
    <row r="84" spans="9:32" ht="12.75">
      <c r="I84" s="119"/>
      <c r="J84" s="116"/>
      <c r="R84" s="119"/>
      <c r="S84" s="116"/>
      <c r="AA84" s="119"/>
      <c r="AB84" s="116"/>
      <c r="AD84">
        <v>3500</v>
      </c>
      <c r="AE84" s="42">
        <f>+'[2]Results of Operations'!$C$18</f>
        <v>0</v>
      </c>
      <c r="AF84" s="42">
        <f>+AE82+AE83+AE84</f>
        <v>1840895.1699999997</v>
      </c>
    </row>
    <row r="85" spans="9:33" ht="13.5" thickBot="1">
      <c r="I85" s="119"/>
      <c r="J85" s="116"/>
      <c r="R85" s="119"/>
      <c r="S85" s="116"/>
      <c r="AA85" s="119"/>
      <c r="AB85" s="116"/>
      <c r="AC85" t="s">
        <v>255</v>
      </c>
      <c r="AF85" s="66">
        <f>SUM(AF77:AF80)-AF84</f>
        <v>-62.77977713569999</v>
      </c>
      <c r="AG85" s="9">
        <f>+AF85/AF84</f>
        <v>-3.41028528722252E-05</v>
      </c>
    </row>
    <row r="86" spans="9:28" ht="13.5" thickTop="1">
      <c r="I86" s="119"/>
      <c r="J86" s="116"/>
      <c r="R86" s="119"/>
      <c r="S86" s="116"/>
      <c r="AA86" s="119"/>
      <c r="AB86" s="116"/>
    </row>
    <row r="87" spans="9:28" ht="12.75">
      <c r="I87" s="119"/>
      <c r="J87" s="116"/>
      <c r="R87" s="119"/>
      <c r="S87" s="116"/>
      <c r="AA87" s="119"/>
      <c r="AB87" s="116"/>
    </row>
    <row r="88" spans="1:31" ht="12.75">
      <c r="A88" t="s">
        <v>244</v>
      </c>
      <c r="C88" s="53"/>
      <c r="D88" s="52"/>
      <c r="F88" s="53"/>
      <c r="G88" s="52"/>
      <c r="I88" s="112"/>
      <c r="J88" s="116"/>
      <c r="L88" s="53"/>
      <c r="M88" s="52"/>
      <c r="O88" s="53"/>
      <c r="P88" s="52"/>
      <c r="R88" s="112"/>
      <c r="S88" s="116"/>
      <c r="U88" s="53"/>
      <c r="V88" s="52"/>
      <c r="X88" s="53"/>
      <c r="Y88" s="52"/>
      <c r="AA88" s="112"/>
      <c r="AB88" s="116"/>
      <c r="AE88" s="2"/>
    </row>
    <row r="89" spans="1:34" ht="12.75">
      <c r="A89" t="s">
        <v>245</v>
      </c>
      <c r="C89" s="6">
        <f>+'[1]Service Count Data'!$X$235</f>
        <v>0</v>
      </c>
      <c r="D89" s="111">
        <v>35.97</v>
      </c>
      <c r="E89" s="6">
        <f>+C89*D89</f>
        <v>0</v>
      </c>
      <c r="F89" s="6">
        <f>+'[1]Service Count Data'!$AD$235</f>
        <v>1876</v>
      </c>
      <c r="G89" s="111">
        <v>35.97</v>
      </c>
      <c r="H89" s="6">
        <f>+F89*G89</f>
        <v>67479.72</v>
      </c>
      <c r="I89" s="112">
        <f>+C89+F89</f>
        <v>1876</v>
      </c>
      <c r="J89" s="115">
        <f>+E89+H89</f>
        <v>67479.72</v>
      </c>
      <c r="L89" s="6">
        <f>+'[1]Service Count Data'!$X$236</f>
        <v>0</v>
      </c>
      <c r="M89" s="111">
        <v>37</v>
      </c>
      <c r="N89" s="6">
        <f>+L89*M89</f>
        <v>0</v>
      </c>
      <c r="O89" s="6">
        <f>+'[1]Service Count Data'!$R$236</f>
        <v>0</v>
      </c>
      <c r="P89" s="111">
        <v>37</v>
      </c>
      <c r="Q89" s="6">
        <f>+O89*P89</f>
        <v>0</v>
      </c>
      <c r="R89" s="112">
        <f>+L89+O89</f>
        <v>0</v>
      </c>
      <c r="S89" s="115">
        <f>+N89+Q89</f>
        <v>0</v>
      </c>
      <c r="U89" s="6">
        <f>+'[1]Service Count Data'!$X$237</f>
        <v>0</v>
      </c>
      <c r="V89" s="111">
        <v>37</v>
      </c>
      <c r="W89" s="6">
        <f>+U89*V89</f>
        <v>0</v>
      </c>
      <c r="X89" s="6">
        <f>+'[1]Service Count Data'!$AD$237</f>
        <v>0</v>
      </c>
      <c r="Y89" s="111">
        <v>37</v>
      </c>
      <c r="Z89" s="6">
        <f>+X89*Y89</f>
        <v>0</v>
      </c>
      <c r="AA89" s="112">
        <f>+U89+X89</f>
        <v>0</v>
      </c>
      <c r="AB89" s="115">
        <f>+W89+Z89</f>
        <v>0</v>
      </c>
      <c r="AC89" s="6"/>
      <c r="AE89" s="6">
        <f>+J89+S89+AB89</f>
        <v>67479.72</v>
      </c>
      <c r="AH89" s="53">
        <f>+R89+AA89</f>
        <v>0</v>
      </c>
    </row>
    <row r="90" spans="1:34" ht="12.75">
      <c r="A90" t="s">
        <v>246</v>
      </c>
      <c r="C90" s="6">
        <f>+'[1]Service Count Data'!$X$241</f>
        <v>0</v>
      </c>
      <c r="D90" s="111">
        <v>21.32</v>
      </c>
      <c r="E90" s="6">
        <f>+C90*D90</f>
        <v>0</v>
      </c>
      <c r="F90" s="6">
        <f>+'[1]Service Count Data'!$AD$241</f>
        <v>8707</v>
      </c>
      <c r="G90" s="111">
        <v>21.32</v>
      </c>
      <c r="H90" s="6">
        <f>+F90*G90</f>
        <v>185633.24</v>
      </c>
      <c r="I90" s="112">
        <f>+C90+F90</f>
        <v>8707</v>
      </c>
      <c r="J90" s="115">
        <f>+E90+H90</f>
        <v>185633.24</v>
      </c>
      <c r="L90" s="6">
        <f>+'[1]Service Count Data'!$X$242</f>
        <v>0</v>
      </c>
      <c r="M90" s="111">
        <v>14.8</v>
      </c>
      <c r="N90" s="6">
        <f>+L90*M90</f>
        <v>0</v>
      </c>
      <c r="O90" s="6">
        <f>+'[1]Service Count Data'!$R$242</f>
        <v>0</v>
      </c>
      <c r="P90" s="111">
        <v>14.8</v>
      </c>
      <c r="Q90" s="6">
        <f>+O90*P90</f>
        <v>0</v>
      </c>
      <c r="R90" s="112">
        <f>+L90+O90</f>
        <v>0</v>
      </c>
      <c r="S90" s="115">
        <f>+N90+Q90</f>
        <v>0</v>
      </c>
      <c r="U90" s="6">
        <f>+'[1]Service Count Data'!$X$243</f>
        <v>0</v>
      </c>
      <c r="V90" s="111">
        <v>14.8</v>
      </c>
      <c r="W90" s="6">
        <f>+U90*V90</f>
        <v>0</v>
      </c>
      <c r="X90" s="6">
        <f>+'[1]Service Count Data'!$AD$243</f>
        <v>0</v>
      </c>
      <c r="Y90" s="111">
        <v>14.8</v>
      </c>
      <c r="Z90" s="6">
        <f>+X90*Y90</f>
        <v>0</v>
      </c>
      <c r="AA90" s="112">
        <f>+U90+X90</f>
        <v>0</v>
      </c>
      <c r="AB90" s="115">
        <f>+W90+Z90</f>
        <v>0</v>
      </c>
      <c r="AC90" s="6"/>
      <c r="AE90" s="6">
        <f>+J90+S90+AB90</f>
        <v>185633.24</v>
      </c>
      <c r="AH90" s="53">
        <f>+R90+AA90</f>
        <v>0</v>
      </c>
    </row>
    <row r="91" spans="1:34" ht="12.75">
      <c r="A91" t="s">
        <v>312</v>
      </c>
      <c r="C91" s="6">
        <f>+'[1]Service Count Data'!$X$247</f>
        <v>0</v>
      </c>
      <c r="D91" s="111">
        <v>0</v>
      </c>
      <c r="E91" s="6">
        <f>+C91*D91</f>
        <v>0</v>
      </c>
      <c r="F91" s="6">
        <f>+'[1]Service Count Data'!$AD$247</f>
        <v>0</v>
      </c>
      <c r="G91" s="111">
        <v>0</v>
      </c>
      <c r="H91" s="6">
        <f>+F91*G91</f>
        <v>0</v>
      </c>
      <c r="I91" s="112">
        <f>+C91+F91</f>
        <v>0</v>
      </c>
      <c r="J91" s="115">
        <f>+E91+H91</f>
        <v>0</v>
      </c>
      <c r="L91" s="6">
        <f>+'[1]Service Count Data'!$X$248</f>
        <v>0</v>
      </c>
      <c r="M91" s="111">
        <v>0</v>
      </c>
      <c r="N91" s="6">
        <f>+L91*M91</f>
        <v>0</v>
      </c>
      <c r="O91" s="6">
        <f>+'[1]Service Count Data'!$R$248</f>
        <v>0</v>
      </c>
      <c r="P91" s="111">
        <v>0</v>
      </c>
      <c r="Q91" s="6">
        <f>+O91*P91</f>
        <v>0</v>
      </c>
      <c r="R91" s="112">
        <f>+L91+O91</f>
        <v>0</v>
      </c>
      <c r="S91" s="115">
        <f>+N91+Q91</f>
        <v>0</v>
      </c>
      <c r="U91" s="6">
        <f>+'[1]Service Count Data'!$X$249</f>
        <v>0</v>
      </c>
      <c r="V91" s="111">
        <v>0</v>
      </c>
      <c r="W91" s="6">
        <f>+U91*V91</f>
        <v>0</v>
      </c>
      <c r="X91" s="6">
        <f>+'[1]Service Count Data'!$AD$249</f>
        <v>0</v>
      </c>
      <c r="Y91" s="111">
        <v>0</v>
      </c>
      <c r="Z91" s="6">
        <f>+X91*Y91</f>
        <v>0</v>
      </c>
      <c r="AA91" s="112">
        <f>+U91+X91</f>
        <v>0</v>
      </c>
      <c r="AB91" s="115">
        <f>+W91+Z91</f>
        <v>0</v>
      </c>
      <c r="AC91" s="6"/>
      <c r="AE91" s="6">
        <f>+J91+S91+AB91</f>
        <v>0</v>
      </c>
      <c r="AH91" s="53">
        <f>+R91+AA91</f>
        <v>0</v>
      </c>
    </row>
    <row r="92" spans="1:34" ht="13.5" thickBot="1">
      <c r="A92" t="s">
        <v>247</v>
      </c>
      <c r="C92" s="7">
        <f>+'[1]Service Count Data'!$X$244</f>
        <v>0</v>
      </c>
      <c r="D92" s="111">
        <v>74</v>
      </c>
      <c r="E92" s="7">
        <f>+C92*D92</f>
        <v>0</v>
      </c>
      <c r="F92" s="7">
        <f>+'[1]Service Count Data'!$AD$244</f>
        <v>0</v>
      </c>
      <c r="G92" s="111">
        <v>74</v>
      </c>
      <c r="H92" s="7">
        <f>+F92*G92</f>
        <v>0</v>
      </c>
      <c r="I92" s="113">
        <f>+C92+F92</f>
        <v>0</v>
      </c>
      <c r="J92" s="117">
        <f>+E92+H92</f>
        <v>0</v>
      </c>
      <c r="L92" s="7">
        <f>+'[1]Service Count Data'!$X$245</f>
        <v>0</v>
      </c>
      <c r="M92" s="111">
        <v>74</v>
      </c>
      <c r="N92" s="7">
        <f>+L92*M92</f>
        <v>0</v>
      </c>
      <c r="O92" s="7">
        <f>+'[1]Service Count Data'!$AD$245</f>
        <v>410.56</v>
      </c>
      <c r="P92" s="111">
        <v>74</v>
      </c>
      <c r="Q92" s="7">
        <f>+O92*P92</f>
        <v>30381.44</v>
      </c>
      <c r="R92" s="113">
        <f>+L92+O92</f>
        <v>410.56</v>
      </c>
      <c r="S92" s="117">
        <f>+N92+Q92</f>
        <v>30381.44</v>
      </c>
      <c r="U92" s="7">
        <f>+'[1]Service Count Data'!$X$246</f>
        <v>0</v>
      </c>
      <c r="V92" s="111">
        <v>74</v>
      </c>
      <c r="W92" s="7">
        <f>+U92*V92</f>
        <v>0</v>
      </c>
      <c r="X92" s="7">
        <f>+'[1]Service Count Data'!$AD$246</f>
        <v>1058.64</v>
      </c>
      <c r="Y92" s="111">
        <v>74</v>
      </c>
      <c r="Z92" s="7">
        <f>+X92*Y92</f>
        <v>78339.36</v>
      </c>
      <c r="AA92" s="113">
        <f>+U92+X92</f>
        <v>1058.64</v>
      </c>
      <c r="AB92" s="117">
        <f>+W92+Z92</f>
        <v>78339.36</v>
      </c>
      <c r="AC92" s="69"/>
      <c r="AE92" s="6">
        <f>+J92+S92+AB92</f>
        <v>108720.8</v>
      </c>
      <c r="AF92" s="7">
        <f>SUM(AE89:AE92)</f>
        <v>361833.76</v>
      </c>
      <c r="AH92" s="53">
        <f>+R92+AA92</f>
        <v>1469.2</v>
      </c>
    </row>
    <row r="93" spans="4:29" ht="12.75">
      <c r="D93" s="52"/>
      <c r="G93" s="52"/>
      <c r="I93" s="77"/>
      <c r="J93" s="79"/>
      <c r="M93" s="52"/>
      <c r="P93" s="52"/>
      <c r="R93" s="77"/>
      <c r="S93" s="79"/>
      <c r="V93" s="52"/>
      <c r="Y93" s="52"/>
      <c r="AA93" s="119"/>
      <c r="AB93" s="116"/>
      <c r="AC93" s="17"/>
    </row>
    <row r="94" spans="3:32" ht="12.75">
      <c r="C94" s="6">
        <f>SUM(C89:C92)</f>
        <v>0</v>
      </c>
      <c r="D94" s="52"/>
      <c r="E94" s="52">
        <f>SUM(E89:E92)</f>
        <v>0</v>
      </c>
      <c r="F94" s="6">
        <f>SUM(F89:F92)</f>
        <v>10583</v>
      </c>
      <c r="G94" s="52"/>
      <c r="H94" s="52">
        <f>SUM(H89:H92)</f>
        <v>253112.96</v>
      </c>
      <c r="I94" s="120">
        <f>SUM(I89:I92)</f>
        <v>10583</v>
      </c>
      <c r="J94" s="114">
        <f>SUM(J89:J92)</f>
        <v>253112.96</v>
      </c>
      <c r="K94" s="9"/>
      <c r="L94" s="6">
        <f>SUM(L89:L92)</f>
        <v>0</v>
      </c>
      <c r="M94" s="52"/>
      <c r="N94" s="52">
        <f>SUM(N89:N92)</f>
        <v>0</v>
      </c>
      <c r="O94" s="6">
        <f>SUM(O89:O92)</f>
        <v>410.56</v>
      </c>
      <c r="P94" s="52"/>
      <c r="Q94" s="52">
        <f>SUM(Q89:Q92)</f>
        <v>30381.44</v>
      </c>
      <c r="R94" s="120">
        <f>SUM(R89:R92)</f>
        <v>410.56</v>
      </c>
      <c r="S94" s="114">
        <f>SUM(S89:S92)</f>
        <v>30381.44</v>
      </c>
      <c r="T94" s="9"/>
      <c r="U94" s="6">
        <f>SUM(U89:U92)</f>
        <v>0</v>
      </c>
      <c r="V94" s="52"/>
      <c r="W94" s="52">
        <f>SUM(W89:W92)</f>
        <v>0</v>
      </c>
      <c r="X94" s="6">
        <f>SUM(X89:X92)</f>
        <v>1058.64</v>
      </c>
      <c r="Y94" s="52"/>
      <c r="Z94" s="52">
        <f>SUM(Z89:Z92)</f>
        <v>78339.36</v>
      </c>
      <c r="AA94" s="120">
        <f>SUM(AA89:AA92)</f>
        <v>1058.64</v>
      </c>
      <c r="AB94" s="114">
        <f>SUM(AB89:AB92)</f>
        <v>78339.36</v>
      </c>
      <c r="AC94" s="52"/>
      <c r="AD94" s="9" t="s">
        <v>266</v>
      </c>
      <c r="AF94" s="52">
        <f>SUM(AE89:AE92)</f>
        <v>361833.76</v>
      </c>
    </row>
    <row r="96" spans="29:32" ht="12.75">
      <c r="AC96" t="s">
        <v>254</v>
      </c>
      <c r="AD96">
        <v>3310</v>
      </c>
      <c r="AF96" s="42">
        <f>+'[2]Results of Operations'!$C$15</f>
        <v>365746.29000000004</v>
      </c>
    </row>
    <row r="98" spans="29:33" ht="13.5" thickBot="1">
      <c r="AC98" t="s">
        <v>255</v>
      </c>
      <c r="AF98" s="66">
        <f>+AF94-AF96</f>
        <v>-3912.530000000028</v>
      </c>
      <c r="AG98" s="72">
        <f>+AF98/AF96</f>
        <v>-0.010697388071933765</v>
      </c>
    </row>
    <row r="99" ht="13.5" thickTop="1"/>
  </sheetData>
  <sheetProtection/>
  <printOptions/>
  <pageMargins left="0.25" right="0.25" top="0.75" bottom="0.75" header="0.3" footer="0.3"/>
  <pageSetup fitToHeight="2" fitToWidth="1" horizontalDpi="300" verticalDpi="3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34">
      <selection activeCell="O13" sqref="O13"/>
    </sheetView>
  </sheetViews>
  <sheetFormatPr defaultColWidth="9.140625" defaultRowHeight="12.75"/>
  <cols>
    <col min="1" max="1" width="9.421875" style="0" customWidth="1"/>
    <col min="2" max="2" width="11.57421875" style="0" customWidth="1"/>
    <col min="5" max="5" width="11.28125" style="0" customWidth="1"/>
    <col min="7" max="7" width="11.28125" style="0" customWidth="1"/>
    <col min="8" max="8" width="10.57421875" style="0" customWidth="1"/>
    <col min="10" max="10" width="11.57421875" style="0" customWidth="1"/>
    <col min="11" max="11" width="10.421875" style="0" customWidth="1"/>
  </cols>
  <sheetData>
    <row r="1" spans="1:10" ht="12.75">
      <c r="A1" t="s">
        <v>0</v>
      </c>
      <c r="G1" t="s">
        <v>272</v>
      </c>
      <c r="J1" t="s">
        <v>273</v>
      </c>
    </row>
    <row r="2" spans="1:12" ht="12.75">
      <c r="A2" t="s">
        <v>285</v>
      </c>
      <c r="G2" s="9">
        <f>+H2/E74</f>
        <v>0.14285977583868684</v>
      </c>
      <c r="H2" s="68">
        <f>+'Lurito-Douglas'!E10</f>
        <v>20961.379186494214</v>
      </c>
      <c r="I2" t="s">
        <v>262</v>
      </c>
      <c r="J2" s="55">
        <f>+J76</f>
        <v>0</v>
      </c>
      <c r="K2" s="72">
        <f>+J2/E74</f>
        <v>0</v>
      </c>
      <c r="L2" s="100">
        <v>0</v>
      </c>
    </row>
    <row r="3" spans="1:9" ht="12.75">
      <c r="A3" s="1" t="str">
        <f>+'Priceout-Chelan'!A3</f>
        <v>12 Months Ended December 31, 2018</v>
      </c>
      <c r="H3" s="9">
        <f>+G2</f>
        <v>0.14285977583868684</v>
      </c>
      <c r="I3" t="s">
        <v>264</v>
      </c>
    </row>
    <row r="4" spans="8:9" ht="12.75">
      <c r="H4" s="9">
        <f>+G2</f>
        <v>0.14285977583868684</v>
      </c>
      <c r="I4" t="s">
        <v>265</v>
      </c>
    </row>
    <row r="6" spans="1:3" ht="13.5" thickBot="1">
      <c r="A6" s="51" t="s">
        <v>241</v>
      </c>
      <c r="B6" s="5"/>
      <c r="C6" s="5"/>
    </row>
    <row r="7" spans="6:11" ht="12.75">
      <c r="F7" s="77"/>
      <c r="G7" s="78" t="s">
        <v>259</v>
      </c>
      <c r="H7" s="79"/>
      <c r="I7" s="77"/>
      <c r="J7" s="78" t="s">
        <v>79</v>
      </c>
      <c r="K7" s="79"/>
    </row>
    <row r="8" spans="3:11" ht="12.75">
      <c r="C8" s="2" t="s">
        <v>193</v>
      </c>
      <c r="D8" s="75" t="s">
        <v>257</v>
      </c>
      <c r="E8" s="75" t="s">
        <v>258</v>
      </c>
      <c r="F8" s="80" t="s">
        <v>259</v>
      </c>
      <c r="G8" s="75" t="s">
        <v>258</v>
      </c>
      <c r="H8" s="81" t="s">
        <v>261</v>
      </c>
      <c r="I8" s="80" t="s">
        <v>263</v>
      </c>
      <c r="J8" s="75" t="s">
        <v>258</v>
      </c>
      <c r="K8" s="81" t="s">
        <v>261</v>
      </c>
    </row>
    <row r="9" spans="1:11" ht="13.5" thickBot="1">
      <c r="A9" s="5" t="s">
        <v>192</v>
      </c>
      <c r="B9" s="5"/>
      <c r="C9" s="19" t="s">
        <v>173</v>
      </c>
      <c r="D9" s="76" t="s">
        <v>80</v>
      </c>
      <c r="E9" s="76" t="s">
        <v>1</v>
      </c>
      <c r="F9" s="73" t="s">
        <v>260</v>
      </c>
      <c r="G9" s="19" t="s">
        <v>1</v>
      </c>
      <c r="H9" s="74" t="s">
        <v>262</v>
      </c>
      <c r="I9" s="73" t="s">
        <v>260</v>
      </c>
      <c r="J9" s="19" t="s">
        <v>1</v>
      </c>
      <c r="K9" s="74" t="s">
        <v>262</v>
      </c>
    </row>
    <row r="10" ht="12.75">
      <c r="A10" t="s">
        <v>195</v>
      </c>
    </row>
    <row r="11" spans="1:12" ht="12.75">
      <c r="A11" t="s">
        <v>274</v>
      </c>
      <c r="C11" s="53">
        <f>+'Service Counts'!R10</f>
        <v>0</v>
      </c>
      <c r="D11" s="55">
        <f>+'Service Counts'!P10</f>
        <v>13.65</v>
      </c>
      <c r="E11" s="52">
        <f>+C11*D11</f>
        <v>0</v>
      </c>
      <c r="F11" s="55">
        <f>+D11*(1+$H$4)</f>
        <v>15.600035940198078</v>
      </c>
      <c r="G11" s="55">
        <f>+C11*F11</f>
        <v>0</v>
      </c>
      <c r="H11" s="9">
        <f>+IF(C11=0,0,(G11-E11)/E11)</f>
        <v>0</v>
      </c>
      <c r="I11" s="104">
        <v>13.65</v>
      </c>
      <c r="J11" s="70">
        <f>+C11*I11</f>
        <v>0</v>
      </c>
      <c r="K11" s="9">
        <f>+IF(C11=0,0,(J11-E11)/E11)</f>
        <v>0</v>
      </c>
      <c r="L11" s="55">
        <f>+D11*(1+$L$2)</f>
        <v>13.65</v>
      </c>
    </row>
    <row r="12" spans="1:12" ht="12.75">
      <c r="A12" t="s">
        <v>196</v>
      </c>
      <c r="C12" s="53">
        <f>+'Service Counts'!R11</f>
        <v>0</v>
      </c>
      <c r="D12" s="55">
        <f>+'Service Counts'!P11</f>
        <v>8.75</v>
      </c>
      <c r="E12" s="52">
        <f>+C12*D12</f>
        <v>0</v>
      </c>
      <c r="F12" s="55">
        <f>+D12*(1+$H$4)</f>
        <v>10.00002303858851</v>
      </c>
      <c r="G12" s="55">
        <f>+C12*F12</f>
        <v>0</v>
      </c>
      <c r="H12" s="9">
        <f>+IF(C12=0,0,(G12-E12)/E12)</f>
        <v>0</v>
      </c>
      <c r="I12" s="104">
        <v>8.75</v>
      </c>
      <c r="J12" s="70">
        <f>+C12*I12</f>
        <v>0</v>
      </c>
      <c r="K12" s="9">
        <f>+IF(C12=0,0,(J12-E12)/E12)</f>
        <v>0</v>
      </c>
      <c r="L12" s="55">
        <f>+D12*(1+$L$2)</f>
        <v>8.75</v>
      </c>
    </row>
    <row r="13" spans="1:12" ht="12.75">
      <c r="A13" t="s">
        <v>197</v>
      </c>
      <c r="C13" s="53">
        <f>+'Service Counts'!R12</f>
        <v>0</v>
      </c>
      <c r="D13" s="55">
        <f>+'Service Counts'!P12</f>
        <v>12.6</v>
      </c>
      <c r="E13" s="6">
        <f>+C13*D13</f>
        <v>0</v>
      </c>
      <c r="F13" s="55">
        <f aca="true" t="shared" si="0" ref="F13:F31">+D13*(1+$H$4)</f>
        <v>14.400033175567454</v>
      </c>
      <c r="G13" s="63">
        <f>+C13*F13</f>
        <v>0</v>
      </c>
      <c r="H13" s="9">
        <f aca="true" t="shared" si="1" ref="H13:H31">+IF(C13=0,0,(G13-E13)/E13)</f>
        <v>0</v>
      </c>
      <c r="I13" s="104">
        <v>12.6</v>
      </c>
      <c r="J13" s="63">
        <f aca="true" t="shared" si="2" ref="J13:J31">+C13*I13</f>
        <v>0</v>
      </c>
      <c r="K13" s="9">
        <f aca="true" t="shared" si="3" ref="K13:K31">+IF(C13=0,0,(J13-E13)/E13)</f>
        <v>0</v>
      </c>
      <c r="L13" s="55">
        <f aca="true" t="shared" si="4" ref="L13:L31">+D13*(1+$L$2)</f>
        <v>12.6</v>
      </c>
    </row>
    <row r="14" spans="1:12" ht="12.75">
      <c r="A14" t="s">
        <v>198</v>
      </c>
      <c r="C14" s="53">
        <f>+'Service Counts'!R13</f>
        <v>0</v>
      </c>
      <c r="D14" s="55">
        <f>+'Service Counts'!P13</f>
        <v>16.45</v>
      </c>
      <c r="E14" s="6">
        <f aca="true" t="shared" si="5" ref="E14:E31">+C14*D14</f>
        <v>0</v>
      </c>
      <c r="F14" s="55">
        <f t="shared" si="0"/>
        <v>18.8000433125464</v>
      </c>
      <c r="G14" s="63">
        <f aca="true" t="shared" si="6" ref="G14:G31">+C14*F14</f>
        <v>0</v>
      </c>
      <c r="H14" s="9">
        <f t="shared" si="1"/>
        <v>0</v>
      </c>
      <c r="I14" s="104">
        <v>16.45</v>
      </c>
      <c r="J14" s="63">
        <f t="shared" si="2"/>
        <v>0</v>
      </c>
      <c r="K14" s="9">
        <f t="shared" si="3"/>
        <v>0</v>
      </c>
      <c r="L14" s="55">
        <f t="shared" si="4"/>
        <v>16.45</v>
      </c>
    </row>
    <row r="15" spans="1:12" ht="12.75">
      <c r="A15" t="s">
        <v>199</v>
      </c>
      <c r="C15" s="53">
        <f>+'Service Counts'!R14</f>
        <v>539.8</v>
      </c>
      <c r="D15" s="55">
        <f>+'Service Counts'!P14</f>
        <v>16.35</v>
      </c>
      <c r="E15" s="6">
        <f t="shared" si="5"/>
        <v>8825.73</v>
      </c>
      <c r="F15" s="55">
        <f t="shared" si="0"/>
        <v>18.68575733496253</v>
      </c>
      <c r="G15" s="63">
        <f t="shared" si="6"/>
        <v>10086.571809412773</v>
      </c>
      <c r="H15" s="9">
        <f t="shared" si="1"/>
        <v>0.14285977583868686</v>
      </c>
      <c r="I15" s="104">
        <v>16.35</v>
      </c>
      <c r="J15" s="63">
        <f t="shared" si="2"/>
        <v>8825.73</v>
      </c>
      <c r="K15" s="9">
        <f t="shared" si="3"/>
        <v>0</v>
      </c>
      <c r="L15" s="55">
        <f t="shared" si="4"/>
        <v>16.35</v>
      </c>
    </row>
    <row r="16" spans="1:12" ht="12.75">
      <c r="A16" t="s">
        <v>201</v>
      </c>
      <c r="C16" s="53">
        <f>+'Service Counts'!R15</f>
        <v>773.7</v>
      </c>
      <c r="D16" s="55">
        <f>+'Service Counts'!P15</f>
        <v>20.55</v>
      </c>
      <c r="E16" s="6">
        <f t="shared" si="5"/>
        <v>15899.535000000002</v>
      </c>
      <c r="F16" s="55">
        <f t="shared" si="0"/>
        <v>23.485768393485017</v>
      </c>
      <c r="G16" s="63">
        <f t="shared" si="6"/>
        <v>18170.93900603936</v>
      </c>
      <c r="H16" s="9">
        <f t="shared" si="1"/>
        <v>0.14285977583868698</v>
      </c>
      <c r="I16" s="104">
        <v>20.55</v>
      </c>
      <c r="J16" s="63">
        <f t="shared" si="2"/>
        <v>15899.535000000002</v>
      </c>
      <c r="K16" s="9">
        <f t="shared" si="3"/>
        <v>0</v>
      </c>
      <c r="L16" s="55">
        <f t="shared" si="4"/>
        <v>20.55</v>
      </c>
    </row>
    <row r="17" spans="1:12" ht="12.75">
      <c r="A17" t="s">
        <v>200</v>
      </c>
      <c r="C17" s="53">
        <f>+'Service Counts'!R16</f>
        <v>185</v>
      </c>
      <c r="D17" s="55">
        <f>+'Service Counts'!P16</f>
        <v>24.25</v>
      </c>
      <c r="E17" s="6">
        <f t="shared" si="5"/>
        <v>4486.25</v>
      </c>
      <c r="F17" s="55">
        <f t="shared" si="0"/>
        <v>27.714349564088156</v>
      </c>
      <c r="G17" s="63">
        <f t="shared" si="6"/>
        <v>5127.154669356309</v>
      </c>
      <c r="H17" s="9">
        <f t="shared" si="1"/>
        <v>0.1428597758386868</v>
      </c>
      <c r="I17" s="104">
        <v>24.25</v>
      </c>
      <c r="J17" s="63">
        <f t="shared" si="2"/>
        <v>4486.25</v>
      </c>
      <c r="K17" s="9">
        <f t="shared" si="3"/>
        <v>0</v>
      </c>
      <c r="L17" s="55">
        <f t="shared" si="4"/>
        <v>24.25</v>
      </c>
    </row>
    <row r="18" spans="1:12" ht="12.75">
      <c r="A18" t="s">
        <v>202</v>
      </c>
      <c r="C18" s="53">
        <f>+'Service Counts'!R17</f>
        <v>70.65</v>
      </c>
      <c r="D18" s="55">
        <f>+'Service Counts'!P17</f>
        <v>27.75</v>
      </c>
      <c r="E18" s="6">
        <f t="shared" si="5"/>
        <v>1960.5375000000001</v>
      </c>
      <c r="F18" s="55">
        <f t="shared" si="0"/>
        <v>31.71435877952356</v>
      </c>
      <c r="G18" s="63">
        <f t="shared" si="6"/>
        <v>2240.6194477733397</v>
      </c>
      <c r="H18" s="9">
        <f t="shared" si="1"/>
        <v>0.1428597758386869</v>
      </c>
      <c r="I18" s="104">
        <v>27.75</v>
      </c>
      <c r="J18" s="63">
        <f t="shared" si="2"/>
        <v>1960.5375000000001</v>
      </c>
      <c r="K18" s="9">
        <f t="shared" si="3"/>
        <v>0</v>
      </c>
      <c r="L18" s="55">
        <f t="shared" si="4"/>
        <v>27.75</v>
      </c>
    </row>
    <row r="19" spans="1:12" ht="12.75">
      <c r="A19" t="s">
        <v>203</v>
      </c>
      <c r="C19" s="53">
        <f>+'Service Counts'!R18</f>
        <v>44.75</v>
      </c>
      <c r="D19" s="55">
        <f>+'Service Counts'!P18</f>
        <v>33.25</v>
      </c>
      <c r="E19" s="6">
        <f t="shared" si="5"/>
        <v>1487.9375</v>
      </c>
      <c r="F19" s="55">
        <f t="shared" si="0"/>
        <v>38.00008754663634</v>
      </c>
      <c r="G19" s="63">
        <f t="shared" si="6"/>
        <v>1700.503917711976</v>
      </c>
      <c r="H19" s="9">
        <f t="shared" si="1"/>
        <v>0.14285977583868684</v>
      </c>
      <c r="I19" s="104">
        <v>33.25</v>
      </c>
      <c r="J19" s="63">
        <f t="shared" si="2"/>
        <v>1487.9375</v>
      </c>
      <c r="K19" s="9">
        <f t="shared" si="3"/>
        <v>0</v>
      </c>
      <c r="L19" s="55">
        <f t="shared" si="4"/>
        <v>33.25</v>
      </c>
    </row>
    <row r="20" spans="1:12" ht="12.75">
      <c r="A20" t="s">
        <v>204</v>
      </c>
      <c r="C20" s="53">
        <f>+'Service Counts'!R19</f>
        <v>29.85</v>
      </c>
      <c r="D20" s="55">
        <f>+'Service Counts'!P19</f>
        <v>36.85</v>
      </c>
      <c r="E20" s="6">
        <f t="shared" si="5"/>
        <v>1099.9725</v>
      </c>
      <c r="F20" s="55">
        <f t="shared" si="0"/>
        <v>42.11438273965562</v>
      </c>
      <c r="G20" s="63">
        <f t="shared" si="6"/>
        <v>1257.1143247787202</v>
      </c>
      <c r="H20" s="9">
        <f t="shared" si="1"/>
        <v>0.14285977583868695</v>
      </c>
      <c r="I20" s="104">
        <v>36.85</v>
      </c>
      <c r="J20" s="63">
        <f t="shared" si="2"/>
        <v>1099.9725</v>
      </c>
      <c r="K20" s="9">
        <f t="shared" si="3"/>
        <v>0</v>
      </c>
      <c r="L20" s="55">
        <f t="shared" si="4"/>
        <v>36.85</v>
      </c>
    </row>
    <row r="21" spans="1:12" ht="12.75">
      <c r="A21" t="s">
        <v>347</v>
      </c>
      <c r="C21" s="53">
        <f>+'Service Counts'!R23</f>
        <v>0</v>
      </c>
      <c r="D21" s="55">
        <f>+'Service Counts'!P23</f>
        <v>0</v>
      </c>
      <c r="E21" s="6">
        <f>+C21*D21</f>
        <v>0</v>
      </c>
      <c r="F21" s="55">
        <f>+D21*(1+$H$4)</f>
        <v>0</v>
      </c>
      <c r="G21" s="63">
        <f>+C21*F21</f>
        <v>0</v>
      </c>
      <c r="H21" s="9">
        <f>+IF(C21=0,0,(G21-E21)/E21)</f>
        <v>0</v>
      </c>
      <c r="I21" s="104">
        <f>+L21</f>
        <v>0</v>
      </c>
      <c r="J21" s="63">
        <f>+C21*I21</f>
        <v>0</v>
      </c>
      <c r="K21" s="9">
        <f>+IF(C21=0,0,(J21-E21)/E21)</f>
        <v>0</v>
      </c>
      <c r="L21" s="55">
        <f>+D21*(1+$L$2)</f>
        <v>0</v>
      </c>
    </row>
    <row r="22" spans="1:12" ht="12.75">
      <c r="A22" t="s">
        <v>321</v>
      </c>
      <c r="C22" s="53">
        <f>+'Service Counts'!R24</f>
        <v>0</v>
      </c>
      <c r="D22" s="55">
        <f>+'Service Counts'!P24</f>
        <v>0</v>
      </c>
      <c r="E22" s="6">
        <f>+C22*D22</f>
        <v>0</v>
      </c>
      <c r="F22" s="55">
        <f>+D22*(1+$H$4)</f>
        <v>0</v>
      </c>
      <c r="G22" s="63">
        <f>+C22*F22</f>
        <v>0</v>
      </c>
      <c r="H22" s="9">
        <f>+IF(C22=0,0,(G22-E22)/E22)</f>
        <v>0</v>
      </c>
      <c r="I22" s="104">
        <f>+L22</f>
        <v>0</v>
      </c>
      <c r="J22" s="63">
        <f>+C22*I22</f>
        <v>0</v>
      </c>
      <c r="K22" s="9">
        <f>+IF(C22=0,0,(J22-E22)/E22)</f>
        <v>0</v>
      </c>
      <c r="L22" s="55">
        <f>+D22*(1+$L$2)</f>
        <v>0</v>
      </c>
    </row>
    <row r="23" spans="1:12" ht="12.75">
      <c r="A23" t="s">
        <v>322</v>
      </c>
      <c r="C23" s="53">
        <f>+'Service Counts'!R25</f>
        <v>0</v>
      </c>
      <c r="D23" s="55">
        <f>+'Service Counts'!P25</f>
        <v>0</v>
      </c>
      <c r="E23" s="6">
        <f>+C23*D23</f>
        <v>0</v>
      </c>
      <c r="F23" s="55">
        <f>+D23*(1+$H$4)</f>
        <v>0</v>
      </c>
      <c r="G23" s="63">
        <f>+C23*F23</f>
        <v>0</v>
      </c>
      <c r="H23" s="9">
        <f>+IF(C23=0,0,(G23-E23)/E23)</f>
        <v>0</v>
      </c>
      <c r="I23" s="104">
        <f>+L23</f>
        <v>0</v>
      </c>
      <c r="J23" s="63">
        <f>+C23*I23</f>
        <v>0</v>
      </c>
      <c r="K23" s="9">
        <f>+IF(C23=0,0,(J23-E23)/E23)</f>
        <v>0</v>
      </c>
      <c r="L23" s="55">
        <f>+D23*(1+$L$2)</f>
        <v>0</v>
      </c>
    </row>
    <row r="24" spans="1:12" ht="12.75">
      <c r="A24" t="s">
        <v>323</v>
      </c>
      <c r="C24" s="53">
        <f>+'Service Counts'!R26</f>
        <v>0</v>
      </c>
      <c r="D24" s="55">
        <f>+'Service Counts'!P26</f>
        <v>0</v>
      </c>
      <c r="E24" s="6">
        <f>+C24*D24</f>
        <v>0</v>
      </c>
      <c r="F24" s="55">
        <f>+D24*(1+$H$4)</f>
        <v>0</v>
      </c>
      <c r="G24" s="63">
        <f>+C24*F24</f>
        <v>0</v>
      </c>
      <c r="H24" s="9">
        <f>+IF(C24=0,0,(G24-E24)/E24)</f>
        <v>0</v>
      </c>
      <c r="I24" s="104">
        <f>+L24</f>
        <v>0</v>
      </c>
      <c r="J24" s="63">
        <f>+C24*I24</f>
        <v>0</v>
      </c>
      <c r="K24" s="9">
        <f>+IF(C24=0,0,(J24-E24)/E24)</f>
        <v>0</v>
      </c>
      <c r="L24" s="55">
        <f>+D24*(1+$L$2)</f>
        <v>0</v>
      </c>
    </row>
    <row r="25" spans="1:12" ht="12.75">
      <c r="A25" t="s">
        <v>324</v>
      </c>
      <c r="C25" s="53">
        <f>+'Service Counts'!R27</f>
        <v>0</v>
      </c>
      <c r="D25" s="55">
        <f>+'Service Counts'!P27</f>
        <v>0</v>
      </c>
      <c r="E25" s="6">
        <f>+C25*D25</f>
        <v>0</v>
      </c>
      <c r="F25" s="55">
        <f>+D25*(1+$H$4)</f>
        <v>0</v>
      </c>
      <c r="G25" s="63">
        <f>+C25*F25</f>
        <v>0</v>
      </c>
      <c r="H25" s="9">
        <f>+IF(C25=0,0,(G25-E25)/E25)</f>
        <v>0</v>
      </c>
      <c r="I25" s="104">
        <f>+L25</f>
        <v>0</v>
      </c>
      <c r="J25" s="63">
        <f>+C25*I25</f>
        <v>0</v>
      </c>
      <c r="K25" s="9">
        <f>+IF(C25=0,0,(J25-E25)/E25)</f>
        <v>0</v>
      </c>
      <c r="L25" s="55">
        <f>+D25*(1+$L$2)</f>
        <v>0</v>
      </c>
    </row>
    <row r="26" spans="1:12" ht="12.75">
      <c r="A26" t="s">
        <v>205</v>
      </c>
      <c r="C26" s="53">
        <f>+'Service Counts'!R28</f>
        <v>308</v>
      </c>
      <c r="D26" s="55">
        <f>+'Service Counts'!P28</f>
        <v>3.95</v>
      </c>
      <c r="E26" s="6">
        <f t="shared" si="5"/>
        <v>1216.6000000000001</v>
      </c>
      <c r="F26" s="55">
        <f t="shared" si="0"/>
        <v>4.514296114562813</v>
      </c>
      <c r="G26" s="63">
        <f t="shared" si="6"/>
        <v>1390.4032032853465</v>
      </c>
      <c r="H26" s="9">
        <f t="shared" si="1"/>
        <v>0.1428597758386868</v>
      </c>
      <c r="I26" s="104">
        <v>3.95</v>
      </c>
      <c r="J26" s="63">
        <f t="shared" si="2"/>
        <v>1216.6000000000001</v>
      </c>
      <c r="K26" s="9">
        <f t="shared" si="3"/>
        <v>0</v>
      </c>
      <c r="L26" s="55">
        <f t="shared" si="4"/>
        <v>3.95</v>
      </c>
    </row>
    <row r="27" spans="1:12" ht="12.75">
      <c r="A27" t="s">
        <v>310</v>
      </c>
      <c r="C27" s="53">
        <f>+'Service Counts'!R29</f>
        <v>6</v>
      </c>
      <c r="D27" s="55">
        <f>+'Service Counts'!P29</f>
        <v>2.95</v>
      </c>
      <c r="E27" s="6">
        <f t="shared" si="5"/>
        <v>17.700000000000003</v>
      </c>
      <c r="F27" s="55">
        <f t="shared" si="0"/>
        <v>3.3714363387241266</v>
      </c>
      <c r="G27" s="63">
        <f t="shared" si="6"/>
        <v>20.22861803234476</v>
      </c>
      <c r="H27" s="9">
        <f t="shared" si="1"/>
        <v>0.14285977583868675</v>
      </c>
      <c r="I27" s="104">
        <v>2.95</v>
      </c>
      <c r="J27" s="63">
        <f t="shared" si="2"/>
        <v>17.700000000000003</v>
      </c>
      <c r="K27" s="9">
        <f t="shared" si="3"/>
        <v>0</v>
      </c>
      <c r="L27" s="55">
        <f t="shared" si="4"/>
        <v>2.95</v>
      </c>
    </row>
    <row r="28" spans="1:12" ht="12.75">
      <c r="A28" t="s">
        <v>326</v>
      </c>
      <c r="C28" s="53">
        <f>+'Service Counts'!R30</f>
        <v>0</v>
      </c>
      <c r="D28" s="55">
        <f>+'Service Counts'!P30</f>
        <v>1.65</v>
      </c>
      <c r="E28" s="6">
        <f>+C28*D28</f>
        <v>0</v>
      </c>
      <c r="F28" s="55">
        <f>+D28*(1+$H$4)</f>
        <v>1.8857186301338333</v>
      </c>
      <c r="G28" s="63">
        <f>+C28*F28</f>
        <v>0</v>
      </c>
      <c r="H28" s="9">
        <f>+IF(C28=0,0,(G28-E28)/E28)</f>
        <v>0</v>
      </c>
      <c r="I28" s="104">
        <v>1.65</v>
      </c>
      <c r="J28" s="63">
        <f>+C28*I28</f>
        <v>0</v>
      </c>
      <c r="K28" s="9">
        <f>+IF(C28=0,0,(J28-E28)/E28)</f>
        <v>0</v>
      </c>
      <c r="L28" s="55">
        <f>+D28*(1+$L$2)</f>
        <v>1.65</v>
      </c>
    </row>
    <row r="29" spans="1:12" ht="12.75">
      <c r="A29" t="s">
        <v>206</v>
      </c>
      <c r="C29" s="53">
        <f>+'Service Counts'!R31</f>
        <v>11.25</v>
      </c>
      <c r="D29" s="55">
        <f>+'Service Counts'!P31</f>
        <v>10.55</v>
      </c>
      <c r="E29" s="6">
        <f t="shared" si="5"/>
        <v>118.68750000000001</v>
      </c>
      <c r="F29" s="55">
        <f t="shared" si="0"/>
        <v>12.057170635098148</v>
      </c>
      <c r="G29" s="63">
        <f t="shared" si="6"/>
        <v>135.64316964485417</v>
      </c>
      <c r="H29" s="9">
        <f t="shared" si="1"/>
        <v>0.14285977583868692</v>
      </c>
      <c r="I29" s="104">
        <v>10.55</v>
      </c>
      <c r="J29" s="63">
        <f t="shared" si="2"/>
        <v>118.68750000000001</v>
      </c>
      <c r="K29" s="9">
        <f t="shared" si="3"/>
        <v>0</v>
      </c>
      <c r="L29" s="55">
        <f t="shared" si="4"/>
        <v>10.55</v>
      </c>
    </row>
    <row r="30" spans="1:12" ht="12.75">
      <c r="A30" t="s">
        <v>207</v>
      </c>
      <c r="C30" s="53">
        <f>+'Service Counts'!R32</f>
        <v>81</v>
      </c>
      <c r="D30" s="55">
        <f>+'Service Counts'!P32</f>
        <v>19.6</v>
      </c>
      <c r="E30" s="6">
        <f t="shared" si="5"/>
        <v>1587.6000000000001</v>
      </c>
      <c r="F30" s="55">
        <f t="shared" si="0"/>
        <v>22.400051606438264</v>
      </c>
      <c r="G30" s="63">
        <f t="shared" si="6"/>
        <v>1814.4041801214994</v>
      </c>
      <c r="H30" s="9">
        <f t="shared" si="1"/>
        <v>0.14285977583868684</v>
      </c>
      <c r="I30" s="104">
        <v>19.6</v>
      </c>
      <c r="J30" s="63">
        <f t="shared" si="2"/>
        <v>1587.6000000000001</v>
      </c>
      <c r="K30" s="9">
        <f t="shared" si="3"/>
        <v>0</v>
      </c>
      <c r="L30" s="55">
        <f t="shared" si="4"/>
        <v>19.6</v>
      </c>
    </row>
    <row r="31" spans="1:12" ht="12.75">
      <c r="A31" t="s">
        <v>208</v>
      </c>
      <c r="C31" s="53">
        <f>+'Service Counts'!R33</f>
        <v>0</v>
      </c>
      <c r="D31" s="55">
        <f>+'Service Counts'!P33</f>
        <v>12.2</v>
      </c>
      <c r="E31" s="42">
        <f t="shared" si="5"/>
        <v>0</v>
      </c>
      <c r="F31" s="55">
        <f t="shared" si="0"/>
        <v>13.94288926523198</v>
      </c>
      <c r="G31" s="84">
        <f t="shared" si="6"/>
        <v>0</v>
      </c>
      <c r="H31" s="9">
        <f t="shared" si="1"/>
        <v>0</v>
      </c>
      <c r="I31" s="104">
        <v>12.2</v>
      </c>
      <c r="J31" s="84">
        <f t="shared" si="2"/>
        <v>0</v>
      </c>
      <c r="K31" s="9">
        <f t="shared" si="3"/>
        <v>0</v>
      </c>
      <c r="L31" s="55">
        <f t="shared" si="4"/>
        <v>12.2</v>
      </c>
    </row>
    <row r="32" spans="3:11" ht="12.75">
      <c r="C32" s="53"/>
      <c r="D32" s="55"/>
      <c r="E32" s="52">
        <f>SUM(E11:E31)</f>
        <v>36700.549999999996</v>
      </c>
      <c r="G32" s="52">
        <f>SUM(G11:G31)</f>
        <v>41943.58234615652</v>
      </c>
      <c r="I32" s="83"/>
      <c r="J32" s="52">
        <f>SUM(J11:J31)</f>
        <v>36700.549999999996</v>
      </c>
      <c r="K32" s="85">
        <f>(+J32-E32)/E32</f>
        <v>0</v>
      </c>
    </row>
    <row r="33" spans="1:10" ht="12.75">
      <c r="A33" t="s">
        <v>209</v>
      </c>
      <c r="C33" s="53"/>
      <c r="D33" s="55"/>
      <c r="I33" s="83"/>
      <c r="J33" s="63"/>
    </row>
    <row r="34" spans="1:12" ht="12.75">
      <c r="A34" t="s">
        <v>210</v>
      </c>
      <c r="C34" s="53">
        <f>+'Service Counts'!R36</f>
        <v>681</v>
      </c>
      <c r="D34" s="55">
        <f>+'Service Counts'!P36</f>
        <v>15.25</v>
      </c>
      <c r="E34" s="6">
        <f aca="true" t="shared" si="7" ref="E34:E48">+C34*D34</f>
        <v>10385.25</v>
      </c>
      <c r="F34" s="55">
        <f aca="true" t="shared" si="8" ref="F34:F48">+D34*(1+$H$4)</f>
        <v>17.428611581539975</v>
      </c>
      <c r="G34" s="63">
        <f aca="true" t="shared" si="9" ref="G34:G48">+C34*F34</f>
        <v>11868.884487028723</v>
      </c>
      <c r="H34" s="9">
        <f aca="true" t="shared" si="10" ref="H34:H48">+IF(C34=0,0,(G34-E34)/E34)</f>
        <v>0.1428597758386869</v>
      </c>
      <c r="I34" s="104">
        <v>15.25</v>
      </c>
      <c r="J34" s="63">
        <f aca="true" t="shared" si="11" ref="J34:J48">+C34*I34</f>
        <v>10385.25</v>
      </c>
      <c r="K34" s="9">
        <f aca="true" t="shared" si="12" ref="K34:K48">+IF(C34=0,0,(J34-E34)/E34)</f>
        <v>0</v>
      </c>
      <c r="L34" s="55">
        <f aca="true" t="shared" si="13" ref="L34:L48">+D34*(1+$L$2)</f>
        <v>15.25</v>
      </c>
    </row>
    <row r="35" spans="1:12" ht="12.75">
      <c r="A35" t="s">
        <v>211</v>
      </c>
      <c r="C35" s="53">
        <f>+'Service Counts'!R37</f>
        <v>0</v>
      </c>
      <c r="D35" s="55">
        <f>+'Service Counts'!P37</f>
        <v>20.4</v>
      </c>
      <c r="E35" s="6">
        <f t="shared" si="7"/>
        <v>0</v>
      </c>
      <c r="F35" s="55">
        <f t="shared" si="8"/>
        <v>23.31433942710921</v>
      </c>
      <c r="G35" s="63">
        <f t="shared" si="9"/>
        <v>0</v>
      </c>
      <c r="H35" s="9">
        <f t="shared" si="10"/>
        <v>0</v>
      </c>
      <c r="I35" s="104">
        <v>20.4</v>
      </c>
      <c r="J35" s="63">
        <f t="shared" si="11"/>
        <v>0</v>
      </c>
      <c r="K35" s="9">
        <f t="shared" si="12"/>
        <v>0</v>
      </c>
      <c r="L35" s="55">
        <f t="shared" si="13"/>
        <v>20.4</v>
      </c>
    </row>
    <row r="36" spans="1:12" ht="12.75">
      <c r="A36" t="s">
        <v>213</v>
      </c>
      <c r="C36" s="53">
        <f>+'Service Counts'!R38</f>
        <v>644</v>
      </c>
      <c r="D36" s="55">
        <f>+'Service Counts'!P38</f>
        <v>23.3</v>
      </c>
      <c r="E36" s="6">
        <f t="shared" si="7"/>
        <v>15005.2</v>
      </c>
      <c r="F36" s="55">
        <f t="shared" si="8"/>
        <v>26.628632777041407</v>
      </c>
      <c r="G36" s="63">
        <f t="shared" si="9"/>
        <v>17148.839508414665</v>
      </c>
      <c r="H36" s="9">
        <f t="shared" si="10"/>
        <v>0.14285977583868686</v>
      </c>
      <c r="I36" s="104">
        <v>23.3</v>
      </c>
      <c r="J36" s="63">
        <f t="shared" si="11"/>
        <v>15005.2</v>
      </c>
      <c r="K36" s="9">
        <f t="shared" si="12"/>
        <v>0</v>
      </c>
      <c r="L36" s="55">
        <f t="shared" si="13"/>
        <v>23.3</v>
      </c>
    </row>
    <row r="37" spans="1:12" ht="12.75">
      <c r="A37" t="s">
        <v>214</v>
      </c>
      <c r="C37" s="53">
        <f>+'Service Counts'!R39</f>
        <v>42</v>
      </c>
      <c r="D37" s="55">
        <f>+'Service Counts'!P39</f>
        <v>30.5</v>
      </c>
      <c r="E37" s="6">
        <f t="shared" si="7"/>
        <v>1281</v>
      </c>
      <c r="F37" s="55">
        <f t="shared" si="8"/>
        <v>34.85722316307995</v>
      </c>
      <c r="G37" s="63">
        <f t="shared" si="9"/>
        <v>1464.003372849358</v>
      </c>
      <c r="H37" s="9">
        <f t="shared" si="10"/>
        <v>0.1428597758386869</v>
      </c>
      <c r="I37" s="104">
        <v>30.5</v>
      </c>
      <c r="J37" s="63">
        <f t="shared" si="11"/>
        <v>1281</v>
      </c>
      <c r="K37" s="9">
        <f t="shared" si="12"/>
        <v>0</v>
      </c>
      <c r="L37" s="55">
        <f t="shared" si="13"/>
        <v>30.5</v>
      </c>
    </row>
    <row r="38" spans="1:12" ht="12.75">
      <c r="A38" t="s">
        <v>212</v>
      </c>
      <c r="C38" s="53">
        <f>+'Service Counts'!R40</f>
        <v>677</v>
      </c>
      <c r="D38" s="55">
        <f>+'Service Counts'!P40</f>
        <v>38.95</v>
      </c>
      <c r="E38" s="6">
        <f t="shared" si="7"/>
        <v>26369.15</v>
      </c>
      <c r="F38" s="55">
        <f t="shared" si="8"/>
        <v>44.51438826891686</v>
      </c>
      <c r="G38" s="63">
        <f t="shared" si="9"/>
        <v>30136.240858056713</v>
      </c>
      <c r="H38" s="9">
        <f t="shared" si="10"/>
        <v>0.14285977583868695</v>
      </c>
      <c r="I38" s="104">
        <v>38.95</v>
      </c>
      <c r="J38" s="63">
        <f t="shared" si="11"/>
        <v>26369.15</v>
      </c>
      <c r="K38" s="9">
        <f t="shared" si="12"/>
        <v>0</v>
      </c>
      <c r="L38" s="55">
        <f t="shared" si="13"/>
        <v>38.95</v>
      </c>
    </row>
    <row r="39" spans="1:12" ht="12.75">
      <c r="A39" t="s">
        <v>215</v>
      </c>
      <c r="C39" s="53">
        <f>+'Service Counts'!R41</f>
        <v>152</v>
      </c>
      <c r="D39" s="55">
        <f>+'Service Counts'!P41</f>
        <v>61.6</v>
      </c>
      <c r="E39" s="6">
        <f t="shared" si="7"/>
        <v>9363.2</v>
      </c>
      <c r="F39" s="55">
        <f t="shared" si="8"/>
        <v>70.40016219166311</v>
      </c>
      <c r="G39" s="63">
        <f t="shared" si="9"/>
        <v>10700.824653132793</v>
      </c>
      <c r="H39" s="9">
        <f t="shared" si="10"/>
        <v>0.1428597758386868</v>
      </c>
      <c r="I39" s="104">
        <v>61.6</v>
      </c>
      <c r="J39" s="63">
        <f t="shared" si="11"/>
        <v>9363.2</v>
      </c>
      <c r="K39" s="9">
        <f t="shared" si="12"/>
        <v>0</v>
      </c>
      <c r="L39" s="55">
        <f t="shared" si="13"/>
        <v>61.6</v>
      </c>
    </row>
    <row r="40" spans="1:12" ht="12.75">
      <c r="A40" t="s">
        <v>216</v>
      </c>
      <c r="C40" s="53">
        <f>+'Service Counts'!R42</f>
        <v>0</v>
      </c>
      <c r="D40" s="55">
        <f>+'Service Counts'!P42</f>
        <v>81.9</v>
      </c>
      <c r="E40" s="6">
        <f t="shared" si="7"/>
        <v>0</v>
      </c>
      <c r="F40" s="55">
        <f t="shared" si="8"/>
        <v>93.60021564118847</v>
      </c>
      <c r="G40" s="63">
        <f t="shared" si="9"/>
        <v>0</v>
      </c>
      <c r="H40" s="9">
        <f t="shared" si="10"/>
        <v>0</v>
      </c>
      <c r="I40" s="104">
        <v>81.9</v>
      </c>
      <c r="J40" s="63">
        <f t="shared" si="11"/>
        <v>0</v>
      </c>
      <c r="K40" s="9">
        <f t="shared" si="12"/>
        <v>0</v>
      </c>
      <c r="L40" s="55">
        <f t="shared" si="13"/>
        <v>81.9</v>
      </c>
    </row>
    <row r="41" spans="1:12" ht="12.75">
      <c r="A41" t="s">
        <v>217</v>
      </c>
      <c r="C41" s="53">
        <f>+'Service Counts'!R43</f>
        <v>2</v>
      </c>
      <c r="D41" s="55">
        <f>+'Service Counts'!P43</f>
        <v>8.25</v>
      </c>
      <c r="E41" s="6">
        <f t="shared" si="7"/>
        <v>16.5</v>
      </c>
      <c r="F41" s="55">
        <f t="shared" si="8"/>
        <v>9.428593150669167</v>
      </c>
      <c r="G41" s="63">
        <f t="shared" si="9"/>
        <v>18.857186301338334</v>
      </c>
      <c r="H41" s="9">
        <f t="shared" si="10"/>
        <v>0.14285977583868692</v>
      </c>
      <c r="I41" s="104">
        <v>8.25</v>
      </c>
      <c r="J41" s="63">
        <f t="shared" si="11"/>
        <v>16.5</v>
      </c>
      <c r="K41" s="9">
        <f t="shared" si="12"/>
        <v>0</v>
      </c>
      <c r="L41" s="55">
        <f t="shared" si="13"/>
        <v>8.25</v>
      </c>
    </row>
    <row r="42" spans="1:12" ht="12.75">
      <c r="A42" t="s">
        <v>218</v>
      </c>
      <c r="C42" s="53">
        <f>+'Service Counts'!R44</f>
        <v>0</v>
      </c>
      <c r="D42" s="55">
        <f>+'Service Counts'!P44</f>
        <v>10.9</v>
      </c>
      <c r="E42" s="6">
        <f t="shared" si="7"/>
        <v>0</v>
      </c>
      <c r="F42" s="55">
        <f t="shared" si="8"/>
        <v>12.457171556641688</v>
      </c>
      <c r="G42" s="63">
        <f t="shared" si="9"/>
        <v>0</v>
      </c>
      <c r="H42" s="9">
        <f t="shared" si="10"/>
        <v>0</v>
      </c>
      <c r="I42" s="104">
        <v>10.9</v>
      </c>
      <c r="J42" s="63">
        <f t="shared" si="11"/>
        <v>0</v>
      </c>
      <c r="K42" s="9">
        <f t="shared" si="12"/>
        <v>0</v>
      </c>
      <c r="L42" s="55">
        <f t="shared" si="13"/>
        <v>10.9</v>
      </c>
    </row>
    <row r="43" spans="1:12" ht="12.75">
      <c r="A43" t="s">
        <v>219</v>
      </c>
      <c r="C43" s="53">
        <f>+'Service Counts'!R45</f>
        <v>2</v>
      </c>
      <c r="D43" s="55">
        <f>+'Service Counts'!P45</f>
        <v>14.5</v>
      </c>
      <c r="E43" s="6">
        <f t="shared" si="7"/>
        <v>29</v>
      </c>
      <c r="F43" s="55">
        <f t="shared" si="8"/>
        <v>16.57146674966096</v>
      </c>
      <c r="G43" s="63">
        <f t="shared" si="9"/>
        <v>33.14293349932192</v>
      </c>
      <c r="H43" s="9">
        <f t="shared" si="10"/>
        <v>0.1428597758386869</v>
      </c>
      <c r="I43" s="104">
        <v>14.5</v>
      </c>
      <c r="J43" s="63">
        <f t="shared" si="11"/>
        <v>29</v>
      </c>
      <c r="K43" s="9">
        <f t="shared" si="12"/>
        <v>0</v>
      </c>
      <c r="L43" s="55">
        <f t="shared" si="13"/>
        <v>14.5</v>
      </c>
    </row>
    <row r="44" spans="1:12" ht="12.75">
      <c r="A44" t="s">
        <v>220</v>
      </c>
      <c r="C44" s="53">
        <f>+'Service Counts'!R46</f>
        <v>0</v>
      </c>
      <c r="D44" s="55">
        <f>+'Service Counts'!P46</f>
        <v>15.2</v>
      </c>
      <c r="E44" s="6">
        <f t="shared" si="7"/>
        <v>0</v>
      </c>
      <c r="F44" s="55">
        <f t="shared" si="8"/>
        <v>17.37146859274804</v>
      </c>
      <c r="G44" s="63">
        <f t="shared" si="9"/>
        <v>0</v>
      </c>
      <c r="H44" s="9">
        <f t="shared" si="10"/>
        <v>0</v>
      </c>
      <c r="I44" s="104">
        <v>15.2</v>
      </c>
      <c r="J44" s="63">
        <f t="shared" si="11"/>
        <v>0</v>
      </c>
      <c r="K44" s="9">
        <f t="shared" si="12"/>
        <v>0</v>
      </c>
      <c r="L44" s="55">
        <f t="shared" si="13"/>
        <v>15.2</v>
      </c>
    </row>
    <row r="45" spans="1:12" ht="12.75">
      <c r="A45" t="s">
        <v>221</v>
      </c>
      <c r="C45" s="53">
        <f>+'Service Counts'!R47</f>
        <v>0</v>
      </c>
      <c r="D45" s="55">
        <f>+'Service Counts'!P47</f>
        <v>15.8</v>
      </c>
      <c r="E45" s="6">
        <f t="shared" si="7"/>
        <v>0</v>
      </c>
      <c r="F45" s="55">
        <f t="shared" si="8"/>
        <v>18.057184458251253</v>
      </c>
      <c r="G45" s="63">
        <f t="shared" si="9"/>
        <v>0</v>
      </c>
      <c r="H45" s="9">
        <f t="shared" si="10"/>
        <v>0</v>
      </c>
      <c r="I45" s="104">
        <v>15.8</v>
      </c>
      <c r="J45" s="63">
        <f t="shared" si="11"/>
        <v>0</v>
      </c>
      <c r="K45" s="9">
        <f t="shared" si="12"/>
        <v>0</v>
      </c>
      <c r="L45" s="55">
        <f t="shared" si="13"/>
        <v>15.8</v>
      </c>
    </row>
    <row r="46" spans="1:12" ht="12.75">
      <c r="A46" t="s">
        <v>222</v>
      </c>
      <c r="C46" s="53">
        <f>+'Service Counts'!R48</f>
        <v>2</v>
      </c>
      <c r="D46" s="55">
        <f>+'Service Counts'!P48</f>
        <v>18.35</v>
      </c>
      <c r="E46" s="6">
        <f t="shared" si="7"/>
        <v>36.7</v>
      </c>
      <c r="F46" s="55">
        <f t="shared" si="8"/>
        <v>20.971476886639906</v>
      </c>
      <c r="G46" s="63">
        <f t="shared" si="9"/>
        <v>41.94295377327981</v>
      </c>
      <c r="H46" s="9">
        <f t="shared" si="10"/>
        <v>0.14285977583868686</v>
      </c>
      <c r="I46" s="104">
        <v>18.35</v>
      </c>
      <c r="J46" s="63">
        <f t="shared" si="11"/>
        <v>36.7</v>
      </c>
      <c r="K46" s="9">
        <f t="shared" si="12"/>
        <v>0</v>
      </c>
      <c r="L46" s="55">
        <f t="shared" si="13"/>
        <v>18.35</v>
      </c>
    </row>
    <row r="47" spans="1:12" ht="12.75">
      <c r="A47" t="s">
        <v>223</v>
      </c>
      <c r="C47" s="53">
        <f>+'Service Counts'!R49</f>
        <v>0</v>
      </c>
      <c r="D47" s="55">
        <f>+'Service Counts'!P49</f>
        <v>2.3</v>
      </c>
      <c r="E47" s="6">
        <f t="shared" si="7"/>
        <v>0</v>
      </c>
      <c r="F47" s="55">
        <f t="shared" si="8"/>
        <v>2.6285774844289795</v>
      </c>
      <c r="G47" s="63">
        <f t="shared" si="9"/>
        <v>0</v>
      </c>
      <c r="H47" s="9">
        <f t="shared" si="10"/>
        <v>0</v>
      </c>
      <c r="I47" s="104">
        <v>2.3</v>
      </c>
      <c r="J47" s="63">
        <f t="shared" si="11"/>
        <v>0</v>
      </c>
      <c r="K47" s="9">
        <f t="shared" si="12"/>
        <v>0</v>
      </c>
      <c r="L47" s="55">
        <f t="shared" si="13"/>
        <v>2.3</v>
      </c>
    </row>
    <row r="48" spans="1:12" ht="12.75">
      <c r="A48" t="s">
        <v>224</v>
      </c>
      <c r="C48" s="53">
        <f>+'Service Counts'!R50</f>
        <v>202</v>
      </c>
      <c r="D48" s="55">
        <f>+'Service Counts'!P50</f>
        <v>1.3</v>
      </c>
      <c r="E48" s="42">
        <f t="shared" si="7"/>
        <v>262.6</v>
      </c>
      <c r="F48" s="55">
        <f t="shared" si="8"/>
        <v>1.485717708590293</v>
      </c>
      <c r="G48" s="84">
        <f t="shared" si="9"/>
        <v>300.1149771352392</v>
      </c>
      <c r="H48" s="9">
        <f t="shared" si="10"/>
        <v>0.1428597758386869</v>
      </c>
      <c r="I48" s="104">
        <v>1.3</v>
      </c>
      <c r="J48" s="84">
        <f t="shared" si="11"/>
        <v>262.6</v>
      </c>
      <c r="K48" s="9">
        <f t="shared" si="12"/>
        <v>0</v>
      </c>
      <c r="L48" s="55">
        <f t="shared" si="13"/>
        <v>1.3</v>
      </c>
    </row>
    <row r="49" spans="3:11" ht="12.75">
      <c r="C49" s="53"/>
      <c r="D49" s="55"/>
      <c r="E49" s="6">
        <f>SUM(E34:E48)</f>
        <v>62748.6</v>
      </c>
      <c r="G49" s="6">
        <f>SUM(G34:G48)</f>
        <v>71712.85093019142</v>
      </c>
      <c r="I49" s="83"/>
      <c r="J49" s="6">
        <f>SUM(J34:J48)</f>
        <v>62748.6</v>
      </c>
      <c r="K49" s="85">
        <f>(+J49-E49)/E49</f>
        <v>0</v>
      </c>
    </row>
    <row r="50" spans="1:10" ht="12.75">
      <c r="A50" t="s">
        <v>225</v>
      </c>
      <c r="C50" s="53"/>
      <c r="D50" s="55"/>
      <c r="I50" s="83"/>
      <c r="J50" s="63"/>
    </row>
    <row r="51" spans="1:12" ht="12.75">
      <c r="A51" t="s">
        <v>276</v>
      </c>
      <c r="C51" s="53">
        <f>+'Service Counts'!R53</f>
        <v>0</v>
      </c>
      <c r="D51" s="55">
        <f>+'Service Counts'!P53</f>
        <v>95.05</v>
      </c>
      <c r="E51" s="6">
        <f aca="true" t="shared" si="14" ref="E51:E64">+C51*D51</f>
        <v>0</v>
      </c>
      <c r="F51" s="55">
        <f aca="true" t="shared" si="15" ref="F51:F65">+D51*(1+$H$4)</f>
        <v>108.62882169346719</v>
      </c>
      <c r="G51" s="63">
        <f aca="true" t="shared" si="16" ref="G51:G65">+C51*F51</f>
        <v>0</v>
      </c>
      <c r="H51" s="9">
        <f aca="true" t="shared" si="17" ref="H51:H65">+IF(C51=0,0,(G51-E51)/E51)</f>
        <v>0</v>
      </c>
      <c r="I51" s="104">
        <v>95.05</v>
      </c>
      <c r="J51" s="63">
        <f aca="true" t="shared" si="18" ref="J51:J65">+C51*I51</f>
        <v>0</v>
      </c>
      <c r="K51" s="9">
        <f aca="true" t="shared" si="19" ref="K51:K65">+IF(C51=0,0,(J51-E51)/E51)</f>
        <v>0</v>
      </c>
      <c r="L51" s="55">
        <f aca="true" t="shared" si="20" ref="L51:L65">+D51*(1+$L$2)</f>
        <v>95.05</v>
      </c>
    </row>
    <row r="52" spans="1:12" ht="12.75">
      <c r="A52" t="s">
        <v>226</v>
      </c>
      <c r="C52" s="53">
        <f>+'Service Counts'!R54</f>
        <v>27</v>
      </c>
      <c r="D52" s="55">
        <f>+'Service Counts'!P54</f>
        <v>114.95</v>
      </c>
      <c r="E52" s="6">
        <f>+C52*D52</f>
        <v>3103.65</v>
      </c>
      <c r="F52" s="55">
        <f>+D52*(1+$H$4)</f>
        <v>131.37173123265705</v>
      </c>
      <c r="G52" s="63">
        <f>+C52*F52</f>
        <v>3547.0367432817407</v>
      </c>
      <c r="H52" s="9">
        <f>+IF(C52=0,0,(G52-E52)/E52)</f>
        <v>0.1428597758386869</v>
      </c>
      <c r="I52" s="104">
        <v>114.95</v>
      </c>
      <c r="J52" s="63">
        <f>+C52*I52</f>
        <v>3103.65</v>
      </c>
      <c r="K52" s="9">
        <f>+IF(C52=0,0,(J52-E52)/E52)</f>
        <v>0</v>
      </c>
      <c r="L52" s="55">
        <f>+D52*(1+$L$2)</f>
        <v>114.95</v>
      </c>
    </row>
    <row r="53" spans="1:12" ht="12.75">
      <c r="A53" t="s">
        <v>227</v>
      </c>
      <c r="C53" s="53">
        <f>+'Service Counts'!R55</f>
        <v>144</v>
      </c>
      <c r="D53" s="55">
        <f>+'Service Counts'!P55</f>
        <v>124.95</v>
      </c>
      <c r="E53" s="6">
        <f t="shared" si="14"/>
        <v>17992.8</v>
      </c>
      <c r="F53" s="55">
        <f t="shared" si="15"/>
        <v>142.80032899104393</v>
      </c>
      <c r="G53" s="63">
        <f t="shared" si="16"/>
        <v>20563.247374710325</v>
      </c>
      <c r="H53" s="9">
        <f t="shared" si="17"/>
        <v>0.14285977583868692</v>
      </c>
      <c r="I53" s="104">
        <v>124.95</v>
      </c>
      <c r="J53" s="63">
        <f t="shared" si="18"/>
        <v>17992.8</v>
      </c>
      <c r="K53" s="9">
        <f t="shared" si="19"/>
        <v>0</v>
      </c>
      <c r="L53" s="55">
        <f t="shared" si="20"/>
        <v>124.95</v>
      </c>
    </row>
    <row r="54" spans="1:12" ht="12.75">
      <c r="A54" t="s">
        <v>228</v>
      </c>
      <c r="C54" s="53">
        <f>+'Service Counts'!R56</f>
        <v>0</v>
      </c>
      <c r="D54" s="55">
        <f>+'Service Counts'!P56</f>
        <v>0</v>
      </c>
      <c r="E54" s="6">
        <f t="shared" si="14"/>
        <v>0</v>
      </c>
      <c r="F54" s="55">
        <f t="shared" si="15"/>
        <v>0</v>
      </c>
      <c r="G54" s="63">
        <f t="shared" si="16"/>
        <v>0</v>
      </c>
      <c r="H54" s="9">
        <f t="shared" si="17"/>
        <v>0</v>
      </c>
      <c r="I54" s="104">
        <v>140</v>
      </c>
      <c r="J54" s="63">
        <f t="shared" si="18"/>
        <v>0</v>
      </c>
      <c r="K54" s="9">
        <f t="shared" si="19"/>
        <v>0</v>
      </c>
      <c r="L54" s="55">
        <f t="shared" si="20"/>
        <v>0</v>
      </c>
    </row>
    <row r="55" spans="1:12" ht="12.75">
      <c r="A55" t="s">
        <v>275</v>
      </c>
      <c r="C55" s="53">
        <f>+'Service Counts'!R57</f>
        <v>0</v>
      </c>
      <c r="D55" s="55">
        <f>+'Service Counts'!P57</f>
        <v>3.05</v>
      </c>
      <c r="E55" s="6">
        <f>+C55*D55</f>
        <v>0</v>
      </c>
      <c r="F55" s="55">
        <f>+D55*(1+$H$4)</f>
        <v>3.485722316307995</v>
      </c>
      <c r="G55" s="63">
        <f>+C55*F55</f>
        <v>0</v>
      </c>
      <c r="H55" s="9">
        <f>+IF(C55=0,0,(G55-E55)/E55)</f>
        <v>0</v>
      </c>
      <c r="I55" s="104">
        <v>3.05</v>
      </c>
      <c r="J55" s="63">
        <f>+C55*I55</f>
        <v>0</v>
      </c>
      <c r="K55" s="9">
        <f>+IF(C55=0,0,(J55-E55)/E55)</f>
        <v>0</v>
      </c>
      <c r="L55" s="55">
        <f>+D55*(1+$L$2)</f>
        <v>3.05</v>
      </c>
    </row>
    <row r="56" spans="1:12" ht="12.75">
      <c r="A56" t="s">
        <v>229</v>
      </c>
      <c r="C56" s="53">
        <f>+'Service Counts'!R58</f>
        <v>645</v>
      </c>
      <c r="D56" s="55">
        <f>+'Service Counts'!P58</f>
        <v>3.55</v>
      </c>
      <c r="E56" s="6">
        <f t="shared" si="14"/>
        <v>2289.75</v>
      </c>
      <c r="F56" s="55">
        <f t="shared" si="15"/>
        <v>4.0571522042273385</v>
      </c>
      <c r="G56" s="63">
        <f t="shared" si="16"/>
        <v>2616.8631717266335</v>
      </c>
      <c r="H56" s="9">
        <f t="shared" si="17"/>
        <v>0.14285977583868698</v>
      </c>
      <c r="I56" s="104">
        <v>3.55</v>
      </c>
      <c r="J56" s="63">
        <f t="shared" si="18"/>
        <v>2289.75</v>
      </c>
      <c r="K56" s="9">
        <f t="shared" si="19"/>
        <v>0</v>
      </c>
      <c r="L56" s="55">
        <f t="shared" si="20"/>
        <v>3.55</v>
      </c>
    </row>
    <row r="57" spans="1:12" ht="12.75">
      <c r="A57" t="s">
        <v>230</v>
      </c>
      <c r="C57" s="53">
        <f>+'Service Counts'!R59</f>
        <v>1183</v>
      </c>
      <c r="D57" s="55">
        <f>+'Service Counts'!P59</f>
        <v>4.2</v>
      </c>
      <c r="E57" s="6">
        <f t="shared" si="14"/>
        <v>4968.6</v>
      </c>
      <c r="F57" s="55">
        <f t="shared" si="15"/>
        <v>4.800011058522485</v>
      </c>
      <c r="G57" s="63">
        <f t="shared" si="16"/>
        <v>5678.413082232099</v>
      </c>
      <c r="H57" s="9">
        <f t="shared" si="17"/>
        <v>0.14285977583868675</v>
      </c>
      <c r="I57" s="104">
        <v>4.2</v>
      </c>
      <c r="J57" s="63">
        <f t="shared" si="18"/>
        <v>4968.6</v>
      </c>
      <c r="K57" s="9">
        <f t="shared" si="19"/>
        <v>0</v>
      </c>
      <c r="L57" s="55">
        <f t="shared" si="20"/>
        <v>4.2</v>
      </c>
    </row>
    <row r="58" spans="1:12" ht="12.75">
      <c r="A58" t="s">
        <v>234</v>
      </c>
      <c r="C58" s="53">
        <f>+'Service Counts'!R60</f>
        <v>0</v>
      </c>
      <c r="D58" s="55">
        <f>+'Service Counts'!P60</f>
        <v>0</v>
      </c>
      <c r="E58" s="6">
        <f t="shared" si="14"/>
        <v>0</v>
      </c>
      <c r="F58" s="55">
        <f t="shared" si="15"/>
        <v>0</v>
      </c>
      <c r="G58" s="63">
        <f t="shared" si="16"/>
        <v>0</v>
      </c>
      <c r="H58" s="9">
        <f t="shared" si="17"/>
        <v>0</v>
      </c>
      <c r="I58" s="104">
        <v>5.05</v>
      </c>
      <c r="J58" s="63">
        <f t="shared" si="18"/>
        <v>0</v>
      </c>
      <c r="K58" s="9">
        <f t="shared" si="19"/>
        <v>0</v>
      </c>
      <c r="L58" s="55">
        <f t="shared" si="20"/>
        <v>0</v>
      </c>
    </row>
    <row r="59" spans="1:12" ht="12.75">
      <c r="A59" t="s">
        <v>277</v>
      </c>
      <c r="C59" s="53">
        <f>+'Service Counts'!R61</f>
        <v>0</v>
      </c>
      <c r="D59" s="55">
        <f>+'Service Counts'!P61</f>
        <v>35</v>
      </c>
      <c r="E59" s="6">
        <f>+C59*D59</f>
        <v>0</v>
      </c>
      <c r="F59" s="55">
        <f>+D59*(1+$H$4)</f>
        <v>40.00009215435404</v>
      </c>
      <c r="G59" s="63">
        <f>+C59*F59</f>
        <v>0</v>
      </c>
      <c r="H59" s="9">
        <f>+IF(C59=0,0,(G59-E59)/E59)</f>
        <v>0</v>
      </c>
      <c r="I59" s="104">
        <v>35</v>
      </c>
      <c r="J59" s="63">
        <f>+C59*I59</f>
        <v>0</v>
      </c>
      <c r="K59" s="9">
        <f>+IF(C59=0,0,(J59-E59)/E59)</f>
        <v>0</v>
      </c>
      <c r="L59" s="55">
        <f>+D59*(1+$L$2)</f>
        <v>35</v>
      </c>
    </row>
    <row r="60" spans="1:12" ht="12.75">
      <c r="A60" t="s">
        <v>231</v>
      </c>
      <c r="C60" s="53">
        <f>+'Service Counts'!R62</f>
        <v>3</v>
      </c>
      <c r="D60" s="55">
        <f>+'Service Counts'!P62</f>
        <v>35</v>
      </c>
      <c r="E60" s="6">
        <f t="shared" si="14"/>
        <v>105</v>
      </c>
      <c r="F60" s="55">
        <f t="shared" si="15"/>
        <v>40.00009215435404</v>
      </c>
      <c r="G60" s="63">
        <f t="shared" si="16"/>
        <v>120.00027646306214</v>
      </c>
      <c r="H60" s="9">
        <f t="shared" si="17"/>
        <v>0.142859775838687</v>
      </c>
      <c r="I60" s="104">
        <v>35</v>
      </c>
      <c r="J60" s="63">
        <f t="shared" si="18"/>
        <v>105</v>
      </c>
      <c r="K60" s="9">
        <f t="shared" si="19"/>
        <v>0</v>
      </c>
      <c r="L60" s="55">
        <f t="shared" si="20"/>
        <v>35</v>
      </c>
    </row>
    <row r="61" spans="1:12" ht="12.75">
      <c r="A61" t="s">
        <v>232</v>
      </c>
      <c r="C61" s="53">
        <f>+'Service Counts'!R63</f>
        <v>4</v>
      </c>
      <c r="D61" s="55">
        <f>+'Service Counts'!P63</f>
        <v>35</v>
      </c>
      <c r="E61" s="6">
        <f t="shared" si="14"/>
        <v>140</v>
      </c>
      <c r="F61" s="55">
        <f t="shared" si="15"/>
        <v>40.00009215435404</v>
      </c>
      <c r="G61" s="63">
        <f t="shared" si="16"/>
        <v>160.00036861741617</v>
      </c>
      <c r="H61" s="9">
        <f t="shared" si="17"/>
        <v>0.14285977583868695</v>
      </c>
      <c r="I61" s="104">
        <v>35</v>
      </c>
      <c r="J61" s="63">
        <f t="shared" si="18"/>
        <v>140</v>
      </c>
      <c r="K61" s="9">
        <f t="shared" si="19"/>
        <v>0</v>
      </c>
      <c r="L61" s="55">
        <f t="shared" si="20"/>
        <v>35</v>
      </c>
    </row>
    <row r="62" spans="1:12" ht="12.75">
      <c r="A62" t="s">
        <v>233</v>
      </c>
      <c r="C62" s="53">
        <f>+'Service Counts'!R64</f>
        <v>0</v>
      </c>
      <c r="D62" s="55">
        <f>+'Service Counts'!P64</f>
        <v>0</v>
      </c>
      <c r="E62" s="6">
        <f t="shared" si="14"/>
        <v>0</v>
      </c>
      <c r="F62" s="55">
        <f t="shared" si="15"/>
        <v>0</v>
      </c>
      <c r="G62" s="63">
        <f t="shared" si="16"/>
        <v>0</v>
      </c>
      <c r="H62" s="9">
        <f t="shared" si="17"/>
        <v>0</v>
      </c>
      <c r="I62" s="104">
        <v>35</v>
      </c>
      <c r="J62" s="63">
        <f t="shared" si="18"/>
        <v>0</v>
      </c>
      <c r="K62" s="9">
        <f t="shared" si="19"/>
        <v>0</v>
      </c>
      <c r="L62" s="55">
        <f t="shared" si="20"/>
        <v>0</v>
      </c>
    </row>
    <row r="63" spans="1:12" ht="12.75">
      <c r="A63" t="s">
        <v>235</v>
      </c>
      <c r="C63" s="53">
        <f>+'Service Counts'!R65</f>
        <v>8490</v>
      </c>
      <c r="D63" s="55">
        <f>+'Service Counts'!P65</f>
        <v>2.2</v>
      </c>
      <c r="E63" s="6">
        <f t="shared" si="14"/>
        <v>18678</v>
      </c>
      <c r="F63" s="55">
        <f t="shared" si="15"/>
        <v>2.5142915068451113</v>
      </c>
      <c r="G63" s="63">
        <f t="shared" si="16"/>
        <v>21346.334893114996</v>
      </c>
      <c r="H63" s="9">
        <f t="shared" si="17"/>
        <v>0.142859775838687</v>
      </c>
      <c r="I63" s="104">
        <v>2.2</v>
      </c>
      <c r="J63" s="63">
        <f t="shared" si="18"/>
        <v>18678</v>
      </c>
      <c r="K63" s="9">
        <f t="shared" si="19"/>
        <v>0</v>
      </c>
      <c r="L63" s="55">
        <f t="shared" si="20"/>
        <v>2.2</v>
      </c>
    </row>
    <row r="64" spans="1:12" ht="12.75">
      <c r="A64" t="s">
        <v>236</v>
      </c>
      <c r="C64" s="53">
        <f>+'Service Counts'!R67</f>
        <v>0</v>
      </c>
      <c r="D64" s="55">
        <f>+'Service Counts'!P67</f>
        <v>0</v>
      </c>
      <c r="E64" s="6">
        <f t="shared" si="14"/>
        <v>0</v>
      </c>
      <c r="F64" s="55">
        <f t="shared" si="15"/>
        <v>0</v>
      </c>
      <c r="G64" s="63">
        <f t="shared" si="16"/>
        <v>0</v>
      </c>
      <c r="H64" s="9">
        <f t="shared" si="17"/>
        <v>0</v>
      </c>
      <c r="I64" s="104">
        <f>+L64</f>
        <v>0</v>
      </c>
      <c r="J64" s="63">
        <f t="shared" si="18"/>
        <v>0</v>
      </c>
      <c r="K64" s="9">
        <f t="shared" si="19"/>
        <v>0</v>
      </c>
      <c r="L64" s="55">
        <f t="shared" si="20"/>
        <v>0</v>
      </c>
    </row>
    <row r="65" spans="1:12" ht="12.75">
      <c r="A65" t="s">
        <v>253</v>
      </c>
      <c r="C65" s="53">
        <f>+'Service Counts'!R68</f>
        <v>0</v>
      </c>
      <c r="D65" s="55">
        <f>+'Service Counts'!P68</f>
        <v>0</v>
      </c>
      <c r="E65" s="42">
        <f>+C65*D65</f>
        <v>0</v>
      </c>
      <c r="F65" s="55">
        <f t="shared" si="15"/>
        <v>0</v>
      </c>
      <c r="G65" s="84">
        <f t="shared" si="16"/>
        <v>0</v>
      </c>
      <c r="H65" s="9">
        <f t="shared" si="17"/>
        <v>0</v>
      </c>
      <c r="I65" s="104">
        <f>+L65</f>
        <v>0</v>
      </c>
      <c r="J65" s="84">
        <f t="shared" si="18"/>
        <v>0</v>
      </c>
      <c r="K65" s="9">
        <f t="shared" si="19"/>
        <v>0</v>
      </c>
      <c r="L65" s="55">
        <f t="shared" si="20"/>
        <v>0</v>
      </c>
    </row>
    <row r="66" spans="3:11" ht="12.75">
      <c r="C66" s="53"/>
      <c r="D66" s="55"/>
      <c r="E66" s="6">
        <f>SUM(E51:E65)</f>
        <v>47277.8</v>
      </c>
      <c r="G66" s="6">
        <f>SUM(G51:G65)</f>
        <v>54031.89591014627</v>
      </c>
      <c r="I66" s="83"/>
      <c r="J66" s="6">
        <f>SUM(J51:J65)</f>
        <v>47277.8</v>
      </c>
      <c r="K66" s="85">
        <f>(+J66-E66)/E66</f>
        <v>0</v>
      </c>
    </row>
    <row r="67" spans="1:10" ht="12.75">
      <c r="A67" t="s">
        <v>237</v>
      </c>
      <c r="C67" s="53"/>
      <c r="D67" s="55"/>
      <c r="I67" s="83"/>
      <c r="J67" s="63"/>
    </row>
    <row r="68" spans="1:10" ht="12.75">
      <c r="A68" t="s">
        <v>238</v>
      </c>
      <c r="C68" s="53"/>
      <c r="D68" s="55"/>
      <c r="I68" s="83"/>
      <c r="J68" s="63"/>
    </row>
    <row r="69" spans="1:12" ht="12.75">
      <c r="A69" t="s">
        <v>239</v>
      </c>
      <c r="C69" s="53">
        <f>+'Service Counts'!R72</f>
        <v>0</v>
      </c>
      <c r="D69" s="55">
        <f>+'Service Counts'!P72</f>
        <v>129</v>
      </c>
      <c r="E69" s="6">
        <f>+C69*D69</f>
        <v>0</v>
      </c>
      <c r="F69" s="55">
        <f>+D69*(1+$H$4)</f>
        <v>147.4289110831906</v>
      </c>
      <c r="G69" s="63">
        <f>+C69*F69</f>
        <v>0</v>
      </c>
      <c r="H69" s="9">
        <f>+IF(C69=0,0,(G69-E69)/E69)</f>
        <v>0</v>
      </c>
      <c r="I69" s="104">
        <v>129</v>
      </c>
      <c r="J69" s="63">
        <f>+C69*I69</f>
        <v>0</v>
      </c>
      <c r="K69" s="9">
        <f>+IF(C69=0,0,(J69-E69)/E69)</f>
        <v>0</v>
      </c>
      <c r="L69" s="55">
        <f>+D69*(1+$L$2)</f>
        <v>129</v>
      </c>
    </row>
    <row r="70" spans="1:12" ht="12.75">
      <c r="A70" t="s">
        <v>240</v>
      </c>
      <c r="C70" s="53">
        <f>+'Service Counts'!R73</f>
        <v>0</v>
      </c>
      <c r="D70" s="55">
        <f>+'Service Counts'!P73</f>
        <v>32</v>
      </c>
      <c r="E70" s="42">
        <f>+C70*D70</f>
        <v>0</v>
      </c>
      <c r="F70" s="55">
        <f>+D70*(1+$H$4)</f>
        <v>36.57151282683798</v>
      </c>
      <c r="G70" s="84">
        <f>+C70*F70</f>
        <v>0</v>
      </c>
      <c r="H70" s="9">
        <f>+IF(C70=0,0,(G70-E70)/E70)</f>
        <v>0</v>
      </c>
      <c r="I70" s="104">
        <v>32</v>
      </c>
      <c r="J70" s="84">
        <f>+C70*I70</f>
        <v>0</v>
      </c>
      <c r="K70" s="9">
        <f>+IF(C70=0,0,(J70-E70)/E70)</f>
        <v>0</v>
      </c>
      <c r="L70" s="55">
        <f>+D70*(1+$L$2)</f>
        <v>32</v>
      </c>
    </row>
    <row r="71" spans="3:11" ht="12.75">
      <c r="C71" s="53"/>
      <c r="D71" s="55"/>
      <c r="E71" s="6">
        <f>SUM(E69:E70)</f>
        <v>0</v>
      </c>
      <c r="G71" s="6">
        <f>SUM(G69:G70)</f>
        <v>0</v>
      </c>
      <c r="J71" s="6">
        <f>SUM(J69:J70)</f>
        <v>0</v>
      </c>
      <c r="K71" s="85" t="e">
        <f>(+J71-E71)/E71</f>
        <v>#DIV/0!</v>
      </c>
    </row>
    <row r="72" spans="3:4" ht="12.75">
      <c r="C72" s="53"/>
      <c r="D72" s="52"/>
    </row>
    <row r="73" spans="3:4" ht="12.75">
      <c r="C73" s="53"/>
      <c r="D73" s="52"/>
    </row>
    <row r="74" spans="3:10" ht="12.75">
      <c r="C74" s="53">
        <f>+'Service Counts'!R75</f>
        <v>14950</v>
      </c>
      <c r="D74" s="52"/>
      <c r="E74" s="55">
        <f>+E32+E49+E66+E71</f>
        <v>146726.95</v>
      </c>
      <c r="G74" s="55">
        <f>+G32+G49+G66+G71</f>
        <v>167688.3291864942</v>
      </c>
      <c r="J74" s="55">
        <f>+J32+J49+J66+J71</f>
        <v>146726.95</v>
      </c>
    </row>
    <row r="75" spans="3:4" ht="12.75">
      <c r="C75" s="53"/>
      <c r="D75" s="52"/>
    </row>
    <row r="76" spans="1:11" ht="12.75">
      <c r="A76" t="s">
        <v>267</v>
      </c>
      <c r="C76" s="53"/>
      <c r="D76" s="52"/>
      <c r="G76" s="55">
        <f>+G74-E74</f>
        <v>20961.37918649419</v>
      </c>
      <c r="J76" s="55">
        <f>+J74-E74</f>
        <v>0</v>
      </c>
      <c r="K76" s="86">
        <f>ROUND((+J76/E74),4)</f>
        <v>0</v>
      </c>
    </row>
    <row r="77" spans="3:4" ht="12.75">
      <c r="C77" s="53"/>
      <c r="D77" s="52"/>
    </row>
    <row r="78" spans="3:11" ht="12.75">
      <c r="C78" s="53"/>
      <c r="D78" s="52"/>
      <c r="E78" s="6"/>
      <c r="K78" s="105">
        <f>+K76</f>
        <v>0</v>
      </c>
    </row>
    <row r="79" spans="3:5" ht="12.75">
      <c r="C79" s="53"/>
      <c r="D79" s="52"/>
      <c r="E79" s="6"/>
    </row>
    <row r="80" spans="3:5" ht="12.75">
      <c r="C80" s="53"/>
      <c r="D80" s="52"/>
      <c r="E80" s="69"/>
    </row>
    <row r="81" spans="3:5" ht="12.75">
      <c r="C81" s="53"/>
      <c r="D81" s="52"/>
      <c r="E81" s="17"/>
    </row>
    <row r="82" spans="3:5" ht="12.75">
      <c r="C82" s="53"/>
      <c r="D82" s="52"/>
      <c r="E82" s="52"/>
    </row>
    <row r="83" spans="3:5" ht="12.75">
      <c r="C83" s="53"/>
      <c r="D83" s="52"/>
      <c r="E83" s="9"/>
    </row>
    <row r="84" spans="3:5" ht="12.75">
      <c r="C84" s="53"/>
      <c r="D84" s="52"/>
      <c r="E84" s="9"/>
    </row>
    <row r="85" spans="3:4" ht="12.75">
      <c r="C85" s="53"/>
      <c r="D85" s="52"/>
    </row>
    <row r="86" ht="12.75">
      <c r="D86" s="52"/>
    </row>
  </sheetData>
  <sheetProtection/>
  <printOptions/>
  <pageMargins left="0.25" right="0.25" top="0.75" bottom="0.25" header="0.5" footer="0.5"/>
  <pageSetup fitToHeight="1" fitToWidth="1"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PageLayoutView="0" workbookViewId="0" topLeftCell="A34">
      <selection activeCell="I82" sqref="I82"/>
    </sheetView>
  </sheetViews>
  <sheetFormatPr defaultColWidth="9.140625" defaultRowHeight="12.75"/>
  <cols>
    <col min="2" max="2" width="11.7109375" style="0" customWidth="1"/>
    <col min="5" max="5" width="11.28125" style="0" customWidth="1"/>
    <col min="7" max="7" width="13.00390625" style="0" customWidth="1"/>
    <col min="8" max="8" width="10.8515625" style="0" customWidth="1"/>
    <col min="10" max="10" width="11.7109375" style="0" customWidth="1"/>
  </cols>
  <sheetData>
    <row r="1" spans="1:10" ht="12.75">
      <c r="A1" t="s">
        <v>0</v>
      </c>
      <c r="G1" t="s">
        <v>272</v>
      </c>
      <c r="J1" t="s">
        <v>273</v>
      </c>
    </row>
    <row r="2" spans="1:12" ht="12.75">
      <c r="A2" t="s">
        <v>286</v>
      </c>
      <c r="G2" s="9">
        <f>+H2/E74</f>
        <v>-0.22964385605610563</v>
      </c>
      <c r="H2" s="68">
        <f>+'Lurito-Okanogan'!E10</f>
        <v>-105665.75874014165</v>
      </c>
      <c r="I2" t="s">
        <v>262</v>
      </c>
      <c r="J2" s="55">
        <f>+J76</f>
        <v>0</v>
      </c>
      <c r="K2" s="72">
        <f>+J2/E74</f>
        <v>0</v>
      </c>
      <c r="L2" s="100">
        <v>0.0765</v>
      </c>
    </row>
    <row r="3" spans="1:9" ht="12.75">
      <c r="A3" s="1" t="str">
        <f>+'Priceout-Douglas'!A3</f>
        <v>12 Months Ended December 31, 2018</v>
      </c>
      <c r="H3" s="9">
        <f>+G2</f>
        <v>-0.22964385605610563</v>
      </c>
      <c r="I3" t="s">
        <v>264</v>
      </c>
    </row>
    <row r="4" spans="8:9" ht="12.75">
      <c r="H4" s="9">
        <f>+G2</f>
        <v>-0.22964385605610563</v>
      </c>
      <c r="I4" t="s">
        <v>265</v>
      </c>
    </row>
    <row r="6" spans="1:3" ht="13.5" thickBot="1">
      <c r="A6" s="51" t="s">
        <v>287</v>
      </c>
      <c r="B6" s="5"/>
      <c r="C6" s="5"/>
    </row>
    <row r="7" spans="6:11" ht="12.75">
      <c r="F7" s="77"/>
      <c r="G7" s="78" t="s">
        <v>259</v>
      </c>
      <c r="H7" s="79"/>
      <c r="I7" s="77"/>
      <c r="J7" s="78" t="s">
        <v>79</v>
      </c>
      <c r="K7" s="79"/>
    </row>
    <row r="8" spans="3:11" ht="12.75">
      <c r="C8" s="2" t="s">
        <v>193</v>
      </c>
      <c r="D8" s="75" t="s">
        <v>257</v>
      </c>
      <c r="E8" s="75" t="s">
        <v>258</v>
      </c>
      <c r="F8" s="80" t="s">
        <v>259</v>
      </c>
      <c r="G8" s="75" t="s">
        <v>258</v>
      </c>
      <c r="H8" s="81" t="s">
        <v>261</v>
      </c>
      <c r="I8" s="80" t="s">
        <v>263</v>
      </c>
      <c r="J8" s="75" t="s">
        <v>258</v>
      </c>
      <c r="K8" s="81" t="s">
        <v>261</v>
      </c>
    </row>
    <row r="9" spans="1:11" ht="13.5" thickBot="1">
      <c r="A9" s="5" t="s">
        <v>192</v>
      </c>
      <c r="B9" s="5"/>
      <c r="C9" s="19" t="s">
        <v>173</v>
      </c>
      <c r="D9" s="76" t="s">
        <v>80</v>
      </c>
      <c r="E9" s="76" t="s">
        <v>1</v>
      </c>
      <c r="F9" s="73" t="s">
        <v>260</v>
      </c>
      <c r="G9" s="19" t="s">
        <v>1</v>
      </c>
      <c r="H9" s="74" t="s">
        <v>262</v>
      </c>
      <c r="I9" s="73" t="s">
        <v>260</v>
      </c>
      <c r="J9" s="19" t="s">
        <v>1</v>
      </c>
      <c r="K9" s="74" t="s">
        <v>262</v>
      </c>
    </row>
    <row r="10" ht="12.75">
      <c r="A10" t="s">
        <v>195</v>
      </c>
    </row>
    <row r="11" spans="1:12" ht="12.75">
      <c r="A11" t="s">
        <v>274</v>
      </c>
      <c r="C11" s="53">
        <f>+'Service Counts'!AA10</f>
        <v>0</v>
      </c>
      <c r="D11" s="55">
        <f>+'Service Counts'!Y10</f>
        <v>13.65</v>
      </c>
      <c r="E11" s="52">
        <f>+C11*D11</f>
        <v>0</v>
      </c>
      <c r="F11" s="55">
        <f>+D11*(1+$H$4)</f>
        <v>10.515361364834158</v>
      </c>
      <c r="G11" s="55">
        <f>+C11*F11</f>
        <v>0</v>
      </c>
      <c r="H11" s="9">
        <f>+IF(C11=0,0,(G11-E11)/E11)</f>
        <v>0</v>
      </c>
      <c r="I11" s="104">
        <v>13.65</v>
      </c>
      <c r="J11" s="70">
        <f>+C11*I11</f>
        <v>0</v>
      </c>
      <c r="K11" s="9">
        <f>+IF(C11=0,0,(J11-E11)/E11)</f>
        <v>0</v>
      </c>
      <c r="L11" s="55">
        <f>+D11*(1+$L$2)</f>
        <v>14.694225000000001</v>
      </c>
    </row>
    <row r="12" spans="1:12" ht="12.75">
      <c r="A12" t="s">
        <v>196</v>
      </c>
      <c r="C12" s="53">
        <f>+'Service Counts'!AA11</f>
        <v>14</v>
      </c>
      <c r="D12" s="55">
        <f>+'Service Counts'!Y11</f>
        <v>8.75</v>
      </c>
      <c r="E12" s="52">
        <f>+C12*D12</f>
        <v>122.5</v>
      </c>
      <c r="F12" s="55">
        <f>+D12*(1+$H$4)</f>
        <v>6.740616259509076</v>
      </c>
      <c r="G12" s="55">
        <f>+C12*F12</f>
        <v>94.36862763312706</v>
      </c>
      <c r="H12" s="9">
        <f>+IF(C12=0,0,(G12-E12)/E12)</f>
        <v>-0.22964385605610563</v>
      </c>
      <c r="I12" s="104">
        <v>8.75</v>
      </c>
      <c r="J12" s="70">
        <f>+C12*I12</f>
        <v>122.5</v>
      </c>
      <c r="K12" s="9">
        <f>+IF(C12=0,0,(J12-E12)/E12)</f>
        <v>0</v>
      </c>
      <c r="L12" s="55">
        <f>+D12*(1+$L$2)</f>
        <v>9.419375</v>
      </c>
    </row>
    <row r="13" spans="1:12" ht="12.75">
      <c r="A13" t="s">
        <v>197</v>
      </c>
      <c r="C13" s="53">
        <f>+'Service Counts'!AA12</f>
        <v>0</v>
      </c>
      <c r="D13" s="55">
        <f>+'Service Counts'!Y12</f>
        <v>12.6</v>
      </c>
      <c r="E13" s="6">
        <f>+C13*D13</f>
        <v>0</v>
      </c>
      <c r="F13" s="55">
        <f aca="true" t="shared" si="0" ref="F13:F31">+D13*(1+$H$4)</f>
        <v>9.706487413693068</v>
      </c>
      <c r="G13" s="63">
        <f>+C13*F13</f>
        <v>0</v>
      </c>
      <c r="H13" s="9">
        <f aca="true" t="shared" si="1" ref="H13:H31">+IF(C13=0,0,(G13-E13)/E13)</f>
        <v>0</v>
      </c>
      <c r="I13" s="104">
        <v>12.6</v>
      </c>
      <c r="J13" s="63">
        <f aca="true" t="shared" si="2" ref="J13:J31">+C13*I13</f>
        <v>0</v>
      </c>
      <c r="K13" s="9">
        <f aca="true" t="shared" si="3" ref="K13:K31">+IF(C13=0,0,(J13-E13)/E13)</f>
        <v>0</v>
      </c>
      <c r="L13" s="55">
        <f aca="true" t="shared" si="4" ref="L13:L31">+D13*(1+$L$2)</f>
        <v>13.5639</v>
      </c>
    </row>
    <row r="14" spans="1:12" ht="12.75">
      <c r="A14" t="s">
        <v>198</v>
      </c>
      <c r="C14" s="53">
        <f>+'Service Counts'!AA13</f>
        <v>0</v>
      </c>
      <c r="D14" s="55">
        <f>+'Service Counts'!Y13</f>
        <v>16.45</v>
      </c>
      <c r="E14" s="6">
        <f aca="true" t="shared" si="5" ref="E14:E31">+C14*D14</f>
        <v>0</v>
      </c>
      <c r="F14" s="55">
        <f t="shared" si="0"/>
        <v>12.672358567877062</v>
      </c>
      <c r="G14" s="63">
        <f aca="true" t="shared" si="6" ref="G14:G31">+C14*F14</f>
        <v>0</v>
      </c>
      <c r="H14" s="9">
        <f t="shared" si="1"/>
        <v>0</v>
      </c>
      <c r="I14" s="104">
        <v>16.45</v>
      </c>
      <c r="J14" s="63">
        <f t="shared" si="2"/>
        <v>0</v>
      </c>
      <c r="K14" s="9">
        <f t="shared" si="3"/>
        <v>0</v>
      </c>
      <c r="L14" s="55">
        <f t="shared" si="4"/>
        <v>17.708425</v>
      </c>
    </row>
    <row r="15" spans="1:14" ht="12.75">
      <c r="A15" t="s">
        <v>199</v>
      </c>
      <c r="C15" s="53">
        <f>+'Service Counts'!AA14</f>
        <v>420.0592378752887</v>
      </c>
      <c r="D15" s="55">
        <f>+'Service Counts'!Y14</f>
        <v>16.35</v>
      </c>
      <c r="E15" s="6">
        <f t="shared" si="5"/>
        <v>6867.968539260971</v>
      </c>
      <c r="F15" s="55">
        <f t="shared" si="0"/>
        <v>12.595322953482675</v>
      </c>
      <c r="G15" s="63">
        <f t="shared" si="6"/>
        <v>5290.781760633063</v>
      </c>
      <c r="H15" s="9">
        <f t="shared" si="1"/>
        <v>-0.22964385605610557</v>
      </c>
      <c r="I15" s="104">
        <v>16.35</v>
      </c>
      <c r="J15" s="63">
        <f t="shared" si="2"/>
        <v>6867.968539260971</v>
      </c>
      <c r="K15" s="9">
        <f t="shared" si="3"/>
        <v>0</v>
      </c>
      <c r="L15" s="55">
        <f t="shared" si="4"/>
        <v>17.600775000000002</v>
      </c>
      <c r="N15" s="55"/>
    </row>
    <row r="16" spans="1:14" ht="12.75">
      <c r="A16" t="s">
        <v>201</v>
      </c>
      <c r="C16" s="53">
        <f>+'Service Counts'!AA15</f>
        <v>654.2017321016167</v>
      </c>
      <c r="D16" s="55">
        <f>+'Service Counts'!Y15</f>
        <v>20.55</v>
      </c>
      <c r="E16" s="6">
        <f t="shared" si="5"/>
        <v>13443.845594688224</v>
      </c>
      <c r="F16" s="55">
        <f t="shared" si="0"/>
        <v>15.83081875804703</v>
      </c>
      <c r="G16" s="63">
        <f t="shared" si="6"/>
        <v>10356.549052101132</v>
      </c>
      <c r="H16" s="9">
        <f t="shared" si="1"/>
        <v>-0.22964385605610557</v>
      </c>
      <c r="I16" s="104">
        <v>20.55</v>
      </c>
      <c r="J16" s="63">
        <f t="shared" si="2"/>
        <v>13443.845594688224</v>
      </c>
      <c r="K16" s="9">
        <f t="shared" si="3"/>
        <v>0</v>
      </c>
      <c r="L16" s="55">
        <f t="shared" si="4"/>
        <v>22.122075000000002</v>
      </c>
      <c r="N16" s="55"/>
    </row>
    <row r="17" spans="1:14" ht="12.75">
      <c r="A17" t="s">
        <v>200</v>
      </c>
      <c r="C17" s="53">
        <f>+'Service Counts'!AA16</f>
        <v>92.10461893764433</v>
      </c>
      <c r="D17" s="55">
        <f>+'Service Counts'!Y16</f>
        <v>24.25</v>
      </c>
      <c r="E17" s="6">
        <f t="shared" si="5"/>
        <v>2233.5370092378753</v>
      </c>
      <c r="F17" s="55">
        <f t="shared" si="0"/>
        <v>18.68113649063944</v>
      </c>
      <c r="G17" s="63">
        <f t="shared" si="6"/>
        <v>1720.6189577924679</v>
      </c>
      <c r="H17" s="9">
        <f t="shared" si="1"/>
        <v>-0.22964385605610568</v>
      </c>
      <c r="I17" s="104">
        <v>24.25</v>
      </c>
      <c r="J17" s="63">
        <f t="shared" si="2"/>
        <v>2233.5370092378753</v>
      </c>
      <c r="K17" s="9">
        <f t="shared" si="3"/>
        <v>0</v>
      </c>
      <c r="L17" s="55">
        <f t="shared" si="4"/>
        <v>26.105125</v>
      </c>
      <c r="N17" s="55"/>
    </row>
    <row r="18" spans="1:14" ht="12.75">
      <c r="A18" t="s">
        <v>202</v>
      </c>
      <c r="C18" s="53">
        <f>+'Service Counts'!AA17</f>
        <v>56.75</v>
      </c>
      <c r="D18" s="55">
        <f>+'Service Counts'!Y17</f>
        <v>27.75</v>
      </c>
      <c r="E18" s="6">
        <f t="shared" si="5"/>
        <v>1574.8125</v>
      </c>
      <c r="F18" s="55">
        <f t="shared" si="0"/>
        <v>21.37738299444307</v>
      </c>
      <c r="G18" s="63">
        <f t="shared" si="6"/>
        <v>1213.1664849346444</v>
      </c>
      <c r="H18" s="9">
        <f t="shared" si="1"/>
        <v>-0.2296438560561055</v>
      </c>
      <c r="I18" s="104">
        <v>27.75</v>
      </c>
      <c r="J18" s="63">
        <f t="shared" si="2"/>
        <v>1574.8125</v>
      </c>
      <c r="K18" s="9">
        <f t="shared" si="3"/>
        <v>0</v>
      </c>
      <c r="L18" s="55">
        <f t="shared" si="4"/>
        <v>29.872875</v>
      </c>
      <c r="N18" s="55"/>
    </row>
    <row r="19" spans="1:14" ht="12.75">
      <c r="A19" t="s">
        <v>203</v>
      </c>
      <c r="C19" s="53">
        <f>+'Service Counts'!AA18</f>
        <v>6.0046189376443415</v>
      </c>
      <c r="D19" s="55">
        <f>+'Service Counts'!Y18</f>
        <v>33.25</v>
      </c>
      <c r="E19" s="6">
        <f t="shared" si="5"/>
        <v>199.65357967667435</v>
      </c>
      <c r="F19" s="55">
        <f t="shared" si="0"/>
        <v>25.61434178613449</v>
      </c>
      <c r="G19" s="63">
        <f t="shared" si="6"/>
        <v>153.80436176431795</v>
      </c>
      <c r="H19" s="9">
        <f t="shared" si="1"/>
        <v>-0.22964385605610557</v>
      </c>
      <c r="I19" s="104">
        <v>33.25</v>
      </c>
      <c r="J19" s="63">
        <f t="shared" si="2"/>
        <v>199.65357967667435</v>
      </c>
      <c r="K19" s="9">
        <f t="shared" si="3"/>
        <v>0</v>
      </c>
      <c r="L19" s="55">
        <f t="shared" si="4"/>
        <v>35.793625</v>
      </c>
      <c r="N19" s="55"/>
    </row>
    <row r="20" spans="1:14" ht="12.75">
      <c r="A20" t="s">
        <v>204</v>
      </c>
      <c r="C20" s="53">
        <f>+'Service Counts'!AA19</f>
        <v>61.85</v>
      </c>
      <c r="D20" s="55">
        <f>+'Service Counts'!Y19</f>
        <v>36.85</v>
      </c>
      <c r="E20" s="6">
        <f t="shared" si="5"/>
        <v>2279.1725</v>
      </c>
      <c r="F20" s="55">
        <f t="shared" si="0"/>
        <v>28.38762390433251</v>
      </c>
      <c r="G20" s="63">
        <f t="shared" si="6"/>
        <v>1755.774538482966</v>
      </c>
      <c r="H20" s="9">
        <f t="shared" si="1"/>
        <v>-0.22964385605610554</v>
      </c>
      <c r="I20" s="104">
        <v>36.85</v>
      </c>
      <c r="J20" s="63">
        <f t="shared" si="2"/>
        <v>2279.1725</v>
      </c>
      <c r="K20" s="9">
        <f t="shared" si="3"/>
        <v>0</v>
      </c>
      <c r="L20" s="55">
        <f t="shared" si="4"/>
        <v>39.669025000000005</v>
      </c>
      <c r="N20" s="55"/>
    </row>
    <row r="21" spans="1:12" ht="12.75">
      <c r="A21" t="s">
        <v>347</v>
      </c>
      <c r="C21" s="53">
        <f>+'Service Counts'!AA23</f>
        <v>0</v>
      </c>
      <c r="D21" s="55">
        <f>+'Service Counts'!Y23</f>
        <v>0</v>
      </c>
      <c r="E21" s="6">
        <f>+C21*D21</f>
        <v>0</v>
      </c>
      <c r="F21" s="55">
        <f>+D21*(1+$H$4)</f>
        <v>0</v>
      </c>
      <c r="G21" s="63">
        <f>+C21*F21</f>
        <v>0</v>
      </c>
      <c r="H21" s="9">
        <f>+IF(C21=0,0,(G21-E21)/E21)</f>
        <v>0</v>
      </c>
      <c r="I21" s="104">
        <f>+L21</f>
        <v>0</v>
      </c>
      <c r="J21" s="63">
        <f>+C21*I21</f>
        <v>0</v>
      </c>
      <c r="K21" s="9">
        <f>+IF(C21=0,0,(J21-E21)/E21)</f>
        <v>0</v>
      </c>
      <c r="L21" s="55">
        <f>+D21*(1+$L$2)</f>
        <v>0</v>
      </c>
    </row>
    <row r="22" spans="1:12" ht="12.75">
      <c r="A22" t="s">
        <v>321</v>
      </c>
      <c r="C22" s="53">
        <f>+'Service Counts'!AA24</f>
        <v>0</v>
      </c>
      <c r="D22" s="55">
        <f>+'Service Counts'!Y24</f>
        <v>0</v>
      </c>
      <c r="E22" s="6">
        <f>+C22*D22</f>
        <v>0</v>
      </c>
      <c r="F22" s="55">
        <f>+D22*(1+$H$4)</f>
        <v>0</v>
      </c>
      <c r="G22" s="63">
        <f>+C22*F22</f>
        <v>0</v>
      </c>
      <c r="H22" s="9">
        <f>+IF(C22=0,0,(G22-E22)/E22)</f>
        <v>0</v>
      </c>
      <c r="I22" s="104">
        <f>+L22</f>
        <v>0</v>
      </c>
      <c r="J22" s="63">
        <f>+C22*I22</f>
        <v>0</v>
      </c>
      <c r="K22" s="9">
        <f>+IF(C22=0,0,(J22-E22)/E22)</f>
        <v>0</v>
      </c>
      <c r="L22" s="55">
        <f>+D22*(1+$L$2)</f>
        <v>0</v>
      </c>
    </row>
    <row r="23" spans="1:12" ht="12.75">
      <c r="A23" t="s">
        <v>322</v>
      </c>
      <c r="C23" s="53">
        <f>+'Service Counts'!AA25</f>
        <v>0</v>
      </c>
      <c r="D23" s="55">
        <f>+'Service Counts'!Y25</f>
        <v>0</v>
      </c>
      <c r="E23" s="6">
        <f>+C23*D23</f>
        <v>0</v>
      </c>
      <c r="F23" s="55">
        <f>+D23*(1+$H$4)</f>
        <v>0</v>
      </c>
      <c r="G23" s="63">
        <f>+C23*F23</f>
        <v>0</v>
      </c>
      <c r="H23" s="9">
        <f>+IF(C23=0,0,(G23-E23)/E23)</f>
        <v>0</v>
      </c>
      <c r="I23" s="104">
        <f>+L23</f>
        <v>0</v>
      </c>
      <c r="J23" s="63">
        <f>+C23*I23</f>
        <v>0</v>
      </c>
      <c r="K23" s="9">
        <f>+IF(C23=0,0,(J23-E23)/E23)</f>
        <v>0</v>
      </c>
      <c r="L23" s="55">
        <f>+D23*(1+$L$2)</f>
        <v>0</v>
      </c>
    </row>
    <row r="24" spans="1:12" ht="12.75">
      <c r="A24" t="s">
        <v>323</v>
      </c>
      <c r="C24" s="53">
        <f>+'Service Counts'!AA26</f>
        <v>0</v>
      </c>
      <c r="D24" s="55">
        <f>+'Service Counts'!Y26</f>
        <v>0</v>
      </c>
      <c r="E24" s="6">
        <f>+C24*D24</f>
        <v>0</v>
      </c>
      <c r="F24" s="55">
        <f>+D24*(1+$H$4)</f>
        <v>0</v>
      </c>
      <c r="G24" s="63">
        <f>+C24*F24</f>
        <v>0</v>
      </c>
      <c r="H24" s="9">
        <f>+IF(C24=0,0,(G24-E24)/E24)</f>
        <v>0</v>
      </c>
      <c r="I24" s="104">
        <f>+L24</f>
        <v>0</v>
      </c>
      <c r="J24" s="63">
        <f>+C24*I24</f>
        <v>0</v>
      </c>
      <c r="K24" s="9">
        <f>+IF(C24=0,0,(J24-E24)/E24)</f>
        <v>0</v>
      </c>
      <c r="L24" s="55">
        <f>+D24*(1+$L$2)</f>
        <v>0</v>
      </c>
    </row>
    <row r="25" spans="1:12" ht="12.75">
      <c r="A25" t="s">
        <v>324</v>
      </c>
      <c r="C25" s="53">
        <f>+'Service Counts'!AA27</f>
        <v>0</v>
      </c>
      <c r="D25" s="55">
        <f>+'Service Counts'!Y27</f>
        <v>0</v>
      </c>
      <c r="E25" s="6">
        <f>+C25*D25</f>
        <v>0</v>
      </c>
      <c r="F25" s="55">
        <f>+D25*(1+$H$4)</f>
        <v>0</v>
      </c>
      <c r="G25" s="63">
        <f>+C25*F25</f>
        <v>0</v>
      </c>
      <c r="H25" s="9">
        <f>+IF(C25=0,0,(G25-E25)/E25)</f>
        <v>0</v>
      </c>
      <c r="I25" s="104">
        <f>+L25</f>
        <v>0</v>
      </c>
      <c r="J25" s="63">
        <f>+C25*I25</f>
        <v>0</v>
      </c>
      <c r="K25" s="9">
        <f>+IF(C25=0,0,(J25-E25)/E25)</f>
        <v>0</v>
      </c>
      <c r="L25" s="55">
        <f>+D25*(1+$L$2)</f>
        <v>0</v>
      </c>
    </row>
    <row r="26" spans="1:12" ht="12.75">
      <c r="A26" t="s">
        <v>205</v>
      </c>
      <c r="C26" s="53">
        <f>+'Service Counts'!AA28</f>
        <v>226</v>
      </c>
      <c r="D26" s="55">
        <f>+'Service Counts'!Y28</f>
        <v>3.95</v>
      </c>
      <c r="E26" s="6">
        <f t="shared" si="5"/>
        <v>892.7</v>
      </c>
      <c r="F26" s="55">
        <f t="shared" si="0"/>
        <v>3.042906768578383</v>
      </c>
      <c r="G26" s="63">
        <f t="shared" si="6"/>
        <v>687.6969296987146</v>
      </c>
      <c r="H26" s="9">
        <f t="shared" si="1"/>
        <v>-0.22964385605610557</v>
      </c>
      <c r="I26" s="104">
        <v>3.95</v>
      </c>
      <c r="J26" s="63">
        <f t="shared" si="2"/>
        <v>892.7</v>
      </c>
      <c r="K26" s="9">
        <f t="shared" si="3"/>
        <v>0</v>
      </c>
      <c r="L26" s="55">
        <f t="shared" si="4"/>
        <v>4.252175</v>
      </c>
    </row>
    <row r="27" spans="1:12" ht="12.75">
      <c r="A27" t="s">
        <v>310</v>
      </c>
      <c r="C27" s="53">
        <f>+'Service Counts'!AA29</f>
        <v>0</v>
      </c>
      <c r="D27" s="55">
        <f>+'Service Counts'!Y29</f>
        <v>2.95</v>
      </c>
      <c r="E27" s="6">
        <f t="shared" si="5"/>
        <v>0</v>
      </c>
      <c r="F27" s="55">
        <f t="shared" si="0"/>
        <v>2.2725506246344884</v>
      </c>
      <c r="G27" s="63">
        <f t="shared" si="6"/>
        <v>0</v>
      </c>
      <c r="H27" s="9">
        <f t="shared" si="1"/>
        <v>0</v>
      </c>
      <c r="I27" s="104">
        <v>2.95</v>
      </c>
      <c r="J27" s="63">
        <f t="shared" si="2"/>
        <v>0</v>
      </c>
      <c r="K27" s="9">
        <f t="shared" si="3"/>
        <v>0</v>
      </c>
      <c r="L27" s="55">
        <f t="shared" si="4"/>
        <v>3.175675</v>
      </c>
    </row>
    <row r="28" spans="1:12" ht="12.75">
      <c r="A28" t="s">
        <v>325</v>
      </c>
      <c r="C28" s="53">
        <f>+'Service Counts'!AA30</f>
        <v>0</v>
      </c>
      <c r="D28" s="55">
        <f>+'Service Counts'!Y30</f>
        <v>1.65</v>
      </c>
      <c r="E28" s="6">
        <f>+C28*D28</f>
        <v>0</v>
      </c>
      <c r="F28" s="55">
        <f>+D28*(1+$H$4)</f>
        <v>1.2710876375074256</v>
      </c>
      <c r="G28" s="63">
        <f>+C28*F28</f>
        <v>0</v>
      </c>
      <c r="H28" s="9">
        <f>+IF(C28=0,0,(G28-E28)/E28)</f>
        <v>0</v>
      </c>
      <c r="I28" s="104">
        <v>1.65</v>
      </c>
      <c r="J28" s="63">
        <f>+C28*I28</f>
        <v>0</v>
      </c>
      <c r="K28" s="9">
        <f>+IF(C28=0,0,(J28-E28)/E28)</f>
        <v>0</v>
      </c>
      <c r="L28" s="55">
        <f>+D28*(1+$L$2)</f>
        <v>1.776225</v>
      </c>
    </row>
    <row r="29" spans="1:12" ht="12.75">
      <c r="A29" t="s">
        <v>206</v>
      </c>
      <c r="C29" s="53">
        <f>+'Service Counts'!AA31</f>
        <v>0</v>
      </c>
      <c r="D29" s="55">
        <f>+'Service Counts'!Y31</f>
        <v>10.55</v>
      </c>
      <c r="E29" s="6">
        <f t="shared" si="5"/>
        <v>0</v>
      </c>
      <c r="F29" s="55">
        <f t="shared" si="0"/>
        <v>8.127257318608086</v>
      </c>
      <c r="G29" s="63">
        <f t="shared" si="6"/>
        <v>0</v>
      </c>
      <c r="H29" s="9">
        <f t="shared" si="1"/>
        <v>0</v>
      </c>
      <c r="I29" s="104">
        <v>10.55</v>
      </c>
      <c r="J29" s="63">
        <f t="shared" si="2"/>
        <v>0</v>
      </c>
      <c r="K29" s="9">
        <f t="shared" si="3"/>
        <v>0</v>
      </c>
      <c r="L29" s="55">
        <f t="shared" si="4"/>
        <v>11.357075</v>
      </c>
    </row>
    <row r="30" spans="1:12" ht="12.75">
      <c r="A30" t="s">
        <v>207</v>
      </c>
      <c r="C30" s="53">
        <f>+'Service Counts'!AA32</f>
        <v>1197</v>
      </c>
      <c r="D30" s="55">
        <f>+'Service Counts'!Y32</f>
        <v>19.6</v>
      </c>
      <c r="E30" s="6">
        <f t="shared" si="5"/>
        <v>23461.2</v>
      </c>
      <c r="F30" s="55">
        <f t="shared" si="0"/>
        <v>15.09898042130033</v>
      </c>
      <c r="G30" s="63">
        <f t="shared" si="6"/>
        <v>18073.479564296496</v>
      </c>
      <c r="H30" s="9">
        <f t="shared" si="1"/>
        <v>-0.22964385605610557</v>
      </c>
      <c r="I30" s="104">
        <v>19.6</v>
      </c>
      <c r="J30" s="63">
        <f t="shared" si="2"/>
        <v>23461.2</v>
      </c>
      <c r="K30" s="9">
        <f t="shared" si="3"/>
        <v>0</v>
      </c>
      <c r="L30" s="55">
        <f t="shared" si="4"/>
        <v>21.099400000000003</v>
      </c>
    </row>
    <row r="31" spans="1:12" ht="12.75">
      <c r="A31" t="s">
        <v>208</v>
      </c>
      <c r="C31" s="53">
        <f>+'Service Counts'!AA33</f>
        <v>0</v>
      </c>
      <c r="D31" s="55">
        <f>+'Service Counts'!Y33</f>
        <v>12.2</v>
      </c>
      <c r="E31" s="42">
        <f t="shared" si="5"/>
        <v>0</v>
      </c>
      <c r="F31" s="55">
        <f t="shared" si="0"/>
        <v>9.398344956115512</v>
      </c>
      <c r="G31" s="84">
        <f t="shared" si="6"/>
        <v>0</v>
      </c>
      <c r="H31" s="9">
        <f t="shared" si="1"/>
        <v>0</v>
      </c>
      <c r="I31" s="104">
        <v>12.2</v>
      </c>
      <c r="J31" s="84">
        <f t="shared" si="2"/>
        <v>0</v>
      </c>
      <c r="K31" s="9">
        <f t="shared" si="3"/>
        <v>0</v>
      </c>
      <c r="L31" s="55">
        <f t="shared" si="4"/>
        <v>13.1333</v>
      </c>
    </row>
    <row r="32" spans="3:11" ht="12.75">
      <c r="C32" s="53"/>
      <c r="D32" s="55"/>
      <c r="E32" s="52">
        <f>SUM(E11:E31)</f>
        <v>51075.38972286375</v>
      </c>
      <c r="G32" s="52">
        <f>SUM(G11:G31)</f>
        <v>39346.240277336925</v>
      </c>
      <c r="I32" s="83"/>
      <c r="J32" s="52">
        <f>SUM(J11:J31)</f>
        <v>51075.38972286375</v>
      </c>
      <c r="K32" s="85">
        <f>(+J32-E32)/E32</f>
        <v>0</v>
      </c>
    </row>
    <row r="33" spans="1:10" ht="12.75">
      <c r="A33" t="s">
        <v>209</v>
      </c>
      <c r="C33" s="53"/>
      <c r="D33" s="55"/>
      <c r="I33" s="83"/>
      <c r="J33" s="63"/>
    </row>
    <row r="34" spans="1:12" ht="12.75">
      <c r="A34" t="s">
        <v>210</v>
      </c>
      <c r="C34" s="53">
        <f>+'Service Counts'!AA36</f>
        <v>1509</v>
      </c>
      <c r="D34" s="55">
        <f>+'Service Counts'!Y36</f>
        <v>15.25</v>
      </c>
      <c r="E34" s="6">
        <f aca="true" t="shared" si="7" ref="E34:E48">+C34*D34</f>
        <v>23012.25</v>
      </c>
      <c r="F34" s="55">
        <f aca="true" t="shared" si="8" ref="F34:F48">+D34*(1+$H$4)</f>
        <v>11.747931195144389</v>
      </c>
      <c r="G34" s="63">
        <f aca="true" t="shared" si="9" ref="G34:G48">+C34*F34</f>
        <v>17727.628173472884</v>
      </c>
      <c r="H34" s="9">
        <f aca="true" t="shared" si="10" ref="H34:H48">+IF(C34=0,0,(G34-E34)/E34)</f>
        <v>-0.2296438560561056</v>
      </c>
      <c r="I34" s="104">
        <v>15.25</v>
      </c>
      <c r="J34" s="63">
        <f aca="true" t="shared" si="11" ref="J34:J48">+C34*I34</f>
        <v>23012.25</v>
      </c>
      <c r="K34" s="9">
        <f aca="true" t="shared" si="12" ref="K34:K48">+IF(C34=0,0,(J34-E34)/E34)</f>
        <v>0</v>
      </c>
      <c r="L34" s="55">
        <f aca="true" t="shared" si="13" ref="L34:L48">+D34*(1+$L$2)</f>
        <v>16.416625</v>
      </c>
    </row>
    <row r="35" spans="1:12" ht="12.75">
      <c r="A35" t="s">
        <v>211</v>
      </c>
      <c r="C35" s="53">
        <f>+'Service Counts'!AA37</f>
        <v>0</v>
      </c>
      <c r="D35" s="55">
        <f>+'Service Counts'!Y37</f>
        <v>20.4</v>
      </c>
      <c r="E35" s="6">
        <f t="shared" si="7"/>
        <v>0</v>
      </c>
      <c r="F35" s="55">
        <f t="shared" si="8"/>
        <v>15.715265336455445</v>
      </c>
      <c r="G35" s="63">
        <f t="shared" si="9"/>
        <v>0</v>
      </c>
      <c r="H35" s="9">
        <f t="shared" si="10"/>
        <v>0</v>
      </c>
      <c r="I35" s="104">
        <v>20.4</v>
      </c>
      <c r="J35" s="63">
        <f t="shared" si="11"/>
        <v>0</v>
      </c>
      <c r="K35" s="9">
        <f t="shared" si="12"/>
        <v>0</v>
      </c>
      <c r="L35" s="55">
        <f t="shared" si="13"/>
        <v>21.9606</v>
      </c>
    </row>
    <row r="36" spans="1:12" ht="12.75">
      <c r="A36" t="s">
        <v>213</v>
      </c>
      <c r="C36" s="53">
        <f>+'Service Counts'!AA38</f>
        <v>1704</v>
      </c>
      <c r="D36" s="55">
        <f>+'Service Counts'!Y38</f>
        <v>23.31</v>
      </c>
      <c r="E36" s="6">
        <f t="shared" si="7"/>
        <v>39720.24</v>
      </c>
      <c r="F36" s="55">
        <f t="shared" si="8"/>
        <v>17.95700171533218</v>
      </c>
      <c r="G36" s="63">
        <f t="shared" si="9"/>
        <v>30598.73092292603</v>
      </c>
      <c r="H36" s="9">
        <f t="shared" si="10"/>
        <v>-0.22964385605610557</v>
      </c>
      <c r="I36" s="104">
        <v>23.31</v>
      </c>
      <c r="J36" s="63">
        <f t="shared" si="11"/>
        <v>39720.24</v>
      </c>
      <c r="K36" s="9">
        <f t="shared" si="12"/>
        <v>0</v>
      </c>
      <c r="L36" s="55">
        <f t="shared" si="13"/>
        <v>25.093214999999997</v>
      </c>
    </row>
    <row r="37" spans="1:12" ht="12.75">
      <c r="A37" t="s">
        <v>214</v>
      </c>
      <c r="C37" s="53">
        <f>+'Service Counts'!AA39</f>
        <v>0</v>
      </c>
      <c r="D37" s="55">
        <f>+'Service Counts'!Y39</f>
        <v>30.5</v>
      </c>
      <c r="E37" s="6">
        <f t="shared" si="7"/>
        <v>0</v>
      </c>
      <c r="F37" s="55">
        <f t="shared" si="8"/>
        <v>23.495862390288778</v>
      </c>
      <c r="G37" s="63">
        <f t="shared" si="9"/>
        <v>0</v>
      </c>
      <c r="H37" s="9">
        <f t="shared" si="10"/>
        <v>0</v>
      </c>
      <c r="I37" s="104">
        <v>30.5</v>
      </c>
      <c r="J37" s="63">
        <f t="shared" si="11"/>
        <v>0</v>
      </c>
      <c r="K37" s="9">
        <f t="shared" si="12"/>
        <v>0</v>
      </c>
      <c r="L37" s="55">
        <f t="shared" si="13"/>
        <v>32.83325</v>
      </c>
    </row>
    <row r="38" spans="1:12" ht="12.75">
      <c r="A38" t="s">
        <v>212</v>
      </c>
      <c r="C38" s="53">
        <f>+'Service Counts'!AA40</f>
        <v>894</v>
      </c>
      <c r="D38" s="55">
        <f>+'Service Counts'!Y40</f>
        <v>38.95</v>
      </c>
      <c r="E38" s="6">
        <f t="shared" si="7"/>
        <v>34821.3</v>
      </c>
      <c r="F38" s="55">
        <f t="shared" si="8"/>
        <v>30.00537180661469</v>
      </c>
      <c r="G38" s="63">
        <f t="shared" si="9"/>
        <v>26824.802395113533</v>
      </c>
      <c r="H38" s="9">
        <f t="shared" si="10"/>
        <v>-0.22964385605610557</v>
      </c>
      <c r="I38" s="104">
        <v>38.95</v>
      </c>
      <c r="J38" s="63">
        <f t="shared" si="11"/>
        <v>34821.3</v>
      </c>
      <c r="K38" s="9">
        <f t="shared" si="12"/>
        <v>0</v>
      </c>
      <c r="L38" s="55">
        <f t="shared" si="13"/>
        <v>41.929675</v>
      </c>
    </row>
    <row r="39" spans="1:12" ht="12.75">
      <c r="A39" t="s">
        <v>215</v>
      </c>
      <c r="C39" s="53">
        <f>+'Service Counts'!AA41</f>
        <v>3043</v>
      </c>
      <c r="D39" s="55">
        <f>+'Service Counts'!Y41</f>
        <v>61.6</v>
      </c>
      <c r="E39" s="6">
        <f t="shared" si="7"/>
        <v>187448.80000000002</v>
      </c>
      <c r="F39" s="55">
        <f t="shared" si="8"/>
        <v>47.453938466943896</v>
      </c>
      <c r="G39" s="63">
        <f t="shared" si="9"/>
        <v>144402.33475491026</v>
      </c>
      <c r="H39" s="9">
        <f t="shared" si="10"/>
        <v>-0.22964385605610574</v>
      </c>
      <c r="I39" s="104">
        <v>61.6</v>
      </c>
      <c r="J39" s="63">
        <f t="shared" si="11"/>
        <v>187448.80000000002</v>
      </c>
      <c r="K39" s="9">
        <f t="shared" si="12"/>
        <v>0</v>
      </c>
      <c r="L39" s="55">
        <f t="shared" si="13"/>
        <v>66.3124</v>
      </c>
    </row>
    <row r="40" spans="1:12" ht="12.75">
      <c r="A40" t="s">
        <v>216</v>
      </c>
      <c r="C40" s="53">
        <f>+'Service Counts'!AA42</f>
        <v>0</v>
      </c>
      <c r="D40" s="55">
        <f>+'Service Counts'!Y42</f>
        <v>81.9</v>
      </c>
      <c r="E40" s="6">
        <f t="shared" si="7"/>
        <v>0</v>
      </c>
      <c r="F40" s="55">
        <f t="shared" si="8"/>
        <v>63.09216818900496</v>
      </c>
      <c r="G40" s="63">
        <f t="shared" si="9"/>
        <v>0</v>
      </c>
      <c r="H40" s="9">
        <f t="shared" si="10"/>
        <v>0</v>
      </c>
      <c r="I40" s="104">
        <v>81.9</v>
      </c>
      <c r="J40" s="63">
        <f t="shared" si="11"/>
        <v>0</v>
      </c>
      <c r="K40" s="9">
        <f t="shared" si="12"/>
        <v>0</v>
      </c>
      <c r="L40" s="55">
        <f t="shared" si="13"/>
        <v>88.16535</v>
      </c>
    </row>
    <row r="41" spans="1:12" ht="12.75">
      <c r="A41" t="s">
        <v>217</v>
      </c>
      <c r="C41" s="53">
        <f>+'Service Counts'!AA43</f>
        <v>5</v>
      </c>
      <c r="D41" s="55">
        <f>+'Service Counts'!Y43</f>
        <v>8.25</v>
      </c>
      <c r="E41" s="6">
        <f t="shared" si="7"/>
        <v>41.25</v>
      </c>
      <c r="F41" s="55">
        <f t="shared" si="8"/>
        <v>6.355438187537128</v>
      </c>
      <c r="G41" s="63">
        <f t="shared" si="9"/>
        <v>31.777190937685642</v>
      </c>
      <c r="H41" s="9">
        <f t="shared" si="10"/>
        <v>-0.22964385605610566</v>
      </c>
      <c r="I41" s="104">
        <v>8.25</v>
      </c>
      <c r="J41" s="63">
        <f t="shared" si="11"/>
        <v>41.25</v>
      </c>
      <c r="K41" s="9">
        <f t="shared" si="12"/>
        <v>0</v>
      </c>
      <c r="L41" s="55">
        <f t="shared" si="13"/>
        <v>8.881125</v>
      </c>
    </row>
    <row r="42" spans="1:12" ht="12.75">
      <c r="A42" t="s">
        <v>218</v>
      </c>
      <c r="C42" s="53">
        <f>+'Service Counts'!AA44</f>
        <v>0</v>
      </c>
      <c r="D42" s="55">
        <f>+'Service Counts'!Y44</f>
        <v>10.9</v>
      </c>
      <c r="E42" s="6">
        <f t="shared" si="7"/>
        <v>0</v>
      </c>
      <c r="F42" s="55">
        <f t="shared" si="8"/>
        <v>8.396881968988449</v>
      </c>
      <c r="G42" s="63">
        <f t="shared" si="9"/>
        <v>0</v>
      </c>
      <c r="H42" s="9">
        <f t="shared" si="10"/>
        <v>0</v>
      </c>
      <c r="I42" s="104">
        <v>11.75</v>
      </c>
      <c r="J42" s="63">
        <f t="shared" si="11"/>
        <v>0</v>
      </c>
      <c r="K42" s="9">
        <f t="shared" si="12"/>
        <v>0</v>
      </c>
      <c r="L42" s="55">
        <f t="shared" si="13"/>
        <v>11.73385</v>
      </c>
    </row>
    <row r="43" spans="1:12" ht="12.75">
      <c r="A43" t="s">
        <v>219</v>
      </c>
      <c r="C43" s="53">
        <f>+'Service Counts'!AA45</f>
        <v>5</v>
      </c>
      <c r="D43" s="55">
        <f>+'Service Counts'!Y45</f>
        <v>14.5</v>
      </c>
      <c r="E43" s="6">
        <f t="shared" si="7"/>
        <v>72.5</v>
      </c>
      <c r="F43" s="55">
        <f t="shared" si="8"/>
        <v>11.17016408718647</v>
      </c>
      <c r="G43" s="63">
        <f t="shared" si="9"/>
        <v>55.85082043593235</v>
      </c>
      <c r="H43" s="9">
        <f t="shared" si="10"/>
        <v>-0.22964385605610554</v>
      </c>
      <c r="I43" s="104">
        <v>14.5</v>
      </c>
      <c r="J43" s="63">
        <f t="shared" si="11"/>
        <v>72.5</v>
      </c>
      <c r="K43" s="9">
        <f t="shared" si="12"/>
        <v>0</v>
      </c>
      <c r="L43" s="55">
        <f t="shared" si="13"/>
        <v>15.60925</v>
      </c>
    </row>
    <row r="44" spans="1:12" ht="12.75">
      <c r="A44" t="s">
        <v>220</v>
      </c>
      <c r="C44" s="53">
        <f>+'Service Counts'!AA46</f>
        <v>0</v>
      </c>
      <c r="D44" s="55">
        <f>+'Service Counts'!Y46</f>
        <v>15.2</v>
      </c>
      <c r="E44" s="6">
        <f t="shared" si="7"/>
        <v>0</v>
      </c>
      <c r="F44" s="55">
        <f t="shared" si="8"/>
        <v>11.709413387947194</v>
      </c>
      <c r="G44" s="63">
        <f t="shared" si="9"/>
        <v>0</v>
      </c>
      <c r="H44" s="9">
        <f t="shared" si="10"/>
        <v>0</v>
      </c>
      <c r="I44" s="104">
        <v>16.35</v>
      </c>
      <c r="J44" s="63">
        <f t="shared" si="11"/>
        <v>0</v>
      </c>
      <c r="K44" s="9">
        <f t="shared" si="12"/>
        <v>0</v>
      </c>
      <c r="L44" s="55">
        <f t="shared" si="13"/>
        <v>16.3628</v>
      </c>
    </row>
    <row r="45" spans="1:12" ht="12.75">
      <c r="A45" t="s">
        <v>221</v>
      </c>
      <c r="C45" s="53">
        <f>+'Service Counts'!AA47</f>
        <v>1</v>
      </c>
      <c r="D45" s="55">
        <f>+'Service Counts'!Y47</f>
        <v>15.8</v>
      </c>
      <c r="E45" s="6">
        <f t="shared" si="7"/>
        <v>15.8</v>
      </c>
      <c r="F45" s="55">
        <f t="shared" si="8"/>
        <v>12.171627074313532</v>
      </c>
      <c r="G45" s="63">
        <f t="shared" si="9"/>
        <v>12.171627074313532</v>
      </c>
      <c r="H45" s="9">
        <f t="shared" si="10"/>
        <v>-0.2296438560561056</v>
      </c>
      <c r="I45" s="104">
        <v>15.8</v>
      </c>
      <c r="J45" s="63">
        <f t="shared" si="11"/>
        <v>15.8</v>
      </c>
      <c r="K45" s="9">
        <f t="shared" si="12"/>
        <v>0</v>
      </c>
      <c r="L45" s="55">
        <f t="shared" si="13"/>
        <v>17.0087</v>
      </c>
    </row>
    <row r="46" spans="1:12" ht="12.75">
      <c r="A46" t="s">
        <v>222</v>
      </c>
      <c r="C46" s="53">
        <f>+'Service Counts'!AA48</f>
        <v>6</v>
      </c>
      <c r="D46" s="55">
        <f>+'Service Counts'!Y48</f>
        <v>18.35</v>
      </c>
      <c r="E46" s="6">
        <f t="shared" si="7"/>
        <v>110.10000000000001</v>
      </c>
      <c r="F46" s="55">
        <f t="shared" si="8"/>
        <v>14.136035241370463</v>
      </c>
      <c r="G46" s="63">
        <f t="shared" si="9"/>
        <v>84.81621144822277</v>
      </c>
      <c r="H46" s="9">
        <f t="shared" si="10"/>
        <v>-0.22964385605610566</v>
      </c>
      <c r="I46" s="104">
        <v>18.35</v>
      </c>
      <c r="J46" s="63">
        <f t="shared" si="11"/>
        <v>110.10000000000001</v>
      </c>
      <c r="K46" s="9">
        <f t="shared" si="12"/>
        <v>0</v>
      </c>
      <c r="L46" s="55">
        <f t="shared" si="13"/>
        <v>19.753775</v>
      </c>
    </row>
    <row r="47" spans="1:12" ht="12.75">
      <c r="A47" t="s">
        <v>223</v>
      </c>
      <c r="C47" s="53">
        <f>+'Service Counts'!AA49</f>
        <v>0</v>
      </c>
      <c r="D47" s="55">
        <f>+'Service Counts'!Y49</f>
        <v>2.3</v>
      </c>
      <c r="E47" s="6">
        <f t="shared" si="7"/>
        <v>0</v>
      </c>
      <c r="F47" s="55">
        <f t="shared" si="8"/>
        <v>1.771819131070957</v>
      </c>
      <c r="G47" s="63">
        <f t="shared" si="9"/>
        <v>0</v>
      </c>
      <c r="H47" s="9">
        <f t="shared" si="10"/>
        <v>0</v>
      </c>
      <c r="I47" s="104">
        <v>2.3</v>
      </c>
      <c r="J47" s="63">
        <f t="shared" si="11"/>
        <v>0</v>
      </c>
      <c r="K47" s="9">
        <f t="shared" si="12"/>
        <v>0</v>
      </c>
      <c r="L47" s="55">
        <f t="shared" si="13"/>
        <v>2.4759499999999997</v>
      </c>
    </row>
    <row r="48" spans="1:12" ht="12.75">
      <c r="A48" t="s">
        <v>224</v>
      </c>
      <c r="C48" s="53">
        <f>+'Service Counts'!AA50</f>
        <v>686</v>
      </c>
      <c r="D48" s="55">
        <f>+'Service Counts'!Y50</f>
        <v>1.3</v>
      </c>
      <c r="E48" s="42">
        <f t="shared" si="7"/>
        <v>891.8000000000001</v>
      </c>
      <c r="F48" s="55">
        <f t="shared" si="8"/>
        <v>1.0014629871270628</v>
      </c>
      <c r="G48" s="84">
        <f t="shared" si="9"/>
        <v>687.0036091691651</v>
      </c>
      <c r="H48" s="9">
        <f t="shared" si="10"/>
        <v>-0.2296438560561056</v>
      </c>
      <c r="I48" s="104">
        <v>1.3</v>
      </c>
      <c r="J48" s="84">
        <f t="shared" si="11"/>
        <v>891.8000000000001</v>
      </c>
      <c r="K48" s="9">
        <f t="shared" si="12"/>
        <v>0</v>
      </c>
      <c r="L48" s="55">
        <f t="shared" si="13"/>
        <v>1.39945</v>
      </c>
    </row>
    <row r="49" spans="3:11" ht="12.75">
      <c r="C49" s="53"/>
      <c r="D49" s="55"/>
      <c r="E49" s="6">
        <f>SUM(E34:E48)</f>
        <v>286134.04</v>
      </c>
      <c r="G49" s="6">
        <f>SUM(G34:G48)</f>
        <v>220425.11570548802</v>
      </c>
      <c r="I49" s="83"/>
      <c r="J49" s="6">
        <f>SUM(J34:J48)</f>
        <v>286134.04</v>
      </c>
      <c r="K49" s="85">
        <f>(+J49-E49)/E49</f>
        <v>0</v>
      </c>
    </row>
    <row r="50" spans="1:10" ht="12.75">
      <c r="A50" t="s">
        <v>225</v>
      </c>
      <c r="C50" s="53"/>
      <c r="D50" s="55"/>
      <c r="I50" s="83"/>
      <c r="J50" s="63"/>
    </row>
    <row r="51" spans="1:12" ht="12.75">
      <c r="A51" t="s">
        <v>276</v>
      </c>
      <c r="C51" s="53">
        <f>+'Service Counts'!AA53</f>
        <v>0</v>
      </c>
      <c r="D51" s="55">
        <f>+'Service Counts'!Y53</f>
        <v>95.05</v>
      </c>
      <c r="E51" s="6">
        <f aca="true" t="shared" si="14" ref="E51:E64">+C51*D51</f>
        <v>0</v>
      </c>
      <c r="F51" s="55">
        <f aca="true" t="shared" si="15" ref="F51:F65">+D51*(1+$H$4)</f>
        <v>73.22235148186716</v>
      </c>
      <c r="G51" s="63">
        <f aca="true" t="shared" si="16" ref="G51:G65">+C51*F51</f>
        <v>0</v>
      </c>
      <c r="H51" s="9">
        <f aca="true" t="shared" si="17" ref="H51:H65">+IF(C51=0,0,(G51-E51)/E51)</f>
        <v>0</v>
      </c>
      <c r="I51" s="104">
        <v>95.05</v>
      </c>
      <c r="J51" s="63">
        <f aca="true" t="shared" si="18" ref="J51:J65">+C51*I51</f>
        <v>0</v>
      </c>
      <c r="K51" s="9">
        <f aca="true" t="shared" si="19" ref="K51:K65">+IF(C51=0,0,(J51-E51)/E51)</f>
        <v>0</v>
      </c>
      <c r="L51" s="55">
        <f aca="true" t="shared" si="20" ref="L51:L65">+D51*(1+$L$2)</f>
        <v>102.321325</v>
      </c>
    </row>
    <row r="52" spans="1:12" ht="12.75">
      <c r="A52" t="s">
        <v>226</v>
      </c>
      <c r="C52" s="53">
        <f>+'Service Counts'!AA54</f>
        <v>51</v>
      </c>
      <c r="D52" s="55">
        <f>+'Service Counts'!Y54</f>
        <v>114.95</v>
      </c>
      <c r="E52" s="6">
        <f>+C52*D52</f>
        <v>5862.45</v>
      </c>
      <c r="F52" s="55">
        <f>+D52*(1+$H$4)</f>
        <v>88.55243874635066</v>
      </c>
      <c r="G52" s="63">
        <f>+C52*F52</f>
        <v>4516.174376063884</v>
      </c>
      <c r="H52" s="9">
        <f>+IF(C52=0,0,(G52-E52)/E52)</f>
        <v>-0.22964385605610557</v>
      </c>
      <c r="I52" s="104">
        <v>114.95</v>
      </c>
      <c r="J52" s="63">
        <f>+C52*I52</f>
        <v>5862.45</v>
      </c>
      <c r="K52" s="9">
        <f>+IF(C52=0,0,(J52-E52)/E52)</f>
        <v>0</v>
      </c>
      <c r="L52" s="55">
        <f>+D52*(1+$L$2)</f>
        <v>123.74367500000001</v>
      </c>
    </row>
    <row r="53" spans="1:12" ht="12.75">
      <c r="A53" t="s">
        <v>227</v>
      </c>
      <c r="C53" s="53">
        <f>+'Service Counts'!AA55</f>
        <v>513</v>
      </c>
      <c r="D53" s="55">
        <f>+'Service Counts'!Y55</f>
        <v>124.95</v>
      </c>
      <c r="E53" s="6">
        <f t="shared" si="14"/>
        <v>64099.35</v>
      </c>
      <c r="F53" s="55">
        <f t="shared" si="15"/>
        <v>96.2560001857896</v>
      </c>
      <c r="G53" s="63">
        <f t="shared" si="16"/>
        <v>49379.32809531007</v>
      </c>
      <c r="H53" s="9">
        <f t="shared" si="17"/>
        <v>-0.22964385605610554</v>
      </c>
      <c r="I53" s="104">
        <v>124.95</v>
      </c>
      <c r="J53" s="63">
        <f t="shared" si="18"/>
        <v>64099.35</v>
      </c>
      <c r="K53" s="9">
        <f t="shared" si="19"/>
        <v>0</v>
      </c>
      <c r="L53" s="55">
        <f t="shared" si="20"/>
        <v>134.508675</v>
      </c>
    </row>
    <row r="54" spans="1:12" ht="12.75">
      <c r="A54" t="s">
        <v>228</v>
      </c>
      <c r="C54" s="53">
        <f>+'Service Counts'!AA56</f>
        <v>0</v>
      </c>
      <c r="D54" s="55">
        <f>+'Service Counts'!Y56</f>
        <v>0</v>
      </c>
      <c r="E54" s="6">
        <f t="shared" si="14"/>
        <v>0</v>
      </c>
      <c r="F54" s="55">
        <f t="shared" si="15"/>
        <v>0</v>
      </c>
      <c r="G54" s="63">
        <f t="shared" si="16"/>
        <v>0</v>
      </c>
      <c r="H54" s="9">
        <f t="shared" si="17"/>
        <v>0</v>
      </c>
      <c r="I54" s="104">
        <v>140</v>
      </c>
      <c r="J54" s="63">
        <f t="shared" si="18"/>
        <v>0</v>
      </c>
      <c r="K54" s="9">
        <f t="shared" si="19"/>
        <v>0</v>
      </c>
      <c r="L54" s="55">
        <f t="shared" si="20"/>
        <v>0</v>
      </c>
    </row>
    <row r="55" spans="1:12" ht="12.75">
      <c r="A55" t="s">
        <v>275</v>
      </c>
      <c r="C55" s="53">
        <f>+'Service Counts'!AA57</f>
        <v>0</v>
      </c>
      <c r="D55" s="55">
        <f>+'Service Counts'!Y57</f>
        <v>3.05</v>
      </c>
      <c r="E55" s="6">
        <f>+C55*D55</f>
        <v>0</v>
      </c>
      <c r="F55" s="55">
        <f>+D55*(1+$H$4)</f>
        <v>2.349586239028878</v>
      </c>
      <c r="G55" s="63">
        <f>+C55*F55</f>
        <v>0</v>
      </c>
      <c r="H55" s="9">
        <f>+IF(C55=0,0,(G55-E55)/E55)</f>
        <v>0</v>
      </c>
      <c r="I55" s="104">
        <v>3.05</v>
      </c>
      <c r="J55" s="63">
        <f>+C55*I55</f>
        <v>0</v>
      </c>
      <c r="K55" s="9">
        <f>+IF(C55=0,0,(J55-E55)/E55)</f>
        <v>0</v>
      </c>
      <c r="L55" s="55">
        <f>+D55*(1+$L$2)</f>
        <v>3.283325</v>
      </c>
    </row>
    <row r="56" spans="1:12" ht="12.75">
      <c r="A56" t="s">
        <v>229</v>
      </c>
      <c r="C56" s="53">
        <f>+'Service Counts'!AA58</f>
        <v>980</v>
      </c>
      <c r="D56" s="55">
        <f>+'Service Counts'!Y58</f>
        <v>3.55</v>
      </c>
      <c r="E56" s="6">
        <f t="shared" si="14"/>
        <v>3479</v>
      </c>
      <c r="F56" s="55">
        <f t="shared" si="15"/>
        <v>2.734764311000825</v>
      </c>
      <c r="G56" s="63">
        <f t="shared" si="16"/>
        <v>2680.0690247808084</v>
      </c>
      <c r="H56" s="9">
        <f t="shared" si="17"/>
        <v>-0.22964385605610568</v>
      </c>
      <c r="I56" s="104">
        <v>3.55</v>
      </c>
      <c r="J56" s="63">
        <f t="shared" si="18"/>
        <v>3479</v>
      </c>
      <c r="K56" s="9">
        <f t="shared" si="19"/>
        <v>0</v>
      </c>
      <c r="L56" s="55">
        <f t="shared" si="20"/>
        <v>3.8215749999999997</v>
      </c>
    </row>
    <row r="57" spans="1:12" ht="12.75">
      <c r="A57" t="s">
        <v>230</v>
      </c>
      <c r="C57" s="53">
        <f>+'Service Counts'!AA59</f>
        <v>3038</v>
      </c>
      <c r="D57" s="55">
        <f>+'Service Counts'!Y59</f>
        <v>4.2</v>
      </c>
      <c r="E57" s="6">
        <f t="shared" si="14"/>
        <v>12759.6</v>
      </c>
      <c r="F57" s="55">
        <f t="shared" si="15"/>
        <v>3.2354958045643567</v>
      </c>
      <c r="G57" s="63">
        <f t="shared" si="16"/>
        <v>9829.436254266515</v>
      </c>
      <c r="H57" s="9">
        <f t="shared" si="17"/>
        <v>-0.22964385605610563</v>
      </c>
      <c r="I57" s="104">
        <v>4.2</v>
      </c>
      <c r="J57" s="63">
        <f t="shared" si="18"/>
        <v>12759.6</v>
      </c>
      <c r="K57" s="9">
        <f t="shared" si="19"/>
        <v>0</v>
      </c>
      <c r="L57" s="55">
        <f t="shared" si="20"/>
        <v>4.5213</v>
      </c>
    </row>
    <row r="58" spans="1:12" ht="12.75">
      <c r="A58" t="s">
        <v>234</v>
      </c>
      <c r="C58" s="53">
        <f>+'Service Counts'!AA60</f>
        <v>0</v>
      </c>
      <c r="D58" s="55">
        <f>+'Service Counts'!Y60</f>
        <v>0</v>
      </c>
      <c r="E58" s="6">
        <f t="shared" si="14"/>
        <v>0</v>
      </c>
      <c r="F58" s="55">
        <f t="shared" si="15"/>
        <v>0</v>
      </c>
      <c r="G58" s="63">
        <f t="shared" si="16"/>
        <v>0</v>
      </c>
      <c r="H58" s="9">
        <f t="shared" si="17"/>
        <v>0</v>
      </c>
      <c r="I58" s="104">
        <v>5.05</v>
      </c>
      <c r="J58" s="63">
        <f t="shared" si="18"/>
        <v>0</v>
      </c>
      <c r="K58" s="9">
        <f t="shared" si="19"/>
        <v>0</v>
      </c>
      <c r="L58" s="55">
        <f t="shared" si="20"/>
        <v>0</v>
      </c>
    </row>
    <row r="59" spans="1:12" ht="12.75">
      <c r="A59" t="s">
        <v>277</v>
      </c>
      <c r="C59" s="53">
        <f>+'Service Counts'!AA61</f>
        <v>0</v>
      </c>
      <c r="D59" s="55">
        <f>+'Service Counts'!Y61</f>
        <v>35</v>
      </c>
      <c r="E59" s="6">
        <f>+C59*D59</f>
        <v>0</v>
      </c>
      <c r="F59" s="55">
        <f>+D59*(1+$H$4)</f>
        <v>26.962465038036303</v>
      </c>
      <c r="G59" s="63">
        <f>+C59*F59</f>
        <v>0</v>
      </c>
      <c r="H59" s="9">
        <f>+IF(C59=0,0,(G59-E59)/E59)</f>
        <v>0</v>
      </c>
      <c r="I59" s="104">
        <v>35</v>
      </c>
      <c r="J59" s="63">
        <f>+C59*I59</f>
        <v>0</v>
      </c>
      <c r="K59" s="9">
        <f>+IF(C59=0,0,(J59-E59)/E59)</f>
        <v>0</v>
      </c>
      <c r="L59" s="55">
        <f>+D59*(1+$L$2)</f>
        <v>37.6775</v>
      </c>
    </row>
    <row r="60" spans="1:12" ht="12.75">
      <c r="A60" t="s">
        <v>231</v>
      </c>
      <c r="C60" s="53">
        <f>+'Service Counts'!AA62</f>
        <v>5</v>
      </c>
      <c r="D60" s="55">
        <f>+'Service Counts'!Y62</f>
        <v>35</v>
      </c>
      <c r="E60" s="6">
        <f t="shared" si="14"/>
        <v>175</v>
      </c>
      <c r="F60" s="55">
        <f t="shared" si="15"/>
        <v>26.962465038036303</v>
      </c>
      <c r="G60" s="63">
        <f t="shared" si="16"/>
        <v>134.81232519018153</v>
      </c>
      <c r="H60" s="9">
        <f t="shared" si="17"/>
        <v>-0.22964385605610557</v>
      </c>
      <c r="I60" s="104">
        <v>35</v>
      </c>
      <c r="J60" s="63">
        <f t="shared" si="18"/>
        <v>175</v>
      </c>
      <c r="K60" s="9">
        <f t="shared" si="19"/>
        <v>0</v>
      </c>
      <c r="L60" s="55">
        <f t="shared" si="20"/>
        <v>37.6775</v>
      </c>
    </row>
    <row r="61" spans="1:12" ht="12.75">
      <c r="A61" t="s">
        <v>232</v>
      </c>
      <c r="C61" s="53">
        <f>+'Service Counts'!AA63</f>
        <v>12</v>
      </c>
      <c r="D61" s="55">
        <f>+'Service Counts'!Y63</f>
        <v>35</v>
      </c>
      <c r="E61" s="6">
        <f t="shared" si="14"/>
        <v>420</v>
      </c>
      <c r="F61" s="55">
        <f t="shared" si="15"/>
        <v>26.962465038036303</v>
      </c>
      <c r="G61" s="63">
        <f t="shared" si="16"/>
        <v>323.54958045643565</v>
      </c>
      <c r="H61" s="9">
        <f t="shared" si="17"/>
        <v>-0.2296438560561056</v>
      </c>
      <c r="I61" s="104">
        <v>35</v>
      </c>
      <c r="J61" s="63">
        <f t="shared" si="18"/>
        <v>420</v>
      </c>
      <c r="K61" s="9">
        <f t="shared" si="19"/>
        <v>0</v>
      </c>
      <c r="L61" s="55">
        <f t="shared" si="20"/>
        <v>37.6775</v>
      </c>
    </row>
    <row r="62" spans="1:12" ht="12.75">
      <c r="A62" t="s">
        <v>233</v>
      </c>
      <c r="C62" s="53">
        <f>+'Service Counts'!AA64</f>
        <v>0</v>
      </c>
      <c r="D62" s="55">
        <f>+'Service Counts'!Y64</f>
        <v>0</v>
      </c>
      <c r="E62" s="6">
        <f t="shared" si="14"/>
        <v>0</v>
      </c>
      <c r="F62" s="55">
        <f t="shared" si="15"/>
        <v>0</v>
      </c>
      <c r="G62" s="63">
        <f t="shared" si="16"/>
        <v>0</v>
      </c>
      <c r="H62" s="9">
        <f t="shared" si="17"/>
        <v>0</v>
      </c>
      <c r="I62" s="104">
        <v>35</v>
      </c>
      <c r="J62" s="63">
        <f t="shared" si="18"/>
        <v>0</v>
      </c>
      <c r="K62" s="9">
        <f t="shared" si="19"/>
        <v>0</v>
      </c>
      <c r="L62" s="55">
        <f t="shared" si="20"/>
        <v>0</v>
      </c>
    </row>
    <row r="63" spans="1:12" ht="12.75">
      <c r="A63" t="s">
        <v>235</v>
      </c>
      <c r="C63" s="53">
        <f>+'Service Counts'!AA65</f>
        <v>16420</v>
      </c>
      <c r="D63" s="55">
        <f>+'Service Counts'!Y65</f>
        <v>2.2</v>
      </c>
      <c r="E63" s="6">
        <f t="shared" si="14"/>
        <v>36124</v>
      </c>
      <c r="F63" s="55">
        <f t="shared" si="15"/>
        <v>1.694783516676568</v>
      </c>
      <c r="G63" s="63">
        <f t="shared" si="16"/>
        <v>27828.345343829245</v>
      </c>
      <c r="H63" s="9">
        <f t="shared" si="17"/>
        <v>-0.2296438560561055</v>
      </c>
      <c r="I63" s="104">
        <v>2.2</v>
      </c>
      <c r="J63" s="63">
        <f t="shared" si="18"/>
        <v>36124</v>
      </c>
      <c r="K63" s="9">
        <f t="shared" si="19"/>
        <v>0</v>
      </c>
      <c r="L63" s="55">
        <f t="shared" si="20"/>
        <v>2.3683</v>
      </c>
    </row>
    <row r="64" spans="1:12" ht="12.75">
      <c r="A64" t="s">
        <v>236</v>
      </c>
      <c r="C64" s="53">
        <f>+'Service Counts'!AA67</f>
        <v>0</v>
      </c>
      <c r="D64" s="55">
        <f>+'Service Counts'!Y67</f>
        <v>0</v>
      </c>
      <c r="E64" s="6">
        <f t="shared" si="14"/>
        <v>0</v>
      </c>
      <c r="F64" s="55">
        <f t="shared" si="15"/>
        <v>0</v>
      </c>
      <c r="G64" s="63">
        <f t="shared" si="16"/>
        <v>0</v>
      </c>
      <c r="H64" s="9">
        <f t="shared" si="17"/>
        <v>0</v>
      </c>
      <c r="I64" s="104">
        <f>+L64</f>
        <v>0</v>
      </c>
      <c r="J64" s="63">
        <f t="shared" si="18"/>
        <v>0</v>
      </c>
      <c r="K64" s="9">
        <f t="shared" si="19"/>
        <v>0</v>
      </c>
      <c r="L64" s="55">
        <f t="shared" si="20"/>
        <v>0</v>
      </c>
    </row>
    <row r="65" spans="1:12" ht="12.75">
      <c r="A65" t="s">
        <v>253</v>
      </c>
      <c r="C65" s="53">
        <f>+'Service Counts'!AA68</f>
        <v>0</v>
      </c>
      <c r="D65" s="55">
        <f>+'Service Counts'!Y68</f>
        <v>0</v>
      </c>
      <c r="E65" s="42">
        <f>+C65*D65</f>
        <v>0</v>
      </c>
      <c r="F65" s="55">
        <f t="shared" si="15"/>
        <v>0</v>
      </c>
      <c r="G65" s="84">
        <f t="shared" si="16"/>
        <v>0</v>
      </c>
      <c r="H65" s="9">
        <f t="shared" si="17"/>
        <v>0</v>
      </c>
      <c r="I65" s="104">
        <f>+L65</f>
        <v>0</v>
      </c>
      <c r="J65" s="84">
        <f t="shared" si="18"/>
        <v>0</v>
      </c>
      <c r="K65" s="9">
        <f t="shared" si="19"/>
        <v>0</v>
      </c>
      <c r="L65" s="55">
        <f t="shared" si="20"/>
        <v>0</v>
      </c>
    </row>
    <row r="66" spans="3:11" ht="12.75">
      <c r="C66" s="53"/>
      <c r="D66" s="55"/>
      <c r="E66" s="6">
        <f>SUM(E51:E65)</f>
        <v>122919.40000000001</v>
      </c>
      <c r="G66" s="6">
        <f>SUM(G51:G65)</f>
        <v>94691.71499989716</v>
      </c>
      <c r="I66" s="83"/>
      <c r="J66" s="6">
        <f>SUM(J51:J65)</f>
        <v>122919.40000000001</v>
      </c>
      <c r="K66" s="85">
        <f>(+J66-E66)/E66</f>
        <v>0</v>
      </c>
    </row>
    <row r="67" spans="1:10" ht="12.75">
      <c r="A67" t="s">
        <v>237</v>
      </c>
      <c r="C67" s="53"/>
      <c r="D67" s="55"/>
      <c r="I67" s="83"/>
      <c r="J67" s="63"/>
    </row>
    <row r="68" spans="1:10" ht="12.75">
      <c r="A68" t="s">
        <v>238</v>
      </c>
      <c r="C68" s="53"/>
      <c r="D68" s="55"/>
      <c r="I68" s="83"/>
      <c r="J68" s="63"/>
    </row>
    <row r="69" spans="1:12" ht="12.75">
      <c r="A69" t="s">
        <v>239</v>
      </c>
      <c r="C69" s="53">
        <f>+'Service Counts'!AA72</f>
        <v>0</v>
      </c>
      <c r="D69" s="55">
        <f>+'Service Counts'!Y72</f>
        <v>129</v>
      </c>
      <c r="E69" s="6">
        <f>+C69*D69</f>
        <v>0</v>
      </c>
      <c r="F69" s="55">
        <f>+D69*(1+$H$4)</f>
        <v>99.37594256876238</v>
      </c>
      <c r="G69" s="63">
        <f>+C69*F69</f>
        <v>0</v>
      </c>
      <c r="H69" s="9">
        <f>+IF(C69=0,0,(G69-E69)/E69)</f>
        <v>0</v>
      </c>
      <c r="I69" s="104">
        <v>129</v>
      </c>
      <c r="J69" s="63">
        <f>+C69*I69</f>
        <v>0</v>
      </c>
      <c r="K69" s="9">
        <f>+IF(C69=0,0,(J69-E69)/E69)</f>
        <v>0</v>
      </c>
      <c r="L69" s="55">
        <f>+D69*(1+$L$2)</f>
        <v>138.8685</v>
      </c>
    </row>
    <row r="70" spans="1:12" ht="12.75">
      <c r="A70" t="s">
        <v>240</v>
      </c>
      <c r="C70" s="53">
        <f>+'Service Counts'!AA73</f>
        <v>0</v>
      </c>
      <c r="D70" s="55">
        <f>+'Service Counts'!Y73</f>
        <v>32</v>
      </c>
      <c r="E70" s="42">
        <f>+C70*D70</f>
        <v>0</v>
      </c>
      <c r="F70" s="55">
        <f>+D70*(1+$H$4)</f>
        <v>24.65139660620462</v>
      </c>
      <c r="G70" s="84">
        <f>+C70*F70</f>
        <v>0</v>
      </c>
      <c r="H70" s="9">
        <f>+IF(C70=0,0,(G70-E70)/E70)</f>
        <v>0</v>
      </c>
      <c r="I70" s="104">
        <v>32</v>
      </c>
      <c r="J70" s="84">
        <f>+C70*I70</f>
        <v>0</v>
      </c>
      <c r="K70" s="9">
        <f>+IF(C70=0,0,(J70-E70)/E70)</f>
        <v>0</v>
      </c>
      <c r="L70" s="55">
        <f>+D70*(1+$L$2)</f>
        <v>34.448</v>
      </c>
    </row>
    <row r="71" spans="3:11" ht="12.75">
      <c r="C71" s="53"/>
      <c r="D71" s="55"/>
      <c r="E71" s="6">
        <f>SUM(E69:E70)</f>
        <v>0</v>
      </c>
      <c r="G71" s="6">
        <f>SUM(G69:G70)</f>
        <v>0</v>
      </c>
      <c r="J71" s="6">
        <f>SUM(J69:J70)</f>
        <v>0</v>
      </c>
      <c r="K71" s="85" t="e">
        <f>(+J71-E71)/E71</f>
        <v>#DIV/0!</v>
      </c>
    </row>
    <row r="72" spans="3:4" ht="12.75">
      <c r="C72" s="53"/>
      <c r="D72" s="52"/>
    </row>
    <row r="73" spans="3:4" ht="12.75">
      <c r="C73" s="53"/>
      <c r="D73" s="52"/>
    </row>
    <row r="74" spans="3:10" ht="12.75">
      <c r="C74" s="53">
        <f>+'Service Counts'!AA75</f>
        <v>31611.979445727484</v>
      </c>
      <c r="D74" s="52"/>
      <c r="E74" s="55">
        <f>+E32+E49+E66+E71</f>
        <v>460128.82972286374</v>
      </c>
      <c r="G74" s="55">
        <f>+G32+G49+G66+G71</f>
        <v>354463.0709827221</v>
      </c>
      <c r="J74" s="55">
        <f>+J32+J49+J66+J71</f>
        <v>460128.82972286374</v>
      </c>
    </row>
    <row r="75" spans="3:4" ht="12.75">
      <c r="C75" s="53"/>
      <c r="D75" s="52"/>
    </row>
    <row r="76" spans="1:11" ht="12.75">
      <c r="A76" t="s">
        <v>267</v>
      </c>
      <c r="C76" s="53"/>
      <c r="D76" s="52"/>
      <c r="G76" s="55">
        <f>+G74-E74</f>
        <v>-105665.75874014164</v>
      </c>
      <c r="J76" s="55">
        <f>+J74-E74</f>
        <v>0</v>
      </c>
      <c r="K76" s="86">
        <f>ROUND((+J76/E74),4)</f>
        <v>0</v>
      </c>
    </row>
    <row r="77" spans="3:4" ht="12.75">
      <c r="C77" s="53"/>
      <c r="D77" s="52"/>
    </row>
    <row r="78" spans="3:11" ht="12.75">
      <c r="C78" s="53"/>
      <c r="D78" s="52"/>
      <c r="E78" s="6"/>
      <c r="K78" s="105">
        <f>+K76</f>
        <v>0</v>
      </c>
    </row>
    <row r="79" spans="3:5" ht="12.75">
      <c r="C79" s="53"/>
      <c r="D79" s="52"/>
      <c r="E79" s="6"/>
    </row>
    <row r="80" spans="3:5" ht="12.75">
      <c r="C80" s="53"/>
      <c r="D80" s="52"/>
      <c r="E80" s="69"/>
    </row>
    <row r="81" spans="3:5" ht="12.75">
      <c r="C81" s="53"/>
      <c r="D81" s="52"/>
      <c r="E81" s="17"/>
    </row>
    <row r="82" spans="3:5" ht="12.75">
      <c r="C82" s="53"/>
      <c r="D82" s="52"/>
      <c r="E82" s="52"/>
    </row>
    <row r="83" spans="3:5" ht="12.75">
      <c r="C83" s="53"/>
      <c r="D83" s="52"/>
      <c r="E83" s="9"/>
    </row>
    <row r="84" spans="3:5" ht="12.75">
      <c r="C84" s="53"/>
      <c r="D84" s="52"/>
      <c r="E84" s="9"/>
    </row>
    <row r="85" spans="3:4" ht="12.75">
      <c r="C85" s="53"/>
      <c r="D85" s="52"/>
    </row>
    <row r="86" ht="12.75">
      <c r="D86" s="52"/>
    </row>
  </sheetData>
  <sheetProtection/>
  <printOptions/>
  <pageMargins left="0.25" right="0.25" top="0.5" bottom="0.25" header="0.5" footer="0.5"/>
  <pageSetup fitToHeight="1" fitToWidth="1"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zoomScalePageLayoutView="0" workbookViewId="0" topLeftCell="A1">
      <selection activeCell="H24" sqref="H24"/>
    </sheetView>
  </sheetViews>
  <sheetFormatPr defaultColWidth="9.140625" defaultRowHeight="12.75"/>
  <cols>
    <col min="4" max="4" width="12.7109375" style="0" customWidth="1"/>
    <col min="5" max="5" width="12.140625" style="0" customWidth="1"/>
    <col min="20" max="20" width="11.28125" style="0" customWidth="1"/>
    <col min="29" max="29" width="11.00390625" style="0" customWidth="1"/>
  </cols>
  <sheetData>
    <row r="1" ht="12.75">
      <c r="A1" t="s">
        <v>0</v>
      </c>
    </row>
    <row r="3" ht="12.75">
      <c r="A3" t="s">
        <v>269</v>
      </c>
    </row>
    <row r="5" ht="12.75">
      <c r="A5" s="1" t="s">
        <v>350</v>
      </c>
    </row>
    <row r="7" spans="2:34" ht="12.75">
      <c r="B7" s="15" t="s">
        <v>101</v>
      </c>
      <c r="AD7" s="2" t="s">
        <v>102</v>
      </c>
      <c r="AE7" s="2" t="s">
        <v>103</v>
      </c>
      <c r="AH7" s="15" t="s">
        <v>104</v>
      </c>
    </row>
    <row r="8" spans="5:34" ht="12.75">
      <c r="E8" s="27"/>
      <c r="M8" s="15" t="s">
        <v>105</v>
      </c>
      <c r="T8" s="2" t="s">
        <v>106</v>
      </c>
      <c r="U8" s="2" t="s">
        <v>107</v>
      </c>
      <c r="V8" s="2" t="s">
        <v>108</v>
      </c>
      <c r="W8" s="2" t="s">
        <v>109</v>
      </c>
      <c r="X8" s="2" t="s">
        <v>110</v>
      </c>
      <c r="Z8" s="2" t="s">
        <v>111</v>
      </c>
      <c r="AA8" s="15" t="s">
        <v>112</v>
      </c>
      <c r="AB8" s="2" t="s">
        <v>113</v>
      </c>
      <c r="AC8" s="2" t="s">
        <v>114</v>
      </c>
      <c r="AD8" s="2" t="s">
        <v>115</v>
      </c>
      <c r="AH8" s="15" t="s">
        <v>116</v>
      </c>
    </row>
    <row r="9" spans="2:35" ht="12.75">
      <c r="B9" s="15" t="s">
        <v>117</v>
      </c>
      <c r="C9" s="15" t="s">
        <v>118</v>
      </c>
      <c r="E9" s="27">
        <f>E11+E10</f>
        <v>2341157.2584612737</v>
      </c>
      <c r="F9" s="15" t="s">
        <v>119</v>
      </c>
      <c r="K9" s="28"/>
      <c r="M9" s="15" t="s">
        <v>120</v>
      </c>
      <c r="P9" s="15" t="s">
        <v>121</v>
      </c>
      <c r="T9" s="29">
        <f>$E$12*1.25</f>
        <v>2636979.787285002</v>
      </c>
      <c r="U9" s="30">
        <f>100*(+T9/$E$13)</f>
        <v>280.3372439301467</v>
      </c>
      <c r="V9" s="31">
        <f>EXP(5.7226-(0.68367*LN(+U9)))</f>
        <v>6.484666864063891</v>
      </c>
      <c r="W9" s="31">
        <f>(+V9*U9)/100</f>
        <v>18.178936364768187</v>
      </c>
      <c r="X9" s="30">
        <f>100*((((W9/100)-((W9/100)-0.03574)*$E$25)-0.03574-0.00619)/0.344)</f>
        <v>27.91992864923759</v>
      </c>
      <c r="Y9">
        <v>0</v>
      </c>
      <c r="Z9" s="30">
        <f>X9+Y9</f>
        <v>27.91992864923759</v>
      </c>
      <c r="AA9" s="30">
        <f>100*($E$21*$E$23+($E$22*(Z9/100))/(1-$E$25))</f>
        <v>26.03136741363222</v>
      </c>
      <c r="AB9" s="31">
        <f>AA9/U9</f>
        <v>0.09285732801210891</v>
      </c>
      <c r="AC9" s="29">
        <f>$E$12/(1-AB9)</f>
        <v>2325525.956358231</v>
      </c>
      <c r="AD9" t="str">
        <f>IF(AC9=$T$9,"yes","not yet")</f>
        <v>not yet</v>
      </c>
      <c r="AE9" s="30">
        <f>100*(1-AB9)</f>
        <v>90.71426719878912</v>
      </c>
      <c r="AH9">
        <v>0</v>
      </c>
      <c r="AI9">
        <v>1</v>
      </c>
    </row>
    <row r="10" spans="2:35" ht="12.75">
      <c r="B10" s="15" t="s">
        <v>117</v>
      </c>
      <c r="C10" s="15" t="s">
        <v>122</v>
      </c>
      <c r="E10" s="27">
        <f>(+E12-((H19/100)*E11))/H29</f>
        <v>133556.05846127417</v>
      </c>
      <c r="F10" s="32" t="s">
        <v>119</v>
      </c>
      <c r="K10" s="28"/>
      <c r="M10" s="15" t="s">
        <v>123</v>
      </c>
      <c r="P10" s="15" t="s">
        <v>124</v>
      </c>
      <c r="T10" s="29">
        <f>$E$12*1.25</f>
        <v>2636979.787285002</v>
      </c>
      <c r="U10" s="30">
        <f>100*(+T10/$E$13)</f>
        <v>280.3372439301467</v>
      </c>
      <c r="V10" s="31">
        <f>EXP(5.70827-(0.68367*LN(+U10)))</f>
        <v>6.392404228516045</v>
      </c>
      <c r="W10" s="31">
        <f>(+V10*U10)/100</f>
        <v>17.92028983509604</v>
      </c>
      <c r="X10" s="30">
        <f>100*((((W10/100)-((W10/100)-0.03574)*$E$25)-0.03574-0.00619)/0.344)</f>
        <v>27.39361303653264</v>
      </c>
      <c r="Y10">
        <v>0</v>
      </c>
      <c r="Z10" s="30">
        <f>X10+Y10</f>
        <v>27.39361303653264</v>
      </c>
      <c r="AA10" s="30">
        <f>100*($E$21*$E$23+($E$22*(Z10/100))/(1-$E$25))</f>
        <v>25.580239745599403</v>
      </c>
      <c r="AB10" s="31">
        <f>AA10/U10</f>
        <v>0.0912480959967395</v>
      </c>
      <c r="AC10" s="29">
        <f>$E$12/(1-AB10)</f>
        <v>2321407.8788003647</v>
      </c>
      <c r="AD10" t="str">
        <f>IF(AC10=$T$10,"yes","not yet")</f>
        <v>not yet</v>
      </c>
      <c r="AE10" s="30">
        <f>100*(1-AB10)</f>
        <v>90.87519040032606</v>
      </c>
      <c r="AH10">
        <v>50</v>
      </c>
      <c r="AI10">
        <v>2</v>
      </c>
    </row>
    <row r="11" spans="2:35" ht="12.75">
      <c r="B11" s="33" t="s">
        <v>125</v>
      </c>
      <c r="C11" s="15" t="s">
        <v>126</v>
      </c>
      <c r="D11" s="33" t="s">
        <v>127</v>
      </c>
      <c r="E11" s="27">
        <f>+'Results of Operations'!C21</f>
        <v>2207601.1999999997</v>
      </c>
      <c r="F11" s="15" t="s">
        <v>128</v>
      </c>
      <c r="K11" s="28"/>
      <c r="M11" s="15" t="s">
        <v>129</v>
      </c>
      <c r="P11" s="15" t="s">
        <v>130</v>
      </c>
      <c r="T11" s="29">
        <f>$E$12*1.25</f>
        <v>2636979.787285002</v>
      </c>
      <c r="U11" s="30">
        <f>100*(+T11/$E$13)</f>
        <v>280.3372439301467</v>
      </c>
      <c r="V11" s="31">
        <f>EXP(5.6985-(0.68367*LN(U11)))</f>
        <v>6.330254534820404</v>
      </c>
      <c r="W11" s="31">
        <f>(+V11*U11)/100</f>
        <v>17.74606109667865</v>
      </c>
      <c r="X11" s="30">
        <f>100*((((W11/100)-((W11/100)-0.03574)*$E$25)-0.03574-0.00619)/0.344)</f>
        <v>27.039077813008873</v>
      </c>
      <c r="Y11">
        <v>0</v>
      </c>
      <c r="Z11" s="30">
        <f>X11+Y11</f>
        <v>27.039077813008873</v>
      </c>
      <c r="AA11" s="30">
        <f>100*($E$21*$E$23+($E$22*(Z11/100))/(1-$E$25))</f>
        <v>25.276352411150466</v>
      </c>
      <c r="AB11" s="31">
        <f>AA11/U11</f>
        <v>0.09016408971135038</v>
      </c>
      <c r="AC11" s="29">
        <f>$E$12/(1-AB11)</f>
        <v>2318642.0825692913</v>
      </c>
      <c r="AD11" t="str">
        <f>IF(AC11=$T$11,"yes","not yet")</f>
        <v>not yet</v>
      </c>
      <c r="AE11" s="30">
        <f>100*(1-AB11)</f>
        <v>90.98359102886496</v>
      </c>
      <c r="AH11">
        <v>125</v>
      </c>
      <c r="AI11">
        <v>3</v>
      </c>
    </row>
    <row r="12" spans="2:35" ht="12.75">
      <c r="B12" s="33" t="s">
        <v>125</v>
      </c>
      <c r="C12" s="15" t="s">
        <v>131</v>
      </c>
      <c r="D12" s="33" t="s">
        <v>127</v>
      </c>
      <c r="E12" s="27">
        <f>+'Results of Operations'!C99</f>
        <v>2109583.8298280016</v>
      </c>
      <c r="F12" s="15" t="s">
        <v>128</v>
      </c>
      <c r="K12" s="28"/>
      <c r="M12" s="15" t="s">
        <v>132</v>
      </c>
      <c r="P12" s="15" t="s">
        <v>133</v>
      </c>
      <c r="T12" s="29">
        <f>$E$12*1.25</f>
        <v>2636979.787285002</v>
      </c>
      <c r="U12" s="30">
        <f>100*(+T12/$E$13)</f>
        <v>280.3372439301467</v>
      </c>
      <c r="V12" s="31">
        <f>EXP(5.6922-(0.68367*LN(U12)))</f>
        <v>6.290499291757062</v>
      </c>
      <c r="W12" s="31">
        <f>(+V12*U12)/100</f>
        <v>17.634612343957144</v>
      </c>
      <c r="X12" s="30">
        <f>100*((((W12/100)-((W12/100)-0.03574)*$E$25)-0.03574-0.00619)/0.344)</f>
        <v>26.81229256037791</v>
      </c>
      <c r="Y12">
        <v>0</v>
      </c>
      <c r="Z12" s="30">
        <f>X12+Y12</f>
        <v>26.81229256037791</v>
      </c>
      <c r="AA12" s="30">
        <f>100*($E$21*$E$23+($E$22*(Z12/100))/(1-$E$25))</f>
        <v>25.08196505175249</v>
      </c>
      <c r="AB12" s="31">
        <f>AA12/U12</f>
        <v>0.08947068430908278</v>
      </c>
      <c r="AC12" s="29">
        <f>$E$12/(1-AB12)</f>
        <v>2316876.341567577</v>
      </c>
      <c r="AD12" t="str">
        <f>IF(AC12=$T$12,"yes","not yet")</f>
        <v>not yet</v>
      </c>
      <c r="AE12" s="30">
        <f>100*(1-AB12)</f>
        <v>91.05293156909173</v>
      </c>
      <c r="AH12">
        <v>401</v>
      </c>
      <c r="AI12">
        <v>4</v>
      </c>
    </row>
    <row r="13" spans="2:26" ht="12.75">
      <c r="B13" s="33" t="s">
        <v>125</v>
      </c>
      <c r="C13" s="15" t="s">
        <v>134</v>
      </c>
      <c r="E13" s="27">
        <f>+'Results of Operations'!C105</f>
        <v>940645.5418895655</v>
      </c>
      <c r="F13" s="15" t="s">
        <v>128</v>
      </c>
      <c r="K13" s="28"/>
      <c r="Z13" s="30"/>
    </row>
    <row r="14" spans="3:34" ht="12.75">
      <c r="C14" s="15" t="s">
        <v>135</v>
      </c>
      <c r="E14" s="30">
        <f>U9</f>
        <v>280.3372439301467</v>
      </c>
      <c r="F14" s="15" t="s">
        <v>136</v>
      </c>
      <c r="H14" s="30"/>
      <c r="U14" s="2" t="s">
        <v>137</v>
      </c>
      <c r="V14" s="2" t="s">
        <v>108</v>
      </c>
      <c r="W14" s="2" t="s">
        <v>109</v>
      </c>
      <c r="X14" s="2" t="s">
        <v>110</v>
      </c>
      <c r="Z14" s="30"/>
      <c r="AH14" s="15" t="s">
        <v>138</v>
      </c>
    </row>
    <row r="15" spans="3:31" ht="12.75">
      <c r="C15" s="15" t="s">
        <v>139</v>
      </c>
      <c r="E15" s="30">
        <f>HLOOKUP($AI$38,$AI$32:$AQ$36,$E$16+1)</f>
        <v>248.38415724304798</v>
      </c>
      <c r="F15" s="15" t="s">
        <v>136</v>
      </c>
      <c r="U15" s="30">
        <f>100*(+AC9/$E$13)</f>
        <v>247.22659628904663</v>
      </c>
      <c r="V15" s="34">
        <f>EXP(5.7226-(0.68367*LN(+U15)))</f>
        <v>7.066530109799441</v>
      </c>
      <c r="W15" s="31">
        <f>(+V15*U15)/100</f>
        <v>17.470341866197785</v>
      </c>
      <c r="X15" s="30">
        <f>100*((((W15/100)-((W15/100)-0.03574)*$E$25)-0.03574-0.00619)/0.344)</f>
        <v>26.478021239355957</v>
      </c>
      <c r="Y15">
        <v>0</v>
      </c>
      <c r="Z15" s="30">
        <f>X15+Y15</f>
        <v>26.478021239355957</v>
      </c>
      <c r="AA15" s="30">
        <f>100*($E$21*$E$23+($E$22*(Z15/100))/(1-$E$25))</f>
        <v>24.795446776590822</v>
      </c>
      <c r="AB15" s="31">
        <f>AA15/U15</f>
        <v>0.1002944147141882</v>
      </c>
      <c r="AC15" s="29">
        <f>$E$12/(1-AB15)</f>
        <v>2344749.0649486682</v>
      </c>
      <c r="AD15" t="str">
        <f>IF(OR(OR(AC15=AC9,AC15=(AC9+1)),AC15=(AC8193-1)),"yes","not yet")</f>
        <v>not yet</v>
      </c>
      <c r="AE15" s="30">
        <f>100*(1-AB15)</f>
        <v>89.97055852858118</v>
      </c>
    </row>
    <row r="16" spans="3:31" ht="12.75">
      <c r="C16" s="15" t="s">
        <v>140</v>
      </c>
      <c r="E16">
        <f>VLOOKUP(E14,AH9:AI12,2)</f>
        <v>3</v>
      </c>
      <c r="F16" s="15" t="s">
        <v>136</v>
      </c>
      <c r="U16" s="30">
        <f>100*(+AC10/$E$13)</f>
        <v>246.788803584518</v>
      </c>
      <c r="V16" s="34">
        <f>EXP(5.70827-(0.68367*LN(+U16)))</f>
        <v>6.974434822582017</v>
      </c>
      <c r="W16" s="31">
        <f>(+V16*U16)/100</f>
        <v>17.212124255432162</v>
      </c>
      <c r="X16" s="30">
        <f>100*((((W16/100)-((W16/100)-0.03574)*$E$25)-0.03574-0.00619)/0.344)</f>
        <v>25.952578426751494</v>
      </c>
      <c r="Y16">
        <v>0</v>
      </c>
      <c r="Z16" s="30">
        <f>X16+Y16</f>
        <v>25.952578426751494</v>
      </c>
      <c r="AA16" s="30">
        <f>100*($E$21*$E$23+($E$22*(Z16/100))/(1-$E$25))</f>
        <v>24.345067222929853</v>
      </c>
      <c r="AB16" s="31">
        <f>AA16/U16</f>
        <v>0.09864737325732191</v>
      </c>
      <c r="AC16" s="29">
        <f>$E$12/(1-AB16)</f>
        <v>2340464.5054973075</v>
      </c>
      <c r="AD16" t="str">
        <f>IF(OR(OR(AC16=AC10,AC16=(AC10+1)),AC16=(AC10-1)),"yes","not yet")</f>
        <v>not yet</v>
      </c>
      <c r="AE16" s="30">
        <f>100*(1-AB16)</f>
        <v>90.1352626742678</v>
      </c>
    </row>
    <row r="17" spans="21:42" ht="12.75">
      <c r="U17" s="30">
        <f>100*(+AC11/$E$13)</f>
        <v>246.49477186822267</v>
      </c>
      <c r="V17" s="34">
        <f>EXP(5.6985-(0.68367*LN(U17)))</f>
        <v>6.912257786733344</v>
      </c>
      <c r="W17" s="31">
        <f>(+V17*U17)/100</f>
        <v>17.038354062351814</v>
      </c>
      <c r="X17" s="30">
        <f>100*((((W17/100)-((W17/100)-0.03574)*$E$25)-0.03574-0.00619)/0.344)</f>
        <v>25.598976289669395</v>
      </c>
      <c r="Y17">
        <v>0</v>
      </c>
      <c r="Z17" s="30">
        <f>X17+Y17</f>
        <v>25.598976289669395</v>
      </c>
      <c r="AA17" s="30">
        <f>100*($E$21*$E$23+($E$22*(Z17/100))/(1-$E$25))</f>
        <v>24.041979676859484</v>
      </c>
      <c r="AB17" s="31">
        <f>AA17/U17</f>
        <v>0.09753545478730252</v>
      </c>
      <c r="AC17" s="29">
        <f>$E$12/(1-AB17)</f>
        <v>2337580.840176723</v>
      </c>
      <c r="AD17" t="str">
        <f>IF(OR(OR(AC17=AC11,AC17=(AC11+1)),AC17=(AC11-1)),"yes","not yet")</f>
        <v>not yet</v>
      </c>
      <c r="AE17" s="30">
        <f>100*(1-AB17)</f>
        <v>90.24645452126975</v>
      </c>
      <c r="AI17">
        <v>1</v>
      </c>
      <c r="AJ17">
        <v>2</v>
      </c>
      <c r="AK17">
        <v>3</v>
      </c>
      <c r="AL17">
        <v>4</v>
      </c>
      <c r="AM17">
        <v>5</v>
      </c>
      <c r="AN17">
        <v>7</v>
      </c>
      <c r="AO17">
        <v>8</v>
      </c>
      <c r="AP17">
        <v>9</v>
      </c>
    </row>
    <row r="18" spans="3:42" ht="12.75">
      <c r="C18" s="15" t="s">
        <v>141</v>
      </c>
      <c r="U18" s="30">
        <f>100*(+AC12/$E$13)</f>
        <v>246.30705599406167</v>
      </c>
      <c r="V18" s="34">
        <f>EXP(5.6922-(0.68367*LN(U18)))</f>
        <v>6.872425958574669</v>
      </c>
      <c r="W18" s="31">
        <f>(+V18*U18)/100</f>
        <v>16.92727005393694</v>
      </c>
      <c r="X18" s="30">
        <f>100*((((W18/100)-((W18/100)-0.03574)*$E$25)-0.03574-0.00619)/0.344)</f>
        <v>25.372933249290284</v>
      </c>
      <c r="Y18">
        <v>0</v>
      </c>
      <c r="Z18" s="30">
        <f>X18+Y18</f>
        <v>25.372933249290284</v>
      </c>
      <c r="AA18" s="30">
        <f>100*($E$21*$E$23+($E$22*(Z18/100))/(1-$E$25))</f>
        <v>23.84822849939167</v>
      </c>
      <c r="AB18" s="31">
        <f>AA18/U18</f>
        <v>0.0968231640914365</v>
      </c>
      <c r="AC18" s="29">
        <f>$E$12/(1-AB18)</f>
        <v>2335737.3063114886</v>
      </c>
      <c r="AD18" t="str">
        <f>IF(OR(OR(AC18=AC12,AC18=(AC12+1)),AC18=(AC12-1)),"yes","not yet")</f>
        <v>not yet</v>
      </c>
      <c r="AE18" s="30">
        <f>100*(1-AB18)</f>
        <v>90.31768359085635</v>
      </c>
      <c r="AI18" t="str">
        <f>AD9</f>
        <v>not yet</v>
      </c>
      <c r="AJ18" t="str">
        <f>AD15</f>
        <v>not yet</v>
      </c>
      <c r="AK18" t="str">
        <f>AD21</f>
        <v>not yet</v>
      </c>
      <c r="AL18" t="str">
        <f>AD27</f>
        <v>not yet</v>
      </c>
      <c r="AM18" t="str">
        <f>AD33</f>
        <v>not yet</v>
      </c>
      <c r="AN18">
        <f>AC45</f>
        <v>2343521</v>
      </c>
      <c r="AO18">
        <f>AC51</f>
        <v>2343521</v>
      </c>
      <c r="AP18">
        <f>AC57</f>
        <v>2343521</v>
      </c>
    </row>
    <row r="19" spans="3:42" ht="12.75">
      <c r="C19" s="15" t="s">
        <v>142</v>
      </c>
      <c r="E19" s="33" t="s">
        <v>117</v>
      </c>
      <c r="F19" s="15" t="s">
        <v>143</v>
      </c>
      <c r="H19" s="30">
        <f>HLOOKUP($AI$29,$AI$23:$AQ$27,$E$16+1)</f>
        <v>90.29171242832062</v>
      </c>
      <c r="I19" s="15" t="s">
        <v>119</v>
      </c>
      <c r="J19" s="35"/>
      <c r="Z19" s="30"/>
      <c r="AI19" t="str">
        <f>AD10</f>
        <v>not yet</v>
      </c>
      <c r="AJ19" t="str">
        <f>AD16</f>
        <v>not yet</v>
      </c>
      <c r="AK19" t="str">
        <f>AD22</f>
        <v>not yet</v>
      </c>
      <c r="AL19" t="str">
        <f>AD28</f>
        <v>not yet</v>
      </c>
      <c r="AM19" t="str">
        <f>AD34</f>
        <v>not yet</v>
      </c>
      <c r="AN19">
        <f>AC46</f>
        <v>2339270</v>
      </c>
      <c r="AO19">
        <f>AC52</f>
        <v>2339270</v>
      </c>
      <c r="AP19">
        <f>AC58</f>
        <v>2339270</v>
      </c>
    </row>
    <row r="20" spans="3:42" ht="12.75">
      <c r="C20" s="36" t="s">
        <v>127</v>
      </c>
      <c r="D20" s="36" t="s">
        <v>127</v>
      </c>
      <c r="E20" s="37"/>
      <c r="H20" s="36" t="s">
        <v>144</v>
      </c>
      <c r="U20" s="15" t="s">
        <v>145</v>
      </c>
      <c r="V20" s="2" t="s">
        <v>108</v>
      </c>
      <c r="W20" s="2" t="s">
        <v>109</v>
      </c>
      <c r="X20" s="2" t="s">
        <v>110</v>
      </c>
      <c r="Z20" s="30"/>
      <c r="AI20" t="str">
        <f>AD11</f>
        <v>not yet</v>
      </c>
      <c r="AJ20" t="str">
        <f>AD17</f>
        <v>not yet</v>
      </c>
      <c r="AK20" t="str">
        <f>AD23</f>
        <v>not yet</v>
      </c>
      <c r="AL20" t="str">
        <f>AD29</f>
        <v>not yet</v>
      </c>
      <c r="AM20" t="str">
        <f>AD35</f>
        <v>not yet</v>
      </c>
      <c r="AN20">
        <f>AC47</f>
        <v>2336410</v>
      </c>
      <c r="AO20">
        <f>AC53</f>
        <v>2336409</v>
      </c>
      <c r="AP20">
        <f>AC59</f>
        <v>2336410</v>
      </c>
    </row>
    <row r="21" spans="2:42" ht="12.75">
      <c r="B21" s="33" t="s">
        <v>125</v>
      </c>
      <c r="C21" s="15" t="s">
        <v>146</v>
      </c>
      <c r="E21" s="39">
        <v>0.4</v>
      </c>
      <c r="F21" s="15" t="s">
        <v>147</v>
      </c>
      <c r="U21" s="30">
        <f>100*(+AC15/$E$13)</f>
        <v>249.27020440011276</v>
      </c>
      <c r="V21" s="34">
        <f>EXP(5.7226-(0.68367*LN(+U21)))</f>
        <v>7.026870832121263</v>
      </c>
      <c r="W21" s="31">
        <f>(+V21*U21)/100</f>
        <v>17.51589528616058</v>
      </c>
      <c r="X21" s="30">
        <f>100*((((W21/100)-((W21/100)-0.03574)*$E$25)-0.03574-0.00619)/0.344)</f>
        <v>26.570717152070948</v>
      </c>
      <c r="Y21">
        <v>0</v>
      </c>
      <c r="Z21" s="30">
        <f>X21+Y21</f>
        <v>26.570717152070948</v>
      </c>
      <c r="AA21" s="30">
        <f>100*($E$21*$E$23+($E$22*(Z21/100))/(1-$E$25))</f>
        <v>24.874900416060814</v>
      </c>
      <c r="AB21" s="31">
        <f>AA21/U21</f>
        <v>0.09979090953098108</v>
      </c>
      <c r="AC21" s="29">
        <f>$E$12/(1-AB21)</f>
        <v>2343437.599290277</v>
      </c>
      <c r="AD21" t="str">
        <f>IF(OR(OR(AC21=AC15,AC21=(AC15+1)),AC21=(AC7-1)),"yes","not yet")</f>
        <v>not yet</v>
      </c>
      <c r="AE21" s="30">
        <f>100*(1-AB21)</f>
        <v>90.02090904690189</v>
      </c>
      <c r="AI21" t="str">
        <f>AD12</f>
        <v>not yet</v>
      </c>
      <c r="AJ21" t="str">
        <f>AD18</f>
        <v>not yet</v>
      </c>
      <c r="AK21" t="str">
        <f>AD24</f>
        <v>not yet</v>
      </c>
      <c r="AL21" t="str">
        <f>AD30</f>
        <v>not yet</v>
      </c>
      <c r="AM21" t="str">
        <f>AD36</f>
        <v>not yet</v>
      </c>
      <c r="AN21">
        <f>AC48</f>
        <v>2334581</v>
      </c>
      <c r="AO21">
        <f>AC54</f>
        <v>2334581</v>
      </c>
      <c r="AP21">
        <f>AC60</f>
        <v>2334581</v>
      </c>
    </row>
    <row r="22" spans="2:31" ht="12.75">
      <c r="B22" s="33" t="s">
        <v>125</v>
      </c>
      <c r="C22" s="15" t="s">
        <v>148</v>
      </c>
      <c r="E22" s="39">
        <v>0.6</v>
      </c>
      <c r="F22" s="15" t="s">
        <v>149</v>
      </c>
      <c r="H22" s="44">
        <v>0.015</v>
      </c>
      <c r="I22" s="15" t="s">
        <v>125</v>
      </c>
      <c r="U22" s="30">
        <f>100*(+AC16/$E$13)</f>
        <v>248.8147130103642</v>
      </c>
      <c r="V22" s="34">
        <f>EXP(5.70827-(0.68367*LN(+U22)))</f>
        <v>6.935560713598699</v>
      </c>
      <c r="W22" s="31">
        <f>(+V22*U22)/100</f>
        <v>17.25669548520017</v>
      </c>
      <c r="X22" s="30">
        <f>100*((((W22/100)-((W22/100)-0.03574)*$E$25)-0.03574-0.00619)/0.344)</f>
        <v>26.04327569662825</v>
      </c>
      <c r="Y22">
        <v>0</v>
      </c>
      <c r="Z22" s="30">
        <f>X22+Y22</f>
        <v>26.04327569662825</v>
      </c>
      <c r="AA22" s="30">
        <f>100*($E$21*$E$23+($E$22*(Z22/100))/(1-$E$25))</f>
        <v>24.422807739967066</v>
      </c>
      <c r="AB22" s="31">
        <f>AA22/U22</f>
        <v>0.09815660595179415</v>
      </c>
      <c r="AC22" s="29">
        <f>$E$12/(1-AB22)</f>
        <v>2339190.8658979866</v>
      </c>
      <c r="AD22" t="str">
        <f>IF(OR(OR(AC22=AC16,AC22=(AC16+1)),AC22=(AC16-1)),"yes","not yet")</f>
        <v>not yet</v>
      </c>
      <c r="AE22" s="30">
        <f>100*(1-AB22)</f>
        <v>90.18433940482058</v>
      </c>
    </row>
    <row r="23" spans="2:42" ht="12.75">
      <c r="B23" s="33" t="s">
        <v>125</v>
      </c>
      <c r="C23" s="15" t="s">
        <v>150</v>
      </c>
      <c r="E23" s="40">
        <v>0.0525</v>
      </c>
      <c r="F23" s="15" t="s">
        <v>151</v>
      </c>
      <c r="H23" s="129">
        <v>0.0051</v>
      </c>
      <c r="I23" s="15" t="s">
        <v>125</v>
      </c>
      <c r="U23" s="30">
        <f>100*(+AC17/$E$13)</f>
        <v>248.50815063461616</v>
      </c>
      <c r="V23" s="34">
        <f>EXP(5.6985-(0.68367*LN(U23)))</f>
        <v>6.873921553060661</v>
      </c>
      <c r="W23" s="31">
        <f>(+V23*U23)/100</f>
        <v>17.082255327585337</v>
      </c>
      <c r="X23" s="30">
        <f>100*((((W23/100)-((W23/100)-0.03574)*$E$25)-0.03574-0.00619)/0.344)</f>
        <v>25.68831025962132</v>
      </c>
      <c r="Y23">
        <v>0</v>
      </c>
      <c r="Z23" s="30">
        <f>X23+Y23</f>
        <v>25.68831025962132</v>
      </c>
      <c r="AA23" s="30">
        <f>100*($E$21*$E$23+($E$22*(Z23/100))/(1-$E$25))</f>
        <v>24.11855165110399</v>
      </c>
      <c r="AB23" s="31">
        <f>AA23/U23</f>
        <v>0.09705336259399282</v>
      </c>
      <c r="AC23" s="29">
        <f>$E$12/(1-AB23)</f>
        <v>2336332.782509088</v>
      </c>
      <c r="AD23" t="str">
        <f>IF(OR(OR(AC23=AC17,AC23=(AC17+1)),AC23=(AC17-1)),"yes","not yet")</f>
        <v>not yet</v>
      </c>
      <c r="AE23" s="30">
        <f>100*(1-AB23)</f>
        <v>90.29466374060073</v>
      </c>
      <c r="AI23" t="str">
        <f>HLOOKUP(1,$AI$17:$AQ$21,$E$16+1)</f>
        <v>not yet</v>
      </c>
      <c r="AJ23" t="str">
        <f>HLOOKUP(2,$AI$17:$AQ$21,$E$16+1)</f>
        <v>not yet</v>
      </c>
      <c r="AK23" t="str">
        <f>HLOOKUP(3,$AI$17:$AQ$21,$E$16+1)</f>
        <v>not yet</v>
      </c>
      <c r="AL23" t="str">
        <f>HLOOKUP(4,$AI$17:$AQ$21,$E$16+1)</f>
        <v>not yet</v>
      </c>
      <c r="AM23" t="str">
        <f>HLOOKUP(5,$AI$17:$AQ$21,$E$16+1)</f>
        <v>not yet</v>
      </c>
      <c r="AN23">
        <f>HLOOKUP(7,$AI$17:$AQ$21,$E$16+1)</f>
        <v>2336410</v>
      </c>
      <c r="AO23">
        <f>HLOOKUP(8,$AI$17:$AQ$21,$E$16+1)</f>
        <v>2336409</v>
      </c>
      <c r="AP23">
        <f>HLOOKUP(9,$AI$17:$AQ$21,$E$16+1)</f>
        <v>2336410</v>
      </c>
    </row>
    <row r="24" spans="5:42" ht="12.75">
      <c r="E24" s="38"/>
      <c r="F24" s="15" t="s">
        <v>152</v>
      </c>
      <c r="H24" s="44">
        <v>0</v>
      </c>
      <c r="I24" s="15" t="s">
        <v>125</v>
      </c>
      <c r="U24" s="30">
        <f>100*(+AC18/$E$13)</f>
        <v>248.31216460341346</v>
      </c>
      <c r="V24" s="34">
        <f>EXP(5.6922-(0.68367*LN(U24)))</f>
        <v>6.834437402496207</v>
      </c>
      <c r="W24" s="31">
        <f>(+V24*U24)/100</f>
        <v>16.970739452603638</v>
      </c>
      <c r="X24" s="30">
        <f>100*((((W24/100)-((W24/100)-0.03574)*$E$25)-0.03574-0.00619)/0.344)</f>
        <v>25.461388420995778</v>
      </c>
      <c r="Y24">
        <v>0</v>
      </c>
      <c r="Z24" s="30">
        <f>X24+Y24</f>
        <v>25.461388420995778</v>
      </c>
      <c r="AA24" s="30">
        <f>100*($E$21*$E$23+($E$22*(Z24/100))/(1-$E$25))</f>
        <v>23.92404721799638</v>
      </c>
      <c r="AB24" s="31">
        <f>AA24/U24</f>
        <v>0.09634665807132796</v>
      </c>
      <c r="AC24" s="29">
        <f>$E$12/(1-AB24)</f>
        <v>2334505.647182697</v>
      </c>
      <c r="AD24" t="str">
        <f>IF(OR(OR(AC24=AC18,AC24=(AC18+1)),AC24=(AC18-1)),"yes","not yet")</f>
        <v>not yet</v>
      </c>
      <c r="AE24" s="30">
        <f>100*(1-AB24)</f>
        <v>90.36533419286721</v>
      </c>
      <c r="AH24">
        <v>1</v>
      </c>
      <c r="AI24" s="30">
        <f>AE9</f>
        <v>90.71426719878912</v>
      </c>
      <c r="AJ24" s="30">
        <f>AE15</f>
        <v>89.97055852858118</v>
      </c>
      <c r="AK24" s="30">
        <f>AE21</f>
        <v>90.02090904690189</v>
      </c>
      <c r="AL24" s="30">
        <f>AE27</f>
        <v>90.01749452551869</v>
      </c>
      <c r="AM24" s="30">
        <f>AE33</f>
        <v>90.01772605512645</v>
      </c>
      <c r="AN24" s="30" t="str">
        <f>AD45</f>
        <v>yes</v>
      </c>
      <c r="AO24" s="30" t="str">
        <f>AD51</f>
        <v>yes</v>
      </c>
      <c r="AP24" s="30" t="str">
        <f>AD57</f>
        <v>yes</v>
      </c>
    </row>
    <row r="25" spans="2:42" ht="12.75">
      <c r="B25" s="33" t="s">
        <v>125</v>
      </c>
      <c r="C25" s="15" t="s">
        <v>153</v>
      </c>
      <c r="E25" s="39">
        <v>0.3</v>
      </c>
      <c r="F25" s="15" t="s">
        <v>154</v>
      </c>
      <c r="H25" s="44">
        <v>0.012</v>
      </c>
      <c r="I25" s="15" t="s">
        <v>125</v>
      </c>
      <c r="Z25" s="30"/>
      <c r="AH25">
        <v>2</v>
      </c>
      <c r="AI25" s="30">
        <f>AE10</f>
        <v>90.87519040032606</v>
      </c>
      <c r="AJ25" s="30">
        <f>AE16</f>
        <v>90.1352626742678</v>
      </c>
      <c r="AK25" s="30">
        <f>AE22</f>
        <v>90.18433940482058</v>
      </c>
      <c r="AL25" s="30">
        <f>AE28</f>
        <v>90.18107888474889</v>
      </c>
      <c r="AM25" s="30">
        <f>AE34</f>
        <v>90.18129548049964</v>
      </c>
      <c r="AN25" s="30" t="str">
        <f>AD46</f>
        <v>yes</v>
      </c>
      <c r="AO25" s="30" t="str">
        <f>AD52</f>
        <v>yes</v>
      </c>
      <c r="AP25" s="30" t="str">
        <f>AD58</f>
        <v>yes</v>
      </c>
    </row>
    <row r="26" spans="8:42" ht="12.75">
      <c r="H26" s="36" t="s">
        <v>127</v>
      </c>
      <c r="U26" s="15" t="s">
        <v>155</v>
      </c>
      <c r="V26" s="2" t="s">
        <v>108</v>
      </c>
      <c r="W26" s="2" t="s">
        <v>109</v>
      </c>
      <c r="X26" s="2" t="s">
        <v>110</v>
      </c>
      <c r="Z26" s="30"/>
      <c r="AH26">
        <v>3</v>
      </c>
      <c r="AI26" s="30">
        <f>AE11</f>
        <v>90.98359102886496</v>
      </c>
      <c r="AJ26" s="30">
        <f>AE17</f>
        <v>90.24645452126975</v>
      </c>
      <c r="AK26" s="30">
        <f>AE23</f>
        <v>90.29466374060073</v>
      </c>
      <c r="AL26" s="30">
        <f>AE29</f>
        <v>90.29150555873244</v>
      </c>
      <c r="AM26" s="30">
        <f>AE35</f>
        <v>90.29171242832062</v>
      </c>
      <c r="AN26" s="30" t="str">
        <f>AD47</f>
        <v>yes</v>
      </c>
      <c r="AO26" s="30" t="str">
        <f>AD53</f>
        <v>yes</v>
      </c>
      <c r="AP26" s="30" t="str">
        <f>AD59</f>
        <v>yes</v>
      </c>
    </row>
    <row r="27" spans="6:42" ht="12.75">
      <c r="F27" s="15" t="s">
        <v>156</v>
      </c>
      <c r="H27" s="28">
        <f>SUM(H22:H25)</f>
        <v>0.032100000000000004</v>
      </c>
      <c r="U27" s="30">
        <f>100*(+AC21/$E$13)</f>
        <v>249.13078252439144</v>
      </c>
      <c r="V27" s="34">
        <f>EXP(5.7226-(0.68367*LN(+U27)))</f>
        <v>7.029559106476136</v>
      </c>
      <c r="W27" s="31">
        <f>(+V27*U27)/100</f>
        <v>17.512795609978618</v>
      </c>
      <c r="X27" s="30">
        <f>100*((((W27/100)-((W27/100)-0.03574)*$E$25)-0.03574-0.00619)/0.344)</f>
        <v>26.56440967146812</v>
      </c>
      <c r="Y27">
        <v>0</v>
      </c>
      <c r="Z27" s="30">
        <f>X27+Y27</f>
        <v>26.56440967146812</v>
      </c>
      <c r="AA27" s="30">
        <f>100*($E$21*$E$23+($E$22*(Z27/100))/(1-$E$25))</f>
        <v>24.86949400411553</v>
      </c>
      <c r="AB27" s="31">
        <f>AA27/U27</f>
        <v>0.09982505474481322</v>
      </c>
      <c r="AC27" s="29">
        <f>$E$12/(1-AB27)</f>
        <v>2343526.4899868597</v>
      </c>
      <c r="AD27" t="str">
        <f>IF(OR(OR(AC27=AC21,AC27=(AC21+1)),AC27=(AC13-1)),"yes","not yet")</f>
        <v>not yet</v>
      </c>
      <c r="AE27" s="30">
        <f>100*(1-AB27)</f>
        <v>90.01749452551869</v>
      </c>
      <c r="AH27">
        <v>4</v>
      </c>
      <c r="AI27" s="30">
        <f>AE12</f>
        <v>91.05293156909173</v>
      </c>
      <c r="AJ27" s="30">
        <f>AE18</f>
        <v>90.31768359085635</v>
      </c>
      <c r="AK27" s="30">
        <f>AE24</f>
        <v>90.36533419286721</v>
      </c>
      <c r="AL27" s="30">
        <f>AE30</f>
        <v>90.36224085268456</v>
      </c>
      <c r="AM27" s="30">
        <f>AE36</f>
        <v>90.36244164167205</v>
      </c>
      <c r="AN27" s="30" t="str">
        <f>AD48</f>
        <v>yes</v>
      </c>
      <c r="AO27" s="30" t="str">
        <f>AD54</f>
        <v>yes</v>
      </c>
      <c r="AP27" s="30" t="str">
        <f>AD60</f>
        <v>yes</v>
      </c>
    </row>
    <row r="28" spans="21:31" ht="12.75">
      <c r="U28" s="30">
        <f>100*(+AC22/$E$13)</f>
        <v>248.67931242187447</v>
      </c>
      <c r="V28" s="34">
        <f>EXP(5.70827-(0.68367*LN(+U28)))</f>
        <v>6.938142210463818</v>
      </c>
      <c r="W28" s="31">
        <f>(+V28*U28)/100</f>
        <v>17.253724343833266</v>
      </c>
      <c r="X28" s="30">
        <f>100*((((W28/100)-((W28/100)-0.03574)*$E$25)-0.03574-0.00619)/0.344)</f>
        <v>26.037229769428162</v>
      </c>
      <c r="Y28">
        <v>0</v>
      </c>
      <c r="Z28" s="30">
        <f>X28+Y28</f>
        <v>26.037229769428162</v>
      </c>
      <c r="AA28" s="30">
        <f>100*($E$21*$E$23+($E$22*(Z28/100))/(1-$E$25))</f>
        <v>24.41762551665271</v>
      </c>
      <c r="AB28" s="31">
        <f>AA28/U28</f>
        <v>0.0981892111525111</v>
      </c>
      <c r="AC28" s="29">
        <f>$E$12/(1-AB28)</f>
        <v>2339275.439944606</v>
      </c>
      <c r="AD28" t="str">
        <f>IF(OR(OR(AC28=AC22,AC28=(AC22+1)),AC28=(AC22-1)),"yes","not yet")</f>
        <v>not yet</v>
      </c>
      <c r="AE28" s="30">
        <f>100*(1-AB28)</f>
        <v>90.18107888474889</v>
      </c>
    </row>
    <row r="29" spans="6:35" ht="12.75">
      <c r="F29" s="15" t="s">
        <v>157</v>
      </c>
      <c r="H29" s="31">
        <f>((+H19/100)-H27)</f>
        <v>0.8708171242832062</v>
      </c>
      <c r="U29" s="30">
        <f>100*(+AC23/$E$13)</f>
        <v>248.37546966053446</v>
      </c>
      <c r="V29" s="34">
        <f>EXP(5.6985-(0.68367*LN(U29)))</f>
        <v>6.876431787927989</v>
      </c>
      <c r="W29" s="31">
        <f>(+V29*U29)/100</f>
        <v>17.07936974915243</v>
      </c>
      <c r="X29" s="30">
        <f>100*((((W29/100)-((W29/100)-0.03574)*$E$25)-0.03574-0.00619)/0.344)</f>
        <v>25.682438443042738</v>
      </c>
      <c r="Y29">
        <v>0</v>
      </c>
      <c r="Z29" s="30">
        <f>X29+Y29</f>
        <v>25.682438443042738</v>
      </c>
      <c r="AA29" s="30">
        <f>100*($E$21*$E$23+($E$22*(Z29/100))/(1-$E$25))</f>
        <v>24.113518665465207</v>
      </c>
      <c r="AB29" s="31">
        <f>AA29/U29</f>
        <v>0.09708494441267569</v>
      </c>
      <c r="AC29" s="29">
        <f>$E$12/(1-AB29)</f>
        <v>2336414.501866699</v>
      </c>
      <c r="AD29" t="str">
        <f>IF(OR(OR(AC29=AC23,AC29=(AC23+1)),AC29=(AC23-1)),"yes","not yet")</f>
        <v>not yet</v>
      </c>
      <c r="AE29" s="30">
        <f>100*(1-AB29)</f>
        <v>90.29150555873244</v>
      </c>
      <c r="AI29" s="15" t="s">
        <v>158</v>
      </c>
    </row>
    <row r="30" spans="21:35" ht="12.75">
      <c r="U30" s="30">
        <f>100*(+AC24/$E$13)</f>
        <v>248.18122695751578</v>
      </c>
      <c r="V30" s="34">
        <f>EXP(5.6922-(0.68367*LN(U30)))</f>
        <v>6.836902355600189</v>
      </c>
      <c r="W30" s="31">
        <f>(+V30*U30)/100</f>
        <v>16.967908152015845</v>
      </c>
      <c r="X30" s="30">
        <f>100*((((W30/100)-((W30/100)-0.03574)*$E$25)-0.03574-0.00619)/0.344)</f>
        <v>25.45562705352061</v>
      </c>
      <c r="Y30">
        <v>0</v>
      </c>
      <c r="Z30" s="30">
        <f>X30+Y30</f>
        <v>25.45562705352061</v>
      </c>
      <c r="AA30" s="30">
        <f>100*($E$21*$E$23+($E$22*(Z30/100))/(1-$E$25))</f>
        <v>23.91910890301767</v>
      </c>
      <c r="AB30" s="31">
        <f>AA30/U30</f>
        <v>0.0963775914731544</v>
      </c>
      <c r="AC30" s="29">
        <f>$E$12/(1-AB30)</f>
        <v>2334585.5635289154</v>
      </c>
      <c r="AD30" t="str">
        <f>IF(OR(OR(AC30=AC24,AC30=(AC24+1)),AC30=(AC24-1)),"yes","not yet")</f>
        <v>not yet</v>
      </c>
      <c r="AE30" s="30">
        <f>100*(1-AB30)</f>
        <v>90.36224085268456</v>
      </c>
      <c r="AI30" s="30">
        <f>HLOOKUP($AI$29,$AI$23:$AQ$27,$E$16+1)</f>
        <v>90.29171242832062</v>
      </c>
    </row>
    <row r="31" spans="5:26" ht="12.75">
      <c r="E31" s="29"/>
      <c r="Z31" s="30"/>
    </row>
    <row r="32" spans="21:42" ht="12.75">
      <c r="U32" s="15" t="s">
        <v>159</v>
      </c>
      <c r="V32" s="2" t="s">
        <v>108</v>
      </c>
      <c r="W32" s="2" t="s">
        <v>109</v>
      </c>
      <c r="X32" s="2" t="s">
        <v>110</v>
      </c>
      <c r="Z32" s="30"/>
      <c r="AI32" t="str">
        <f>HLOOKUP(1,$AI$17:$AQ$21,$E$16+1)</f>
        <v>not yet</v>
      </c>
      <c r="AJ32" t="str">
        <f>HLOOKUP(2,$AI$17:$AQ$21,$E$16+1)</f>
        <v>not yet</v>
      </c>
      <c r="AK32" t="str">
        <f>HLOOKUP(3,$AI$17:$AQ$21,$E$16+1)</f>
        <v>not yet</v>
      </c>
      <c r="AL32" t="str">
        <f>HLOOKUP(4,$AI$17:$AQ$21,$E$16+1)</f>
        <v>not yet</v>
      </c>
      <c r="AM32" t="str">
        <f>HLOOKUP(5,$AI$17:$AQ$21,$E$16+1)</f>
        <v>not yet</v>
      </c>
      <c r="AN32">
        <f>HLOOKUP(7,$AI$17:$AQ$21,$E$16+1)</f>
        <v>2336410</v>
      </c>
      <c r="AO32">
        <f>HLOOKUP(8,$AI$17:$AQ$21,$E$16+1)</f>
        <v>2336409</v>
      </c>
      <c r="AP32">
        <f>HLOOKUP(9,$AI$17:$AQ$21,$E$16+1)</f>
        <v>2336410</v>
      </c>
    </row>
    <row r="33" spans="5:42" ht="12.75">
      <c r="E33" s="29"/>
      <c r="U33" s="30">
        <f>100*(+AC27/$E$13)</f>
        <v>249.14023249174093</v>
      </c>
      <c r="V33" s="34">
        <f>EXP(5.7226-(0.68367*LN(+U33)))</f>
        <v>7.029376816134802</v>
      </c>
      <c r="W33" s="31">
        <f>(+V33*U33)/100</f>
        <v>17.513005742438782</v>
      </c>
      <c r="X33" s="30">
        <f>100*((((W33/100)-((W33/100)-0.03574)*$E$25)-0.03574-0.00619)/0.344)</f>
        <v>26.56483726659054</v>
      </c>
      <c r="Y33">
        <v>0</v>
      </c>
      <c r="Z33" s="30">
        <f>X33+Y33</f>
        <v>26.56483726659054</v>
      </c>
      <c r="AA33" s="30">
        <f>100*($E$21*$E$23+($E$22*(Z33/100))/(1-$E$25))</f>
        <v>24.869860514220463</v>
      </c>
      <c r="AB33" s="31">
        <f>AA33/U33</f>
        <v>0.09982273944873558</v>
      </c>
      <c r="AC33" s="29">
        <f>$E$12/(1-AB33)</f>
        <v>2343520.462332166</v>
      </c>
      <c r="AD33" t="str">
        <f>IF(OR(OR(AC33=AC27,AC33=(AC27+1)),AC33=(AC19-1)),"yes","not yet")</f>
        <v>not yet</v>
      </c>
      <c r="AE33" s="30">
        <f>100*(1-AB33)</f>
        <v>90.01772605512645</v>
      </c>
      <c r="AH33">
        <v>1</v>
      </c>
      <c r="AI33" s="30">
        <f>U9</f>
        <v>280.3372439301467</v>
      </c>
      <c r="AJ33" s="30">
        <f>U15</f>
        <v>247.22659628904663</v>
      </c>
      <c r="AK33" s="30">
        <f>U21</f>
        <v>249.27020440011276</v>
      </c>
      <c r="AL33" s="30">
        <f>U27</f>
        <v>249.13078252439144</v>
      </c>
      <c r="AM33" s="30">
        <f>U33</f>
        <v>249.14023249174093</v>
      </c>
      <c r="AN33" s="30">
        <f>T45</f>
        <v>0</v>
      </c>
      <c r="AO33" s="30">
        <f>T51</f>
        <v>0</v>
      </c>
      <c r="AP33" s="30">
        <f>T57</f>
        <v>0</v>
      </c>
    </row>
    <row r="34" spans="5:42" ht="12.75">
      <c r="E34" s="29"/>
      <c r="U34" s="30">
        <f>100*(+AC28/$E$13)</f>
        <v>248.68830348629274</v>
      </c>
      <c r="V34" s="34">
        <f>EXP(5.70827-(0.68367*LN(+U34)))</f>
        <v>6.937970716849476</v>
      </c>
      <c r="W34" s="31">
        <f>(+V34*U34)/100</f>
        <v>17.253921672108746</v>
      </c>
      <c r="X34" s="30">
        <f>100*((((W34/100)-((W34/100)-0.03574)*$E$25)-0.03574-0.00619)/0.344)</f>
        <v>26.03763130952362</v>
      </c>
      <c r="Y34">
        <v>0</v>
      </c>
      <c r="Z34" s="30">
        <f>X34+Y34</f>
        <v>26.03763130952362</v>
      </c>
      <c r="AA34" s="30">
        <f>100*($E$21*$E$23+($E$22*(Z34/100))/(1-$E$25))</f>
        <v>24.417969693877385</v>
      </c>
      <c r="AB34" s="31">
        <f>AA34/U34</f>
        <v>0.09818704519500356</v>
      </c>
      <c r="AC34" s="29">
        <f>$E$12/(1-AB34)</f>
        <v>2339269.8215165553</v>
      </c>
      <c r="AD34" t="str">
        <f>IF(OR(OR(AC34=AC28,AC34=(AC28+1)),AC34=(AC28-1)),"yes","not yet")</f>
        <v>not yet</v>
      </c>
      <c r="AE34" s="30">
        <f>100*(1-AB34)</f>
        <v>90.18129548049964</v>
      </c>
      <c r="AH34">
        <v>2</v>
      </c>
      <c r="AI34" s="30">
        <f>U10</f>
        <v>280.3372439301467</v>
      </c>
      <c r="AJ34" s="30">
        <f>U16</f>
        <v>246.788803584518</v>
      </c>
      <c r="AK34" s="30">
        <f>U22</f>
        <v>248.8147130103642</v>
      </c>
      <c r="AL34" s="30">
        <f>U28</f>
        <v>248.67931242187447</v>
      </c>
      <c r="AM34" s="30">
        <f>U34</f>
        <v>248.68830348629274</v>
      </c>
      <c r="AN34" s="30">
        <f>T46</f>
        <v>0</v>
      </c>
      <c r="AO34" s="30">
        <f>T52</f>
        <v>0</v>
      </c>
      <c r="AP34" s="30">
        <f>T58</f>
        <v>0</v>
      </c>
    </row>
    <row r="35" spans="5:42" ht="12.75">
      <c r="E35" s="29"/>
      <c r="U35" s="30">
        <f>100*(+AC29/$E$13)</f>
        <v>248.38415724304798</v>
      </c>
      <c r="V35" s="34">
        <f>EXP(5.6985-(0.68367*LN(U35)))</f>
        <v>6.87626735563395</v>
      </c>
      <c r="W35" s="31">
        <f>(+V35*U35)/100</f>
        <v>17.07955872107021</v>
      </c>
      <c r="X35" s="30">
        <f>100*((((W35/100)-((W35/100)-0.03574)*$E$25)-0.03574-0.00619)/0.344)</f>
        <v>25.682822978921934</v>
      </c>
      <c r="Y35">
        <v>0</v>
      </c>
      <c r="Z35" s="30">
        <f>X35+Y35</f>
        <v>25.682822978921934</v>
      </c>
      <c r="AA35" s="30">
        <f>100*($E$21*$E$23+($E$22*(Z35/100))/(1-$E$25))</f>
        <v>24.113848267647374</v>
      </c>
      <c r="AB35" s="31">
        <f>AA35/U35</f>
        <v>0.0970828757167937</v>
      </c>
      <c r="AC35" s="29">
        <f>$E$12/(1-AB35)</f>
        <v>2336409.14884932</v>
      </c>
      <c r="AD35" t="str">
        <f>IF(OR(OR(AC35=AC29,AC35=(AC29+1)),AC35=(AC29-1)),"yes","not yet")</f>
        <v>not yet</v>
      </c>
      <c r="AE35" s="30">
        <f>100*(1-AB35)</f>
        <v>90.29171242832062</v>
      </c>
      <c r="AH35">
        <v>3</v>
      </c>
      <c r="AI35" s="30">
        <f>U11</f>
        <v>280.3372439301467</v>
      </c>
      <c r="AJ35" s="30">
        <f>U17</f>
        <v>246.49477186822267</v>
      </c>
      <c r="AK35" s="30">
        <f>U23</f>
        <v>248.50815063461616</v>
      </c>
      <c r="AL35" s="30">
        <f>U29</f>
        <v>248.37546966053446</v>
      </c>
      <c r="AM35" s="30">
        <f>U35</f>
        <v>248.38415724304798</v>
      </c>
      <c r="AN35" s="30">
        <f>T47</f>
        <v>0</v>
      </c>
      <c r="AO35" s="30">
        <f>T53</f>
        <v>0</v>
      </c>
      <c r="AP35" s="30">
        <f>T59</f>
        <v>0</v>
      </c>
    </row>
    <row r="36" spans="5:42" ht="12.75">
      <c r="E36" s="29"/>
      <c r="U36" s="30">
        <f>100*(+AC30/$E$13)</f>
        <v>248.18972286194096</v>
      </c>
      <c r="V36" s="34">
        <f>EXP(5.6922-(0.68367*LN(U36)))</f>
        <v>6.836742350407945</v>
      </c>
      <c r="W36" s="31">
        <f>(+V36*U36)/100</f>
        <v>16.96809189226243</v>
      </c>
      <c r="X36" s="30">
        <f>100*((((W36/100)-((W36/100)-0.03574)*$E$25)-0.03574-0.00619)/0.344)</f>
        <v>25.45600094355727</v>
      </c>
      <c r="Y36">
        <v>0</v>
      </c>
      <c r="Z36" s="30">
        <f>X36+Y36</f>
        <v>25.45600094355727</v>
      </c>
      <c r="AA36" s="30">
        <f>100*($E$21*$E$23+($E$22*(Z36/100))/(1-$E$25))</f>
        <v>23.919429380191946</v>
      </c>
      <c r="AB36" s="31">
        <f>AA36/U36</f>
        <v>0.09637558358327943</v>
      </c>
      <c r="AC36" s="29">
        <f>$E$12/(1-AB36)</f>
        <v>2334580.375985695</v>
      </c>
      <c r="AD36" t="str">
        <f>IF(OR(OR(AC36=AC30,AC36=(AC30+1)),AC36=(AC30-1)),"yes","not yet")</f>
        <v>not yet</v>
      </c>
      <c r="AE36" s="30">
        <f>100*(1-AB36)</f>
        <v>90.36244164167205</v>
      </c>
      <c r="AH36">
        <v>4</v>
      </c>
      <c r="AI36" s="30">
        <f>U12</f>
        <v>280.3372439301467</v>
      </c>
      <c r="AJ36" s="30">
        <f>U18</f>
        <v>246.30705599406167</v>
      </c>
      <c r="AK36" s="30">
        <f>U24</f>
        <v>248.31216460341346</v>
      </c>
      <c r="AL36" s="30">
        <f>U30</f>
        <v>248.18122695751578</v>
      </c>
      <c r="AM36" s="30">
        <f>U36</f>
        <v>248.18972286194096</v>
      </c>
      <c r="AN36" s="30">
        <f>T48</f>
        <v>0</v>
      </c>
      <c r="AO36" s="30">
        <f>T54</f>
        <v>0</v>
      </c>
      <c r="AP36" s="30">
        <f>T60</f>
        <v>0</v>
      </c>
    </row>
    <row r="37" spans="5:26" ht="12.75">
      <c r="E37" s="29"/>
      <c r="Z37" s="30"/>
    </row>
    <row r="38" spans="21:35" ht="12.75">
      <c r="U38" s="15" t="s">
        <v>160</v>
      </c>
      <c r="V38" s="2" t="s">
        <v>108</v>
      </c>
      <c r="W38" s="2" t="s">
        <v>109</v>
      </c>
      <c r="X38" s="2" t="s">
        <v>110</v>
      </c>
      <c r="Z38" s="30"/>
      <c r="AI38" s="15" t="s">
        <v>158</v>
      </c>
    </row>
    <row r="39" spans="21:35" ht="12.75">
      <c r="U39" s="30">
        <f>100*(+AC33/$E$13)</f>
        <v>249.139591691947</v>
      </c>
      <c r="V39" s="34">
        <f>EXP(5.7226-(0.68367*LN(+U39)))</f>
        <v>7.029389176826837</v>
      </c>
      <c r="W39" s="31">
        <f>(+V39*U39)/100</f>
        <v>17.512991493584295</v>
      </c>
      <c r="X39" s="30">
        <f>100*((((W39/100)-((W39/100)-0.03574)*$E$25)-0.03574-0.00619)/0.344)</f>
        <v>26.564808271828504</v>
      </c>
      <c r="Y39">
        <v>0</v>
      </c>
      <c r="Z39" s="30">
        <f>X39+Y39</f>
        <v>26.564808271828504</v>
      </c>
      <c r="AA39" s="30">
        <f>100*($E$21*$E$23+($E$22*(Z39/100))/(1-$E$25))</f>
        <v>24.86983566156729</v>
      </c>
      <c r="AB39" s="31">
        <f>AA39/U39</f>
        <v>0.0998228964440065</v>
      </c>
      <c r="AC39" s="29">
        <f>ROUND($E$12/(1-AB39),0)</f>
        <v>2343521</v>
      </c>
      <c r="AD39" t="str">
        <f>IF(OR(OR(AC39=AC33,AC39=(AC33+1)),AC39=(AC25-1)),"yes","not yet")</f>
        <v>not yet</v>
      </c>
      <c r="AE39" s="30">
        <f>100*(1-AB39)</f>
        <v>90.01771035559935</v>
      </c>
      <c r="AI39" s="30">
        <f>HLOOKUP($AI$38,$AI$32:$AQ$36,$E$16+1)</f>
        <v>248.38415724304798</v>
      </c>
    </row>
    <row r="40" spans="21:31" ht="12.75">
      <c r="U40" s="30">
        <f>100*(+AC34/$E$13)</f>
        <v>248.68770619137132</v>
      </c>
      <c r="V40" s="34">
        <f>EXP(5.70827-(0.68367*LN(+U40)))</f>
        <v>6.937982109199662</v>
      </c>
      <c r="W40" s="31">
        <f>(+V40*U40)/100</f>
        <v>17.25390856333636</v>
      </c>
      <c r="X40" s="30">
        <f>100*((((W40/100)-((W40/100)-0.03574)*$E$25)-0.03574-0.00619)/0.344)</f>
        <v>26.03760463469608</v>
      </c>
      <c r="Y40">
        <v>0</v>
      </c>
      <c r="Z40" s="30">
        <f>X40+Y40</f>
        <v>26.03760463469608</v>
      </c>
      <c r="AA40" s="30">
        <f>100*($E$21*$E$23+($E$22*(Z40/100))/(1-$E$25))</f>
        <v>24.4179468297395</v>
      </c>
      <c r="AB40" s="31">
        <f>AA40/U40</f>
        <v>0.09818718908022453</v>
      </c>
      <c r="AC40" s="29">
        <f>ROUND($E$12/(1-AB40),0)</f>
        <v>2339270</v>
      </c>
      <c r="AD40" t="str">
        <f>IF(OR(OR(AC40=AC34,AC40=(AC34+1)),AC40=(AC34-1)),"yes","not yet")</f>
        <v>not yet</v>
      </c>
      <c r="AE40" s="30">
        <f>100*(1-AB40)</f>
        <v>90.18128109197755</v>
      </c>
    </row>
    <row r="41" spans="21:42" ht="12.75">
      <c r="U41" s="30">
        <f>100*(+AC35/$E$13)</f>
        <v>248.38358816392721</v>
      </c>
      <c r="V41" s="34">
        <f>EXP(5.6985-(0.68367*LN(U41)))</f>
        <v>6.876278126456603</v>
      </c>
      <c r="W41" s="31">
        <f>(+V41*U41)/100</f>
        <v>17.079546342624177</v>
      </c>
      <c r="X41" s="30">
        <f>100*((((W41/100)-((W41/100)-0.03574)*$E$25)-0.03574-0.00619)/0.344)</f>
        <v>25.682797790223617</v>
      </c>
      <c r="Y41">
        <v>0</v>
      </c>
      <c r="Z41" s="30">
        <f>X41+Y41</f>
        <v>25.682797790223617</v>
      </c>
      <c r="AA41" s="30">
        <f>100*($E$21*$E$23+($E$22*(Z41/100))/(1-$E$25))</f>
        <v>24.11382667733453</v>
      </c>
      <c r="AB41" s="31">
        <f>AA41/U41</f>
        <v>0.09708301122302808</v>
      </c>
      <c r="AC41" s="29">
        <f>ROUND($E$12/(1-AB41),0)</f>
        <v>2336409</v>
      </c>
      <c r="AD41" t="str">
        <f>IF(OR(OR(AC41=AC35,AC41=(AC35+1)),AC41=(AC35-1)),"yes","not yet")</f>
        <v>not yet</v>
      </c>
      <c r="AE41" s="30">
        <f>100*(1-AB41)</f>
        <v>90.29169887769719</v>
      </c>
      <c r="AI41" t="str">
        <f>HLOOKUP(1,$AI$17:$AQ$21,$E$16+1)</f>
        <v>not yet</v>
      </c>
      <c r="AJ41" t="str">
        <f>HLOOKUP(2,$AI$17:$AQ$21,$E$16+1)</f>
        <v>not yet</v>
      </c>
      <c r="AK41" t="str">
        <f>HLOOKUP(3,$AI$17:$AQ$21,$E$16+1)</f>
        <v>not yet</v>
      </c>
      <c r="AL41" t="str">
        <f>HLOOKUP(4,$AI$17:$AQ$21,$E$16+1)</f>
        <v>not yet</v>
      </c>
      <c r="AM41" t="str">
        <f>HLOOKUP(5,$AI$17:$AQ$21,$E$16+1)</f>
        <v>not yet</v>
      </c>
      <c r="AN41">
        <f>HLOOKUP(7,$AI$17:$AQ$21,$E$16+1)</f>
        <v>2336410</v>
      </c>
      <c r="AO41">
        <f>HLOOKUP(8,$AI$17:$AQ$21,$E$16+1)</f>
        <v>2336409</v>
      </c>
      <c r="AP41">
        <f>HLOOKUP(9,$AI$17:$AQ$21,$E$16+1)</f>
        <v>2336410</v>
      </c>
    </row>
    <row r="42" spans="21:42" ht="12.75">
      <c r="U42" s="30">
        <f>100*(+AC36/$E$13)</f>
        <v>248.1891713743732</v>
      </c>
      <c r="V42" s="34">
        <f>EXP(5.6922-(0.68367*LN(U42)))</f>
        <v>6.836752736411843</v>
      </c>
      <c r="W42" s="31">
        <f>(+V42*U42)/100</f>
        <v>16.96807996541534</v>
      </c>
      <c r="X42" s="30">
        <f>100*((((W42/100)-((W42/100)-0.03574)*$E$25)-0.03574-0.00619)/0.344)</f>
        <v>25.455976673810277</v>
      </c>
      <c r="Y42">
        <v>0</v>
      </c>
      <c r="Z42" s="30">
        <f>X42+Y42</f>
        <v>25.455976673810277</v>
      </c>
      <c r="AA42" s="30">
        <f>100*($E$21*$E$23+($E$22*(Z42/100))/(1-$E$25))</f>
        <v>23.919408577551664</v>
      </c>
      <c r="AB42" s="31">
        <f>AA42/U42</f>
        <v>0.09637571391650758</v>
      </c>
      <c r="AC42" s="29">
        <f>ROUND($E$12/(1-AB42),0)</f>
        <v>2334581</v>
      </c>
      <c r="AD42" t="str">
        <f>IF(OR(OR(AC42=AC36,AC42=(AC36+1)),AC42=(AC36-1)),"yes","not yet")</f>
        <v>not yet</v>
      </c>
      <c r="AE42" s="30">
        <f>100*(1-AB42)</f>
        <v>90.36242860834925</v>
      </c>
      <c r="AH42">
        <v>1</v>
      </c>
      <c r="AI42" s="29">
        <f>AC9</f>
        <v>2325525.956358231</v>
      </c>
      <c r="AJ42" s="29">
        <f>AC15</f>
        <v>2344749.0649486682</v>
      </c>
      <c r="AK42" s="29">
        <f>AC21</f>
        <v>2343437.599290277</v>
      </c>
      <c r="AL42" s="29">
        <f>AC27</f>
        <v>2343526.4899868597</v>
      </c>
      <c r="AM42" s="29">
        <f>AC33</f>
        <v>2343520.462332166</v>
      </c>
      <c r="AN42" s="29">
        <f>AB45</f>
        <v>0.09982288243997572</v>
      </c>
      <c r="AO42" s="29">
        <f>AB51</f>
        <v>0.09982288243997572</v>
      </c>
      <c r="AP42" s="29">
        <f>AB57</f>
        <v>0.09982288243997572</v>
      </c>
    </row>
    <row r="43" spans="26:42" ht="12.75">
      <c r="Z43" s="30"/>
      <c r="AH43">
        <v>2</v>
      </c>
      <c r="AI43" s="29">
        <f>AC10</f>
        <v>2321407.8788003647</v>
      </c>
      <c r="AJ43" s="29">
        <f>AC16</f>
        <v>2340464.5054973075</v>
      </c>
      <c r="AK43" s="29">
        <f>AC22</f>
        <v>2339190.8658979866</v>
      </c>
      <c r="AL43" s="29">
        <f>AC28</f>
        <v>2339275.439944606</v>
      </c>
      <c r="AM43" s="29">
        <f>AC34</f>
        <v>2339269.8215165553</v>
      </c>
      <c r="AN43" s="29">
        <f>AB46</f>
        <v>0.09818718450934168</v>
      </c>
      <c r="AO43" s="29">
        <f>AB52</f>
        <v>0.09818718450934168</v>
      </c>
      <c r="AP43" s="29">
        <f>AB58</f>
        <v>0.09818718450934168</v>
      </c>
    </row>
    <row r="44" spans="21:42" ht="12.75">
      <c r="U44" s="15" t="s">
        <v>161</v>
      </c>
      <c r="V44" s="2" t="s">
        <v>108</v>
      </c>
      <c r="W44" s="2" t="s">
        <v>109</v>
      </c>
      <c r="X44" s="2" t="s">
        <v>110</v>
      </c>
      <c r="Z44" s="30"/>
      <c r="AH44">
        <v>3</v>
      </c>
      <c r="AI44" s="29">
        <f>AC11</f>
        <v>2318642.0825692913</v>
      </c>
      <c r="AJ44" s="29">
        <f>AC17</f>
        <v>2337580.840176723</v>
      </c>
      <c r="AK44" s="29">
        <f>AC23</f>
        <v>2336332.782509088</v>
      </c>
      <c r="AL44" s="29">
        <f>AC29</f>
        <v>2336414.501866699</v>
      </c>
      <c r="AM44" s="29">
        <f>AC35</f>
        <v>2336409.14884932</v>
      </c>
      <c r="AN44" s="29">
        <f>AB47</f>
        <v>0.09708301499100543</v>
      </c>
      <c r="AO44" s="29">
        <f>AB53</f>
        <v>0.09708298967697493</v>
      </c>
      <c r="AP44" s="29">
        <f>AB59</f>
        <v>0.09708301499100543</v>
      </c>
    </row>
    <row r="45" spans="21:42" ht="12.75">
      <c r="U45" s="30">
        <f>100*(+AC39/$E$13)</f>
        <v>249.1396488513987</v>
      </c>
      <c r="V45" s="34">
        <f>EXP(5.7226-(0.68367*LN(+U45)))</f>
        <v>7.02938807424881</v>
      </c>
      <c r="W45" s="31">
        <f>(+V45*U45)/100</f>
        <v>17.512992764585583</v>
      </c>
      <c r="X45" s="30">
        <f>100*((((W45/100)-((W45/100)-0.03574)*$E$25)-0.03574-0.00619)/0.344)</f>
        <v>26.564810858168336</v>
      </c>
      <c r="Y45">
        <v>0</v>
      </c>
      <c r="Z45" s="30">
        <f>X45+Y45</f>
        <v>26.564810858168336</v>
      </c>
      <c r="AA45" s="30">
        <f>100*($E$21*$E$23+($E$22*(Z45/100))/(1-$E$25))</f>
        <v>24.869837878430005</v>
      </c>
      <c r="AB45" s="31">
        <f>AA45/U45</f>
        <v>0.09982288243997572</v>
      </c>
      <c r="AC45" s="29">
        <f>ROUND($E$12/(1-AB45),0)</f>
        <v>2343521</v>
      </c>
      <c r="AD45" t="str">
        <f>IF(OR(OR(AC45=AC39,AC45=(AC39+1)),AC45=(AC31-1)),"yes","not yet")</f>
        <v>yes</v>
      </c>
      <c r="AE45" s="30">
        <f>100*(1-AB45)</f>
        <v>90.01771175600243</v>
      </c>
      <c r="AH45">
        <v>4</v>
      </c>
      <c r="AI45" s="29">
        <f>AC12</f>
        <v>2316876.341567577</v>
      </c>
      <c r="AJ45" s="29">
        <f>AC18</f>
        <v>2335737.3063114886</v>
      </c>
      <c r="AK45" s="29">
        <f>AC24</f>
        <v>2334505.647182697</v>
      </c>
      <c r="AL45" s="29">
        <f>AC30</f>
        <v>2334585.5635289154</v>
      </c>
      <c r="AM45" s="29">
        <f>AC36</f>
        <v>2334580.375985695</v>
      </c>
      <c r="AN45" s="29">
        <f>AB48</f>
        <v>0.09637569823858086</v>
      </c>
      <c r="AO45" s="29">
        <f>AB54</f>
        <v>0.09637569823858086</v>
      </c>
      <c r="AP45" s="29">
        <f>AB60</f>
        <v>0.09637569823858086</v>
      </c>
    </row>
    <row r="46" spans="21:31" ht="12.75">
      <c r="U46" s="30">
        <f>100*(+AC40/$E$13)</f>
        <v>248.6877251659411</v>
      </c>
      <c r="V46" s="34">
        <f>EXP(5.70827-(0.68367*LN(+U46)))</f>
        <v>6.9379817472924055</v>
      </c>
      <c r="W46" s="31">
        <f>(+V46*U46)/100</f>
        <v>17.253908979769694</v>
      </c>
      <c r="X46" s="30">
        <f>100*((((W46/100)-((W46/100)-0.03574)*$E$25)-0.03574-0.00619)/0.344)</f>
        <v>26.0376054820895</v>
      </c>
      <c r="Y46">
        <v>0</v>
      </c>
      <c r="Z46" s="30">
        <f>X46+Y46</f>
        <v>26.0376054820895</v>
      </c>
      <c r="AA46" s="30">
        <f>100*($E$21*$E$23+($E$22*(Z46/100))/(1-$E$25))</f>
        <v>24.41794755607671</v>
      </c>
      <c r="AB46" s="31">
        <f>AA46/U46</f>
        <v>0.09818718450934168</v>
      </c>
      <c r="AC46" s="29">
        <f>ROUND($E$12/(1-AB46),0)</f>
        <v>2339270</v>
      </c>
      <c r="AD46" t="str">
        <f>IF(OR(OR(AC46=AC40,AC46=(AC40+1)),AC46=(AC40-1)),"yes","not yet")</f>
        <v>yes</v>
      </c>
      <c r="AE46" s="30">
        <f>100*(1-AB46)</f>
        <v>90.18128154906583</v>
      </c>
    </row>
    <row r="47" spans="21:35" ht="12.75">
      <c r="U47" s="30">
        <f>100*(+AC41/$E$13)</f>
        <v>248.38357233976035</v>
      </c>
      <c r="V47" s="34">
        <f>EXP(5.6985-(0.68367*LN(U47)))</f>
        <v>6.876278425957371</v>
      </c>
      <c r="W47" s="31">
        <f>(+V47*U47)/100</f>
        <v>17.07954599842116</v>
      </c>
      <c r="X47" s="30">
        <f>100*((((W47/100)-((W47/100)-0.03574)*$E$25)-0.03574-0.00619)/0.344)</f>
        <v>25.682797089810506</v>
      </c>
      <c r="Y47">
        <v>0</v>
      </c>
      <c r="Z47" s="30">
        <f>X47+Y47</f>
        <v>25.682797089810506</v>
      </c>
      <c r="AA47" s="30">
        <f>100*($E$21*$E$23+($E$22*(Z47/100))/(1-$E$25))</f>
        <v>24.113826076980434</v>
      </c>
      <c r="AB47" s="31">
        <f>AA47/U47</f>
        <v>0.09708301499100543</v>
      </c>
      <c r="AC47" s="29">
        <f>ROUND($E$12/(1-AB47),0)</f>
        <v>2336410</v>
      </c>
      <c r="AD47" t="str">
        <f>IF(OR(OR(AC47=AC41,AC47=(AC41+1)),AC47=(AC41-1)),"yes","not yet")</f>
        <v>yes</v>
      </c>
      <c r="AE47" s="30">
        <f>100*(1-AB47)</f>
        <v>90.29169850089946</v>
      </c>
      <c r="AI47" s="15" t="s">
        <v>158</v>
      </c>
    </row>
    <row r="48" spans="21:35" ht="12.75">
      <c r="U48" s="30">
        <f>100*(+AC42/$E$13)</f>
        <v>248.18923771331563</v>
      </c>
      <c r="V48" s="34">
        <f>EXP(5.6922-(0.68367*LN(U48)))</f>
        <v>6.836751487067909</v>
      </c>
      <c r="W48" s="31">
        <f>(+V48*U48)/100</f>
        <v>16.968081400107614</v>
      </c>
      <c r="X48" s="30">
        <f>100*((((W48/100)-((W48/100)-0.03574)*$E$25)-0.03574-0.00619)/0.344)</f>
        <v>25.45597959324224</v>
      </c>
      <c r="Y48">
        <v>0</v>
      </c>
      <c r="Z48" s="30">
        <f>X48+Y48</f>
        <v>25.45597959324224</v>
      </c>
      <c r="AA48" s="30">
        <f>100*($E$21*$E$23+($E$22*(Z48/100))/(1-$E$25))</f>
        <v>23.919411079921918</v>
      </c>
      <c r="AB48" s="31">
        <f>AA48/U48</f>
        <v>0.09637569823858086</v>
      </c>
      <c r="AC48" s="29">
        <f>ROUND($E$12/(1-AB48),0)</f>
        <v>2334581</v>
      </c>
      <c r="AD48" t="str">
        <f>IF(OR(OR(AC48=AC42,AC48=(AC42+1)),AC48=(AC42-1)),"yes","not yet")</f>
        <v>yes</v>
      </c>
      <c r="AE48" s="30">
        <f>100*(1-AB48)</f>
        <v>90.36243017614191</v>
      </c>
      <c r="AI48" s="29">
        <f>HLOOKUP($AI$38,$AI$41:$AQ$45,$E$16+1)</f>
        <v>2336409.14884932</v>
      </c>
    </row>
    <row r="49" ht="12.75">
      <c r="Z49" s="30"/>
    </row>
    <row r="50" spans="4:26" ht="12.75">
      <c r="D50" s="29"/>
      <c r="E50" s="29"/>
      <c r="F50" s="29"/>
      <c r="U50" s="15" t="s">
        <v>162</v>
      </c>
      <c r="V50" s="2" t="s">
        <v>108</v>
      </c>
      <c r="W50" s="2" t="s">
        <v>109</v>
      </c>
      <c r="X50" s="2" t="s">
        <v>110</v>
      </c>
      <c r="Z50" s="30"/>
    </row>
    <row r="51" spans="4:31" ht="12.75">
      <c r="D51" s="29"/>
      <c r="E51" s="29"/>
      <c r="F51" s="29"/>
      <c r="U51" s="30">
        <f>100*(+AC45/$E$13)</f>
        <v>249.1396488513987</v>
      </c>
      <c r="V51" s="34">
        <f>EXP(5.7226-(0.68367*LN(+U51)))</f>
        <v>7.02938807424881</v>
      </c>
      <c r="W51" s="31">
        <f>(+V51*U51)/100</f>
        <v>17.512992764585583</v>
      </c>
      <c r="X51" s="30">
        <f>100*((((W51/100)-((W51/100)-0.03574)*$E$25)-0.03574-0.00619)/0.344)</f>
        <v>26.564810858168336</v>
      </c>
      <c r="Y51">
        <v>0</v>
      </c>
      <c r="Z51" s="30">
        <f>X51+Y51</f>
        <v>26.564810858168336</v>
      </c>
      <c r="AA51" s="30">
        <f>100*($E$21*$E$23+($E$22*(Z51/100))/(1-$E$25))</f>
        <v>24.869837878430005</v>
      </c>
      <c r="AB51" s="31">
        <f>AA51/U51</f>
        <v>0.09982288243997572</v>
      </c>
      <c r="AC51" s="29">
        <f>ROUND($E$12/(1-AB51),0)</f>
        <v>2343521</v>
      </c>
      <c r="AD51" t="str">
        <f>IF(OR(OR(AC51=AC45,AC51=(AC45+1)),AC51=(AC37-1)),"yes","not yet")</f>
        <v>yes</v>
      </c>
      <c r="AE51" s="30">
        <f>100*(1-AB51)</f>
        <v>90.01771175600243</v>
      </c>
    </row>
    <row r="52" spans="21:31" ht="12.75">
      <c r="U52" s="30">
        <f>100*(+AC46/$E$13)</f>
        <v>248.6877251659411</v>
      </c>
      <c r="V52" s="34">
        <f>EXP(5.70827-(0.68367*LN(+U52)))</f>
        <v>6.9379817472924055</v>
      </c>
      <c r="W52" s="31">
        <f>(+V52*U52)/100</f>
        <v>17.253908979769694</v>
      </c>
      <c r="X52" s="30">
        <f>100*((((W52/100)-((W52/100)-0.03574)*$E$25)-0.03574-0.00619)/0.344)</f>
        <v>26.0376054820895</v>
      </c>
      <c r="Y52">
        <v>0</v>
      </c>
      <c r="Z52" s="30">
        <f>X52+Y52</f>
        <v>26.0376054820895</v>
      </c>
      <c r="AA52" s="30">
        <f>100*($E$21*$E$23+($E$22*(Z52/100))/(1-$E$25))</f>
        <v>24.41794755607671</v>
      </c>
      <c r="AB52" s="31">
        <f>AA52/U52</f>
        <v>0.09818718450934168</v>
      </c>
      <c r="AC52" s="29">
        <f>ROUND($E$12/(1-AB52),0)</f>
        <v>2339270</v>
      </c>
      <c r="AD52" t="str">
        <f>IF(OR(OR(AC52=AC46,AC52=(AC46+1)),AC52=(AC46-1)),"yes","not yet")</f>
        <v>yes</v>
      </c>
      <c r="AE52" s="30">
        <f>100*(1-AB52)</f>
        <v>90.18128154906583</v>
      </c>
    </row>
    <row r="53" spans="21:31" ht="12.75">
      <c r="U53" s="30">
        <f>100*(+AC47/$E$13)</f>
        <v>248.3836786497311</v>
      </c>
      <c r="V53" s="34">
        <f>EXP(5.6985-(0.68367*LN(U53)))</f>
        <v>6.876276413850938</v>
      </c>
      <c r="W53" s="31">
        <f>(+V53*U53)/100</f>
        <v>17.079548310846768</v>
      </c>
      <c r="X53" s="30">
        <f>100*((((W53/100)-((W53/100)-0.03574)*$E$25)-0.03574-0.00619)/0.344)</f>
        <v>25.68280179532772</v>
      </c>
      <c r="Y53">
        <v>0</v>
      </c>
      <c r="Z53" s="30">
        <f>X53+Y53</f>
        <v>25.68280179532772</v>
      </c>
      <c r="AA53" s="30">
        <f>100*($E$21*$E$23+($E$22*(Z53/100))/(1-$E$25))</f>
        <v>24.113830110280905</v>
      </c>
      <c r="AB53" s="31">
        <f>AA53/U53</f>
        <v>0.09708298967697493</v>
      </c>
      <c r="AC53" s="29">
        <f>ROUND($E$12/(1-AB53),0)</f>
        <v>2336409</v>
      </c>
      <c r="AD53" t="str">
        <f>IF(OR(OR(AC53=AC47,AC53=(AC47+1)),AC53=(AC47-1)),"yes","not yet")</f>
        <v>yes</v>
      </c>
      <c r="AE53" s="30">
        <f>100*(1-AB53)</f>
        <v>90.29170103230251</v>
      </c>
    </row>
    <row r="54" spans="21:31" ht="12.75">
      <c r="U54" s="30">
        <f>100*(+AC48/$E$13)</f>
        <v>248.18923771331563</v>
      </c>
      <c r="V54" s="34">
        <f>EXP(5.6922-(0.68367*LN(U54)))</f>
        <v>6.836751487067909</v>
      </c>
      <c r="W54" s="31">
        <f>(+V54*U54)/100</f>
        <v>16.968081400107614</v>
      </c>
      <c r="X54" s="30">
        <f>100*((((W54/100)-((W54/100)-0.03574)*$E$25)-0.03574-0.00619)/0.344)</f>
        <v>25.45597959324224</v>
      </c>
      <c r="Y54">
        <v>0</v>
      </c>
      <c r="Z54" s="30">
        <f>X54+Y54</f>
        <v>25.45597959324224</v>
      </c>
      <c r="AA54" s="30">
        <f>100*($E$21*$E$23+($E$22*(Z54/100))/(1-$E$25))</f>
        <v>23.919411079921918</v>
      </c>
      <c r="AB54" s="31">
        <f>AA54/U54</f>
        <v>0.09637569823858086</v>
      </c>
      <c r="AC54" s="29">
        <f>ROUND($E$12/(1-AB54),0)</f>
        <v>2334581</v>
      </c>
      <c r="AD54" t="str">
        <f>IF(OR(OR(AC54=AC48,AC54=(AC48+1)),AC54=(AC48-1)),"yes","not yet")</f>
        <v>yes</v>
      </c>
      <c r="AE54" s="30">
        <f>100*(1-AB54)</f>
        <v>90.36243017614191</v>
      </c>
    </row>
    <row r="55" ht="12.75">
      <c r="Z55" s="30"/>
    </row>
    <row r="56" spans="21:26" ht="12.75">
      <c r="U56" s="15" t="s">
        <v>163</v>
      </c>
      <c r="V56" s="2" t="s">
        <v>108</v>
      </c>
      <c r="W56" s="2" t="s">
        <v>109</v>
      </c>
      <c r="X56" s="2" t="s">
        <v>110</v>
      </c>
      <c r="Z56" s="30"/>
    </row>
    <row r="57" spans="21:31" ht="12.75">
      <c r="U57" s="30">
        <f>100*(+AC51/$E$13)</f>
        <v>249.1396488513987</v>
      </c>
      <c r="V57" s="34">
        <f>EXP(5.7226-(0.68367*LN(+U57)))</f>
        <v>7.02938807424881</v>
      </c>
      <c r="W57" s="31">
        <f>(+V57*U57)/100</f>
        <v>17.512992764585583</v>
      </c>
      <c r="X57" s="30">
        <f>100*((((W57/100)-((W57/100)-0.03574)*$E$25)-0.03574-0.00619)/0.344)</f>
        <v>26.564810858168336</v>
      </c>
      <c r="Y57">
        <v>0</v>
      </c>
      <c r="Z57" s="30">
        <f>X57+Y57</f>
        <v>26.564810858168336</v>
      </c>
      <c r="AA57" s="30">
        <f>100*($E$21*$E$23+($E$22*(Z57/100))/(1-$E$25))</f>
        <v>24.869837878430005</v>
      </c>
      <c r="AB57" s="31">
        <f>AA57/U57</f>
        <v>0.09982288243997572</v>
      </c>
      <c r="AC57" s="29">
        <f>ROUND($E$12/(1-AB57),0)</f>
        <v>2343521</v>
      </c>
      <c r="AD57" t="str">
        <f>IF(OR(OR(AC57=AC51,AC57=(AC51+1)),AC57=(AC43-1)),"yes","not yet")</f>
        <v>yes</v>
      </c>
      <c r="AE57" s="30">
        <f>100*(1-AB57)</f>
        <v>90.01771175600243</v>
      </c>
    </row>
    <row r="58" spans="21:31" ht="12.75">
      <c r="U58" s="30">
        <f>100*(+AC52/$E$13)</f>
        <v>248.6877251659411</v>
      </c>
      <c r="V58" s="34">
        <f>EXP(5.70827-(0.68367*LN(+U58)))</f>
        <v>6.9379817472924055</v>
      </c>
      <c r="W58" s="31">
        <f>(+V58*U58)/100</f>
        <v>17.253908979769694</v>
      </c>
      <c r="X58" s="30">
        <f>100*((((W58/100)-((W58/100)-0.03574)*$E$25)-0.03574-0.00619)/0.344)</f>
        <v>26.0376054820895</v>
      </c>
      <c r="Y58">
        <v>0</v>
      </c>
      <c r="Z58" s="30">
        <f>X58+Y58</f>
        <v>26.0376054820895</v>
      </c>
      <c r="AA58" s="30">
        <f>100*($E$21*$E$23+($E$22*(Z58/100))/(1-$E$25))</f>
        <v>24.41794755607671</v>
      </c>
      <c r="AB58" s="31">
        <f>AA58/U58</f>
        <v>0.09818718450934168</v>
      </c>
      <c r="AC58" s="29">
        <f>ROUND($E$12/(1-AB58),0)</f>
        <v>2339270</v>
      </c>
      <c r="AD58" t="str">
        <f>IF(OR(OR(AC58=AC52,AC58=(AC52+1)),AC58=(AC52-1)),"yes","not yet")</f>
        <v>yes</v>
      </c>
      <c r="AE58" s="30">
        <f>100*(1-AB58)</f>
        <v>90.18128154906583</v>
      </c>
    </row>
    <row r="59" spans="21:31" ht="12.75">
      <c r="U59" s="30">
        <f>100*(+AC53/$E$13)</f>
        <v>248.38357233976035</v>
      </c>
      <c r="V59" s="34">
        <f>EXP(5.6985-(0.68367*LN(U59)))</f>
        <v>6.876278425957371</v>
      </c>
      <c r="W59" s="31">
        <f>(+V59*U59)/100</f>
        <v>17.07954599842116</v>
      </c>
      <c r="X59" s="30">
        <f>100*((((W59/100)-((W59/100)-0.03574)*$E$25)-0.03574-0.00619)/0.344)</f>
        <v>25.682797089810506</v>
      </c>
      <c r="Y59">
        <v>0</v>
      </c>
      <c r="Z59" s="30">
        <f>X59+Y59</f>
        <v>25.682797089810506</v>
      </c>
      <c r="AA59" s="30">
        <f>100*($E$21*$E$23+($E$22*(Z59/100))/(1-$E$25))</f>
        <v>24.113826076980434</v>
      </c>
      <c r="AB59" s="31">
        <f>AA59/U59</f>
        <v>0.09708301499100543</v>
      </c>
      <c r="AC59" s="29">
        <f>ROUND($E$12/(1-AB59),0)</f>
        <v>2336410</v>
      </c>
      <c r="AD59" t="str">
        <f>IF(OR(OR(AC59=AC53,AC59=(AC53+1)),AC59=(AC53-1)),"yes","not yet")</f>
        <v>yes</v>
      </c>
      <c r="AE59" s="30">
        <f>100*(1-AB59)</f>
        <v>90.29169850089946</v>
      </c>
    </row>
    <row r="60" spans="21:31" ht="12.75">
      <c r="U60" s="30">
        <f>100*(+AC54/$E$13)</f>
        <v>248.18923771331563</v>
      </c>
      <c r="V60" s="34">
        <f>EXP(5.6922-(0.68367*LN(U60)))</f>
        <v>6.836751487067909</v>
      </c>
      <c r="W60" s="31">
        <f>(+V60*U60)/100</f>
        <v>16.968081400107614</v>
      </c>
      <c r="X60" s="30">
        <f>100*((((W60/100)-((W60/100)-0.03574)*$E$25)-0.03574-0.00619)/0.344)</f>
        <v>25.45597959324224</v>
      </c>
      <c r="Y60">
        <v>0</v>
      </c>
      <c r="Z60" s="30">
        <f>X60+Y60</f>
        <v>25.45597959324224</v>
      </c>
      <c r="AA60" s="30">
        <f>100*($E$21*$E$23+($E$22*(Z60/100))/(1-$E$25))</f>
        <v>23.919411079921918</v>
      </c>
      <c r="AB60" s="31">
        <f>AA60/U60</f>
        <v>0.09637569823858086</v>
      </c>
      <c r="AC60" s="29">
        <f>ROUND($E$12/(1-AB60),0)</f>
        <v>2334581</v>
      </c>
      <c r="AD60" t="str">
        <f>IF(OR(OR(AC60=AC54,AC60=(AC54+1)),AC60=(AC54-1)),"yes","not yet")</f>
        <v>yes</v>
      </c>
      <c r="AE60" s="30">
        <f>100*(1-AB60)</f>
        <v>90.36243017614191</v>
      </c>
    </row>
    <row r="61" ht="12.75">
      <c r="Z61" s="30"/>
    </row>
    <row r="63" spans="21:29" ht="12.75">
      <c r="U63" s="30"/>
      <c r="V63" s="34"/>
      <c r="W63" s="31"/>
      <c r="X63" s="30"/>
      <c r="AA63" s="30"/>
      <c r="AB63" s="31"/>
      <c r="AC63" s="29"/>
    </row>
    <row r="64" spans="21:29" ht="12.75">
      <c r="U64" s="30"/>
      <c r="V64" s="34"/>
      <c r="W64" s="31"/>
      <c r="X64" s="30"/>
      <c r="AA64" s="30"/>
      <c r="AB64" s="31"/>
      <c r="AC64" s="29"/>
    </row>
    <row r="65" spans="21:29" ht="12.75">
      <c r="U65" s="30"/>
      <c r="V65" s="34"/>
      <c r="W65" s="31"/>
      <c r="X65" s="30"/>
      <c r="AA65" s="30"/>
      <c r="AB65" s="31"/>
      <c r="AC65" s="29"/>
    </row>
    <row r="66" spans="21:29" ht="12.75">
      <c r="U66" s="30"/>
      <c r="V66" s="34"/>
      <c r="W66" s="31"/>
      <c r="X66" s="30"/>
      <c r="AA66" s="30"/>
      <c r="AB66" s="31"/>
      <c r="AC66" s="29"/>
    </row>
    <row r="69" spans="21:29" ht="12.75">
      <c r="U69" s="30"/>
      <c r="V69" s="34"/>
      <c r="W69" s="31"/>
      <c r="X69" s="30"/>
      <c r="AA69" s="30"/>
      <c r="AB69" s="31"/>
      <c r="AC69" s="29"/>
    </row>
    <row r="70" spans="21:29" ht="12.75">
      <c r="U70" s="30"/>
      <c r="V70" s="34"/>
      <c r="W70" s="31"/>
      <c r="X70" s="30"/>
      <c r="AA70" s="30"/>
      <c r="AB70" s="31"/>
      <c r="AC70" s="29"/>
    </row>
    <row r="71" spans="20:28" ht="12.75">
      <c r="T71" s="30"/>
      <c r="U71" s="34"/>
      <c r="V71" s="31"/>
      <c r="W71" s="30"/>
      <c r="Z71" s="30"/>
      <c r="AA71" s="31"/>
      <c r="AB71" s="29"/>
    </row>
    <row r="72" spans="20:28" ht="12.75">
      <c r="T72" s="30"/>
      <c r="U72" s="34"/>
      <c r="V72" s="31"/>
      <c r="W72" s="30"/>
      <c r="Z72" s="30"/>
      <c r="AA72" s="31"/>
      <c r="AB72" s="29"/>
    </row>
    <row r="75" spans="20:28" ht="12.75">
      <c r="T75" s="30"/>
      <c r="U75" s="34"/>
      <c r="V75" s="31"/>
      <c r="W75" s="30"/>
      <c r="Z75" s="30"/>
      <c r="AA75" s="31"/>
      <c r="AB75" s="29"/>
    </row>
    <row r="76" spans="20:28" ht="12.75">
      <c r="T76" s="30"/>
      <c r="U76" s="34"/>
      <c r="V76" s="31"/>
      <c r="W76" s="30"/>
      <c r="Z76" s="30"/>
      <c r="AA76" s="31"/>
      <c r="AB76" s="29"/>
    </row>
    <row r="77" spans="20:28" ht="12.75">
      <c r="T77" s="30"/>
      <c r="U77" s="34"/>
      <c r="V77" s="31"/>
      <c r="W77" s="30"/>
      <c r="Z77" s="30"/>
      <c r="AA77" s="31"/>
      <c r="AB77" s="29"/>
    </row>
    <row r="78" spans="20:28" ht="12.75">
      <c r="T78" s="30"/>
      <c r="U78" s="34"/>
      <c r="V78" s="31"/>
      <c r="W78" s="30"/>
      <c r="Z78" s="30"/>
      <c r="AA78" s="31"/>
      <c r="AB78" s="29"/>
    </row>
    <row r="81" spans="20:28" ht="12.75">
      <c r="T81" s="30"/>
      <c r="U81" s="34"/>
      <c r="V81" s="31"/>
      <c r="W81" s="30"/>
      <c r="Z81" s="30"/>
      <c r="AA81" s="31"/>
      <c r="AB81" s="29"/>
    </row>
    <row r="82" spans="20:28" ht="12.75">
      <c r="T82" s="30"/>
      <c r="U82" s="34"/>
      <c r="V82" s="31"/>
      <c r="W82" s="30"/>
      <c r="Z82" s="30"/>
      <c r="AA82" s="31"/>
      <c r="AB82" s="29"/>
    </row>
    <row r="83" spans="20:28" ht="12.75">
      <c r="T83" s="30"/>
      <c r="U83" s="34"/>
      <c r="V83" s="31"/>
      <c r="W83" s="30"/>
      <c r="Z83" s="30"/>
      <c r="AA83" s="31"/>
      <c r="AB83" s="29"/>
    </row>
    <row r="84" spans="20:28" ht="12.75">
      <c r="T84" s="30"/>
      <c r="U84" s="34"/>
      <c r="V84" s="31"/>
      <c r="W84" s="30"/>
      <c r="Z84" s="30"/>
      <c r="AA84" s="31"/>
      <c r="AB84" s="29"/>
    </row>
    <row r="87" spans="20:28" ht="12.75">
      <c r="T87" s="30"/>
      <c r="U87" s="34"/>
      <c r="V87" s="31"/>
      <c r="W87" s="30"/>
      <c r="Z87" s="30"/>
      <c r="AA87" s="31"/>
      <c r="AB87" s="29"/>
    </row>
    <row r="88" spans="20:28" ht="12.75">
      <c r="T88" s="30"/>
      <c r="U88" s="34"/>
      <c r="V88" s="31"/>
      <c r="W88" s="30"/>
      <c r="Z88" s="30"/>
      <c r="AA88" s="31"/>
      <c r="AB88" s="29"/>
    </row>
    <row r="89" spans="20:28" ht="12.75">
      <c r="T89" s="30"/>
      <c r="U89" s="34"/>
      <c r="V89" s="31"/>
      <c r="W89" s="30"/>
      <c r="Z89" s="30"/>
      <c r="AA89" s="31"/>
      <c r="AB89" s="29"/>
    </row>
    <row r="90" spans="20:28" ht="12.75">
      <c r="T90" s="30"/>
      <c r="U90" s="34"/>
      <c r="V90" s="31"/>
      <c r="W90" s="30"/>
      <c r="Z90" s="30"/>
      <c r="AA90" s="31"/>
      <c r="AB90" s="29"/>
    </row>
    <row r="93" spans="20:28" ht="12.75">
      <c r="T93" s="30"/>
      <c r="U93" s="34"/>
      <c r="V93" s="31"/>
      <c r="W93" s="30"/>
      <c r="Z93" s="30"/>
      <c r="AA93" s="31"/>
      <c r="AB93" s="29"/>
    </row>
    <row r="94" spans="20:28" ht="12.75">
      <c r="T94" s="30"/>
      <c r="U94" s="34"/>
      <c r="V94" s="31"/>
      <c r="W94" s="30"/>
      <c r="Z94" s="30"/>
      <c r="AA94" s="31"/>
      <c r="AB94" s="29"/>
    </row>
    <row r="95" spans="20:28" ht="12.75">
      <c r="T95" s="30"/>
      <c r="U95" s="34"/>
      <c r="V95" s="31"/>
      <c r="W95" s="30"/>
      <c r="Z95" s="30"/>
      <c r="AA95" s="31"/>
      <c r="AB95" s="29"/>
    </row>
    <row r="96" spans="20:28" ht="12.75">
      <c r="T96" s="30"/>
      <c r="U96" s="34"/>
      <c r="V96" s="31"/>
      <c r="W96" s="30"/>
      <c r="Z96" s="30"/>
      <c r="AA96" s="31"/>
      <c r="AB96" s="29"/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zoomScalePageLayoutView="0" workbookViewId="0" topLeftCell="A1">
      <selection activeCell="E26" sqref="E26"/>
    </sheetView>
  </sheetViews>
  <sheetFormatPr defaultColWidth="9.140625" defaultRowHeight="12.75"/>
  <cols>
    <col min="5" max="5" width="11.00390625" style="0" customWidth="1"/>
    <col min="20" max="20" width="11.421875" style="0" customWidth="1"/>
    <col min="29" max="29" width="11.8515625" style="0" customWidth="1"/>
    <col min="35" max="35" width="10.8515625" style="0" customWidth="1"/>
    <col min="36" max="36" width="10.28125" style="0" customWidth="1"/>
    <col min="37" max="37" width="10.00390625" style="0" customWidth="1"/>
    <col min="38" max="38" width="10.140625" style="0" customWidth="1"/>
    <col min="39" max="39" width="10.7109375" style="0" customWidth="1"/>
  </cols>
  <sheetData>
    <row r="1" ht="12.75">
      <c r="A1" t="s">
        <v>0</v>
      </c>
    </row>
    <row r="3" ht="12.75">
      <c r="A3" t="s">
        <v>268</v>
      </c>
    </row>
    <row r="5" ht="12.75">
      <c r="A5" s="131" t="s">
        <v>366</v>
      </c>
    </row>
    <row r="7" spans="2:34" ht="12.75">
      <c r="B7" s="15" t="s">
        <v>101</v>
      </c>
      <c r="AD7" s="2" t="s">
        <v>102</v>
      </c>
      <c r="AE7" s="2" t="s">
        <v>103</v>
      </c>
      <c r="AH7" s="15" t="s">
        <v>104</v>
      </c>
    </row>
    <row r="8" spans="5:34" ht="12.75">
      <c r="E8" s="27"/>
      <c r="M8" s="15" t="s">
        <v>105</v>
      </c>
      <c r="T8" s="2" t="s">
        <v>106</v>
      </c>
      <c r="U8" s="2" t="s">
        <v>107</v>
      </c>
      <c r="V8" s="2" t="s">
        <v>108</v>
      </c>
      <c r="W8" s="2" t="s">
        <v>109</v>
      </c>
      <c r="X8" s="2" t="s">
        <v>110</v>
      </c>
      <c r="Z8" s="2" t="s">
        <v>111</v>
      </c>
      <c r="AA8" s="15" t="s">
        <v>112</v>
      </c>
      <c r="AB8" s="2" t="s">
        <v>113</v>
      </c>
      <c r="AC8" s="2" t="s">
        <v>114</v>
      </c>
      <c r="AD8" s="2" t="s">
        <v>115</v>
      </c>
      <c r="AH8" s="15" t="s">
        <v>116</v>
      </c>
    </row>
    <row r="9" spans="2:35" ht="12.75">
      <c r="B9" s="15" t="s">
        <v>117</v>
      </c>
      <c r="C9" s="15" t="s">
        <v>118</v>
      </c>
      <c r="E9" s="27">
        <f>E11+E10</f>
        <v>1708587.8331453702</v>
      </c>
      <c r="F9" s="15" t="s">
        <v>119</v>
      </c>
      <c r="K9" s="28"/>
      <c r="M9" s="15" t="s">
        <v>120</v>
      </c>
      <c r="P9" s="15" t="s">
        <v>121</v>
      </c>
      <c r="T9" s="29">
        <f>$E$12*1.25</f>
        <v>1917291.4197659218</v>
      </c>
      <c r="U9" s="30">
        <f>100*(+T9/$E$13)</f>
        <v>276.8151832640568</v>
      </c>
      <c r="V9" s="31">
        <f>EXP(5.7226-(0.68367*LN(+U9)))</f>
        <v>6.540962030891399</v>
      </c>
      <c r="W9" s="31">
        <f>(+V9*U9)/100</f>
        <v>18.106376033044402</v>
      </c>
      <c r="X9" s="30">
        <f>100*((((W9/100)-((W9/100)-0.03574)*$E$25)-0.03574-0.00619)/0.344)</f>
        <v>27.77227681142756</v>
      </c>
      <c r="Y9">
        <v>0</v>
      </c>
      <c r="Z9" s="30">
        <f>X9+Y9</f>
        <v>27.77227681142756</v>
      </c>
      <c r="AA9" s="30">
        <f>100*($E$21*$E$23+($E$22*(Z9/100))/(1-$E$25))</f>
        <v>25.904808695509335</v>
      </c>
      <c r="AB9" s="31">
        <f>AA9/U9</f>
        <v>0.09358160340070101</v>
      </c>
      <c r="AC9" s="29">
        <f>$E$12/(1-AB9)</f>
        <v>1692191.0914069854</v>
      </c>
      <c r="AD9" t="str">
        <f>IF(AC9=$T$9,"yes","not yet")</f>
        <v>not yet</v>
      </c>
      <c r="AE9" s="30">
        <f>100*(1-AB9)</f>
        <v>90.6418396599299</v>
      </c>
      <c r="AH9">
        <v>0</v>
      </c>
      <c r="AI9">
        <v>1</v>
      </c>
    </row>
    <row r="10" spans="2:35" ht="12.75">
      <c r="B10" s="15" t="s">
        <v>117</v>
      </c>
      <c r="C10" s="15" t="s">
        <v>122</v>
      </c>
      <c r="E10" s="27">
        <f>(+E12-((H19/100)*E11))/H29</f>
        <v>218725.63357564632</v>
      </c>
      <c r="F10" s="32" t="s">
        <v>119</v>
      </c>
      <c r="K10" s="28"/>
      <c r="M10" s="15" t="s">
        <v>123</v>
      </c>
      <c r="P10" s="15" t="s">
        <v>124</v>
      </c>
      <c r="T10" s="29">
        <f>$E$12*1.25</f>
        <v>1917291.4197659218</v>
      </c>
      <c r="U10" s="30">
        <f>100*(+T10/$E$13)</f>
        <v>276.8151832640568</v>
      </c>
      <c r="V10" s="31">
        <f>EXP(5.70827-(0.68367*LN(+U10)))</f>
        <v>6.447898438167341</v>
      </c>
      <c r="W10" s="31">
        <f>(+V10*U10)/100</f>
        <v>17.848761878293182</v>
      </c>
      <c r="X10" s="30">
        <f>100*((((W10/100)-((W10/100)-0.03574)*$E$25)-0.03574-0.00619)/0.344)</f>
        <v>27.2480619616431</v>
      </c>
      <c r="Y10">
        <v>0</v>
      </c>
      <c r="Z10" s="30">
        <f>X10+Y10</f>
        <v>27.2480619616431</v>
      </c>
      <c r="AA10" s="30">
        <f>100*($E$21*$E$23+($E$22*(Z10/100))/(1-$E$25))</f>
        <v>25.455481681408372</v>
      </c>
      <c r="AB10" s="31">
        <f>AA10/U10</f>
        <v>0.09195840120202557</v>
      </c>
      <c r="AC10" s="29">
        <f>$E$12/(1-AB10)</f>
        <v>1689166.154769956</v>
      </c>
      <c r="AD10" t="str">
        <f>IF(AC10=$T$10,"yes","not yet")</f>
        <v>not yet</v>
      </c>
      <c r="AE10" s="30">
        <f>100*(1-AB10)</f>
        <v>90.80415987979744</v>
      </c>
      <c r="AH10">
        <v>50</v>
      </c>
      <c r="AI10">
        <v>2</v>
      </c>
    </row>
    <row r="11" spans="2:35" ht="12.75">
      <c r="B11" s="33" t="s">
        <v>125</v>
      </c>
      <c r="C11" s="15" t="s">
        <v>126</v>
      </c>
      <c r="D11" s="33" t="s">
        <v>127</v>
      </c>
      <c r="E11" s="27">
        <f>+'Results of Operations'!D21</f>
        <v>1489862.199569724</v>
      </c>
      <c r="F11" s="15" t="s">
        <v>128</v>
      </c>
      <c r="K11" s="28"/>
      <c r="M11" s="15" t="s">
        <v>129</v>
      </c>
      <c r="P11" s="15" t="s">
        <v>130</v>
      </c>
      <c r="T11" s="29">
        <f>$E$12*1.25</f>
        <v>1917291.4197659218</v>
      </c>
      <c r="U11" s="30">
        <f>100*(+T11/$E$13)</f>
        <v>276.8151832640568</v>
      </c>
      <c r="V11" s="31">
        <f>EXP(5.6985-(0.68367*LN(U11)))</f>
        <v>6.3852092059806385</v>
      </c>
      <c r="W11" s="31">
        <f>(+V11*U11)/100</f>
        <v>17.675228565328734</v>
      </c>
      <c r="X11" s="30">
        <f>100*((((W11/100)-((W11/100)-0.03574)*$E$25)-0.03574-0.00619)/0.344)</f>
        <v>26.894941848052657</v>
      </c>
      <c r="Y11">
        <v>0</v>
      </c>
      <c r="Z11" s="30">
        <f>X11+Y11</f>
        <v>26.894941848052657</v>
      </c>
      <c r="AA11" s="30">
        <f>100*($E$21*$E$23+($E$22*(Z11/100))/(1-$E$25))</f>
        <v>25.15280729833085</v>
      </c>
      <c r="AB11" s="31">
        <f>AA11/U11</f>
        <v>0.09086498436155986</v>
      </c>
      <c r="AC11" s="29">
        <f>$E$12/(1-AB11)</f>
        <v>1687134.5943436169</v>
      </c>
      <c r="AD11" t="str">
        <f>IF(AC11=$T$11,"yes","not yet")</f>
        <v>not yet</v>
      </c>
      <c r="AE11" s="30">
        <f>100*(1-AB11)</f>
        <v>90.91350156384401</v>
      </c>
      <c r="AH11">
        <v>125</v>
      </c>
      <c r="AI11">
        <v>3</v>
      </c>
    </row>
    <row r="12" spans="2:35" ht="12.75">
      <c r="B12" s="33" t="s">
        <v>125</v>
      </c>
      <c r="C12" s="15" t="s">
        <v>131</v>
      </c>
      <c r="D12" s="33" t="s">
        <v>127</v>
      </c>
      <c r="E12" s="27">
        <f>+'Results of Operations'!D99</f>
        <v>1533833.1358127375</v>
      </c>
      <c r="F12" s="15" t="s">
        <v>128</v>
      </c>
      <c r="K12" s="28"/>
      <c r="M12" s="15" t="s">
        <v>132</v>
      </c>
      <c r="P12" s="15" t="s">
        <v>133</v>
      </c>
      <c r="T12" s="29">
        <f>$E$12*1.25</f>
        <v>1917291.4197659218</v>
      </c>
      <c r="U12" s="30">
        <f>100*(+T12/$E$13)</f>
        <v>276.8151832640568</v>
      </c>
      <c r="V12" s="31">
        <f>EXP(5.6922-(0.68367*LN(U12)))</f>
        <v>6.34510883677783</v>
      </c>
      <c r="W12" s="31">
        <f>(+V12*U12)/100</f>
        <v>17.564224654830415</v>
      </c>
      <c r="X12" s="30">
        <f>100*((((W12/100)-((W12/100)-0.03574)*$E$25)-0.03574-0.00619)/0.344)</f>
        <v>26.66906179762003</v>
      </c>
      <c r="Y12">
        <v>0</v>
      </c>
      <c r="Z12" s="30">
        <f>X12+Y12</f>
        <v>26.66906179762003</v>
      </c>
      <c r="AA12" s="30">
        <f>100*($E$21*$E$23+($E$22*(Z12/100))/(1-$E$25))</f>
        <v>24.959195826531456</v>
      </c>
      <c r="AB12" s="31">
        <f>AA12/U12</f>
        <v>0.09016555931732481</v>
      </c>
      <c r="AC12" s="29">
        <f>$E$12/(1-AB12)</f>
        <v>1685837.6285050916</v>
      </c>
      <c r="AD12" t="str">
        <f>IF(AC12=$T$12,"yes","not yet")</f>
        <v>not yet</v>
      </c>
      <c r="AE12" s="30">
        <f>100*(1-AB12)</f>
        <v>90.98344406826752</v>
      </c>
      <c r="AH12">
        <v>401</v>
      </c>
      <c r="AI12">
        <v>4</v>
      </c>
    </row>
    <row r="13" spans="2:26" ht="12.75">
      <c r="B13" s="33" t="s">
        <v>125</v>
      </c>
      <c r="C13" s="15" t="s">
        <v>134</v>
      </c>
      <c r="E13" s="27">
        <f>+'Results of Operations'!D105</f>
        <v>692625.0927273011</v>
      </c>
      <c r="F13" s="15" t="s">
        <v>128</v>
      </c>
      <c r="K13" s="28"/>
      <c r="Z13" s="30"/>
    </row>
    <row r="14" spans="3:34" ht="12.75">
      <c r="C14" s="15" t="s">
        <v>135</v>
      </c>
      <c r="E14" s="30">
        <f>U9</f>
        <v>276.8151832640568</v>
      </c>
      <c r="F14" s="15" t="s">
        <v>136</v>
      </c>
      <c r="H14" s="30"/>
      <c r="U14" s="2" t="s">
        <v>137</v>
      </c>
      <c r="V14" s="2" t="s">
        <v>108</v>
      </c>
      <c r="W14" s="2" t="s">
        <v>109</v>
      </c>
      <c r="X14" s="2" t="s">
        <v>110</v>
      </c>
      <c r="Z14" s="30"/>
      <c r="AH14" s="15" t="s">
        <v>138</v>
      </c>
    </row>
    <row r="15" spans="3:31" ht="12.75">
      <c r="C15" s="15" t="s">
        <v>139</v>
      </c>
      <c r="E15" s="30">
        <f>HLOOKUP($AI$38,$AI$32:$AQ$36,$E$16+1)</f>
        <v>245.4549316741824</v>
      </c>
      <c r="F15" s="15" t="s">
        <v>136</v>
      </c>
      <c r="U15" s="30">
        <f>100*(+AC9/$E$13)</f>
        <v>244.31559138924115</v>
      </c>
      <c r="V15" s="34">
        <f>EXP(5.7226-(0.68367*LN(+U15)))</f>
        <v>7.123985335681964</v>
      </c>
      <c r="W15" s="31">
        <f>(+V15*U15)/100</f>
        <v>17.40500690335421</v>
      </c>
      <c r="X15" s="30">
        <f>100*((((W15/100)-((W15/100)-0.03574)*$E$25)-0.03574-0.00619)/0.344)</f>
        <v>26.345072187057987</v>
      </c>
      <c r="Y15">
        <v>0</v>
      </c>
      <c r="Z15" s="30">
        <f>X15+Y15</f>
        <v>26.345072187057987</v>
      </c>
      <c r="AA15" s="30">
        <f>100*($E$21*$E$23+($E$22*(Z15/100))/(1-$E$25))</f>
        <v>24.681490446049704</v>
      </c>
      <c r="AB15" s="31">
        <f>AA15/U15</f>
        <v>0.10102298549881494</v>
      </c>
      <c r="AC15" s="29">
        <f>$E$12/(1-AB15)</f>
        <v>1706198.39113886</v>
      </c>
      <c r="AD15" t="str">
        <f>IF(OR(OR(AC15=AC9,AC15=(AC9+1)),AC15=(AC8193-1)),"yes","not yet")</f>
        <v>not yet</v>
      </c>
      <c r="AE15" s="30">
        <f>100*(1-AB15)</f>
        <v>89.8977014501185</v>
      </c>
    </row>
    <row r="16" spans="3:31" ht="12.75">
      <c r="C16" s="15" t="s">
        <v>140</v>
      </c>
      <c r="E16">
        <f>VLOOKUP(E14,AH9:AI12,2)</f>
        <v>3</v>
      </c>
      <c r="F16" s="15" t="s">
        <v>136</v>
      </c>
      <c r="U16" s="30">
        <f>100*(+AC10/$E$13)</f>
        <v>243.87885632595916</v>
      </c>
      <c r="V16" s="34">
        <f>EXP(5.70827-(0.68367*LN(+U16)))</f>
        <v>7.031222015245578</v>
      </c>
      <c r="W16" s="31">
        <f>(+V16*U16)/100</f>
        <v>17.147663836519975</v>
      </c>
      <c r="X16" s="30">
        <f>100*((((W16/100)-((W16/100)-0.03574)*$E$25)-0.03574-0.00619)/0.344)</f>
        <v>25.821408969662734</v>
      </c>
      <c r="Y16">
        <v>0</v>
      </c>
      <c r="Z16" s="30">
        <f>X16+Y16</f>
        <v>25.821408969662734</v>
      </c>
      <c r="AA16" s="30">
        <f>100*($E$21*$E$23+($E$22*(Z16/100))/(1-$E$25))</f>
        <v>24.232636259710915</v>
      </c>
      <c r="AB16" s="31">
        <f>AA16/U16</f>
        <v>0.09936341602046263</v>
      </c>
      <c r="AC16" s="29">
        <f>$E$12/(1-AB16)</f>
        <v>1703054.4429312083</v>
      </c>
      <c r="AD16" t="str">
        <f>IF(OR(OR(AC16=AC10,AC16=(AC10+1)),AC16=(AC10-1)),"yes","not yet")</f>
        <v>not yet</v>
      </c>
      <c r="AE16" s="30">
        <f>100*(1-AB16)</f>
        <v>90.06365839795374</v>
      </c>
    </row>
    <row r="17" spans="21:42" ht="12.75">
      <c r="U17" s="30">
        <f>100*(+AC11/$E$13)</f>
        <v>243.5855431832979</v>
      </c>
      <c r="V17" s="34">
        <f>EXP(5.6985-(0.68367*LN(U17)))</f>
        <v>6.968592477134705</v>
      </c>
      <c r="W17" s="31">
        <f>(+V17*U17)/100</f>
        <v>16.974483837659005</v>
      </c>
      <c r="X17" s="30">
        <f>100*((((W17/100)-((W17/100)-0.03574)*$E$25)-0.03574-0.00619)/0.344)</f>
        <v>25.46900780918983</v>
      </c>
      <c r="Y17">
        <v>0</v>
      </c>
      <c r="Z17" s="30">
        <f>X17+Y17</f>
        <v>25.46900780918983</v>
      </c>
      <c r="AA17" s="30">
        <f>100*($E$21*$E$23+($E$22*(Z17/100))/(1-$E$25))</f>
        <v>23.93057812216271</v>
      </c>
      <c r="AB17" s="31">
        <f>AA17/U17</f>
        <v>0.09824301479236382</v>
      </c>
      <c r="AC17" s="29">
        <f>$E$12/(1-AB17)</f>
        <v>1700938.457892357</v>
      </c>
      <c r="AD17" t="str">
        <f>IF(OR(OR(AC17=AC11,AC17=(AC11+1)),AC17=(AC11-1)),"yes","not yet")</f>
        <v>not yet</v>
      </c>
      <c r="AE17" s="30">
        <f>100*(1-AB17)</f>
        <v>90.17569852076362</v>
      </c>
      <c r="AI17">
        <v>1</v>
      </c>
      <c r="AJ17">
        <v>2</v>
      </c>
      <c r="AK17">
        <v>3</v>
      </c>
      <c r="AL17">
        <v>4</v>
      </c>
      <c r="AM17">
        <v>5</v>
      </c>
      <c r="AN17">
        <v>7</v>
      </c>
      <c r="AO17">
        <v>8</v>
      </c>
      <c r="AP17">
        <v>9</v>
      </c>
    </row>
    <row r="18" spans="3:42" ht="12.75">
      <c r="C18" s="15" t="s">
        <v>141</v>
      </c>
      <c r="U18" s="30">
        <f>100*(+AC12/$E$13)</f>
        <v>243.39828952296364</v>
      </c>
      <c r="V18" s="34">
        <f>EXP(5.6922-(0.68367*LN(U18)))</f>
        <v>6.928470141319233</v>
      </c>
      <c r="W18" s="31">
        <f>(+V18*U18)/100</f>
        <v>16.863777814080276</v>
      </c>
      <c r="X18" s="30">
        <f>100*((((W18/100)-((W18/100)-0.03574)*$E$25)-0.03574-0.00619)/0.344)</f>
        <v>25.243733924000555</v>
      </c>
      <c r="Y18">
        <v>0</v>
      </c>
      <c r="Z18" s="30">
        <f>X18+Y18</f>
        <v>25.243733924000555</v>
      </c>
      <c r="AA18" s="30">
        <f>100*($E$21*$E$23+($E$22*(Z18/100))/(1-$E$25))</f>
        <v>23.737486220571906</v>
      </c>
      <c r="AB18" s="31">
        <f>AA18/U18</f>
        <v>0.09752527952063678</v>
      </c>
      <c r="AC18" s="29">
        <f>$E$12/(1-AB18)</f>
        <v>1699585.7069525653</v>
      </c>
      <c r="AD18" t="str">
        <f>IF(OR(OR(AC18=AC12,AC18=(AC12+1)),AC18=(AC12-1)),"yes","not yet")</f>
        <v>not yet</v>
      </c>
      <c r="AE18" s="30">
        <f>100*(1-AB18)</f>
        <v>90.24747204793633</v>
      </c>
      <c r="AI18" t="str">
        <f>AD9</f>
        <v>not yet</v>
      </c>
      <c r="AJ18" t="str">
        <f>AD15</f>
        <v>not yet</v>
      </c>
      <c r="AK18" t="str">
        <f>AD21</f>
        <v>not yet</v>
      </c>
      <c r="AL18" t="str">
        <f>AD27</f>
        <v>not yet</v>
      </c>
      <c r="AM18" t="str">
        <f>AD33</f>
        <v>not yet</v>
      </c>
      <c r="AN18">
        <f>AC45</f>
        <v>1705297</v>
      </c>
      <c r="AO18">
        <f>AC51</f>
        <v>1705297</v>
      </c>
      <c r="AP18">
        <f>AC57</f>
        <v>1705297</v>
      </c>
    </row>
    <row r="19" spans="3:42" ht="12.75">
      <c r="C19" s="15" t="s">
        <v>142</v>
      </c>
      <c r="E19" s="33" t="s">
        <v>117</v>
      </c>
      <c r="F19" s="15" t="s">
        <v>143</v>
      </c>
      <c r="H19" s="30">
        <f>HLOOKUP($AI$29,$AI$23:$AQ$27,$E$16+1)</f>
        <v>90.22131468146112</v>
      </c>
      <c r="I19" s="15" t="s">
        <v>119</v>
      </c>
      <c r="J19" s="35"/>
      <c r="Z19" s="30"/>
      <c r="AI19" t="str">
        <f>AD10</f>
        <v>not yet</v>
      </c>
      <c r="AJ19" t="str">
        <f>AD16</f>
        <v>not yet</v>
      </c>
      <c r="AK19" t="str">
        <f>AD22</f>
        <v>not yet</v>
      </c>
      <c r="AL19" t="str">
        <f>AD28</f>
        <v>not yet</v>
      </c>
      <c r="AM19" t="str">
        <f>AD34</f>
        <v>not yet</v>
      </c>
      <c r="AN19">
        <f>AC46</f>
        <v>1702178</v>
      </c>
      <c r="AO19">
        <f>AC52</f>
        <v>1702178</v>
      </c>
      <c r="AP19">
        <f>AC58</f>
        <v>1702178</v>
      </c>
    </row>
    <row r="20" spans="3:42" ht="12.75">
      <c r="C20" s="36" t="s">
        <v>127</v>
      </c>
      <c r="D20" s="36" t="s">
        <v>127</v>
      </c>
      <c r="E20" s="37"/>
      <c r="H20" s="36" t="s">
        <v>144</v>
      </c>
      <c r="U20" s="15" t="s">
        <v>145</v>
      </c>
      <c r="V20" s="2" t="s">
        <v>108</v>
      </c>
      <c r="W20" s="2" t="s">
        <v>109</v>
      </c>
      <c r="X20" s="2" t="s">
        <v>110</v>
      </c>
      <c r="Z20" s="30"/>
      <c r="AI20" t="str">
        <f>AD11</f>
        <v>not yet</v>
      </c>
      <c r="AJ20" t="str">
        <f>AD17</f>
        <v>not yet</v>
      </c>
      <c r="AK20" t="str">
        <f>AD23</f>
        <v>not yet</v>
      </c>
      <c r="AL20" t="str">
        <f>AD29</f>
        <v>not yet</v>
      </c>
      <c r="AM20" t="str">
        <f>AD35</f>
        <v>not yet</v>
      </c>
      <c r="AN20">
        <f>AC47</f>
        <v>1700079</v>
      </c>
      <c r="AO20">
        <f>AC53</f>
        <v>1700079</v>
      </c>
      <c r="AP20">
        <f>AC59</f>
        <v>1700079</v>
      </c>
    </row>
    <row r="21" spans="2:42" ht="12.75">
      <c r="B21" s="33" t="s">
        <v>125</v>
      </c>
      <c r="C21" s="15" t="s">
        <v>146</v>
      </c>
      <c r="E21" s="39">
        <v>0.4</v>
      </c>
      <c r="F21" s="15" t="s">
        <v>147</v>
      </c>
      <c r="U21" s="30">
        <f>100*(+AC15/$E$13)</f>
        <v>246.33794083614308</v>
      </c>
      <c r="V21" s="34">
        <f>EXP(5.7226-(0.68367*LN(+U21)))</f>
        <v>7.083948473869425</v>
      </c>
      <c r="W21" s="31">
        <f>(+V21*U21)/100</f>
        <v>17.450452800423324</v>
      </c>
      <c r="X21" s="30">
        <f>100*((((W21/100)-((W21/100)-0.03574)*$E$25)-0.03574-0.00619)/0.344)</f>
        <v>26.437549303186998</v>
      </c>
      <c r="Y21">
        <v>0</v>
      </c>
      <c r="Z21" s="30">
        <f>X21+Y21</f>
        <v>26.437549303186998</v>
      </c>
      <c r="AA21" s="30">
        <f>100*($E$21*$E$23+($E$22*(Z21/100))/(1-$E$25))</f>
        <v>24.76075654558885</v>
      </c>
      <c r="AB21" s="31">
        <f>AA21/U21</f>
        <v>0.10051539954236687</v>
      </c>
      <c r="AC21" s="29">
        <f>$E$12/(1-AB21)</f>
        <v>1705235.570494887</v>
      </c>
      <c r="AD21" t="str">
        <f>IF(OR(OR(AC21=AC15,AC21=(AC15+1)),AC21=(AC7-1)),"yes","not yet")</f>
        <v>not yet</v>
      </c>
      <c r="AE21" s="30">
        <f>100*(1-AB21)</f>
        <v>89.94846004576331</v>
      </c>
      <c r="AI21" t="str">
        <f>AD12</f>
        <v>not yet</v>
      </c>
      <c r="AJ21" t="str">
        <f>AD18</f>
        <v>not yet</v>
      </c>
      <c r="AK21" t="str">
        <f>AD24</f>
        <v>not yet</v>
      </c>
      <c r="AL21" t="str">
        <f>AD30</f>
        <v>not yet</v>
      </c>
      <c r="AM21" t="str">
        <f>AD36</f>
        <v>not yet</v>
      </c>
      <c r="AN21">
        <f>AC48</f>
        <v>1698737</v>
      </c>
      <c r="AO21">
        <f>AC54</f>
        <v>1698737</v>
      </c>
      <c r="AP21">
        <f>AC60</f>
        <v>1698737</v>
      </c>
    </row>
    <row r="22" spans="2:31" ht="12.75">
      <c r="B22" s="33" t="s">
        <v>125</v>
      </c>
      <c r="C22" s="15" t="s">
        <v>148</v>
      </c>
      <c r="E22" s="39">
        <v>0.6</v>
      </c>
      <c r="F22" s="15" t="s">
        <v>149</v>
      </c>
      <c r="H22" s="44">
        <v>0.018</v>
      </c>
      <c r="I22" s="15" t="s">
        <v>125</v>
      </c>
      <c r="U22" s="30">
        <f>100*(+AC16/$E$13)</f>
        <v>245.88402309035772</v>
      </c>
      <c r="V22" s="34">
        <f>EXP(5.70827-(0.68367*LN(+U22)))</f>
        <v>6.991970237092268</v>
      </c>
      <c r="W22" s="31">
        <f>(+V22*U22)/100</f>
        <v>17.19213771224289</v>
      </c>
      <c r="X22" s="30">
        <f>100*((((W22/100)-((W22/100)-0.03574)*$E$25)-0.03574-0.00619)/0.344)</f>
        <v>25.91190813537797</v>
      </c>
      <c r="Y22">
        <v>0</v>
      </c>
      <c r="Z22" s="30">
        <f>X22+Y22</f>
        <v>25.91190813537797</v>
      </c>
      <c r="AA22" s="30">
        <f>100*($E$21*$E$23+($E$22*(Z22/100))/(1-$E$25))</f>
        <v>24.310206973181117</v>
      </c>
      <c r="AB22" s="31">
        <f>AA22/U22</f>
        <v>0.09886859124737672</v>
      </c>
      <c r="AC22" s="29">
        <f>$E$12/(1-AB22)</f>
        <v>1702119.2701915933</v>
      </c>
      <c r="AD22" t="str">
        <f>IF(OR(OR(AC22=AC16,AC22=(AC16+1)),AC22=(AC16-1)),"yes","not yet")</f>
        <v>not yet</v>
      </c>
      <c r="AE22" s="30">
        <f>100*(1-AB22)</f>
        <v>90.11314087526233</v>
      </c>
    </row>
    <row r="23" spans="2:42" ht="12.75">
      <c r="B23" s="33" t="s">
        <v>125</v>
      </c>
      <c r="C23" s="15" t="s">
        <v>150</v>
      </c>
      <c r="E23" s="40">
        <v>0.0525</v>
      </c>
      <c r="F23" s="15" t="s">
        <v>151</v>
      </c>
      <c r="H23" s="129">
        <v>0.0051</v>
      </c>
      <c r="I23" s="15" t="s">
        <v>125</v>
      </c>
      <c r="U23" s="30">
        <f>100*(+AC17/$E$13)</f>
        <v>245.57852086973796</v>
      </c>
      <c r="V23" s="34">
        <f>EXP(5.6985-(0.68367*LN(U23)))</f>
        <v>6.929878950687093</v>
      </c>
      <c r="W23" s="31">
        <f>(+V23*U23)/100</f>
        <v>17.01829422516068</v>
      </c>
      <c r="X23" s="30">
        <f>100*((((W23/100)-((W23/100)-0.03574)*$E$25)-0.03574-0.00619)/0.344)</f>
        <v>25.55815685352464</v>
      </c>
      <c r="Y23">
        <v>0</v>
      </c>
      <c r="Z23" s="30">
        <f>X23+Y23</f>
        <v>25.55815685352464</v>
      </c>
      <c r="AA23" s="30">
        <f>100*($E$21*$E$23+($E$22*(Z23/100))/(1-$E$25))</f>
        <v>24.006991588735403</v>
      </c>
      <c r="AB23" s="31">
        <f>AA23/U23</f>
        <v>0.09775688648873904</v>
      </c>
      <c r="AC23" s="29">
        <f>$E$12/(1-AB23)</f>
        <v>1700021.9927902988</v>
      </c>
      <c r="AD23" t="str">
        <f>IF(OR(OR(AC23=AC17,AC23=(AC17+1)),AC23=(AC17-1)),"yes","not yet")</f>
        <v>not yet</v>
      </c>
      <c r="AE23" s="30">
        <f>100*(1-AB23)</f>
        <v>90.22431135112609</v>
      </c>
      <c r="AI23" t="str">
        <f>HLOOKUP(1,$AI$17:$AQ$21,$E$16+1)</f>
        <v>not yet</v>
      </c>
      <c r="AJ23" t="str">
        <f>HLOOKUP(2,$AI$17:$AQ$21,$E$16+1)</f>
        <v>not yet</v>
      </c>
      <c r="AK23" t="str">
        <f>HLOOKUP(3,$AI$17:$AQ$21,$E$16+1)</f>
        <v>not yet</v>
      </c>
      <c r="AL23" t="str">
        <f>HLOOKUP(4,$AI$17:$AQ$21,$E$16+1)</f>
        <v>not yet</v>
      </c>
      <c r="AM23" t="str">
        <f>HLOOKUP(5,$AI$17:$AQ$21,$E$16+1)</f>
        <v>not yet</v>
      </c>
      <c r="AN23">
        <f>HLOOKUP(7,$AI$17:$AQ$21,$E$16+1)</f>
        <v>1700079</v>
      </c>
      <c r="AO23">
        <f>HLOOKUP(8,$AI$17:$AQ$21,$E$16+1)</f>
        <v>1700079</v>
      </c>
      <c r="AP23">
        <f>HLOOKUP(9,$AI$17:$AQ$21,$E$16+1)</f>
        <v>1700079</v>
      </c>
    </row>
    <row r="24" spans="5:42" ht="12.75">
      <c r="E24" s="38"/>
      <c r="F24" s="15" t="s">
        <v>152</v>
      </c>
      <c r="H24" s="44">
        <v>0</v>
      </c>
      <c r="I24" s="15" t="s">
        <v>125</v>
      </c>
      <c r="U24" s="30">
        <f>100*(+AC18/$E$13)</f>
        <v>245.38321305400967</v>
      </c>
      <c r="V24" s="34">
        <f>EXP(5.6922-(0.68367*LN(U24)))</f>
        <v>6.890104711494139</v>
      </c>
      <c r="W24" s="31">
        <f>(+V24*U24)/100</f>
        <v>16.90716032385002</v>
      </c>
      <c r="X24" s="30">
        <f>100*((((W24/100)-((W24/100)-0.03574)*$E$25)-0.03574-0.00619)/0.344)</f>
        <v>25.33201228690411</v>
      </c>
      <c r="Y24">
        <v>0</v>
      </c>
      <c r="Z24" s="30">
        <f>X24+Y24</f>
        <v>25.33201228690411</v>
      </c>
      <c r="AA24" s="30">
        <f>100*($E$21*$E$23+($E$22*(Z24/100))/(1-$E$25))</f>
        <v>23.81315338877495</v>
      </c>
      <c r="AB24" s="31">
        <f>AA24/U24</f>
        <v>0.09704475335700162</v>
      </c>
      <c r="AC24" s="29">
        <f>$E$12/(1-AB24)</f>
        <v>1698681.237542185</v>
      </c>
      <c r="AD24" t="str">
        <f>IF(OR(OR(AC24=AC18,AC24=(AC18+1)),AC24=(AC18-1)),"yes","not yet")</f>
        <v>not yet</v>
      </c>
      <c r="AE24" s="30">
        <f>100*(1-AB24)</f>
        <v>90.29552466429985</v>
      </c>
      <c r="AH24">
        <v>1</v>
      </c>
      <c r="AI24" s="30">
        <f>AE9</f>
        <v>90.6418396599299</v>
      </c>
      <c r="AJ24" s="30">
        <f>AE15</f>
        <v>89.8977014501185</v>
      </c>
      <c r="AK24" s="30">
        <f>AE21</f>
        <v>89.94846004576331</v>
      </c>
      <c r="AL24" s="30">
        <f>AE27</f>
        <v>89.94499194262909</v>
      </c>
      <c r="AM24" s="30">
        <f>AE33</f>
        <v>89.94522887518379</v>
      </c>
      <c r="AN24" s="30" t="str">
        <f>AD45</f>
        <v>yes</v>
      </c>
      <c r="AO24" s="30" t="str">
        <f>AD51</f>
        <v>yes</v>
      </c>
      <c r="AP24" s="30" t="str">
        <f>AD57</f>
        <v>yes</v>
      </c>
    </row>
    <row r="25" spans="2:42" ht="12.75">
      <c r="B25" s="33" t="s">
        <v>125</v>
      </c>
      <c r="C25" s="15" t="s">
        <v>153</v>
      </c>
      <c r="E25" s="39">
        <v>0.3</v>
      </c>
      <c r="F25" s="15" t="s">
        <v>154</v>
      </c>
      <c r="H25" s="44">
        <v>0.012</v>
      </c>
      <c r="I25" s="15" t="s">
        <v>125</v>
      </c>
      <c r="Z25" s="30"/>
      <c r="AH25">
        <v>2</v>
      </c>
      <c r="AI25" s="30">
        <f>AE10</f>
        <v>90.80415987979744</v>
      </c>
      <c r="AJ25" s="30">
        <f>AE16</f>
        <v>90.06365839795374</v>
      </c>
      <c r="AK25" s="30">
        <f>AE22</f>
        <v>90.11314087526233</v>
      </c>
      <c r="AL25" s="30">
        <f>AE28</f>
        <v>90.10982877359545</v>
      </c>
      <c r="AM25" s="30">
        <f>AE34</f>
        <v>90.11005044373894</v>
      </c>
      <c r="AN25" s="30" t="str">
        <f>AD46</f>
        <v>yes</v>
      </c>
      <c r="AO25" s="30" t="str">
        <f>AD52</f>
        <v>yes</v>
      </c>
      <c r="AP25" s="30" t="str">
        <f>AD58</f>
        <v>yes</v>
      </c>
    </row>
    <row r="26" spans="8:42" ht="12.75">
      <c r="H26" s="36" t="s">
        <v>127</v>
      </c>
      <c r="U26" s="15" t="s">
        <v>155</v>
      </c>
      <c r="V26" s="2" t="s">
        <v>108</v>
      </c>
      <c r="W26" s="2" t="s">
        <v>109</v>
      </c>
      <c r="X26" s="2" t="s">
        <v>110</v>
      </c>
      <c r="Z26" s="30"/>
      <c r="AH26">
        <v>3</v>
      </c>
      <c r="AI26" s="30">
        <f>AE11</f>
        <v>90.91350156384401</v>
      </c>
      <c r="AJ26" s="30">
        <f>AE17</f>
        <v>90.17569852076362</v>
      </c>
      <c r="AK26" s="30">
        <f>AE23</f>
        <v>90.22431135112609</v>
      </c>
      <c r="AL26" s="30">
        <f>AE29</f>
        <v>90.221102953923</v>
      </c>
      <c r="AM26" s="30">
        <f>AE35</f>
        <v>90.22131468146112</v>
      </c>
      <c r="AN26" s="30" t="str">
        <f>AD47</f>
        <v>yes</v>
      </c>
      <c r="AO26" s="30" t="str">
        <f>AD53</f>
        <v>yes</v>
      </c>
      <c r="AP26" s="30" t="str">
        <f>AD59</f>
        <v>yes</v>
      </c>
    </row>
    <row r="27" spans="6:42" ht="12.75">
      <c r="F27" s="15" t="s">
        <v>156</v>
      </c>
      <c r="H27" s="28">
        <f>SUM(H22:H25)</f>
        <v>0.0351</v>
      </c>
      <c r="U27" s="30">
        <f>100*(+AC21/$E$13)</f>
        <v>246.198930474826</v>
      </c>
      <c r="V27" s="34">
        <f>EXP(5.7226-(0.68367*LN(+U27)))</f>
        <v>7.0866827612025105</v>
      </c>
      <c r="W27" s="31">
        <f>(+V27*U27)/100</f>
        <v>17.447337164224447</v>
      </c>
      <c r="X27" s="30">
        <f>100*((((W27/100)-((W27/100)-0.03574)*$E$25)-0.03574-0.00619)/0.344)</f>
        <v>26.431209345805563</v>
      </c>
      <c r="Y27">
        <v>0</v>
      </c>
      <c r="Z27" s="30">
        <f>X27+Y27</f>
        <v>26.431209345805563</v>
      </c>
      <c r="AA27" s="30">
        <f>100*($E$21*$E$23+($E$22*(Z27/100))/(1-$E$25))</f>
        <v>24.75532229640477</v>
      </c>
      <c r="AB27" s="31">
        <f>AA27/U27</f>
        <v>0.10055008057370915</v>
      </c>
      <c r="AC27" s="29">
        <f>$E$12/(1-AB27)</f>
        <v>1705301.3210464064</v>
      </c>
      <c r="AD27" t="str">
        <f>IF(OR(OR(AC27=AC21,AC27=(AC21+1)),AC27=(AC13-1)),"yes","not yet")</f>
        <v>not yet</v>
      </c>
      <c r="AE27" s="30">
        <f>100*(1-AB27)</f>
        <v>89.94499194262909</v>
      </c>
      <c r="AH27">
        <v>4</v>
      </c>
      <c r="AI27" s="30">
        <f>AE12</f>
        <v>90.98344406826752</v>
      </c>
      <c r="AJ27" s="30">
        <f>AE18</f>
        <v>90.24747204793633</v>
      </c>
      <c r="AK27" s="30">
        <f>AE24</f>
        <v>90.29552466429985</v>
      </c>
      <c r="AL27" s="30">
        <f>AE30</f>
        <v>90.29238198924803</v>
      </c>
      <c r="AM27" s="30">
        <f>AE36</f>
        <v>90.2925874999075</v>
      </c>
      <c r="AN27" s="30" t="str">
        <f>AD48</f>
        <v>yes</v>
      </c>
      <c r="AO27" s="30" t="str">
        <f>AD54</f>
        <v>yes</v>
      </c>
      <c r="AP27" s="30" t="str">
        <f>AD60</f>
        <v>yes</v>
      </c>
    </row>
    <row r="28" spans="21:31" ht="12.75">
      <c r="U28" s="30">
        <f>100*(+AC22/$E$13)</f>
        <v>245.7490044851361</v>
      </c>
      <c r="V28" s="34">
        <f>EXP(5.70827-(0.68367*LN(+U28)))</f>
        <v>6.9945963307576235</v>
      </c>
      <c r="W28" s="31">
        <f>(+V28*U28)/100</f>
        <v>17.189150850590718</v>
      </c>
      <c r="X28" s="30">
        <f>100*((((W28/100)-((W28/100)-0.03574)*$E$25)-0.03574-0.00619)/0.344)</f>
        <v>25.905830219225294</v>
      </c>
      <c r="Y28">
        <v>0</v>
      </c>
      <c r="Z28" s="30">
        <f>X28+Y28</f>
        <v>25.905830219225294</v>
      </c>
      <c r="AA28" s="30">
        <f>100*($E$21*$E$23+($E$22*(Z28/100))/(1-$E$25))</f>
        <v>24.30499733076454</v>
      </c>
      <c r="AB28" s="31">
        <f>AA28/U28</f>
        <v>0.09890171226404543</v>
      </c>
      <c r="AC28" s="29">
        <f>$E$12/(1-AB28)</f>
        <v>1702181.8337559542</v>
      </c>
      <c r="AD28" t="str">
        <f>IF(OR(OR(AC28=AC22,AC28=(AC22+1)),AC28=(AC22-1)),"yes","not yet")</f>
        <v>not yet</v>
      </c>
      <c r="AE28" s="30">
        <f>100*(1-AB28)</f>
        <v>90.10982877359545</v>
      </c>
    </row>
    <row r="29" spans="6:35" ht="12.75">
      <c r="F29" s="15" t="s">
        <v>157</v>
      </c>
      <c r="H29" s="31">
        <f>((+H19/100)-H27)</f>
        <v>0.8671131468146113</v>
      </c>
      <c r="U29" s="30">
        <f>100*(+AC23/$E$13)</f>
        <v>245.44620324052104</v>
      </c>
      <c r="V29" s="34">
        <f>EXP(5.6985-(0.68367*LN(U29)))</f>
        <v>6.932432807482393</v>
      </c>
      <c r="W29" s="31">
        <f>(+V29*U29)/100</f>
        <v>17.015393118165793</v>
      </c>
      <c r="X29" s="30">
        <f>100*((((W29/100)-((W29/100)-0.03574)*$E$25)-0.03574-0.00619)/0.344)</f>
        <v>25.55225343812807</v>
      </c>
      <c r="Y29">
        <v>0</v>
      </c>
      <c r="Z29" s="30">
        <f>X29+Y29</f>
        <v>25.55225343812807</v>
      </c>
      <c r="AA29" s="30">
        <f>100*($E$21*$E$23+($E$22*(Z29/100))/(1-$E$25))</f>
        <v>24.001931518395487</v>
      </c>
      <c r="AB29" s="31">
        <f>AA29/U29</f>
        <v>0.0977889704607701</v>
      </c>
      <c r="AC29" s="29">
        <f>$E$12/(1-AB29)</f>
        <v>1700082.4481120394</v>
      </c>
      <c r="AD29" t="str">
        <f>IF(OR(OR(AC29=AC23,AC29=(AC23+1)),AC29=(AC23-1)),"yes","not yet")</f>
        <v>not yet</v>
      </c>
      <c r="AE29" s="30">
        <f>100*(1-AB29)</f>
        <v>90.221102953923</v>
      </c>
      <c r="AI29" s="15" t="s">
        <v>158</v>
      </c>
    </row>
    <row r="30" spans="21:35" ht="12.75">
      <c r="U30" s="30">
        <f>100*(+AC24/$E$13)</f>
        <v>245.25262734178565</v>
      </c>
      <c r="V30" s="34">
        <f>EXP(5.6922-(0.68367*LN(U30)))</f>
        <v>6.892612655127215</v>
      </c>
      <c r="W30" s="31">
        <f>(+V30*U30)/100</f>
        <v>16.904313629191908</v>
      </c>
      <c r="X30" s="30">
        <f>100*((((W30/100)-((W30/100)-0.03574)*$E$25)-0.03574-0.00619)/0.344)</f>
        <v>25.326219594285863</v>
      </c>
      <c r="Y30">
        <v>0</v>
      </c>
      <c r="Z30" s="30">
        <f>X30+Y30</f>
        <v>25.326219594285863</v>
      </c>
      <c r="AA30" s="30">
        <f>100*($E$21*$E$23+($E$22*(Z30/100))/(1-$E$25))</f>
        <v>23.808188223673596</v>
      </c>
      <c r="AB30" s="31">
        <f>AA30/U30</f>
        <v>0.09707618010751971</v>
      </c>
      <c r="AC30" s="29">
        <f>$E$12/(1-AB30)</f>
        <v>1698740.3610587942</v>
      </c>
      <c r="AD30" t="str">
        <f>IF(OR(OR(AC30=AC24,AC30=(AC24+1)),AC30=(AC24-1)),"yes","not yet")</f>
        <v>not yet</v>
      </c>
      <c r="AE30" s="30">
        <f>100*(1-AB30)</f>
        <v>90.29238198924803</v>
      </c>
      <c r="AI30" s="30">
        <f>HLOOKUP($AI$29,$AI$23:$AQ$27,$E$16+1)</f>
        <v>90.22131468146112</v>
      </c>
    </row>
    <row r="31" spans="5:26" ht="12.75">
      <c r="E31" s="29"/>
      <c r="Z31" s="30"/>
    </row>
    <row r="32" spans="21:42" ht="12.75">
      <c r="U32" s="15" t="s">
        <v>159</v>
      </c>
      <c r="V32" s="2" t="s">
        <v>108</v>
      </c>
      <c r="W32" s="2" t="s">
        <v>109</v>
      </c>
      <c r="X32" s="2" t="s">
        <v>110</v>
      </c>
      <c r="Z32" s="30"/>
      <c r="AI32" t="str">
        <f>HLOOKUP(1,$AI$17:$AQ$21,$E$16+1)</f>
        <v>not yet</v>
      </c>
      <c r="AJ32" t="str">
        <f>HLOOKUP(2,$AI$17:$AQ$21,$E$16+1)</f>
        <v>not yet</v>
      </c>
      <c r="AK32" t="str">
        <f>HLOOKUP(3,$AI$17:$AQ$21,$E$16+1)</f>
        <v>not yet</v>
      </c>
      <c r="AL32" t="str">
        <f>HLOOKUP(4,$AI$17:$AQ$21,$E$16+1)</f>
        <v>not yet</v>
      </c>
      <c r="AM32" t="str">
        <f>HLOOKUP(5,$AI$17:$AQ$21,$E$16+1)</f>
        <v>not yet</v>
      </c>
      <c r="AN32">
        <f>HLOOKUP(7,$AI$17:$AQ$21,$E$16+1)</f>
        <v>1700079</v>
      </c>
      <c r="AO32">
        <f>HLOOKUP(8,$AI$17:$AQ$21,$E$16+1)</f>
        <v>1700079</v>
      </c>
      <c r="AP32">
        <f>HLOOKUP(9,$AI$17:$AQ$21,$E$16+1)</f>
        <v>1700079</v>
      </c>
    </row>
    <row r="33" spans="5:42" ht="12.75">
      <c r="E33" s="29"/>
      <c r="U33" s="30">
        <f>100*(+AC27/$E$13)</f>
        <v>246.20842342450538</v>
      </c>
      <c r="V33" s="34">
        <f>EXP(5.7226-(0.68367*LN(+U33)))</f>
        <v>7.086495955368625</v>
      </c>
      <c r="W33" s="31">
        <f>(+V33*U33)/100</f>
        <v>17.447549967754433</v>
      </c>
      <c r="X33" s="30">
        <f>100*((((W33/100)-((W33/100)-0.03574)*$E$25)-0.03574-0.00619)/0.344)</f>
        <v>26.431642376244486</v>
      </c>
      <c r="Y33">
        <v>0</v>
      </c>
      <c r="Z33" s="30">
        <f>X33+Y33</f>
        <v>26.431642376244486</v>
      </c>
      <c r="AA33" s="30">
        <f>100*($E$21*$E$23+($E$22*(Z33/100))/(1-$E$25))</f>
        <v>24.755693465352415</v>
      </c>
      <c r="AB33" s="31">
        <f>AA33/U33</f>
        <v>0.10054771124816217</v>
      </c>
      <c r="AC33" s="29">
        <f>$E$12/(1-AB33)</f>
        <v>1705296.828963796</v>
      </c>
      <c r="AD33" t="str">
        <f>IF(OR(OR(AC33=AC27,AC33=(AC27+1)),AC33=(AC19-1)),"yes","not yet")</f>
        <v>not yet</v>
      </c>
      <c r="AE33" s="30">
        <f>100*(1-AB33)</f>
        <v>89.94522887518379</v>
      </c>
      <c r="AH33">
        <v>1</v>
      </c>
      <c r="AI33" s="30">
        <f>U9</f>
        <v>276.8151832640568</v>
      </c>
      <c r="AJ33" s="30">
        <f>U15</f>
        <v>244.31559138924115</v>
      </c>
      <c r="AK33" s="30">
        <f>U21</f>
        <v>246.33794083614308</v>
      </c>
      <c r="AL33" s="30">
        <f>U27</f>
        <v>246.198930474826</v>
      </c>
      <c r="AM33" s="30">
        <f>U33</f>
        <v>246.20842342450538</v>
      </c>
      <c r="AN33" s="30">
        <f>T45</f>
        <v>0</v>
      </c>
      <c r="AO33" s="30">
        <f>T51</f>
        <v>0</v>
      </c>
      <c r="AP33" s="30">
        <f>T57</f>
        <v>0</v>
      </c>
    </row>
    <row r="34" spans="5:42" ht="12.75">
      <c r="E34" s="29"/>
      <c r="U34" s="30">
        <f>100*(+AC28/$E$13)</f>
        <v>245.75803730318123</v>
      </c>
      <c r="V34" s="34">
        <f>EXP(5.70827-(0.68367*LN(+U34)))</f>
        <v>6.994420567847097</v>
      </c>
      <c r="W34" s="31">
        <f>(+V34*U34)/100</f>
        <v>17.18935070827105</v>
      </c>
      <c r="X34" s="30">
        <f>100*((((W34/100)-((W34/100)-0.03574)*$E$25)-0.03574-0.00619)/0.344)</f>
        <v>25.90623690636551</v>
      </c>
      <c r="Y34">
        <v>0</v>
      </c>
      <c r="Z34" s="30">
        <f>X34+Y34</f>
        <v>25.90623690636551</v>
      </c>
      <c r="AA34" s="30">
        <f>100*($E$21*$E$23+($E$22*(Z34/100))/(1-$E$25))</f>
        <v>24.305345919741868</v>
      </c>
      <c r="AB34" s="31">
        <f>AA34/U34</f>
        <v>0.09889949556261063</v>
      </c>
      <c r="AC34" s="29">
        <f>$E$12/(1-AB34)</f>
        <v>1702177.6463996107</v>
      </c>
      <c r="AD34" t="str">
        <f>IF(OR(OR(AC34=AC28,AC34=(AC28+1)),AC34=(AC28-1)),"yes","not yet")</f>
        <v>not yet</v>
      </c>
      <c r="AE34" s="30">
        <f>100*(1-AB34)</f>
        <v>90.11005044373894</v>
      </c>
      <c r="AH34">
        <v>2</v>
      </c>
      <c r="AI34" s="30">
        <f>U10</f>
        <v>276.8151832640568</v>
      </c>
      <c r="AJ34" s="30">
        <f>U16</f>
        <v>243.87885632595916</v>
      </c>
      <c r="AK34" s="30">
        <f>U22</f>
        <v>245.88402309035772</v>
      </c>
      <c r="AL34" s="30">
        <f>U28</f>
        <v>245.7490044851361</v>
      </c>
      <c r="AM34" s="30">
        <f>U34</f>
        <v>245.75803730318123</v>
      </c>
      <c r="AN34" s="30">
        <f>T46</f>
        <v>0</v>
      </c>
      <c r="AO34" s="30">
        <f>T52</f>
        <v>0</v>
      </c>
      <c r="AP34" s="30">
        <f>T58</f>
        <v>0</v>
      </c>
    </row>
    <row r="35" spans="5:42" ht="12.75">
      <c r="E35" s="29"/>
      <c r="U35" s="30">
        <f>100*(+AC29/$E$13)</f>
        <v>245.4549316741824</v>
      </c>
      <c r="V35" s="34">
        <f>EXP(5.6985-(0.68367*LN(U35)))</f>
        <v>6.93226426895777</v>
      </c>
      <c r="W35" s="31">
        <f>(+V35*U35)/100</f>
        <v>17.015584524844055</v>
      </c>
      <c r="X35" s="30">
        <f>100*((((W35/100)-((W35/100)-0.03574)*$E$25)-0.03574-0.00619)/0.344)</f>
        <v>25.55264292846174</v>
      </c>
      <c r="Y35">
        <v>0</v>
      </c>
      <c r="Z35" s="30">
        <f>X35+Y35</f>
        <v>25.55264292846174</v>
      </c>
      <c r="AA35" s="30">
        <f>100*($E$21*$E$23+($E$22*(Z35/100))/(1-$E$25))</f>
        <v>24.00226536725292</v>
      </c>
      <c r="AB35" s="31">
        <f>AA35/U35</f>
        <v>0.09778685318538882</v>
      </c>
      <c r="AC35" s="29">
        <f>$E$12/(1-AB35)</f>
        <v>1700078.458430969</v>
      </c>
      <c r="AD35" t="str">
        <f>IF(OR(OR(AC35=AC29,AC35=(AC29+1)),AC35=(AC29-1)),"yes","not yet")</f>
        <v>not yet</v>
      </c>
      <c r="AE35" s="30">
        <f>100*(1-AB35)</f>
        <v>90.22131468146112</v>
      </c>
      <c r="AH35">
        <v>3</v>
      </c>
      <c r="AI35" s="30">
        <f>U11</f>
        <v>276.8151832640568</v>
      </c>
      <c r="AJ35" s="30">
        <f>U17</f>
        <v>243.5855431832979</v>
      </c>
      <c r="AK35" s="30">
        <f>U23</f>
        <v>245.57852086973796</v>
      </c>
      <c r="AL35" s="30">
        <f>U29</f>
        <v>245.44620324052104</v>
      </c>
      <c r="AM35" s="30">
        <f>U35</f>
        <v>245.4549316741824</v>
      </c>
      <c r="AN35" s="30">
        <f>T47</f>
        <v>0</v>
      </c>
      <c r="AO35" s="30">
        <f>T53</f>
        <v>0</v>
      </c>
      <c r="AP35" s="30">
        <f>T59</f>
        <v>0</v>
      </c>
    </row>
    <row r="36" spans="5:42" ht="12.75">
      <c r="E36" s="29"/>
      <c r="U36" s="30">
        <f>100*(+AC30/$E$13)</f>
        <v>245.2611634917505</v>
      </c>
      <c r="V36" s="34">
        <f>EXP(5.6922-(0.68367*LN(U36)))</f>
        <v>6.89244864674715</v>
      </c>
      <c r="W36" s="31">
        <f>(+V36*U36)/100</f>
        <v>16.90449974408347</v>
      </c>
      <c r="X36" s="30">
        <f>100*((((W36/100)-((W36/100)-0.03574)*$E$25)-0.03574-0.00619)/0.344)</f>
        <v>25.326598316448923</v>
      </c>
      <c r="Y36">
        <v>0</v>
      </c>
      <c r="Z36" s="30">
        <f>X36+Y36</f>
        <v>25.326598316448923</v>
      </c>
      <c r="AA36" s="30">
        <f>100*($E$21*$E$23+($E$22*(Z36/100))/(1-$E$25))</f>
        <v>23.808512842670506</v>
      </c>
      <c r="AB36" s="31">
        <f>AA36/U36</f>
        <v>0.09707412500092506</v>
      </c>
      <c r="AC36" s="29">
        <f>$E$12/(1-AB36)</f>
        <v>1698736.4946367375</v>
      </c>
      <c r="AD36" t="str">
        <f>IF(OR(OR(AC36=AC30,AC36=(AC30+1)),AC36=(AC30-1)),"yes","not yet")</f>
        <v>not yet</v>
      </c>
      <c r="AE36" s="30">
        <f>100*(1-AB36)</f>
        <v>90.2925874999075</v>
      </c>
      <c r="AH36">
        <v>4</v>
      </c>
      <c r="AI36" s="30">
        <f>U12</f>
        <v>276.8151832640568</v>
      </c>
      <c r="AJ36" s="30">
        <f>U18</f>
        <v>243.39828952296364</v>
      </c>
      <c r="AK36" s="30">
        <f>U24</f>
        <v>245.38321305400967</v>
      </c>
      <c r="AL36" s="30">
        <f>U30</f>
        <v>245.25262734178565</v>
      </c>
      <c r="AM36" s="30">
        <f>U36</f>
        <v>245.2611634917505</v>
      </c>
      <c r="AN36" s="30">
        <f>T48</f>
        <v>0</v>
      </c>
      <c r="AO36" s="30">
        <f>T54</f>
        <v>0</v>
      </c>
      <c r="AP36" s="30">
        <f>T60</f>
        <v>0</v>
      </c>
    </row>
    <row r="37" spans="5:26" ht="12.75">
      <c r="E37" s="29"/>
      <c r="Z37" s="30"/>
    </row>
    <row r="38" spans="21:35" ht="12.75">
      <c r="U38" s="15" t="s">
        <v>160</v>
      </c>
      <c r="V38" s="2" t="s">
        <v>108</v>
      </c>
      <c r="W38" s="2" t="s">
        <v>109</v>
      </c>
      <c r="X38" s="2" t="s">
        <v>110</v>
      </c>
      <c r="Z38" s="30"/>
      <c r="AI38" s="15" t="s">
        <v>158</v>
      </c>
    </row>
    <row r="39" spans="21:35" ht="12.75">
      <c r="U39" s="30">
        <f>100*(+AC33/$E$13)</f>
        <v>246.2077748654714</v>
      </c>
      <c r="V39" s="34">
        <f>EXP(5.7226-(0.68367*LN(+U39)))</f>
        <v>7.086508717571254</v>
      </c>
      <c r="W39" s="31">
        <f>(+V39*U39)/100</f>
        <v>17.447535429179837</v>
      </c>
      <c r="X39" s="30">
        <f>100*((((W39/100)-((W39/100)-0.03574)*$E$25)-0.03574-0.00619)/0.344)</f>
        <v>26.43161279193571</v>
      </c>
      <c r="Y39">
        <v>0</v>
      </c>
      <c r="Z39" s="30">
        <f>X39+Y39</f>
        <v>26.43161279193571</v>
      </c>
      <c r="AA39" s="30">
        <f>100*($E$21*$E$23+($E$22*(Z39/100))/(1-$E$25))</f>
        <v>24.755668107373467</v>
      </c>
      <c r="AB39" s="31">
        <f>AA39/U39</f>
        <v>0.1005478731161111</v>
      </c>
      <c r="AC39" s="29">
        <f>ROUND($E$12/(1-AB39),0)</f>
        <v>1705297</v>
      </c>
      <c r="AD39" t="str">
        <f>IF(OR(OR(AC39=AC33,AC39=(AC33+1)),AC39=(AC25-1)),"yes","not yet")</f>
        <v>not yet</v>
      </c>
      <c r="AE39" s="30">
        <f>100*(1-AB39)</f>
        <v>89.94521268838889</v>
      </c>
      <c r="AI39" s="30">
        <f>HLOOKUP($AI$38,$AI$32:$AQ$36,$E$16+1)</f>
        <v>245.4549316741824</v>
      </c>
    </row>
    <row r="40" spans="21:31" ht="12.75">
      <c r="U40" s="30">
        <f>100*(+AC34/$E$13)</f>
        <v>245.75743273999296</v>
      </c>
      <c r="V40" s="34">
        <f>EXP(5.70827-(0.68367*LN(+U40)))</f>
        <v>6.9944323312544</v>
      </c>
      <c r="W40" s="31">
        <f>(+V40*U40)/100</f>
        <v>17.189337332026852</v>
      </c>
      <c r="X40" s="30">
        <f>100*((((W40/100)-((W40/100)-0.03574)*$E$25)-0.03574-0.00619)/0.344)</f>
        <v>25.906209687263942</v>
      </c>
      <c r="Y40">
        <v>0</v>
      </c>
      <c r="Z40" s="30">
        <f>X40+Y40</f>
        <v>25.906209687263942</v>
      </c>
      <c r="AA40" s="30">
        <f>100*($E$21*$E$23+($E$22*(Z40/100))/(1-$E$25))</f>
        <v>24.305322589083378</v>
      </c>
      <c r="AB40" s="31">
        <f>AA40/U40</f>
        <v>0.09889964392164684</v>
      </c>
      <c r="AC40" s="29">
        <f>ROUND($E$12/(1-AB40),0)</f>
        <v>1702178</v>
      </c>
      <c r="AD40" t="str">
        <f>IF(OR(OR(AC40=AC34,AC40=(AC34+1)),AC40=(AC34-1)),"yes","not yet")</f>
        <v>not yet</v>
      </c>
      <c r="AE40" s="30">
        <f>100*(1-AB40)</f>
        <v>90.11003560783531</v>
      </c>
    </row>
    <row r="41" spans="21:42" ht="12.75">
      <c r="U41" s="30">
        <f>100*(+AC35/$E$13)</f>
        <v>245.45435565100445</v>
      </c>
      <c r="V41" s="34">
        <f>EXP(5.6985-(0.68367*LN(U41)))</f>
        <v>6.9322753911574555</v>
      </c>
      <c r="W41" s="31">
        <f>(+V41*U41)/100</f>
        <v>17.015571893318683</v>
      </c>
      <c r="X41" s="30">
        <f>100*((((W41/100)-((W41/100)-0.03574)*$E$25)-0.03574-0.00619)/0.344)</f>
        <v>25.552617224776387</v>
      </c>
      <c r="Y41">
        <v>0</v>
      </c>
      <c r="Z41" s="30">
        <f>X41+Y41</f>
        <v>25.552617224776387</v>
      </c>
      <c r="AA41" s="30">
        <f>100*($E$21*$E$23+($E$22*(Z41/100))/(1-$E$25))</f>
        <v>24.002243335522618</v>
      </c>
      <c r="AB41" s="31">
        <f>AA41/U41</f>
        <v>0.09778699290897833</v>
      </c>
      <c r="AC41" s="29">
        <f>ROUND($E$12/(1-AB41),0)</f>
        <v>1700079</v>
      </c>
      <c r="AD41" t="str">
        <f>IF(OR(OR(AC41=AC35,AC41=(AC35+1)),AC41=(AC35-1)),"yes","not yet")</f>
        <v>not yet</v>
      </c>
      <c r="AE41" s="30">
        <f>100*(1-AB41)</f>
        <v>90.22130070910217</v>
      </c>
      <c r="AI41" t="str">
        <f>HLOOKUP(1,$AI$17:$AQ$21,$E$16+1)</f>
        <v>not yet</v>
      </c>
      <c r="AJ41" t="str">
        <f>HLOOKUP(2,$AI$17:$AQ$21,$E$16+1)</f>
        <v>not yet</v>
      </c>
      <c r="AK41" t="str">
        <f>HLOOKUP(3,$AI$17:$AQ$21,$E$16+1)</f>
        <v>not yet</v>
      </c>
      <c r="AL41" t="str">
        <f>HLOOKUP(4,$AI$17:$AQ$21,$E$16+1)</f>
        <v>not yet</v>
      </c>
      <c r="AM41" t="str">
        <f>HLOOKUP(5,$AI$17:$AQ$21,$E$16+1)</f>
        <v>not yet</v>
      </c>
      <c r="AN41">
        <f>HLOOKUP(7,$AI$17:$AQ$21,$E$16+1)</f>
        <v>1700079</v>
      </c>
      <c r="AO41">
        <f>HLOOKUP(8,$AI$17:$AQ$21,$E$16+1)</f>
        <v>1700079</v>
      </c>
      <c r="AP41">
        <f>HLOOKUP(9,$AI$17:$AQ$21,$E$16+1)</f>
        <v>1700079</v>
      </c>
    </row>
    <row r="42" spans="21:42" ht="12.75">
      <c r="U42" s="30">
        <f>100*(+AC36/$E$13)</f>
        <v>245.26060526449345</v>
      </c>
      <c r="V42" s="34">
        <f>EXP(5.6922-(0.68367*LN(U42)))</f>
        <v>6.892459371891559</v>
      </c>
      <c r="W42" s="31">
        <f>(+V42*U42)/100</f>
        <v>16.90448757311054</v>
      </c>
      <c r="X42" s="30">
        <f>100*((((W42/100)-((W42/100)-0.03574)*$E$25)-0.03574-0.00619)/0.344)</f>
        <v>25.32657354993424</v>
      </c>
      <c r="Y42">
        <v>0</v>
      </c>
      <c r="Z42" s="30">
        <f>X42+Y42</f>
        <v>25.32657354993424</v>
      </c>
      <c r="AA42" s="30">
        <f>100*($E$21*$E$23+($E$22*(Z42/100))/(1-$E$25))</f>
        <v>23.808491614229347</v>
      </c>
      <c r="AB42" s="31">
        <f>AA42/U42</f>
        <v>0.09707425939259116</v>
      </c>
      <c r="AC42" s="29">
        <f>ROUND($E$12/(1-AB42),0)</f>
        <v>1698737</v>
      </c>
      <c r="AD42" t="str">
        <f>IF(OR(OR(AC42=AC36,AC42=(AC36+1)),AC42=(AC36-1)),"yes","not yet")</f>
        <v>not yet</v>
      </c>
      <c r="AE42" s="30">
        <f>100*(1-AB42)</f>
        <v>90.29257406074088</v>
      </c>
      <c r="AH42">
        <v>1</v>
      </c>
      <c r="AI42" s="29">
        <f>AC9</f>
        <v>1692191.0914069854</v>
      </c>
      <c r="AJ42" s="29">
        <f>AC15</f>
        <v>1706198.39113886</v>
      </c>
      <c r="AK42" s="29">
        <f>AC21</f>
        <v>1705235.570494887</v>
      </c>
      <c r="AL42" s="29">
        <f>AC27</f>
        <v>1705301.3210464064</v>
      </c>
      <c r="AM42" s="29">
        <f>AC33</f>
        <v>1705296.828963796</v>
      </c>
      <c r="AN42" s="29">
        <f>AB45</f>
        <v>0.10054786695297102</v>
      </c>
      <c r="AO42" s="29">
        <f>AB51</f>
        <v>0.10054786695297102</v>
      </c>
      <c r="AP42" s="29">
        <f>AB57</f>
        <v>0.10054786695297102</v>
      </c>
    </row>
    <row r="43" spans="26:42" ht="12.75">
      <c r="Z43" s="30"/>
      <c r="AH43">
        <v>2</v>
      </c>
      <c r="AI43" s="29">
        <f>AC10</f>
        <v>1689166.154769956</v>
      </c>
      <c r="AJ43" s="29">
        <f>AC16</f>
        <v>1703054.4429312083</v>
      </c>
      <c r="AK43" s="29">
        <f>AC22</f>
        <v>1702119.2701915933</v>
      </c>
      <c r="AL43" s="29">
        <f>AC28</f>
        <v>1702181.8337559542</v>
      </c>
      <c r="AM43" s="29">
        <f>AC34</f>
        <v>1702177.6463996107</v>
      </c>
      <c r="AN43" s="29">
        <f>AB46</f>
        <v>0.09889963139347856</v>
      </c>
      <c r="AO43" s="29">
        <f>AB52</f>
        <v>0.09889963139347856</v>
      </c>
      <c r="AP43" s="29">
        <f>AB58</f>
        <v>0.09889963139347856</v>
      </c>
    </row>
    <row r="44" spans="21:42" ht="12.75">
      <c r="U44" s="15" t="s">
        <v>161</v>
      </c>
      <c r="V44" s="2" t="s">
        <v>108</v>
      </c>
      <c r="W44" s="2" t="s">
        <v>109</v>
      </c>
      <c r="X44" s="2" t="s">
        <v>110</v>
      </c>
      <c r="Z44" s="30"/>
      <c r="AH44">
        <v>3</v>
      </c>
      <c r="AI44" s="29">
        <f>AC11</f>
        <v>1687134.5943436169</v>
      </c>
      <c r="AJ44" s="29">
        <f>AC17</f>
        <v>1700938.457892357</v>
      </c>
      <c r="AK44" s="29">
        <f>AC23</f>
        <v>1700021.9927902988</v>
      </c>
      <c r="AL44" s="29">
        <f>AC29</f>
        <v>1700082.4481120394</v>
      </c>
      <c r="AM44" s="29">
        <f>AC35</f>
        <v>1700078.458430969</v>
      </c>
      <c r="AN44" s="29">
        <f>AB47</f>
        <v>0.09778697394252778</v>
      </c>
      <c r="AO44" s="29">
        <f>AB53</f>
        <v>0.09778697394252778</v>
      </c>
      <c r="AP44" s="29">
        <f>AB59</f>
        <v>0.09778697394252778</v>
      </c>
    </row>
    <row r="45" spans="21:42" ht="12.75">
      <c r="U45" s="30">
        <f>100*(+AC39/$E$13)</f>
        <v>246.20779955937954</v>
      </c>
      <c r="V45" s="34">
        <f>EXP(5.7226-(0.68367*LN(+U45)))</f>
        <v>7.086508231648899</v>
      </c>
      <c r="W45" s="31">
        <f>(+V45*U45)/100</f>
        <v>17.447535982737055</v>
      </c>
      <c r="X45" s="30">
        <f>100*((((W45/100)-((W45/100)-0.03574)*$E$25)-0.03574-0.00619)/0.344)</f>
        <v>26.43161391836029</v>
      </c>
      <c r="Y45">
        <v>0</v>
      </c>
      <c r="Z45" s="30">
        <f>X45+Y45</f>
        <v>26.43161391836029</v>
      </c>
      <c r="AA45" s="30">
        <f>100*($E$21*$E$23+($E$22*(Z45/100))/(1-$E$25))</f>
        <v>24.755669072880252</v>
      </c>
      <c r="AB45" s="31">
        <f>AA45/U45</f>
        <v>0.10054786695297102</v>
      </c>
      <c r="AC45" s="29">
        <f>ROUND($E$12/(1-AB45),0)</f>
        <v>1705297</v>
      </c>
      <c r="AD45" t="str">
        <f>IF(OR(OR(AC45=AC39,AC45=(AC39+1)),AC45=(AC31-1)),"yes","not yet")</f>
        <v>yes</v>
      </c>
      <c r="AE45" s="30">
        <f>100*(1-AB45)</f>
        <v>89.9452133047029</v>
      </c>
      <c r="AH45">
        <v>4</v>
      </c>
      <c r="AI45" s="29">
        <f>AC12</f>
        <v>1685837.6285050916</v>
      </c>
      <c r="AJ45" s="29">
        <f>AC18</f>
        <v>1699585.7069525653</v>
      </c>
      <c r="AK45" s="29">
        <f>AC24</f>
        <v>1698681.237542185</v>
      </c>
      <c r="AL45" s="29">
        <f>AC30</f>
        <v>1698740.3610587942</v>
      </c>
      <c r="AM45" s="29">
        <f>AC36</f>
        <v>1698736.4946367375</v>
      </c>
      <c r="AN45" s="29">
        <f>AB48</f>
        <v>0.09707424182681208</v>
      </c>
      <c r="AO45" s="29">
        <f>AB54</f>
        <v>0.09707424182681208</v>
      </c>
      <c r="AP45" s="29">
        <f>AB60</f>
        <v>0.09707424182681208</v>
      </c>
    </row>
    <row r="46" spans="21:31" ht="12.75">
      <c r="U46" s="30">
        <f>100*(+AC40/$E$13)</f>
        <v>245.75748379219897</v>
      </c>
      <c r="V46" s="34">
        <f>EXP(5.70827-(0.68367*LN(+U46)))</f>
        <v>6.994431337894166</v>
      </c>
      <c r="W46" s="31">
        <f>(+V46*U46)/100</f>
        <v>17.18933846158174</v>
      </c>
      <c r="X46" s="30">
        <f>100*((((W46/100)-((W46/100)-0.03574)*$E$25)-0.03574-0.00619)/0.344)</f>
        <v>25.9062119857768</v>
      </c>
      <c r="Y46">
        <v>0</v>
      </c>
      <c r="Z46" s="30">
        <f>X46+Y46</f>
        <v>25.9062119857768</v>
      </c>
      <c r="AA46" s="30">
        <f>100*($E$21*$E$23+($E$22*(Z46/100))/(1-$E$25))</f>
        <v>24.30532455923726</v>
      </c>
      <c r="AB46" s="31">
        <f>AA46/U46</f>
        <v>0.09889963139347856</v>
      </c>
      <c r="AC46" s="29">
        <f>ROUND($E$12/(1-AB46),0)</f>
        <v>1702178</v>
      </c>
      <c r="AD46" t="str">
        <f>IF(OR(OR(AC46=AC40,AC46=(AC40+1)),AC46=(AC40-1)),"yes","not yet")</f>
        <v>yes</v>
      </c>
      <c r="AE46" s="30">
        <f>100*(1-AB46)</f>
        <v>90.11003686065214</v>
      </c>
    </row>
    <row r="47" spans="21:35" ht="12.75">
      <c r="U47" s="30">
        <f>100*(+AC41/$E$13)</f>
        <v>245.45443384179438</v>
      </c>
      <c r="V47" s="34">
        <f>EXP(5.6985-(0.68367*LN(U47)))</f>
        <v>6.932273881400388</v>
      </c>
      <c r="W47" s="31">
        <f>(+V47*U47)/100</f>
        <v>17.015573607953907</v>
      </c>
      <c r="X47" s="30">
        <f>100*((((W47/100)-((W47/100)-0.03574)*$E$25)-0.03574-0.00619)/0.344)</f>
        <v>25.552620713859696</v>
      </c>
      <c r="Y47">
        <v>0</v>
      </c>
      <c r="Z47" s="30">
        <f>X47+Y47</f>
        <v>25.552620713859696</v>
      </c>
      <c r="AA47" s="30">
        <f>100*($E$21*$E$23+($E$22*(Z47/100))/(1-$E$25))</f>
        <v>24.002246326165455</v>
      </c>
      <c r="AB47" s="31">
        <f>AA47/U47</f>
        <v>0.09778697394252778</v>
      </c>
      <c r="AC47" s="29">
        <f>ROUND($E$12/(1-AB47),0)</f>
        <v>1700079</v>
      </c>
      <c r="AD47" t="str">
        <f>IF(OR(OR(AC47=AC41,AC47=(AC41+1)),AC47=(AC41-1)),"yes","not yet")</f>
        <v>yes</v>
      </c>
      <c r="AE47" s="30">
        <f>100*(1-AB47)</f>
        <v>90.22130260574723</v>
      </c>
      <c r="AI47" s="15" t="s">
        <v>158</v>
      </c>
    </row>
    <row r="48" spans="21:35" ht="12.75">
      <c r="U48" s="30">
        <f>100*(+AC42/$E$13)</f>
        <v>245.26067822795778</v>
      </c>
      <c r="V48" s="34">
        <f>EXP(5.6922-(0.68367*LN(U48)))</f>
        <v>6.8924579700521</v>
      </c>
      <c r="W48" s="31">
        <f>(+V48*U48)/100</f>
        <v>16.904489163926712</v>
      </c>
      <c r="X48" s="30">
        <f>100*((((W48/100)-((W48/100)-0.03574)*$E$25)-0.03574-0.00619)/0.344)</f>
        <v>25.326576787060173</v>
      </c>
      <c r="Y48">
        <v>0</v>
      </c>
      <c r="Z48" s="30">
        <f>X48+Y48</f>
        <v>25.326576787060173</v>
      </c>
      <c r="AA48" s="30">
        <f>100*($E$21*$E$23+($E$22*(Z48/100))/(1-$E$25))</f>
        <v>23.80849438890872</v>
      </c>
      <c r="AB48" s="31">
        <f>AA48/U48</f>
        <v>0.09707424182681208</v>
      </c>
      <c r="AC48" s="29">
        <f>ROUND($E$12/(1-AB48),0)</f>
        <v>1698737</v>
      </c>
      <c r="AD48" t="str">
        <f>IF(OR(OR(AC48=AC42,AC48=(AC42+1)),AC48=(AC42-1)),"yes","not yet")</f>
        <v>yes</v>
      </c>
      <c r="AE48" s="30">
        <f>100*(1-AB48)</f>
        <v>90.29257581731879</v>
      </c>
      <c r="AI48" s="29">
        <f>HLOOKUP($AI$38,$AI$41:$AQ$45,$E$16+1)</f>
        <v>1700078.458430969</v>
      </c>
    </row>
    <row r="49" ht="12.75">
      <c r="Z49" s="30"/>
    </row>
    <row r="50" spans="4:26" ht="12.75">
      <c r="D50" s="29"/>
      <c r="E50" s="29"/>
      <c r="F50" s="29"/>
      <c r="U50" s="15" t="s">
        <v>162</v>
      </c>
      <c r="V50" s="2" t="s">
        <v>108</v>
      </c>
      <c r="W50" s="2" t="s">
        <v>109</v>
      </c>
      <c r="X50" s="2" t="s">
        <v>110</v>
      </c>
      <c r="Z50" s="30"/>
    </row>
    <row r="51" spans="4:31" ht="12.75">
      <c r="D51" s="29"/>
      <c r="E51" s="29"/>
      <c r="F51" s="29"/>
      <c r="U51" s="30">
        <f>100*(+AC45/$E$13)</f>
        <v>246.20779955937954</v>
      </c>
      <c r="V51" s="34">
        <f>EXP(5.7226-(0.68367*LN(+U51)))</f>
        <v>7.086508231648899</v>
      </c>
      <c r="W51" s="31">
        <f>(+V51*U51)/100</f>
        <v>17.447535982737055</v>
      </c>
      <c r="X51" s="30">
        <f>100*((((W51/100)-((W51/100)-0.03574)*$E$25)-0.03574-0.00619)/0.344)</f>
        <v>26.43161391836029</v>
      </c>
      <c r="Y51">
        <v>0</v>
      </c>
      <c r="Z51" s="30">
        <f>X51+Y51</f>
        <v>26.43161391836029</v>
      </c>
      <c r="AA51" s="30">
        <f>100*($E$21*$E$23+($E$22*(Z51/100))/(1-$E$25))</f>
        <v>24.755669072880252</v>
      </c>
      <c r="AB51" s="31">
        <f>AA51/U51</f>
        <v>0.10054786695297102</v>
      </c>
      <c r="AC51" s="29">
        <f>ROUND($E$12/(1-AB51),0)</f>
        <v>1705297</v>
      </c>
      <c r="AD51" t="str">
        <f>IF(OR(OR(AC51=AC45,AC51=(AC45+1)),AC51=(AC37-1)),"yes","not yet")</f>
        <v>yes</v>
      </c>
      <c r="AE51" s="30">
        <f>100*(1-AB51)</f>
        <v>89.9452133047029</v>
      </c>
    </row>
    <row r="52" spans="21:31" ht="12.75">
      <c r="U52" s="30">
        <f>100*(+AC46/$E$13)</f>
        <v>245.75748379219897</v>
      </c>
      <c r="V52" s="34">
        <f>EXP(5.70827-(0.68367*LN(+U52)))</f>
        <v>6.994431337894166</v>
      </c>
      <c r="W52" s="31">
        <f>(+V52*U52)/100</f>
        <v>17.18933846158174</v>
      </c>
      <c r="X52" s="30">
        <f>100*((((W52/100)-((W52/100)-0.03574)*$E$25)-0.03574-0.00619)/0.344)</f>
        <v>25.9062119857768</v>
      </c>
      <c r="Y52">
        <v>0</v>
      </c>
      <c r="Z52" s="30">
        <f>X52+Y52</f>
        <v>25.9062119857768</v>
      </c>
      <c r="AA52" s="30">
        <f>100*($E$21*$E$23+($E$22*(Z52/100))/(1-$E$25))</f>
        <v>24.30532455923726</v>
      </c>
      <c r="AB52" s="31">
        <f>AA52/U52</f>
        <v>0.09889963139347856</v>
      </c>
      <c r="AC52" s="29">
        <f>ROUND($E$12/(1-AB52),0)</f>
        <v>1702178</v>
      </c>
      <c r="AD52" t="str">
        <f>IF(OR(OR(AC52=AC46,AC52=(AC46+1)),AC52=(AC46-1)),"yes","not yet")</f>
        <v>yes</v>
      </c>
      <c r="AE52" s="30">
        <f>100*(1-AB52)</f>
        <v>90.11003686065214</v>
      </c>
    </row>
    <row r="53" spans="21:31" ht="12.75">
      <c r="U53" s="30">
        <f>100*(+AC47/$E$13)</f>
        <v>245.45443384179438</v>
      </c>
      <c r="V53" s="34">
        <f>EXP(5.6985-(0.68367*LN(U53)))</f>
        <v>6.932273881400388</v>
      </c>
      <c r="W53" s="31">
        <f>(+V53*U53)/100</f>
        <v>17.015573607953907</v>
      </c>
      <c r="X53" s="30">
        <f>100*((((W53/100)-((W53/100)-0.03574)*$E$25)-0.03574-0.00619)/0.344)</f>
        <v>25.552620713859696</v>
      </c>
      <c r="Y53">
        <v>0</v>
      </c>
      <c r="Z53" s="30">
        <f>X53+Y53</f>
        <v>25.552620713859696</v>
      </c>
      <c r="AA53" s="30">
        <f>100*($E$21*$E$23+($E$22*(Z53/100))/(1-$E$25))</f>
        <v>24.002246326165455</v>
      </c>
      <c r="AB53" s="31">
        <f>AA53/U53</f>
        <v>0.09778697394252778</v>
      </c>
      <c r="AC53" s="29">
        <f>ROUND($E$12/(1-AB53),0)</f>
        <v>1700079</v>
      </c>
      <c r="AD53" t="str">
        <f>IF(OR(OR(AC53=AC47,AC53=(AC47+1)),AC53=(AC47-1)),"yes","not yet")</f>
        <v>yes</v>
      </c>
      <c r="AE53" s="30">
        <f>100*(1-AB53)</f>
        <v>90.22130260574723</v>
      </c>
    </row>
    <row r="54" spans="21:31" ht="12.75">
      <c r="U54" s="30">
        <f>100*(+AC48/$E$13)</f>
        <v>245.26067822795778</v>
      </c>
      <c r="V54" s="34">
        <f>EXP(5.6922-(0.68367*LN(U54)))</f>
        <v>6.8924579700521</v>
      </c>
      <c r="W54" s="31">
        <f>(+V54*U54)/100</f>
        <v>16.904489163926712</v>
      </c>
      <c r="X54" s="30">
        <f>100*((((W54/100)-((W54/100)-0.03574)*$E$25)-0.03574-0.00619)/0.344)</f>
        <v>25.326576787060173</v>
      </c>
      <c r="Y54">
        <v>0</v>
      </c>
      <c r="Z54" s="30">
        <f>X54+Y54</f>
        <v>25.326576787060173</v>
      </c>
      <c r="AA54" s="30">
        <f>100*($E$21*$E$23+($E$22*(Z54/100))/(1-$E$25))</f>
        <v>23.80849438890872</v>
      </c>
      <c r="AB54" s="31">
        <f>AA54/U54</f>
        <v>0.09707424182681208</v>
      </c>
      <c r="AC54" s="29">
        <f>ROUND($E$12/(1-AB54),0)</f>
        <v>1698737</v>
      </c>
      <c r="AD54" t="str">
        <f>IF(OR(OR(AC54=AC48,AC54=(AC48+1)),AC54=(AC48-1)),"yes","not yet")</f>
        <v>yes</v>
      </c>
      <c r="AE54" s="30">
        <f>100*(1-AB54)</f>
        <v>90.29257581731879</v>
      </c>
    </row>
    <row r="55" ht="12.75">
      <c r="Z55" s="30"/>
    </row>
    <row r="56" spans="21:26" ht="12.75">
      <c r="U56" s="15" t="s">
        <v>163</v>
      </c>
      <c r="V56" s="2" t="s">
        <v>108</v>
      </c>
      <c r="W56" s="2" t="s">
        <v>109</v>
      </c>
      <c r="X56" s="2" t="s">
        <v>110</v>
      </c>
      <c r="Z56" s="30"/>
    </row>
    <row r="57" spans="21:31" ht="12.75">
      <c r="U57" s="30">
        <f>100*(+AC51/$E$13)</f>
        <v>246.20779955937954</v>
      </c>
      <c r="V57" s="34">
        <f>EXP(5.7226-(0.68367*LN(+U57)))</f>
        <v>7.086508231648899</v>
      </c>
      <c r="W57" s="31">
        <f>(+V57*U57)/100</f>
        <v>17.447535982737055</v>
      </c>
      <c r="X57" s="30">
        <f>100*((((W57/100)-((W57/100)-0.03574)*$E$25)-0.03574-0.00619)/0.344)</f>
        <v>26.43161391836029</v>
      </c>
      <c r="Y57">
        <v>0</v>
      </c>
      <c r="Z57" s="30">
        <f>X57+Y57</f>
        <v>26.43161391836029</v>
      </c>
      <c r="AA57" s="30">
        <f>100*($E$21*$E$23+($E$22*(Z57/100))/(1-$E$25))</f>
        <v>24.755669072880252</v>
      </c>
      <c r="AB57" s="31">
        <f>AA57/U57</f>
        <v>0.10054786695297102</v>
      </c>
      <c r="AC57" s="29">
        <f>ROUND($E$12/(1-AB57),0)</f>
        <v>1705297</v>
      </c>
      <c r="AD57" t="str">
        <f>IF(OR(OR(AC57=AC51,AC57=(AC51+1)),AC57=(AC43-1)),"yes","not yet")</f>
        <v>yes</v>
      </c>
      <c r="AE57" s="30">
        <f>100*(1-AB57)</f>
        <v>89.9452133047029</v>
      </c>
    </row>
    <row r="58" spans="21:31" ht="12.75">
      <c r="U58" s="30">
        <f>100*(+AC52/$E$13)</f>
        <v>245.75748379219897</v>
      </c>
      <c r="V58" s="34">
        <f>EXP(5.70827-(0.68367*LN(+U58)))</f>
        <v>6.994431337894166</v>
      </c>
      <c r="W58" s="31">
        <f>(+V58*U58)/100</f>
        <v>17.18933846158174</v>
      </c>
      <c r="X58" s="30">
        <f>100*((((W58/100)-((W58/100)-0.03574)*$E$25)-0.03574-0.00619)/0.344)</f>
        <v>25.9062119857768</v>
      </c>
      <c r="Y58">
        <v>0</v>
      </c>
      <c r="Z58" s="30">
        <f>X58+Y58</f>
        <v>25.9062119857768</v>
      </c>
      <c r="AA58" s="30">
        <f>100*($E$21*$E$23+($E$22*(Z58/100))/(1-$E$25))</f>
        <v>24.30532455923726</v>
      </c>
      <c r="AB58" s="31">
        <f>AA58/U58</f>
        <v>0.09889963139347856</v>
      </c>
      <c r="AC58" s="29">
        <f>ROUND($E$12/(1-AB58),0)</f>
        <v>1702178</v>
      </c>
      <c r="AD58" t="str">
        <f>IF(OR(OR(AC58=AC52,AC58=(AC52+1)),AC58=(AC52-1)),"yes","not yet")</f>
        <v>yes</v>
      </c>
      <c r="AE58" s="30">
        <f>100*(1-AB58)</f>
        <v>90.11003686065214</v>
      </c>
    </row>
    <row r="59" spans="21:31" ht="12.75">
      <c r="U59" s="30">
        <f>100*(+AC53/$E$13)</f>
        <v>245.45443384179438</v>
      </c>
      <c r="V59" s="34">
        <f>EXP(5.6985-(0.68367*LN(U59)))</f>
        <v>6.932273881400388</v>
      </c>
      <c r="W59" s="31">
        <f>(+V59*U59)/100</f>
        <v>17.015573607953907</v>
      </c>
      <c r="X59" s="30">
        <f>100*((((W59/100)-((W59/100)-0.03574)*$E$25)-0.03574-0.00619)/0.344)</f>
        <v>25.552620713859696</v>
      </c>
      <c r="Y59">
        <v>0</v>
      </c>
      <c r="Z59" s="30">
        <f>X59+Y59</f>
        <v>25.552620713859696</v>
      </c>
      <c r="AA59" s="30">
        <f>100*($E$21*$E$23+($E$22*(Z59/100))/(1-$E$25))</f>
        <v>24.002246326165455</v>
      </c>
      <c r="AB59" s="31">
        <f>AA59/U59</f>
        <v>0.09778697394252778</v>
      </c>
      <c r="AC59" s="29">
        <f>ROUND($E$12/(1-AB59),0)</f>
        <v>1700079</v>
      </c>
      <c r="AD59" t="str">
        <f>IF(OR(OR(AC59=AC53,AC59=(AC53+1)),AC59=(AC53-1)),"yes","not yet")</f>
        <v>yes</v>
      </c>
      <c r="AE59" s="30">
        <f>100*(1-AB59)</f>
        <v>90.22130260574723</v>
      </c>
    </row>
    <row r="60" spans="21:31" ht="12.75">
      <c r="U60" s="30">
        <f>100*(+AC54/$E$13)</f>
        <v>245.26067822795778</v>
      </c>
      <c r="V60" s="34">
        <f>EXP(5.6922-(0.68367*LN(U60)))</f>
        <v>6.8924579700521</v>
      </c>
      <c r="W60" s="31">
        <f>(+V60*U60)/100</f>
        <v>16.904489163926712</v>
      </c>
      <c r="X60" s="30">
        <f>100*((((W60/100)-((W60/100)-0.03574)*$E$25)-0.03574-0.00619)/0.344)</f>
        <v>25.326576787060173</v>
      </c>
      <c r="Y60">
        <v>0</v>
      </c>
      <c r="Z60" s="30">
        <f>X60+Y60</f>
        <v>25.326576787060173</v>
      </c>
      <c r="AA60" s="30">
        <f>100*($E$21*$E$23+($E$22*(Z60/100))/(1-$E$25))</f>
        <v>23.80849438890872</v>
      </c>
      <c r="AB60" s="31">
        <f>AA60/U60</f>
        <v>0.09707424182681208</v>
      </c>
      <c r="AC60" s="29">
        <f>ROUND($E$12/(1-AB60),0)</f>
        <v>1698737</v>
      </c>
      <c r="AD60" t="str">
        <f>IF(OR(OR(AC60=AC54,AC60=(AC54+1)),AC60=(AC54-1)),"yes","not yet")</f>
        <v>yes</v>
      </c>
      <c r="AE60" s="30">
        <f>100*(1-AB60)</f>
        <v>90.29257581731879</v>
      </c>
    </row>
    <row r="61" ht="12.75">
      <c r="Z61" s="30"/>
    </row>
    <row r="63" spans="21:29" ht="12.75">
      <c r="U63" s="30"/>
      <c r="V63" s="34"/>
      <c r="W63" s="31"/>
      <c r="X63" s="30"/>
      <c r="AA63" s="30"/>
      <c r="AB63" s="31"/>
      <c r="AC63" s="29"/>
    </row>
    <row r="64" spans="21:29" ht="12.75">
      <c r="U64" s="30"/>
      <c r="V64" s="34"/>
      <c r="W64" s="31"/>
      <c r="X64" s="30"/>
      <c r="AA64" s="30"/>
      <c r="AB64" s="31"/>
      <c r="AC64" s="29"/>
    </row>
    <row r="65" spans="21:29" ht="12.75">
      <c r="U65" s="30"/>
      <c r="V65" s="34"/>
      <c r="W65" s="31"/>
      <c r="X65" s="30"/>
      <c r="AA65" s="30"/>
      <c r="AB65" s="31"/>
      <c r="AC65" s="29"/>
    </row>
    <row r="66" spans="21:29" ht="12.75">
      <c r="U66" s="30"/>
      <c r="V66" s="34"/>
      <c r="W66" s="31"/>
      <c r="X66" s="30"/>
      <c r="AA66" s="30"/>
      <c r="AB66" s="31"/>
      <c r="AC66" s="29"/>
    </row>
    <row r="69" spans="21:29" ht="12.75">
      <c r="U69" s="30"/>
      <c r="V69" s="34"/>
      <c r="W69" s="31"/>
      <c r="X69" s="30"/>
      <c r="AA69" s="30"/>
      <c r="AB69" s="31"/>
      <c r="AC69" s="29"/>
    </row>
    <row r="70" spans="21:29" ht="12.75">
      <c r="U70" s="30"/>
      <c r="V70" s="34"/>
      <c r="W70" s="31"/>
      <c r="X70" s="30"/>
      <c r="AA70" s="30"/>
      <c r="AB70" s="31"/>
      <c r="AC70" s="29"/>
    </row>
    <row r="71" spans="20:28" ht="12.75">
      <c r="T71" s="30"/>
      <c r="U71" s="34"/>
      <c r="V71" s="31"/>
      <c r="W71" s="30"/>
      <c r="Z71" s="30"/>
      <c r="AA71" s="31"/>
      <c r="AB71" s="29"/>
    </row>
    <row r="72" spans="20:28" ht="12.75">
      <c r="T72" s="30"/>
      <c r="U72" s="34"/>
      <c r="V72" s="31"/>
      <c r="W72" s="30"/>
      <c r="Z72" s="30"/>
      <c r="AA72" s="31"/>
      <c r="AB72" s="29"/>
    </row>
    <row r="75" spans="20:28" ht="12.75">
      <c r="T75" s="30"/>
      <c r="U75" s="34"/>
      <c r="V75" s="31"/>
      <c r="W75" s="30"/>
      <c r="Z75" s="30"/>
      <c r="AA75" s="31"/>
      <c r="AB75" s="29"/>
    </row>
    <row r="76" spans="20:28" ht="12.75">
      <c r="T76" s="30"/>
      <c r="U76" s="34"/>
      <c r="V76" s="31"/>
      <c r="W76" s="30"/>
      <c r="Z76" s="30"/>
      <c r="AA76" s="31"/>
      <c r="AB76" s="29"/>
    </row>
    <row r="77" spans="20:28" ht="12.75">
      <c r="T77" s="30"/>
      <c r="U77" s="34"/>
      <c r="V77" s="31"/>
      <c r="W77" s="30"/>
      <c r="Z77" s="30"/>
      <c r="AA77" s="31"/>
      <c r="AB77" s="29"/>
    </row>
    <row r="78" spans="20:28" ht="12.75">
      <c r="T78" s="30"/>
      <c r="U78" s="34"/>
      <c r="V78" s="31"/>
      <c r="W78" s="30"/>
      <c r="Z78" s="30"/>
      <c r="AA78" s="31"/>
      <c r="AB78" s="29"/>
    </row>
    <row r="81" spans="20:28" ht="12.75">
      <c r="T81" s="30"/>
      <c r="U81" s="34"/>
      <c r="V81" s="31"/>
      <c r="W81" s="30"/>
      <c r="Z81" s="30"/>
      <c r="AA81" s="31"/>
      <c r="AB81" s="29"/>
    </row>
    <row r="82" spans="20:28" ht="12.75">
      <c r="T82" s="30"/>
      <c r="U82" s="34"/>
      <c r="V82" s="31"/>
      <c r="W82" s="30"/>
      <c r="Z82" s="30"/>
      <c r="AA82" s="31"/>
      <c r="AB82" s="29"/>
    </row>
    <row r="83" spans="20:28" ht="12.75">
      <c r="T83" s="30"/>
      <c r="U83" s="34"/>
      <c r="V83" s="31"/>
      <c r="W83" s="30"/>
      <c r="Z83" s="30"/>
      <c r="AA83" s="31"/>
      <c r="AB83" s="29"/>
    </row>
    <row r="84" spans="20:28" ht="12.75">
      <c r="T84" s="30"/>
      <c r="U84" s="34"/>
      <c r="V84" s="31"/>
      <c r="W84" s="30"/>
      <c r="Z84" s="30"/>
      <c r="AA84" s="31"/>
      <c r="AB84" s="29"/>
    </row>
    <row r="87" spans="20:28" ht="12.75">
      <c r="T87" s="30"/>
      <c r="U87" s="34"/>
      <c r="V87" s="31"/>
      <c r="W87" s="30"/>
      <c r="Z87" s="30"/>
      <c r="AA87" s="31"/>
      <c r="AB87" s="29"/>
    </row>
    <row r="88" spans="20:28" ht="12.75">
      <c r="T88" s="30"/>
      <c r="U88" s="34"/>
      <c r="V88" s="31"/>
      <c r="W88" s="30"/>
      <c r="Z88" s="30"/>
      <c r="AA88" s="31"/>
      <c r="AB88" s="29"/>
    </row>
    <row r="89" spans="20:28" ht="12.75">
      <c r="T89" s="30"/>
      <c r="U89" s="34"/>
      <c r="V89" s="31"/>
      <c r="W89" s="30"/>
      <c r="Z89" s="30"/>
      <c r="AA89" s="31"/>
      <c r="AB89" s="29"/>
    </row>
    <row r="90" spans="20:28" ht="12.75">
      <c r="T90" s="30"/>
      <c r="U90" s="34"/>
      <c r="V90" s="31"/>
      <c r="W90" s="30"/>
      <c r="Z90" s="30"/>
      <c r="AA90" s="31"/>
      <c r="AB90" s="29"/>
    </row>
    <row r="93" spans="20:28" ht="12.75">
      <c r="T93" s="30"/>
      <c r="U93" s="34"/>
      <c r="V93" s="31"/>
      <c r="W93" s="30"/>
      <c r="Z93" s="30"/>
      <c r="AA93" s="31"/>
      <c r="AB93" s="29"/>
    </row>
    <row r="94" spans="20:28" ht="12.75">
      <c r="T94" s="30"/>
      <c r="U94" s="34"/>
      <c r="V94" s="31"/>
      <c r="W94" s="30"/>
      <c r="Z94" s="30"/>
      <c r="AA94" s="31"/>
      <c r="AB94" s="29"/>
    </row>
    <row r="95" spans="20:28" ht="12.75">
      <c r="T95" s="30"/>
      <c r="U95" s="34"/>
      <c r="V95" s="31"/>
      <c r="W95" s="30"/>
      <c r="Z95" s="30"/>
      <c r="AA95" s="31"/>
      <c r="AB95" s="29"/>
    </row>
    <row r="96" spans="20:28" ht="12.75">
      <c r="T96" s="30"/>
      <c r="U96" s="34"/>
      <c r="V96" s="31"/>
      <c r="W96" s="30"/>
      <c r="Z96" s="30"/>
      <c r="AA96" s="31"/>
      <c r="AB96" s="29"/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t="s">
        <v>0</v>
      </c>
    </row>
    <row r="3" ht="12.75">
      <c r="A3" t="s">
        <v>270</v>
      </c>
    </row>
    <row r="5" ht="12.75">
      <c r="A5" s="1" t="s">
        <v>350</v>
      </c>
    </row>
    <row r="7" spans="2:34" ht="12.75">
      <c r="B7" s="15" t="s">
        <v>101</v>
      </c>
      <c r="AD7" s="2" t="s">
        <v>102</v>
      </c>
      <c r="AE7" s="2" t="s">
        <v>103</v>
      </c>
      <c r="AH7" s="15" t="s">
        <v>104</v>
      </c>
    </row>
    <row r="8" spans="5:34" ht="12.75">
      <c r="E8" s="27"/>
      <c r="M8" s="15" t="s">
        <v>105</v>
      </c>
      <c r="T8" s="2" t="s">
        <v>106</v>
      </c>
      <c r="U8" s="2" t="s">
        <v>107</v>
      </c>
      <c r="V8" s="2" t="s">
        <v>108</v>
      </c>
      <c r="W8" s="2" t="s">
        <v>109</v>
      </c>
      <c r="X8" s="2" t="s">
        <v>110</v>
      </c>
      <c r="Z8" s="2" t="s">
        <v>111</v>
      </c>
      <c r="AA8" s="15" t="s">
        <v>112</v>
      </c>
      <c r="AB8" s="2" t="s">
        <v>113</v>
      </c>
      <c r="AC8" s="2" t="s">
        <v>114</v>
      </c>
      <c r="AD8" s="2" t="s">
        <v>115</v>
      </c>
      <c r="AH8" s="15" t="s">
        <v>116</v>
      </c>
    </row>
    <row r="9" spans="2:35" ht="12.75">
      <c r="B9" s="15" t="s">
        <v>117</v>
      </c>
      <c r="C9" s="15" t="s">
        <v>118</v>
      </c>
      <c r="E9" s="27">
        <f>E11+E10</f>
        <v>198642.42879345917</v>
      </c>
      <c r="F9" s="15" t="s">
        <v>119</v>
      </c>
      <c r="K9" s="28"/>
      <c r="M9" s="15" t="s">
        <v>120</v>
      </c>
      <c r="P9" s="15" t="s">
        <v>121</v>
      </c>
      <c r="T9" s="29">
        <f>$E$12*1.25</f>
        <v>223376.23621902557</v>
      </c>
      <c r="U9" s="30">
        <f>100*(+T9/$E$13)</f>
        <v>282.3587016425661</v>
      </c>
      <c r="V9" s="31">
        <f>EXP(5.7226-(0.68367*LN(+U9)))</f>
        <v>6.452891486883928</v>
      </c>
      <c r="W9" s="31">
        <f>(+V9*U9)/100</f>
        <v>18.220300620769134</v>
      </c>
      <c r="X9" s="30">
        <f>100*((((W9/100)-((W9/100)-0.03574)*$E$25)-0.03574-0.00619)/0.344)</f>
        <v>28.004100100402308</v>
      </c>
      <c r="Y9">
        <v>0</v>
      </c>
      <c r="Z9" s="30">
        <f>X9+Y9</f>
        <v>28.004100100402308</v>
      </c>
      <c r="AA9" s="30">
        <f>100*($E$21*$E$23+($E$22*(Z9/100))/(1-$E$25))</f>
        <v>26.103514371773407</v>
      </c>
      <c r="AB9" s="31">
        <f>AA9/U9</f>
        <v>0.092448060640318</v>
      </c>
      <c r="AC9" s="29">
        <f>$E$12/(1-AB9)</f>
        <v>196904.42081067216</v>
      </c>
      <c r="AD9" t="str">
        <f>IF(AC9=$T$9,"yes","not yet")</f>
        <v>not yet</v>
      </c>
      <c r="AE9" s="30">
        <f>100*(1-AB9)</f>
        <v>90.75519393596821</v>
      </c>
      <c r="AH9">
        <v>0</v>
      </c>
      <c r="AI9">
        <v>1</v>
      </c>
    </row>
    <row r="10" spans="2:35" ht="12.75">
      <c r="B10" s="15" t="s">
        <v>117</v>
      </c>
      <c r="C10" s="15" t="s">
        <v>122</v>
      </c>
      <c r="E10" s="27">
        <f>(+E12-((H19/100)*E11))/H29</f>
        <v>20961.379186494214</v>
      </c>
      <c r="F10" s="32" t="s">
        <v>119</v>
      </c>
      <c r="K10" s="28"/>
      <c r="M10" s="15" t="s">
        <v>123</v>
      </c>
      <c r="P10" s="15" t="s">
        <v>124</v>
      </c>
      <c r="T10" s="29">
        <f>$E$12*1.25</f>
        <v>223376.23621902557</v>
      </c>
      <c r="U10" s="30">
        <f>100*(+T10/$E$13)</f>
        <v>282.3587016425661</v>
      </c>
      <c r="V10" s="31">
        <f>EXP(5.70827-(0.68367*LN(+U10)))</f>
        <v>6.361080945499992</v>
      </c>
      <c r="W10" s="31">
        <f>(+V10*U10)/100</f>
        <v>17.961065568146445</v>
      </c>
      <c r="X10" s="30">
        <f>100*((((W10/100)-((W10/100)-0.03574)*$E$25)-0.03574-0.00619)/0.344)</f>
        <v>27.47658691192591</v>
      </c>
      <c r="Y10">
        <v>0</v>
      </c>
      <c r="Z10" s="30">
        <f>X10+Y10</f>
        <v>27.47658691192591</v>
      </c>
      <c r="AA10" s="30">
        <f>100*($E$21*$E$23+($E$22*(Z10/100))/(1-$E$25))</f>
        <v>25.651360210222208</v>
      </c>
      <c r="AB10" s="31">
        <f>AA10/U10</f>
        <v>0.09084671398827264</v>
      </c>
      <c r="AC10" s="29">
        <f>$E$12/(1-AB10)</f>
        <v>196557.60114902706</v>
      </c>
      <c r="AD10" t="str">
        <f>IF(AC10=$T$10,"yes","not yet")</f>
        <v>not yet</v>
      </c>
      <c r="AE10" s="30">
        <f>100*(1-AB10)</f>
        <v>90.91532860117275</v>
      </c>
      <c r="AH10">
        <v>50</v>
      </c>
      <c r="AI10">
        <v>2</v>
      </c>
    </row>
    <row r="11" spans="2:35" ht="12.75">
      <c r="B11" s="33" t="s">
        <v>125</v>
      </c>
      <c r="C11" s="15" t="s">
        <v>126</v>
      </c>
      <c r="D11" s="33" t="s">
        <v>127</v>
      </c>
      <c r="E11" s="27">
        <f>+'Results of Operations'!G21</f>
        <v>177681.04960696495</v>
      </c>
      <c r="F11" s="15" t="s">
        <v>128</v>
      </c>
      <c r="K11" s="28"/>
      <c r="M11" s="15" t="s">
        <v>129</v>
      </c>
      <c r="P11" s="15" t="s">
        <v>130</v>
      </c>
      <c r="T11" s="29">
        <f>$E$12*1.25</f>
        <v>223376.23621902557</v>
      </c>
      <c r="U11" s="30">
        <f>100*(+T11/$E$13)</f>
        <v>282.3587016425661</v>
      </c>
      <c r="V11" s="31">
        <f>EXP(5.6985-(0.68367*LN(U11)))</f>
        <v>6.299235790187001</v>
      </c>
      <c r="W11" s="31">
        <f>(+V11*U11)/100</f>
        <v>17.786440390575855</v>
      </c>
      <c r="X11" s="30">
        <f>100*((((W11/100)-((W11/100)-0.03574)*$E$25)-0.03574-0.00619)/0.344)</f>
        <v>27.12124498082297</v>
      </c>
      <c r="Y11">
        <v>0</v>
      </c>
      <c r="Z11" s="30">
        <f>X11+Y11</f>
        <v>27.12124498082297</v>
      </c>
      <c r="AA11" s="30">
        <f>100*($E$21*$E$23+($E$22*(Z11/100))/(1-$E$25))</f>
        <v>25.34678141213397</v>
      </c>
      <c r="AB11" s="31">
        <f>AA11/U11</f>
        <v>0.08976801941886</v>
      </c>
      <c r="AC11" s="29">
        <f>$E$12/(1-AB11)</f>
        <v>196324.66534644095</v>
      </c>
      <c r="AD11" t="str">
        <f>IF(AC11=$T$11,"yes","not yet")</f>
        <v>not yet</v>
      </c>
      <c r="AE11" s="30">
        <f>100*(1-AB11)</f>
        <v>91.02319805811399</v>
      </c>
      <c r="AH11">
        <v>125</v>
      </c>
      <c r="AI11">
        <v>3</v>
      </c>
    </row>
    <row r="12" spans="2:35" ht="12.75">
      <c r="B12" s="33" t="s">
        <v>125</v>
      </c>
      <c r="C12" s="15" t="s">
        <v>131</v>
      </c>
      <c r="D12" s="33" t="s">
        <v>127</v>
      </c>
      <c r="E12" s="27">
        <f>+'Results of Operations'!G99</f>
        <v>178700.98897522045</v>
      </c>
      <c r="F12" s="15" t="s">
        <v>128</v>
      </c>
      <c r="K12" s="28"/>
      <c r="M12" s="15" t="s">
        <v>132</v>
      </c>
      <c r="P12" s="15" t="s">
        <v>133</v>
      </c>
      <c r="T12" s="29">
        <f>$E$12*1.25</f>
        <v>223376.23621902557</v>
      </c>
      <c r="U12" s="30">
        <f>100*(+T12/$E$13)</f>
        <v>282.3587016425661</v>
      </c>
      <c r="V12" s="31">
        <f>EXP(5.6922-(0.68367*LN(U12)))</f>
        <v>6.259675350938519</v>
      </c>
      <c r="W12" s="31">
        <f>(+V12*U12)/100</f>
        <v>17.67473804794974</v>
      </c>
      <c r="X12" s="30">
        <f>100*((((W12/100)-((W12/100)-0.03574)*$E$25)-0.03574-0.00619)/0.344)</f>
        <v>26.893943702223304</v>
      </c>
      <c r="Y12">
        <v>0</v>
      </c>
      <c r="Z12" s="30">
        <f>X12+Y12</f>
        <v>26.893943702223304</v>
      </c>
      <c r="AA12" s="30">
        <f>100*($E$21*$E$23+($E$22*(Z12/100))/(1-$E$25))</f>
        <v>25.151951744762833</v>
      </c>
      <c r="AB12" s="31">
        <f>AA12/U12</f>
        <v>0.08907801175754922</v>
      </c>
      <c r="AC12" s="29">
        <f>$E$12/(1-AB12)</f>
        <v>196175.95280580432</v>
      </c>
      <c r="AD12" t="str">
        <f>IF(AC12=$T$12,"yes","not yet")</f>
        <v>not yet</v>
      </c>
      <c r="AE12" s="30">
        <f>100*(1-AB12)</f>
        <v>91.09219882424507</v>
      </c>
      <c r="AH12">
        <v>401</v>
      </c>
      <c r="AI12">
        <v>4</v>
      </c>
    </row>
    <row r="13" spans="2:26" ht="12.75">
      <c r="B13" s="33" t="s">
        <v>125</v>
      </c>
      <c r="C13" s="15" t="s">
        <v>134</v>
      </c>
      <c r="E13" s="27">
        <f>+'Results of Operations'!G105</f>
        <v>79110.80300326442</v>
      </c>
      <c r="F13" s="15" t="s">
        <v>128</v>
      </c>
      <c r="K13" s="28"/>
      <c r="Z13" s="30"/>
    </row>
    <row r="14" spans="3:34" ht="12.75">
      <c r="C14" s="15" t="s">
        <v>135</v>
      </c>
      <c r="E14" s="30">
        <f>U9</f>
        <v>282.3587016425661</v>
      </c>
      <c r="F14" s="15" t="s">
        <v>136</v>
      </c>
      <c r="H14" s="30"/>
      <c r="U14" s="2" t="s">
        <v>137</v>
      </c>
      <c r="V14" s="2" t="s">
        <v>108</v>
      </c>
      <c r="W14" s="2" t="s">
        <v>109</v>
      </c>
      <c r="X14" s="2" t="s">
        <v>110</v>
      </c>
      <c r="Z14" s="30"/>
      <c r="AH14" s="15" t="s">
        <v>138</v>
      </c>
    </row>
    <row r="15" spans="3:31" ht="12.75">
      <c r="C15" s="15" t="s">
        <v>139</v>
      </c>
      <c r="E15" s="30">
        <f>HLOOKUP($AI$38,$AI$32:$AQ$36,$E$16+1)</f>
        <v>250.06494038164763</v>
      </c>
      <c r="F15" s="15" t="s">
        <v>136</v>
      </c>
      <c r="U15" s="30">
        <f>100*(+AC9/$E$13)</f>
        <v>248.89700690125358</v>
      </c>
      <c r="V15" s="34">
        <f>EXP(5.7226-(0.68367*LN(+U15)))</f>
        <v>7.034072359315954</v>
      </c>
      <c r="W15" s="31">
        <f>(+V15*U15)/100</f>
        <v>17.5075955656058</v>
      </c>
      <c r="X15" s="30">
        <f>100*((((W15/100)-((W15/100)-0.03574)*$E$25)-0.03574-0.00619)/0.344)</f>
        <v>26.553828185825758</v>
      </c>
      <c r="Y15">
        <v>0</v>
      </c>
      <c r="Z15" s="30">
        <f>X15+Y15</f>
        <v>26.553828185825758</v>
      </c>
      <c r="AA15" s="30">
        <f>100*($E$21*$E$23+($E$22*(Z15/100))/(1-$E$25))</f>
        <v>24.86042415927922</v>
      </c>
      <c r="AB15" s="31">
        <f>AA15/U15</f>
        <v>0.09988237491800071</v>
      </c>
      <c r="AC15" s="29">
        <f>$E$12/(1-AB15)</f>
        <v>198530.70753829653</v>
      </c>
      <c r="AD15" t="str">
        <f>IF(OR(OR(AC15=AC9,AC15=(AC9+1)),AC15=(AC8193-1)),"yes","not yet")</f>
        <v>not yet</v>
      </c>
      <c r="AE15" s="30">
        <f>100*(1-AB15)</f>
        <v>90.01176250819994</v>
      </c>
    </row>
    <row r="16" spans="3:31" ht="12.75">
      <c r="C16" s="15" t="s">
        <v>140</v>
      </c>
      <c r="E16">
        <f>VLOOKUP(E14,AH9:AI12,2)</f>
        <v>3</v>
      </c>
      <c r="F16" s="15" t="s">
        <v>136</v>
      </c>
      <c r="U16" s="30">
        <f>100*(+AC10/$E$13)</f>
        <v>248.45860955414184</v>
      </c>
      <c r="V16" s="34">
        <f>EXP(5.70827-(0.68367*LN(+U16)))</f>
        <v>6.942355124999654</v>
      </c>
      <c r="W16" s="31">
        <f>(+V16*U16)/100</f>
        <v>17.248879013884846</v>
      </c>
      <c r="X16" s="30">
        <f>100*((((W16/100)-((W16/100)-0.03574)*$E$25)-0.03574-0.00619)/0.344)</f>
        <v>26.02737008639358</v>
      </c>
      <c r="Y16">
        <v>0</v>
      </c>
      <c r="Z16" s="30">
        <f>X16+Y16</f>
        <v>26.02737008639358</v>
      </c>
      <c r="AA16" s="30">
        <f>100*($E$21*$E$23+($E$22*(Z16/100))/(1-$E$25))</f>
        <v>24.409174359765927</v>
      </c>
      <c r="AB16" s="31">
        <f>AA16/U16</f>
        <v>0.09824241713164261</v>
      </c>
      <c r="AC16" s="29">
        <f>$E$12/(1-AB16)</f>
        <v>198169.65487198794</v>
      </c>
      <c r="AD16" t="str">
        <f>IF(OR(OR(AC16=AC10,AC16=(AC10+1)),AC16=(AC10-1)),"yes","not yet")</f>
        <v>not yet</v>
      </c>
      <c r="AE16" s="30">
        <f>100*(1-AB16)</f>
        <v>90.17575828683574</v>
      </c>
    </row>
    <row r="17" spans="21:42" ht="12.75">
      <c r="U17" s="30">
        <f>100*(+AC11/$E$13)</f>
        <v>248.16416708390614</v>
      </c>
      <c r="V17" s="34">
        <f>EXP(5.6985-(0.68367*LN(U17)))</f>
        <v>6.880434154964068</v>
      </c>
      <c r="W17" s="31">
        <f>(+V17*U17)/100</f>
        <v>17.074772112423176</v>
      </c>
      <c r="X17" s="30">
        <f>100*((((W17/100)-((W17/100)-0.03574)*$E$25)-0.03574-0.00619)/0.344)</f>
        <v>25.673082786907624</v>
      </c>
      <c r="Y17">
        <v>0</v>
      </c>
      <c r="Z17" s="30">
        <f>X17+Y17</f>
        <v>25.673082786907624</v>
      </c>
      <c r="AA17" s="30">
        <f>100*($E$21*$E$23+($E$22*(Z17/100))/(1-$E$25))</f>
        <v>24.105499531635104</v>
      </c>
      <c r="AB17" s="31">
        <f>AA17/U17</f>
        <v>0.09713529481266672</v>
      </c>
      <c r="AC17" s="29">
        <f>$E$12/(1-AB17)</f>
        <v>197926.6527404482</v>
      </c>
      <c r="AD17" t="str">
        <f>IF(OR(OR(AC17=AC11,AC17=(AC11+1)),AC17=(AC11-1)),"yes","not yet")</f>
        <v>not yet</v>
      </c>
      <c r="AE17" s="30">
        <f>100*(1-AB17)</f>
        <v>90.28647051873332</v>
      </c>
      <c r="AI17">
        <v>1</v>
      </c>
      <c r="AJ17">
        <v>2</v>
      </c>
      <c r="AK17">
        <v>3</v>
      </c>
      <c r="AL17">
        <v>4</v>
      </c>
      <c r="AM17">
        <v>5</v>
      </c>
      <c r="AN17">
        <v>7</v>
      </c>
      <c r="AO17">
        <v>8</v>
      </c>
      <c r="AP17">
        <v>9</v>
      </c>
    </row>
    <row r="18" spans="3:42" ht="12.75">
      <c r="C18" s="15" t="s">
        <v>141</v>
      </c>
      <c r="U18" s="30">
        <f>100*(+AC12/$E$13)</f>
        <v>247.97618701672053</v>
      </c>
      <c r="V18" s="34">
        <f>EXP(5.6922-(0.68367*LN(U18)))</f>
        <v>6.840766715889638</v>
      </c>
      <c r="W18" s="31">
        <f>(+V18*U18)/100</f>
        <v>16.96347246477206</v>
      </c>
      <c r="X18" s="30">
        <f>100*((((W18/100)-((W18/100)-0.03574)*$E$25)-0.03574-0.00619)/0.344)</f>
        <v>25.446600945757105</v>
      </c>
      <c r="Y18">
        <v>0</v>
      </c>
      <c r="Z18" s="30">
        <f>X18+Y18</f>
        <v>25.446600945757105</v>
      </c>
      <c r="AA18" s="30">
        <f>100*($E$21*$E$23+($E$22*(Z18/100))/(1-$E$25))</f>
        <v>23.911372239220373</v>
      </c>
      <c r="AB18" s="31">
        <f>AA18/U18</f>
        <v>0.09642608238672562</v>
      </c>
      <c r="AC18" s="29">
        <f>$E$12/(1-AB18)</f>
        <v>197771.30071134222</v>
      </c>
      <c r="AD18" t="str">
        <f>IF(OR(OR(AC18=AC12,AC18=(AC12+1)),AC18=(AC12-1)),"yes","not yet")</f>
        <v>not yet</v>
      </c>
      <c r="AE18" s="30">
        <f>100*(1-AB18)</f>
        <v>90.35739176132745</v>
      </c>
      <c r="AI18" t="str">
        <f>AD9</f>
        <v>not yet</v>
      </c>
      <c r="AJ18" t="str">
        <f>AD15</f>
        <v>not yet</v>
      </c>
      <c r="AK18" t="str">
        <f>AD21</f>
        <v>not yet</v>
      </c>
      <c r="AL18" t="str">
        <f>AD27</f>
        <v>not yet</v>
      </c>
      <c r="AM18" t="str">
        <f>AD33</f>
        <v>not yet</v>
      </c>
      <c r="AN18">
        <f>AC45</f>
        <v>198427</v>
      </c>
      <c r="AO18">
        <f>AC51</f>
        <v>198427</v>
      </c>
      <c r="AP18">
        <f>AC57</f>
        <v>198427</v>
      </c>
    </row>
    <row r="19" spans="3:42" ht="12.75">
      <c r="C19" s="15" t="s">
        <v>142</v>
      </c>
      <c r="E19" s="33" t="s">
        <v>117</v>
      </c>
      <c r="F19" s="15" t="s">
        <v>143</v>
      </c>
      <c r="H19" s="30">
        <f>HLOOKUP($AI$29,$AI$23:$AQ$27,$E$16+1)</f>
        <v>90.33152407295516</v>
      </c>
      <c r="I19" s="15" t="s">
        <v>119</v>
      </c>
      <c r="J19" s="35"/>
      <c r="Z19" s="30"/>
      <c r="AI19" t="str">
        <f>AD10</f>
        <v>not yet</v>
      </c>
      <c r="AJ19" t="str">
        <f>AD16</f>
        <v>not yet</v>
      </c>
      <c r="AK19" t="str">
        <f>AD22</f>
        <v>not yet</v>
      </c>
      <c r="AL19" t="str">
        <f>AD28</f>
        <v>not yet</v>
      </c>
      <c r="AM19" t="str">
        <f>AD34</f>
        <v>not yet</v>
      </c>
      <c r="AN19">
        <f>AC46</f>
        <v>198069</v>
      </c>
      <c r="AO19">
        <f>AC52</f>
        <v>198069</v>
      </c>
      <c r="AP19">
        <f>AC58</f>
        <v>198069</v>
      </c>
    </row>
    <row r="20" spans="3:42" ht="12.75">
      <c r="C20" s="36" t="s">
        <v>127</v>
      </c>
      <c r="D20" s="36" t="s">
        <v>127</v>
      </c>
      <c r="E20" s="37"/>
      <c r="H20" s="36" t="s">
        <v>144</v>
      </c>
      <c r="U20" s="15" t="s">
        <v>145</v>
      </c>
      <c r="V20" s="2" t="s">
        <v>108</v>
      </c>
      <c r="W20" s="2" t="s">
        <v>109</v>
      </c>
      <c r="X20" s="2" t="s">
        <v>110</v>
      </c>
      <c r="Z20" s="30"/>
      <c r="AI20" t="str">
        <f>AD11</f>
        <v>not yet</v>
      </c>
      <c r="AJ20" t="str">
        <f>AD17</f>
        <v>not yet</v>
      </c>
      <c r="AK20" t="str">
        <f>AD23</f>
        <v>not yet</v>
      </c>
      <c r="AL20" t="str">
        <f>AD29</f>
        <v>not yet</v>
      </c>
      <c r="AM20" t="str">
        <f>AD35</f>
        <v>not yet</v>
      </c>
      <c r="AN20">
        <f>AC47</f>
        <v>197828</v>
      </c>
      <c r="AO20">
        <f>AC53</f>
        <v>197828</v>
      </c>
      <c r="AP20">
        <f>AC59</f>
        <v>197828</v>
      </c>
    </row>
    <row r="21" spans="2:42" ht="12.75">
      <c r="B21" s="33" t="s">
        <v>125</v>
      </c>
      <c r="C21" s="15" t="s">
        <v>146</v>
      </c>
      <c r="E21" s="39">
        <v>0.4</v>
      </c>
      <c r="F21" s="15" t="s">
        <v>147</v>
      </c>
      <c r="U21" s="30">
        <f>100*(+AC15/$E$13)</f>
        <v>250.95271442271212</v>
      </c>
      <c r="V21" s="34">
        <f>EXP(5.7226-(0.68367*LN(+U21)))</f>
        <v>6.994627797973023</v>
      </c>
      <c r="W21" s="31">
        <f>(+V21*U21)/100</f>
        <v>17.55320832277888</v>
      </c>
      <c r="X21" s="30">
        <f>100*((((W21/100)-((W21/100)-0.03574)*$E$25)-0.03574-0.00619)/0.344)</f>
        <v>26.646644842864</v>
      </c>
      <c r="Y21">
        <v>0</v>
      </c>
      <c r="Z21" s="30">
        <f>X21+Y21</f>
        <v>26.646644842864</v>
      </c>
      <c r="AA21" s="30">
        <f>100*($E$21*$E$23+($E$22*(Z21/100))/(1-$E$25))</f>
        <v>24.939981293883427</v>
      </c>
      <c r="AB21" s="31">
        <f>AA21/U21</f>
        <v>0.09938119757443145</v>
      </c>
      <c r="AC21" s="29">
        <f>$E$12/(1-AB21)</f>
        <v>198420.22895140384</v>
      </c>
      <c r="AD21" t="str">
        <f>IF(OR(OR(AC21=AC15,AC21=(AC15+1)),AC21=(AC7-1)),"yes","not yet")</f>
        <v>not yet</v>
      </c>
      <c r="AE21" s="30">
        <f>100*(1-AB21)</f>
        <v>90.06188024255685</v>
      </c>
      <c r="AI21" t="str">
        <f>AD12</f>
        <v>not yet</v>
      </c>
      <c r="AJ21" t="str">
        <f>AD18</f>
        <v>not yet</v>
      </c>
      <c r="AK21" t="str">
        <f>AD24</f>
        <v>not yet</v>
      </c>
      <c r="AL21" t="str">
        <f>AD30</f>
        <v>not yet</v>
      </c>
      <c r="AM21" t="str">
        <f>AD36</f>
        <v>not yet</v>
      </c>
      <c r="AN21">
        <f>AC48</f>
        <v>197674</v>
      </c>
      <c r="AO21">
        <f>AC54</f>
        <v>197674</v>
      </c>
      <c r="AP21">
        <f>AC60</f>
        <v>197674</v>
      </c>
    </row>
    <row r="22" spans="2:31" ht="12.75">
      <c r="B22" s="33" t="s">
        <v>125</v>
      </c>
      <c r="C22" s="15" t="s">
        <v>148</v>
      </c>
      <c r="E22" s="39">
        <v>0.6</v>
      </c>
      <c r="F22" s="15" t="s">
        <v>149</v>
      </c>
      <c r="H22" s="44">
        <v>0.018</v>
      </c>
      <c r="I22" s="15" t="s">
        <v>125</v>
      </c>
      <c r="U22" s="30">
        <f>100*(+AC16/$E$13)</f>
        <v>250.4963258479511</v>
      </c>
      <c r="V22" s="34">
        <f>EXP(5.70827-(0.68367*LN(+U22)))</f>
        <v>6.903695634701509</v>
      </c>
      <c r="W22" s="31">
        <f>(+V22*U22)/100</f>
        <v>17.293503912652668</v>
      </c>
      <c r="X22" s="30">
        <f>100*((((W22/100)-((W22/100)-0.03574)*$E$25)-0.03574-0.00619)/0.344)</f>
        <v>26.118176566444372</v>
      </c>
      <c r="Y22">
        <v>0</v>
      </c>
      <c r="Z22" s="30">
        <f>X22+Y22</f>
        <v>26.118176566444372</v>
      </c>
      <c r="AA22" s="30">
        <f>100*($E$21*$E$23+($E$22*(Z22/100))/(1-$E$25))</f>
        <v>24.48700848552375</v>
      </c>
      <c r="AB22" s="31">
        <f>AA22/U22</f>
        <v>0.097753962668447</v>
      </c>
      <c r="AC22" s="29">
        <f>$E$12/(1-AB22)</f>
        <v>198062.3705522048</v>
      </c>
      <c r="AD22" t="str">
        <f>IF(OR(OR(AC22=AC16,AC22=(AC16+1)),AC22=(AC16-1)),"yes","not yet")</f>
        <v>not yet</v>
      </c>
      <c r="AE22" s="30">
        <f>100*(1-AB22)</f>
        <v>90.22460373315529</v>
      </c>
    </row>
    <row r="23" spans="2:42" ht="12.75">
      <c r="B23" s="33" t="s">
        <v>125</v>
      </c>
      <c r="C23" s="15" t="s">
        <v>150</v>
      </c>
      <c r="E23" s="40">
        <v>0.0525</v>
      </c>
      <c r="F23" s="15" t="s">
        <v>151</v>
      </c>
      <c r="H23" s="129">
        <v>0.0051</v>
      </c>
      <c r="I23" s="15" t="s">
        <v>125</v>
      </c>
      <c r="U23" s="30">
        <f>100*(+AC17/$E$13)</f>
        <v>250.18915903594223</v>
      </c>
      <c r="V23" s="34">
        <f>EXP(5.6985-(0.68367*LN(U23)))</f>
        <v>6.842312234258231</v>
      </c>
      <c r="W23" s="31">
        <f>(+V23*U23)/100</f>
        <v>17.11872343750406</v>
      </c>
      <c r="X23" s="30">
        <f>100*((((W23/100)-((W23/100)-0.03574)*$E$25)-0.03574-0.00619)/0.344)</f>
        <v>25.762518622828022</v>
      </c>
      <c r="Y23">
        <v>0</v>
      </c>
      <c r="Z23" s="30">
        <f>X23+Y23</f>
        <v>25.762518622828022</v>
      </c>
      <c r="AA23" s="30">
        <f>100*($E$21*$E$23+($E$22*(Z23/100))/(1-$E$25))</f>
        <v>24.18215881956688</v>
      </c>
      <c r="AB23" s="31">
        <f>AA23/U23</f>
        <v>0.09665550223178482</v>
      </c>
      <c r="AC23" s="29">
        <f>$E$12/(1-AB23)</f>
        <v>197821.5281287654</v>
      </c>
      <c r="AD23" t="str">
        <f>IF(OR(OR(AC23=AC17,AC23=(AC17+1)),AC23=(AC17-1)),"yes","not yet")</f>
        <v>not yet</v>
      </c>
      <c r="AE23" s="30">
        <f>100*(1-AB23)</f>
        <v>90.33444977682153</v>
      </c>
      <c r="AI23" t="str">
        <f>HLOOKUP(1,$AI$17:$AQ$21,$E$16+1)</f>
        <v>not yet</v>
      </c>
      <c r="AJ23" t="str">
        <f>HLOOKUP(2,$AI$17:$AQ$21,$E$16+1)</f>
        <v>not yet</v>
      </c>
      <c r="AK23" t="str">
        <f>HLOOKUP(3,$AI$17:$AQ$21,$E$16+1)</f>
        <v>not yet</v>
      </c>
      <c r="AL23" t="str">
        <f>HLOOKUP(4,$AI$17:$AQ$21,$E$16+1)</f>
        <v>not yet</v>
      </c>
      <c r="AM23" t="str">
        <f>HLOOKUP(5,$AI$17:$AQ$21,$E$16+1)</f>
        <v>not yet</v>
      </c>
      <c r="AN23">
        <f>HLOOKUP(7,$AI$17:$AQ$21,$E$16+1)</f>
        <v>197828</v>
      </c>
      <c r="AO23">
        <f>HLOOKUP(8,$AI$17:$AQ$21,$E$16+1)</f>
        <v>197828</v>
      </c>
      <c r="AP23">
        <f>HLOOKUP(9,$AI$17:$AQ$21,$E$16+1)</f>
        <v>197828</v>
      </c>
    </row>
    <row r="24" spans="5:42" ht="12.75">
      <c r="E24" s="38"/>
      <c r="F24" s="15" t="s">
        <v>152</v>
      </c>
      <c r="H24" s="44">
        <v>0</v>
      </c>
      <c r="I24" s="15" t="s">
        <v>125</v>
      </c>
      <c r="U24" s="30">
        <f>100*(+AC18/$E$13)</f>
        <v>249.99278632424122</v>
      </c>
      <c r="V24" s="34">
        <f>EXP(5.6922-(0.68367*LN(U24)))</f>
        <v>6.802992178606504</v>
      </c>
      <c r="W24" s="31">
        <f>(+V24*U24)/100</f>
        <v>17.006989700718602</v>
      </c>
      <c r="X24" s="30">
        <f>100*((((W24/100)-((W24/100)-0.03574)*$E$25)-0.03574-0.00619)/0.344)</f>
        <v>25.535153460764597</v>
      </c>
      <c r="Y24">
        <v>0</v>
      </c>
      <c r="Z24" s="30">
        <f>X24+Y24</f>
        <v>25.535153460764597</v>
      </c>
      <c r="AA24" s="30">
        <f>100*($E$21*$E$23+($E$22*(Z24/100))/(1-$E$25))</f>
        <v>23.987274394941085</v>
      </c>
      <c r="AB24" s="31">
        <f>AA24/U24</f>
        <v>0.09595186624237043</v>
      </c>
      <c r="AC24" s="29">
        <f>$E$12/(1-AB24)</f>
        <v>197667.5602796269</v>
      </c>
      <c r="AD24" t="str">
        <f>IF(OR(OR(AC24=AC18,AC24=(AC18+1)),AC24=(AC18-1)),"yes","not yet")</f>
        <v>not yet</v>
      </c>
      <c r="AE24" s="30">
        <f>100*(1-AB24)</f>
        <v>90.40481337576296</v>
      </c>
      <c r="AH24">
        <v>1</v>
      </c>
      <c r="AI24" s="30">
        <f>AE9</f>
        <v>90.75519393596821</v>
      </c>
      <c r="AJ24" s="30">
        <f>AE15</f>
        <v>90.01176250819994</v>
      </c>
      <c r="AK24" s="30">
        <f>AE21</f>
        <v>90.06188024255685</v>
      </c>
      <c r="AL24" s="30">
        <f>AE27</f>
        <v>90.05849596649011</v>
      </c>
      <c r="AM24" s="30">
        <f>AE33</f>
        <v>90.05872446912745</v>
      </c>
      <c r="AN24" s="30" t="str">
        <f>AD45</f>
        <v>yes</v>
      </c>
      <c r="AO24" s="30" t="str">
        <f>AD51</f>
        <v>yes</v>
      </c>
      <c r="AP24" s="30" t="str">
        <f>AD57</f>
        <v>yes</v>
      </c>
    </row>
    <row r="25" spans="2:42" ht="12.75">
      <c r="B25" s="33" t="s">
        <v>125</v>
      </c>
      <c r="C25" s="15" t="s">
        <v>153</v>
      </c>
      <c r="E25" s="39">
        <v>0.3</v>
      </c>
      <c r="F25" s="15" t="s">
        <v>154</v>
      </c>
      <c r="H25" s="44">
        <v>0.012</v>
      </c>
      <c r="I25" s="15" t="s">
        <v>125</v>
      </c>
      <c r="Z25" s="30"/>
      <c r="AH25">
        <v>2</v>
      </c>
      <c r="AI25" s="30">
        <f>AE10</f>
        <v>90.91532860117275</v>
      </c>
      <c r="AJ25" s="30">
        <f>AE16</f>
        <v>90.17575828683574</v>
      </c>
      <c r="AK25" s="30">
        <f>AE22</f>
        <v>90.22460373315529</v>
      </c>
      <c r="AL25" s="30">
        <f>AE28</f>
        <v>90.22137231928394</v>
      </c>
      <c r="AM25" s="30">
        <f>AE34</f>
        <v>90.22158607274696</v>
      </c>
      <c r="AN25" s="30" t="str">
        <f>AD46</f>
        <v>yes</v>
      </c>
      <c r="AO25" s="30" t="str">
        <f>AD52</f>
        <v>yes</v>
      </c>
      <c r="AP25" s="30" t="str">
        <f>AD58</f>
        <v>yes</v>
      </c>
    </row>
    <row r="26" spans="8:42" ht="12.75">
      <c r="H26" s="36" t="s">
        <v>127</v>
      </c>
      <c r="U26" s="15" t="s">
        <v>155</v>
      </c>
      <c r="V26" s="2" t="s">
        <v>108</v>
      </c>
      <c r="W26" s="2" t="s">
        <v>109</v>
      </c>
      <c r="X26" s="2" t="s">
        <v>110</v>
      </c>
      <c r="Z26" s="30"/>
      <c r="AH26">
        <v>3</v>
      </c>
      <c r="AI26" s="30">
        <f>AE11</f>
        <v>91.02319805811399</v>
      </c>
      <c r="AJ26" s="30">
        <f>AE17</f>
        <v>90.28647051873332</v>
      </c>
      <c r="AK26" s="30">
        <f>AE23</f>
        <v>90.33444977682153</v>
      </c>
      <c r="AL26" s="30">
        <f>AE29</f>
        <v>90.33131992405872</v>
      </c>
      <c r="AM26" s="30">
        <f>AE35</f>
        <v>90.33152407295516</v>
      </c>
      <c r="AN26" s="30" t="str">
        <f>AD47</f>
        <v>yes</v>
      </c>
      <c r="AO26" s="30" t="str">
        <f>AD53</f>
        <v>yes</v>
      </c>
      <c r="AP26" s="30" t="str">
        <f>AD59</f>
        <v>yes</v>
      </c>
    </row>
    <row r="27" spans="6:42" ht="12.75">
      <c r="F27" s="15" t="s">
        <v>156</v>
      </c>
      <c r="H27" s="28">
        <f>SUM(H22:H25)</f>
        <v>0.0351</v>
      </c>
      <c r="U27" s="30">
        <f>100*(+AC21/$E$13)</f>
        <v>250.8130639796644</v>
      </c>
      <c r="V27" s="34">
        <f>EXP(5.7226-(0.68367*LN(+U27)))</f>
        <v>6.99729014742122</v>
      </c>
      <c r="W27" s="31">
        <f>(+V27*U27)/100</f>
        <v>17.55011781429434</v>
      </c>
      <c r="X27" s="30">
        <f>100*((((W27/100)-((W27/100)-0.03574)*$E$25)-0.03574-0.00619)/0.344)</f>
        <v>26.64035601745941</v>
      </c>
      <c r="Y27">
        <v>0</v>
      </c>
      <c r="Z27" s="30">
        <f>X27+Y27</f>
        <v>26.64035601745941</v>
      </c>
      <c r="AA27" s="30">
        <f>100*($E$21*$E$23+($E$22*(Z27/100))/(1-$E$25))</f>
        <v>24.934590872108064</v>
      </c>
      <c r="AB27" s="31">
        <f>AA27/U27</f>
        <v>0.09941504033509885</v>
      </c>
      <c r="AC27" s="29">
        <f>$E$12/(1-AB27)</f>
        <v>198427.6853143465</v>
      </c>
      <c r="AD27" t="str">
        <f>IF(OR(OR(AC27=AC21,AC27=(AC21+1)),AC27=(AC13-1)),"yes","not yet")</f>
        <v>not yet</v>
      </c>
      <c r="AE27" s="30">
        <f>100*(1-AB27)</f>
        <v>90.05849596649011</v>
      </c>
      <c r="AH27">
        <v>4</v>
      </c>
      <c r="AI27" s="30">
        <f>AE12</f>
        <v>91.09219882424507</v>
      </c>
      <c r="AJ27" s="30">
        <f>AE18</f>
        <v>90.35739176132745</v>
      </c>
      <c r="AK27" s="30">
        <f>AE24</f>
        <v>90.40481337576296</v>
      </c>
      <c r="AL27" s="30">
        <f>AE30</f>
        <v>90.40174786429074</v>
      </c>
      <c r="AM27" s="30">
        <f>AE36</f>
        <v>90.40194600912005</v>
      </c>
      <c r="AN27" s="30" t="str">
        <f>AD48</f>
        <v>yes</v>
      </c>
      <c r="AO27" s="30" t="str">
        <f>AD54</f>
        <v>yes</v>
      </c>
      <c r="AP27" s="30" t="str">
        <f>AD60</f>
        <v>yes</v>
      </c>
    </row>
    <row r="28" spans="21:31" ht="12.75">
      <c r="U28" s="30">
        <f>100*(+AC22/$E$13)</f>
        <v>250.36071311781777</v>
      </c>
      <c r="V28" s="34">
        <f>EXP(5.70827-(0.68367*LN(+U28)))</f>
        <v>6.906252013685456</v>
      </c>
      <c r="W28" s="31">
        <f>(+V28*U28)/100</f>
        <v>17.290541791176555</v>
      </c>
      <c r="X28" s="30">
        <f>100*((((W28/100)-((W28/100)-0.03574)*$E$25)-0.03574-0.00619)/0.344)</f>
        <v>26.112148993673223</v>
      </c>
      <c r="Y28">
        <v>0</v>
      </c>
      <c r="Z28" s="30">
        <f>X28+Y28</f>
        <v>26.112148993673223</v>
      </c>
      <c r="AA28" s="30">
        <f>100*($E$21*$E$23+($E$22*(Z28/100))/(1-$E$25))</f>
        <v>24.48184199457705</v>
      </c>
      <c r="AB28" s="31">
        <f>AA28/U28</f>
        <v>0.0977862768071606</v>
      </c>
      <c r="AC28" s="29">
        <f>$E$12/(1-AB28)</f>
        <v>198069.46445329656</v>
      </c>
      <c r="AD28" t="str">
        <f>IF(OR(OR(AC28=AC22,AC28=(AC22+1)),AC28=(AC22-1)),"yes","not yet")</f>
        <v>not yet</v>
      </c>
      <c r="AE28" s="30">
        <f>100*(1-AB28)</f>
        <v>90.22137231928394</v>
      </c>
    </row>
    <row r="29" spans="6:35" ht="12.75">
      <c r="F29" s="15" t="s">
        <v>157</v>
      </c>
      <c r="H29" s="31">
        <f>((+H19/100)-H27)</f>
        <v>0.8682152407295516</v>
      </c>
      <c r="U29" s="30">
        <f>100*(+AC23/$E$13)</f>
        <v>250.05627628454553</v>
      </c>
      <c r="V29" s="34">
        <f>EXP(5.6985-(0.68367*LN(U29)))</f>
        <v>6.8447979059591715</v>
      </c>
      <c r="W29" s="31">
        <f>(+V29*U29)/100</f>
        <v>17.115846762844054</v>
      </c>
      <c r="X29" s="30">
        <f>100*((((W29/100)-((W29/100)-0.03574)*$E$25)-0.03574-0.00619)/0.344)</f>
        <v>25.75666492439197</v>
      </c>
      <c r="Y29">
        <v>0</v>
      </c>
      <c r="Z29" s="30">
        <f>X29+Y29</f>
        <v>25.75666492439197</v>
      </c>
      <c r="AA29" s="30">
        <f>100*($E$21*$E$23+($E$22*(Z29/100))/(1-$E$25))</f>
        <v>24.177141363764544</v>
      </c>
      <c r="AB29" s="31">
        <f>AA29/U29</f>
        <v>0.09668680075941284</v>
      </c>
      <c r="AC29" s="29">
        <f>$E$12/(1-AB29)</f>
        <v>197828.38236555588</v>
      </c>
      <c r="AD29" t="str">
        <f>IF(OR(OR(AC29=AC23,AC29=(AC23+1)),AC29=(AC23-1)),"yes","not yet")</f>
        <v>not yet</v>
      </c>
      <c r="AE29" s="30">
        <f>100*(1-AB29)</f>
        <v>90.33131992405872</v>
      </c>
      <c r="AI29" s="15" t="s">
        <v>158</v>
      </c>
    </row>
    <row r="30" spans="21:35" ht="12.75">
      <c r="U30" s="30">
        <f>100*(+AC24/$E$13)</f>
        <v>249.861653245348</v>
      </c>
      <c r="V30" s="34">
        <f>EXP(5.6922-(0.68367*LN(U30)))</f>
        <v>6.80543292749596</v>
      </c>
      <c r="W30" s="31">
        <f>(+V30*U30)/100</f>
        <v>17.00416722314469</v>
      </c>
      <c r="X30" s="30">
        <f>100*((((W30/100)-((W30/100)-0.03574)*$E$25)-0.03574-0.00619)/0.344)</f>
        <v>25.529410047096757</v>
      </c>
      <c r="Y30">
        <v>0</v>
      </c>
      <c r="Z30" s="30">
        <f>X30+Y30</f>
        <v>25.529410047096757</v>
      </c>
      <c r="AA30" s="30">
        <f>100*($E$21*$E$23+($E$22*(Z30/100))/(1-$E$25))</f>
        <v>23.982351468940077</v>
      </c>
      <c r="AB30" s="31">
        <f>AA30/U30</f>
        <v>0.09598252135709259</v>
      </c>
      <c r="AC30" s="29">
        <f>$E$12/(1-AB30)</f>
        <v>197674.26316079943</v>
      </c>
      <c r="AD30" t="str">
        <f>IF(OR(OR(AC30=AC24,AC30=(AC24+1)),AC30=(AC24-1)),"yes","not yet")</f>
        <v>not yet</v>
      </c>
      <c r="AE30" s="30">
        <f>100*(1-AB30)</f>
        <v>90.40174786429074</v>
      </c>
      <c r="AI30" s="30">
        <f>HLOOKUP($AI$29,$AI$23:$AQ$27,$E$16+1)</f>
        <v>90.33152407295516</v>
      </c>
    </row>
    <row r="31" spans="5:26" ht="12.75">
      <c r="E31" s="29"/>
      <c r="Z31" s="30"/>
    </row>
    <row r="32" spans="21:42" ht="12.75">
      <c r="U32" s="15" t="s">
        <v>159</v>
      </c>
      <c r="V32" s="2" t="s">
        <v>108</v>
      </c>
      <c r="W32" s="2" t="s">
        <v>109</v>
      </c>
      <c r="X32" s="2" t="s">
        <v>110</v>
      </c>
      <c r="Z32" s="30"/>
      <c r="AI32" t="str">
        <f>HLOOKUP(1,$AI$17:$AQ$21,$E$16+1)</f>
        <v>not yet</v>
      </c>
      <c r="AJ32" t="str">
        <f>HLOOKUP(2,$AI$17:$AQ$21,$E$16+1)</f>
        <v>not yet</v>
      </c>
      <c r="AK32" t="str">
        <f>HLOOKUP(3,$AI$17:$AQ$21,$E$16+1)</f>
        <v>not yet</v>
      </c>
      <c r="AL32" t="str">
        <f>HLOOKUP(4,$AI$17:$AQ$21,$E$16+1)</f>
        <v>not yet</v>
      </c>
      <c r="AM32" t="str">
        <f>HLOOKUP(5,$AI$17:$AQ$21,$E$16+1)</f>
        <v>not yet</v>
      </c>
      <c r="AN32">
        <f>HLOOKUP(7,$AI$17:$AQ$21,$E$16+1)</f>
        <v>197828</v>
      </c>
      <c r="AO32">
        <f>HLOOKUP(8,$AI$17:$AQ$21,$E$16+1)</f>
        <v>197828</v>
      </c>
      <c r="AP32">
        <f>HLOOKUP(9,$AI$17:$AQ$21,$E$16+1)</f>
        <v>197828</v>
      </c>
    </row>
    <row r="33" spans="5:42" ht="12.75">
      <c r="E33" s="29"/>
      <c r="U33" s="30">
        <f>100*(+AC27/$E$13)</f>
        <v>250.82248919424904</v>
      </c>
      <c r="V33" s="34">
        <f>EXP(5.7226-(0.68367*LN(+U33)))</f>
        <v>6.9971103829920445</v>
      </c>
      <c r="W33" s="31">
        <f>(+V33*U33)/100</f>
        <v>17.550326434289897</v>
      </c>
      <c r="X33" s="30">
        <f>100*((((W33/100)-((W33/100)-0.03574)*$E$25)-0.03574-0.00619)/0.344)</f>
        <v>26.64078053489223</v>
      </c>
      <c r="Y33">
        <v>0</v>
      </c>
      <c r="Z33" s="30">
        <f>X33+Y33</f>
        <v>26.64078053489223</v>
      </c>
      <c r="AA33" s="30">
        <f>100*($E$21*$E$23+($E$22*(Z33/100))/(1-$E$25))</f>
        <v>24.934954744193337</v>
      </c>
      <c r="AB33" s="31">
        <f>AA33/U33</f>
        <v>0.09941275530872555</v>
      </c>
      <c r="AC33" s="29">
        <f>$E$12/(1-AB33)</f>
        <v>198427.18185119308</v>
      </c>
      <c r="AD33" t="str">
        <f>IF(OR(OR(AC33=AC27,AC33=(AC27+1)),AC33=(AC19-1)),"yes","not yet")</f>
        <v>not yet</v>
      </c>
      <c r="AE33" s="30">
        <f>100*(1-AB33)</f>
        <v>90.05872446912745</v>
      </c>
      <c r="AH33">
        <v>1</v>
      </c>
      <c r="AI33" s="30">
        <f>U9</f>
        <v>282.3587016425661</v>
      </c>
      <c r="AJ33" s="30">
        <f>U15</f>
        <v>248.89700690125358</v>
      </c>
      <c r="AK33" s="30">
        <f>U21</f>
        <v>250.95271442271212</v>
      </c>
      <c r="AL33" s="30">
        <f>U27</f>
        <v>250.8130639796644</v>
      </c>
      <c r="AM33" s="30">
        <f>U33</f>
        <v>250.82248919424904</v>
      </c>
      <c r="AN33" s="30">
        <f>T45</f>
        <v>0</v>
      </c>
      <c r="AO33" s="30">
        <f>T51</f>
        <v>0</v>
      </c>
      <c r="AP33" s="30">
        <f>T57</f>
        <v>0</v>
      </c>
    </row>
    <row r="34" spans="5:42" ht="12.75">
      <c r="E34" s="29"/>
      <c r="U34" s="30">
        <f>100*(+AC28/$E$13)</f>
        <v>250.36968016254804</v>
      </c>
      <c r="V34" s="34">
        <f>EXP(5.70827-(0.68367*LN(+U34)))</f>
        <v>6.906082907689359</v>
      </c>
      <c r="W34" s="31">
        <f>(+V34*U34)/100</f>
        <v>17.290737687742247</v>
      </c>
      <c r="X34" s="30">
        <f>100*((((W34/100)-((W34/100)-0.03574)*$E$25)-0.03574-0.00619)/0.344)</f>
        <v>26.112547620405735</v>
      </c>
      <c r="Y34">
        <v>0</v>
      </c>
      <c r="Z34" s="30">
        <f>X34+Y34</f>
        <v>26.112547620405735</v>
      </c>
      <c r="AA34" s="30">
        <f>100*($E$21*$E$23+($E$22*(Z34/100))/(1-$E$25))</f>
        <v>24.48218367463349</v>
      </c>
      <c r="AB34" s="31">
        <f>AA34/U34</f>
        <v>0.09778413927253041</v>
      </c>
      <c r="AC34" s="29">
        <f>$E$12/(1-AB34)</f>
        <v>198068.99518606474</v>
      </c>
      <c r="AD34" t="str">
        <f>IF(OR(OR(AC34=AC28,AC34=(AC28+1)),AC34=(AC28-1)),"yes","not yet")</f>
        <v>not yet</v>
      </c>
      <c r="AE34" s="30">
        <f>100*(1-AB34)</f>
        <v>90.22158607274696</v>
      </c>
      <c r="AH34">
        <v>2</v>
      </c>
      <c r="AI34" s="30">
        <f>U10</f>
        <v>282.3587016425661</v>
      </c>
      <c r="AJ34" s="30">
        <f>U16</f>
        <v>248.45860955414184</v>
      </c>
      <c r="AK34" s="30">
        <f>U22</f>
        <v>250.4963258479511</v>
      </c>
      <c r="AL34" s="30">
        <f>U28</f>
        <v>250.36071311781777</v>
      </c>
      <c r="AM34" s="30">
        <f>U34</f>
        <v>250.36968016254804</v>
      </c>
      <c r="AN34" s="30">
        <f>T46</f>
        <v>0</v>
      </c>
      <c r="AO34" s="30">
        <f>T52</f>
        <v>0</v>
      </c>
      <c r="AP34" s="30">
        <f>T58</f>
        <v>0</v>
      </c>
    </row>
    <row r="35" spans="5:42" ht="12.75">
      <c r="E35" s="29"/>
      <c r="U35" s="30">
        <f>100*(+AC29/$E$13)</f>
        <v>250.06494038164763</v>
      </c>
      <c r="V35" s="34">
        <f>EXP(5.6985-(0.68367*LN(U35)))</f>
        <v>6.844635769741682</v>
      </c>
      <c r="W35" s="31">
        <f>(+V35*U35)/100</f>
        <v>17.116034356945466</v>
      </c>
      <c r="X35" s="30">
        <f>100*((((W35/100)-((W35/100)-0.03574)*$E$25)-0.03574-0.00619)/0.344)</f>
        <v>25.757046656575085</v>
      </c>
      <c r="Y35">
        <v>0</v>
      </c>
      <c r="Z35" s="30">
        <f>X35+Y35</f>
        <v>25.757046656575085</v>
      </c>
      <c r="AA35" s="30">
        <f>100*($E$21*$E$23+($E$22*(Z35/100))/(1-$E$25))</f>
        <v>24.177468562778643</v>
      </c>
      <c r="AB35" s="31">
        <f>AA35/U35</f>
        <v>0.09668475927044844</v>
      </c>
      <c r="AC35" s="29">
        <f>$E$12/(1-AB35)</f>
        <v>197827.9352741738</v>
      </c>
      <c r="AD35" t="str">
        <f>IF(OR(OR(AC35=AC29,AC35=(AC29+1)),AC35=(AC29-1)),"yes","not yet")</f>
        <v>not yet</v>
      </c>
      <c r="AE35" s="30">
        <f>100*(1-AB35)</f>
        <v>90.33152407295516</v>
      </c>
      <c r="AH35">
        <v>3</v>
      </c>
      <c r="AI35" s="30">
        <f>U11</f>
        <v>282.3587016425661</v>
      </c>
      <c r="AJ35" s="30">
        <f>U17</f>
        <v>248.16416708390614</v>
      </c>
      <c r="AK35" s="30">
        <f>U23</f>
        <v>250.18915903594223</v>
      </c>
      <c r="AL35" s="30">
        <f>U29</f>
        <v>250.05627628454553</v>
      </c>
      <c r="AM35" s="30">
        <f>U35</f>
        <v>250.06494038164763</v>
      </c>
      <c r="AN35" s="30">
        <f>T47</f>
        <v>0</v>
      </c>
      <c r="AO35" s="30">
        <f>T53</f>
        <v>0</v>
      </c>
      <c r="AP35" s="30">
        <f>T59</f>
        <v>0</v>
      </c>
    </row>
    <row r="36" spans="5:42" ht="12.75">
      <c r="E36" s="29"/>
      <c r="U36" s="30">
        <f>100*(+AC30/$E$13)</f>
        <v>249.87012602140143</v>
      </c>
      <c r="V36" s="34">
        <f>EXP(5.6922-(0.68367*LN(U36)))</f>
        <v>6.8052751605559685</v>
      </c>
      <c r="W36" s="31">
        <f>(+V36*U36)/100</f>
        <v>17.00434961978433</v>
      </c>
      <c r="X36" s="30">
        <f>100*((((W36/100)-((W36/100)-0.03574)*$E$25)-0.03574-0.00619)/0.344)</f>
        <v>25.529781203049502</v>
      </c>
      <c r="Y36">
        <v>0</v>
      </c>
      <c r="Z36" s="30">
        <f>X36+Y36</f>
        <v>25.529781203049502</v>
      </c>
      <c r="AA36" s="30">
        <f>100*($E$21*$E$23+($E$22*(Z36/100))/(1-$E$25))</f>
        <v>23.982669602613857</v>
      </c>
      <c r="AB36" s="31">
        <f>AA36/U36</f>
        <v>0.0959805399087994</v>
      </c>
      <c r="AC36" s="29">
        <f>$E$12/(1-AB36)</f>
        <v>197673.82989431717</v>
      </c>
      <c r="AD36" t="str">
        <f>IF(OR(OR(AC36=AC30,AC36=(AC30+1)),AC36=(AC30-1)),"yes","not yet")</f>
        <v>not yet</v>
      </c>
      <c r="AE36" s="30">
        <f>100*(1-AB36)</f>
        <v>90.40194600912005</v>
      </c>
      <c r="AH36">
        <v>4</v>
      </c>
      <c r="AI36" s="30">
        <f>U12</f>
        <v>282.3587016425661</v>
      </c>
      <c r="AJ36" s="30">
        <f>U18</f>
        <v>247.97618701672053</v>
      </c>
      <c r="AK36" s="30">
        <f>U24</f>
        <v>249.99278632424122</v>
      </c>
      <c r="AL36" s="30">
        <f>U30</f>
        <v>249.861653245348</v>
      </c>
      <c r="AM36" s="30">
        <f>U36</f>
        <v>249.87012602140143</v>
      </c>
      <c r="AN36" s="30">
        <f>T48</f>
        <v>0</v>
      </c>
      <c r="AO36" s="30">
        <f>T54</f>
        <v>0</v>
      </c>
      <c r="AP36" s="30">
        <f>T60</f>
        <v>0</v>
      </c>
    </row>
    <row r="37" spans="5:26" ht="12.75">
      <c r="E37" s="29"/>
      <c r="Z37" s="30"/>
    </row>
    <row r="38" spans="21:35" ht="12.75">
      <c r="U38" s="15" t="s">
        <v>160</v>
      </c>
      <c r="V38" s="2" t="s">
        <v>108</v>
      </c>
      <c r="W38" s="2" t="s">
        <v>109</v>
      </c>
      <c r="X38" s="2" t="s">
        <v>110</v>
      </c>
      <c r="Z38" s="30"/>
      <c r="AI38" s="15" t="s">
        <v>158</v>
      </c>
    </row>
    <row r="39" spans="21:35" ht="12.75">
      <c r="U39" s="30">
        <f>100*(+AC33/$E$13)</f>
        <v>250.821852791717</v>
      </c>
      <c r="V39" s="34">
        <f>EXP(5.7226-(0.68367*LN(+U39)))</f>
        <v>6.997122520557956</v>
      </c>
      <c r="W39" s="31">
        <f>(+V39*U39)/100</f>
        <v>17.550312348169953</v>
      </c>
      <c r="X39" s="30">
        <f>100*((((W39/100)-((W39/100)-0.03574)*$E$25)-0.03574-0.00619)/0.344)</f>
        <v>26.640751871276063</v>
      </c>
      <c r="Y39">
        <v>0</v>
      </c>
      <c r="Z39" s="30">
        <f>X39+Y39</f>
        <v>26.640751871276063</v>
      </c>
      <c r="AA39" s="30">
        <f>100*($E$21*$E$23+($E$22*(Z39/100))/(1-$E$25))</f>
        <v>24.934930175379485</v>
      </c>
      <c r="AB39" s="31">
        <f>AA39/U39</f>
        <v>0.09941290959239307</v>
      </c>
      <c r="AC39" s="29">
        <f>ROUND($E$12/(1-AB39),0)</f>
        <v>198427</v>
      </c>
      <c r="AD39" t="str">
        <f>IF(OR(OR(AC39=AC33,AC39=(AC33+1)),AC39=(AC25-1)),"yes","not yet")</f>
        <v>not yet</v>
      </c>
      <c r="AE39" s="30">
        <f>100*(1-AB39)</f>
        <v>90.0587090407607</v>
      </c>
      <c r="AI39" s="30">
        <f>HLOOKUP($AI$38,$AI$32:$AQ$36,$E$16+1)</f>
        <v>250.06494038164763</v>
      </c>
    </row>
    <row r="40" spans="21:31" ht="12.75">
      <c r="U40" s="30">
        <f>100*(+AC34/$E$13)</f>
        <v>250.36908698536612</v>
      </c>
      <c r="V40" s="34">
        <f>EXP(5.70827-(0.68367*LN(+U40)))</f>
        <v>6.906094093871307</v>
      </c>
      <c r="W40" s="31">
        <f>(+V40*U40)/100</f>
        <v>17.290724729175885</v>
      </c>
      <c r="X40" s="30">
        <f>100*((((W40/100)-((W40/100)-0.03574)*$E$25)-0.03574-0.00619)/0.344)</f>
        <v>26.112521251229992</v>
      </c>
      <c r="Y40">
        <v>0</v>
      </c>
      <c r="Z40" s="30">
        <f>X40+Y40</f>
        <v>26.112521251229992</v>
      </c>
      <c r="AA40" s="30">
        <f>100*($E$21*$E$23+($E$22*(Z40/100))/(1-$E$25))</f>
        <v>24.48216107248285</v>
      </c>
      <c r="AB40" s="31">
        <f>AA40/U40</f>
        <v>0.09778428066845893</v>
      </c>
      <c r="AC40" s="29">
        <f>ROUND($E$12/(1-AB40),0)</f>
        <v>198069</v>
      </c>
      <c r="AD40" t="str">
        <f>IF(OR(OR(AC40=AC34,AC40=(AC34+1)),AC40=(AC34-1)),"yes","not yet")</f>
        <v>not yet</v>
      </c>
      <c r="AE40" s="30">
        <f>100*(1-AB40)</f>
        <v>90.22157193315411</v>
      </c>
    </row>
    <row r="41" spans="21:42" ht="12.75">
      <c r="U41" s="30">
        <f>100*(+AC35/$E$13)</f>
        <v>250.06437523584566</v>
      </c>
      <c r="V41" s="34">
        <f>EXP(5.6985-(0.68367*LN(U41)))</f>
        <v>6.844646345350802</v>
      </c>
      <c r="W41" s="31">
        <f>(+V41*U41)/100</f>
        <v>17.116022120604626</v>
      </c>
      <c r="X41" s="30">
        <f>100*((((W41/100)-((W41/100)-0.03574)*$E$25)-0.03574-0.00619)/0.344)</f>
        <v>25.757021757044303</v>
      </c>
      <c r="Y41">
        <v>0</v>
      </c>
      <c r="Z41" s="30">
        <f>X41+Y41</f>
        <v>25.757021757044303</v>
      </c>
      <c r="AA41" s="30">
        <f>100*($E$21*$E$23+($E$22*(Z41/100))/(1-$E$25))</f>
        <v>24.17744722032369</v>
      </c>
      <c r="AB41" s="31">
        <f>AA41/U41</f>
        <v>0.09668489243028311</v>
      </c>
      <c r="AC41" s="29">
        <f>ROUND($E$12/(1-AB41),0)</f>
        <v>197828</v>
      </c>
      <c r="AD41" t="str">
        <f>IF(OR(OR(AC41=AC35,AC41=(AC35+1)),AC41=(AC35-1)),"yes","not yet")</f>
        <v>not yet</v>
      </c>
      <c r="AE41" s="30">
        <f>100*(1-AB41)</f>
        <v>90.3315107569717</v>
      </c>
      <c r="AI41" t="str">
        <f>HLOOKUP(1,$AI$17:$AQ$21,$E$16+1)</f>
        <v>not yet</v>
      </c>
      <c r="AJ41" t="str">
        <f>HLOOKUP(2,$AI$17:$AQ$21,$E$16+1)</f>
        <v>not yet</v>
      </c>
      <c r="AK41" t="str">
        <f>HLOOKUP(3,$AI$17:$AQ$21,$E$16+1)</f>
        <v>not yet</v>
      </c>
      <c r="AL41" t="str">
        <f>HLOOKUP(4,$AI$17:$AQ$21,$E$16+1)</f>
        <v>not yet</v>
      </c>
      <c r="AM41" t="str">
        <f>HLOOKUP(5,$AI$17:$AQ$21,$E$16+1)</f>
        <v>not yet</v>
      </c>
      <c r="AN41">
        <f>HLOOKUP(7,$AI$17:$AQ$21,$E$16+1)</f>
        <v>197828</v>
      </c>
      <c r="AO41">
        <f>HLOOKUP(8,$AI$17:$AQ$21,$E$16+1)</f>
        <v>197828</v>
      </c>
      <c r="AP41">
        <f>HLOOKUP(9,$AI$17:$AQ$21,$E$16+1)</f>
        <v>197828</v>
      </c>
    </row>
    <row r="42" spans="21:42" ht="12.75">
      <c r="U42" s="30">
        <f>100*(+AC36/$E$13)</f>
        <v>249.86957835096223</v>
      </c>
      <c r="V42" s="34">
        <f>EXP(5.6922-(0.68367*LN(U42)))</f>
        <v>6.805285358156111</v>
      </c>
      <c r="W42" s="31">
        <f>(+V42*U42)/100</f>
        <v>17.00433783000444</v>
      </c>
      <c r="X42" s="30">
        <f>100*((((W42/100)-((W42/100)-0.03574)*$E$25)-0.03574-0.00619)/0.344)</f>
        <v>25.529757212218346</v>
      </c>
      <c r="Y42">
        <v>0</v>
      </c>
      <c r="Z42" s="30">
        <f>X42+Y42</f>
        <v>25.529757212218346</v>
      </c>
      <c r="AA42" s="30">
        <f>100*($E$21*$E$23+($E$22*(Z42/100))/(1-$E$25))</f>
        <v>23.982649039044297</v>
      </c>
      <c r="AB42" s="31">
        <f>AA42/U42</f>
        <v>0.09598066798415415</v>
      </c>
      <c r="AC42" s="29">
        <f>ROUND($E$12/(1-AB42),0)</f>
        <v>197674</v>
      </c>
      <c r="AD42" t="str">
        <f>IF(OR(OR(AC42=AC36,AC42=(AC36+1)),AC42=(AC36-1)),"yes","not yet")</f>
        <v>not yet</v>
      </c>
      <c r="AE42" s="30">
        <f>100*(1-AB42)</f>
        <v>90.40193320158458</v>
      </c>
      <c r="AH42">
        <v>1</v>
      </c>
      <c r="AI42" s="29">
        <f>AC9</f>
        <v>196904.42081067216</v>
      </c>
      <c r="AJ42" s="29">
        <f>AC15</f>
        <v>198530.70753829653</v>
      </c>
      <c r="AK42" s="29">
        <f>AC21</f>
        <v>198420.22895140384</v>
      </c>
      <c r="AL42" s="29">
        <f>AC27</f>
        <v>198427.6853143465</v>
      </c>
      <c r="AM42" s="29">
        <f>AC33</f>
        <v>198427.18185119308</v>
      </c>
      <c r="AN42" s="29">
        <f>AB45</f>
        <v>0.09941296531989705</v>
      </c>
      <c r="AO42" s="29">
        <f>AB51</f>
        <v>0.09941296531989705</v>
      </c>
      <c r="AP42" s="29">
        <f>AB57</f>
        <v>0.09941296531989705</v>
      </c>
    </row>
    <row r="43" spans="26:42" ht="12.75">
      <c r="Z43" s="30"/>
      <c r="AH43">
        <v>2</v>
      </c>
      <c r="AI43" s="29">
        <f>AC10</f>
        <v>196557.60114902706</v>
      </c>
      <c r="AJ43" s="29">
        <f>AC16</f>
        <v>198169.65487198794</v>
      </c>
      <c r="AK43" s="29">
        <f>AC22</f>
        <v>198062.3705522048</v>
      </c>
      <c r="AL43" s="29">
        <f>AC28</f>
        <v>198069.46445329656</v>
      </c>
      <c r="AM43" s="29">
        <f>AC34</f>
        <v>198068.99518606474</v>
      </c>
      <c r="AN43" s="29">
        <f>AB46</f>
        <v>0.09778427921795894</v>
      </c>
      <c r="AO43" s="29">
        <f>AB52</f>
        <v>0.09778427921795894</v>
      </c>
      <c r="AP43" s="29">
        <f>AB58</f>
        <v>0.09778427921795894</v>
      </c>
    </row>
    <row r="44" spans="21:42" ht="12.75">
      <c r="U44" s="15" t="s">
        <v>161</v>
      </c>
      <c r="V44" s="2" t="s">
        <v>108</v>
      </c>
      <c r="W44" s="2" t="s">
        <v>109</v>
      </c>
      <c r="X44" s="2" t="s">
        <v>110</v>
      </c>
      <c r="Z44" s="30"/>
      <c r="AH44">
        <v>3</v>
      </c>
      <c r="AI44" s="29">
        <f>AC11</f>
        <v>196324.66534644095</v>
      </c>
      <c r="AJ44" s="29">
        <f>AC17</f>
        <v>197926.6527404482</v>
      </c>
      <c r="AK44" s="29">
        <f>AC23</f>
        <v>197821.5281287654</v>
      </c>
      <c r="AL44" s="29">
        <f>AC29</f>
        <v>197828.38236555588</v>
      </c>
      <c r="AM44" s="29">
        <f>AC35</f>
        <v>197827.9352741738</v>
      </c>
      <c r="AN44" s="29">
        <f>AB47</f>
        <v>0.09668487315258363</v>
      </c>
      <c r="AO44" s="29">
        <f>AB53</f>
        <v>0.09668487315258363</v>
      </c>
      <c r="AP44" s="29">
        <f>AB59</f>
        <v>0.09668487315258363</v>
      </c>
    </row>
    <row r="45" spans="21:42" ht="12.75">
      <c r="U45" s="30">
        <f>100*(+AC39/$E$13)</f>
        <v>250.8216229227406</v>
      </c>
      <c r="V45" s="34">
        <f>EXP(5.7226-(0.68367*LN(+U45)))</f>
        <v>6.997126904666792</v>
      </c>
      <c r="W45" s="31">
        <f>(+V45*U45)/100</f>
        <v>17.55030726024897</v>
      </c>
      <c r="X45" s="30">
        <f>100*((((W45/100)-((W45/100)-0.03574)*$E$25)-0.03574-0.00619)/0.344)</f>
        <v>26.640741517948484</v>
      </c>
      <c r="Y45">
        <v>0</v>
      </c>
      <c r="Z45" s="30">
        <f>X45+Y45</f>
        <v>26.640741517948484</v>
      </c>
      <c r="AA45" s="30">
        <f>100*($E$21*$E$23+($E$22*(Z45/100))/(1-$E$25))</f>
        <v>24.934921301098704</v>
      </c>
      <c r="AB45" s="31">
        <f>AA45/U45</f>
        <v>0.09941296531989705</v>
      </c>
      <c r="AC45" s="29">
        <f>ROUND($E$12/(1-AB45),0)</f>
        <v>198427</v>
      </c>
      <c r="AD45" t="str">
        <f>IF(OR(OR(AC45=AC39,AC45=(AC39+1)),AC45=(AC31-1)),"yes","not yet")</f>
        <v>yes</v>
      </c>
      <c r="AE45" s="30">
        <f>100*(1-AB45)</f>
        <v>90.0587034680103</v>
      </c>
      <c r="AH45">
        <v>4</v>
      </c>
      <c r="AI45" s="29">
        <f>AC12</f>
        <v>196175.95280580432</v>
      </c>
      <c r="AJ45" s="29">
        <f>AC18</f>
        <v>197771.30071134222</v>
      </c>
      <c r="AK45" s="29">
        <f>AC24</f>
        <v>197667.5602796269</v>
      </c>
      <c r="AL45" s="29">
        <f>AC30</f>
        <v>197674.26316079943</v>
      </c>
      <c r="AM45" s="29">
        <f>AC36</f>
        <v>197673.82989431717</v>
      </c>
      <c r="AN45" s="29">
        <f>AB48</f>
        <v>0.09598061770016227</v>
      </c>
      <c r="AO45" s="29">
        <f>AB54</f>
        <v>0.09598061770016227</v>
      </c>
      <c r="AP45" s="29">
        <f>AB60</f>
        <v>0.09598061770016227</v>
      </c>
    </row>
    <row r="46" spans="21:31" ht="12.75">
      <c r="U46" s="30">
        <f>100*(+AC40/$E$13)</f>
        <v>250.36909307042038</v>
      </c>
      <c r="V46" s="34">
        <f>EXP(5.70827-(0.68367*LN(+U46)))</f>
        <v>6.906093979118647</v>
      </c>
      <c r="W46" s="31">
        <f>(+V46*U46)/100</f>
        <v>17.290724862110263</v>
      </c>
      <c r="X46" s="30">
        <f>100*((((W46/100)-((W46/100)-0.03574)*$E$25)-0.03574-0.00619)/0.344)</f>
        <v>26.112521521735992</v>
      </c>
      <c r="Y46">
        <v>0</v>
      </c>
      <c r="Z46" s="30">
        <f>X46+Y46</f>
        <v>26.112521521735992</v>
      </c>
      <c r="AA46" s="30">
        <f>100*($E$21*$E$23+($E$22*(Z46/100))/(1-$E$25))</f>
        <v>24.482161304345137</v>
      </c>
      <c r="AB46" s="31">
        <f>AA46/U46</f>
        <v>0.09778427921795894</v>
      </c>
      <c r="AC46" s="29">
        <f>ROUND($E$12/(1-AB46),0)</f>
        <v>198069</v>
      </c>
      <c r="AD46" t="str">
        <f>IF(OR(OR(AC46=AC40,AC46=(AC40+1)),AC46=(AC40-1)),"yes","not yet")</f>
        <v>yes</v>
      </c>
      <c r="AE46" s="30">
        <f>100*(1-AB46)</f>
        <v>90.2215720782041</v>
      </c>
    </row>
    <row r="47" spans="21:35" ht="12.75">
      <c r="U47" s="30">
        <f>100*(+AC41/$E$13)</f>
        <v>250.06445705251767</v>
      </c>
      <c r="V47" s="34">
        <f>EXP(5.6985-(0.68367*LN(U47)))</f>
        <v>6.844644814307759</v>
      </c>
      <c r="W47" s="31">
        <f>(+V47*U47)/100</f>
        <v>17.116023892072004</v>
      </c>
      <c r="X47" s="30">
        <f>100*((((W47/100)-((W47/100)-0.03574)*$E$25)-0.03574-0.00619)/0.344)</f>
        <v>25.757025361774428</v>
      </c>
      <c r="Y47">
        <v>0</v>
      </c>
      <c r="Z47" s="30">
        <f>X47+Y47</f>
        <v>25.757025361774428</v>
      </c>
      <c r="AA47" s="30">
        <f>100*($E$21*$E$23+($E$22*(Z47/100))/(1-$E$25))</f>
        <v>24.177450310092368</v>
      </c>
      <c r="AB47" s="31">
        <f>AA47/U47</f>
        <v>0.09668487315258363</v>
      </c>
      <c r="AC47" s="29">
        <f>ROUND($E$12/(1-AB47),0)</f>
        <v>197828</v>
      </c>
      <c r="AD47" t="str">
        <f>IF(OR(OR(AC47=AC41,AC47=(AC41+1)),AC47=(AC41-1)),"yes","not yet")</f>
        <v>yes</v>
      </c>
      <c r="AE47" s="30">
        <f>100*(1-AB47)</f>
        <v>90.33151268474164</v>
      </c>
      <c r="AI47" s="15" t="s">
        <v>158</v>
      </c>
    </row>
    <row r="48" spans="21:35" ht="12.75">
      <c r="U48" s="30">
        <f>100*(+AC42/$E$13)</f>
        <v>249.86979337302796</v>
      </c>
      <c r="V48" s="34">
        <f>EXP(5.6922-(0.68367*LN(U48)))</f>
        <v>6.8052813544499635</v>
      </c>
      <c r="W48" s="31">
        <f>(+V48*U48)/100</f>
        <v>17.004342458817323</v>
      </c>
      <c r="X48" s="30">
        <f>100*((((W48/100)-((W48/100)-0.03574)*$E$25)-0.03574-0.00619)/0.344)</f>
        <v>25.52976663131432</v>
      </c>
      <c r="Y48">
        <v>0</v>
      </c>
      <c r="Z48" s="30">
        <f>X48+Y48</f>
        <v>25.52976663131432</v>
      </c>
      <c r="AA48" s="30">
        <f>100*($E$21*$E$23+($E$22*(Z48/100))/(1-$E$25))</f>
        <v>23.982657112555135</v>
      </c>
      <c r="AB48" s="31">
        <f>AA48/U48</f>
        <v>0.09598061770016227</v>
      </c>
      <c r="AC48" s="29">
        <f>ROUND($E$12/(1-AB48),0)</f>
        <v>197674</v>
      </c>
      <c r="AD48" t="str">
        <f>IF(OR(OR(AC48=AC42,AC48=(AC42+1)),AC48=(AC42-1)),"yes","not yet")</f>
        <v>yes</v>
      </c>
      <c r="AE48" s="30">
        <f>100*(1-AB48)</f>
        <v>90.40193822998377</v>
      </c>
      <c r="AI48" s="29">
        <f>HLOOKUP($AI$38,$AI$41:$AQ$45,$E$16+1)</f>
        <v>197827.9352741738</v>
      </c>
    </row>
    <row r="49" ht="12.75">
      <c r="Z49" s="30"/>
    </row>
    <row r="50" spans="4:26" ht="12.75">
      <c r="D50" s="29"/>
      <c r="E50" s="29"/>
      <c r="F50" s="29"/>
      <c r="U50" s="15" t="s">
        <v>162</v>
      </c>
      <c r="V50" s="2" t="s">
        <v>108</v>
      </c>
      <c r="W50" s="2" t="s">
        <v>109</v>
      </c>
      <c r="X50" s="2" t="s">
        <v>110</v>
      </c>
      <c r="Z50" s="30"/>
    </row>
    <row r="51" spans="4:31" ht="12.75">
      <c r="D51" s="29"/>
      <c r="E51" s="29"/>
      <c r="F51" s="29"/>
      <c r="U51" s="30">
        <f>100*(+AC45/$E$13)</f>
        <v>250.8216229227406</v>
      </c>
      <c r="V51" s="34">
        <f>EXP(5.7226-(0.68367*LN(+U51)))</f>
        <v>6.997126904666792</v>
      </c>
      <c r="W51" s="31">
        <f>(+V51*U51)/100</f>
        <v>17.55030726024897</v>
      </c>
      <c r="X51" s="30">
        <f>100*((((W51/100)-((W51/100)-0.03574)*$E$25)-0.03574-0.00619)/0.344)</f>
        <v>26.640741517948484</v>
      </c>
      <c r="Y51">
        <v>0</v>
      </c>
      <c r="Z51" s="30">
        <f>X51+Y51</f>
        <v>26.640741517948484</v>
      </c>
      <c r="AA51" s="30">
        <f>100*($E$21*$E$23+($E$22*(Z51/100))/(1-$E$25))</f>
        <v>24.934921301098704</v>
      </c>
      <c r="AB51" s="31">
        <f>AA51/U51</f>
        <v>0.09941296531989705</v>
      </c>
      <c r="AC51" s="29">
        <f>ROUND($E$12/(1-AB51),0)</f>
        <v>198427</v>
      </c>
      <c r="AD51" t="str">
        <f>IF(OR(OR(AC51=AC45,AC51=(AC45+1)),AC51=(AC37-1)),"yes","not yet")</f>
        <v>yes</v>
      </c>
      <c r="AE51" s="30">
        <f>100*(1-AB51)</f>
        <v>90.0587034680103</v>
      </c>
    </row>
    <row r="52" spans="21:31" ht="12.75">
      <c r="U52" s="30">
        <f>100*(+AC46/$E$13)</f>
        <v>250.36909307042038</v>
      </c>
      <c r="V52" s="34">
        <f>EXP(5.70827-(0.68367*LN(+U52)))</f>
        <v>6.906093979118647</v>
      </c>
      <c r="W52" s="31">
        <f>(+V52*U52)/100</f>
        <v>17.290724862110263</v>
      </c>
      <c r="X52" s="30">
        <f>100*((((W52/100)-((W52/100)-0.03574)*$E$25)-0.03574-0.00619)/0.344)</f>
        <v>26.112521521735992</v>
      </c>
      <c r="Y52">
        <v>0</v>
      </c>
      <c r="Z52" s="30">
        <f>X52+Y52</f>
        <v>26.112521521735992</v>
      </c>
      <c r="AA52" s="30">
        <f>100*($E$21*$E$23+($E$22*(Z52/100))/(1-$E$25))</f>
        <v>24.482161304345137</v>
      </c>
      <c r="AB52" s="31">
        <f>AA52/U52</f>
        <v>0.09778427921795894</v>
      </c>
      <c r="AC52" s="29">
        <f>ROUND($E$12/(1-AB52),0)</f>
        <v>198069</v>
      </c>
      <c r="AD52" t="str">
        <f>IF(OR(OR(AC52=AC46,AC52=(AC46+1)),AC52=(AC46-1)),"yes","not yet")</f>
        <v>yes</v>
      </c>
      <c r="AE52" s="30">
        <f>100*(1-AB52)</f>
        <v>90.2215720782041</v>
      </c>
    </row>
    <row r="53" spans="21:31" ht="12.75">
      <c r="U53" s="30">
        <f>100*(+AC47/$E$13)</f>
        <v>250.06445705251767</v>
      </c>
      <c r="V53" s="34">
        <f>EXP(5.6985-(0.68367*LN(U53)))</f>
        <v>6.844644814307759</v>
      </c>
      <c r="W53" s="31">
        <f>(+V53*U53)/100</f>
        <v>17.116023892072004</v>
      </c>
      <c r="X53" s="30">
        <f>100*((((W53/100)-((W53/100)-0.03574)*$E$25)-0.03574-0.00619)/0.344)</f>
        <v>25.757025361774428</v>
      </c>
      <c r="Y53">
        <v>0</v>
      </c>
      <c r="Z53" s="30">
        <f>X53+Y53</f>
        <v>25.757025361774428</v>
      </c>
      <c r="AA53" s="30">
        <f>100*($E$21*$E$23+($E$22*(Z53/100))/(1-$E$25))</f>
        <v>24.177450310092368</v>
      </c>
      <c r="AB53" s="31">
        <f>AA53/U53</f>
        <v>0.09668487315258363</v>
      </c>
      <c r="AC53" s="29">
        <f>ROUND($E$12/(1-AB53),0)</f>
        <v>197828</v>
      </c>
      <c r="AD53" t="str">
        <f>IF(OR(OR(AC53=AC47,AC53=(AC47+1)),AC53=(AC47-1)),"yes","not yet")</f>
        <v>yes</v>
      </c>
      <c r="AE53" s="30">
        <f>100*(1-AB53)</f>
        <v>90.33151268474164</v>
      </c>
    </row>
    <row r="54" spans="21:31" ht="12.75">
      <c r="U54" s="30">
        <f>100*(+AC48/$E$13)</f>
        <v>249.86979337302796</v>
      </c>
      <c r="V54" s="34">
        <f>EXP(5.6922-(0.68367*LN(U54)))</f>
        <v>6.8052813544499635</v>
      </c>
      <c r="W54" s="31">
        <f>(+V54*U54)/100</f>
        <v>17.004342458817323</v>
      </c>
      <c r="X54" s="30">
        <f>100*((((W54/100)-((W54/100)-0.03574)*$E$25)-0.03574-0.00619)/0.344)</f>
        <v>25.52976663131432</v>
      </c>
      <c r="Y54">
        <v>0</v>
      </c>
      <c r="Z54" s="30">
        <f>X54+Y54</f>
        <v>25.52976663131432</v>
      </c>
      <c r="AA54" s="30">
        <f>100*($E$21*$E$23+($E$22*(Z54/100))/(1-$E$25))</f>
        <v>23.982657112555135</v>
      </c>
      <c r="AB54" s="31">
        <f>AA54/U54</f>
        <v>0.09598061770016227</v>
      </c>
      <c r="AC54" s="29">
        <f>ROUND($E$12/(1-AB54),0)</f>
        <v>197674</v>
      </c>
      <c r="AD54" t="str">
        <f>IF(OR(OR(AC54=AC48,AC54=(AC48+1)),AC54=(AC48-1)),"yes","not yet")</f>
        <v>yes</v>
      </c>
      <c r="AE54" s="30">
        <f>100*(1-AB54)</f>
        <v>90.40193822998377</v>
      </c>
    </row>
    <row r="55" ht="12.75">
      <c r="Z55" s="30"/>
    </row>
    <row r="56" spans="21:26" ht="12.75">
      <c r="U56" s="15" t="s">
        <v>163</v>
      </c>
      <c r="V56" s="2" t="s">
        <v>108</v>
      </c>
      <c r="W56" s="2" t="s">
        <v>109</v>
      </c>
      <c r="X56" s="2" t="s">
        <v>110</v>
      </c>
      <c r="Z56" s="30"/>
    </row>
    <row r="57" spans="21:31" ht="12.75">
      <c r="U57" s="30">
        <f>100*(+AC51/$E$13)</f>
        <v>250.8216229227406</v>
      </c>
      <c r="V57" s="34">
        <f>EXP(5.7226-(0.68367*LN(+U57)))</f>
        <v>6.997126904666792</v>
      </c>
      <c r="W57" s="31">
        <f>(+V57*U57)/100</f>
        <v>17.55030726024897</v>
      </c>
      <c r="X57" s="30">
        <f>100*((((W57/100)-((W57/100)-0.03574)*$E$25)-0.03574-0.00619)/0.344)</f>
        <v>26.640741517948484</v>
      </c>
      <c r="Y57">
        <v>0</v>
      </c>
      <c r="Z57" s="30">
        <f>X57+Y57</f>
        <v>26.640741517948484</v>
      </c>
      <c r="AA57" s="30">
        <f>100*($E$21*$E$23+($E$22*(Z57/100))/(1-$E$25))</f>
        <v>24.934921301098704</v>
      </c>
      <c r="AB57" s="31">
        <f>AA57/U57</f>
        <v>0.09941296531989705</v>
      </c>
      <c r="AC57" s="29">
        <f>ROUND($E$12/(1-AB57),0)</f>
        <v>198427</v>
      </c>
      <c r="AD57" t="str">
        <f>IF(OR(OR(AC57=AC51,AC57=(AC51+1)),AC57=(AC43-1)),"yes","not yet")</f>
        <v>yes</v>
      </c>
      <c r="AE57" s="30">
        <f>100*(1-AB57)</f>
        <v>90.0587034680103</v>
      </c>
    </row>
    <row r="58" spans="21:31" ht="12.75">
      <c r="U58" s="30">
        <f>100*(+AC52/$E$13)</f>
        <v>250.36909307042038</v>
      </c>
      <c r="V58" s="34">
        <f>EXP(5.70827-(0.68367*LN(+U58)))</f>
        <v>6.906093979118647</v>
      </c>
      <c r="W58" s="31">
        <f>(+V58*U58)/100</f>
        <v>17.290724862110263</v>
      </c>
      <c r="X58" s="30">
        <f>100*((((W58/100)-((W58/100)-0.03574)*$E$25)-0.03574-0.00619)/0.344)</f>
        <v>26.112521521735992</v>
      </c>
      <c r="Y58">
        <v>0</v>
      </c>
      <c r="Z58" s="30">
        <f>X58+Y58</f>
        <v>26.112521521735992</v>
      </c>
      <c r="AA58" s="30">
        <f>100*($E$21*$E$23+($E$22*(Z58/100))/(1-$E$25))</f>
        <v>24.482161304345137</v>
      </c>
      <c r="AB58" s="31">
        <f>AA58/U58</f>
        <v>0.09778427921795894</v>
      </c>
      <c r="AC58" s="29">
        <f>ROUND($E$12/(1-AB58),0)</f>
        <v>198069</v>
      </c>
      <c r="AD58" t="str">
        <f>IF(OR(OR(AC58=AC52,AC58=(AC52+1)),AC58=(AC52-1)),"yes","not yet")</f>
        <v>yes</v>
      </c>
      <c r="AE58" s="30">
        <f>100*(1-AB58)</f>
        <v>90.2215720782041</v>
      </c>
    </row>
    <row r="59" spans="21:31" ht="12.75">
      <c r="U59" s="30">
        <f>100*(+AC53/$E$13)</f>
        <v>250.06445705251767</v>
      </c>
      <c r="V59" s="34">
        <f>EXP(5.6985-(0.68367*LN(U59)))</f>
        <v>6.844644814307759</v>
      </c>
      <c r="W59" s="31">
        <f>(+V59*U59)/100</f>
        <v>17.116023892072004</v>
      </c>
      <c r="X59" s="30">
        <f>100*((((W59/100)-((W59/100)-0.03574)*$E$25)-0.03574-0.00619)/0.344)</f>
        <v>25.757025361774428</v>
      </c>
      <c r="Y59">
        <v>0</v>
      </c>
      <c r="Z59" s="30">
        <f>X59+Y59</f>
        <v>25.757025361774428</v>
      </c>
      <c r="AA59" s="30">
        <f>100*($E$21*$E$23+($E$22*(Z59/100))/(1-$E$25))</f>
        <v>24.177450310092368</v>
      </c>
      <c r="AB59" s="31">
        <f>AA59/U59</f>
        <v>0.09668487315258363</v>
      </c>
      <c r="AC59" s="29">
        <f>ROUND($E$12/(1-AB59),0)</f>
        <v>197828</v>
      </c>
      <c r="AD59" t="str">
        <f>IF(OR(OR(AC59=AC53,AC59=(AC53+1)),AC59=(AC53-1)),"yes","not yet")</f>
        <v>yes</v>
      </c>
      <c r="AE59" s="30">
        <f>100*(1-AB59)</f>
        <v>90.33151268474164</v>
      </c>
    </row>
    <row r="60" spans="21:31" ht="12.75">
      <c r="U60" s="30">
        <f>100*(+AC54/$E$13)</f>
        <v>249.86979337302796</v>
      </c>
      <c r="V60" s="34">
        <f>EXP(5.6922-(0.68367*LN(U60)))</f>
        <v>6.8052813544499635</v>
      </c>
      <c r="W60" s="31">
        <f>(+V60*U60)/100</f>
        <v>17.004342458817323</v>
      </c>
      <c r="X60" s="30">
        <f>100*((((W60/100)-((W60/100)-0.03574)*$E$25)-0.03574-0.00619)/0.344)</f>
        <v>25.52976663131432</v>
      </c>
      <c r="Y60">
        <v>0</v>
      </c>
      <c r="Z60" s="30">
        <f>X60+Y60</f>
        <v>25.52976663131432</v>
      </c>
      <c r="AA60" s="30">
        <f>100*($E$21*$E$23+($E$22*(Z60/100))/(1-$E$25))</f>
        <v>23.982657112555135</v>
      </c>
      <c r="AB60" s="31">
        <f>AA60/U60</f>
        <v>0.09598061770016227</v>
      </c>
      <c r="AC60" s="29">
        <f>ROUND($E$12/(1-AB60),0)</f>
        <v>197674</v>
      </c>
      <c r="AD60" t="str">
        <f>IF(OR(OR(AC60=AC54,AC60=(AC54+1)),AC60=(AC54-1)),"yes","not yet")</f>
        <v>yes</v>
      </c>
      <c r="AE60" s="30">
        <f>100*(1-AB60)</f>
        <v>90.40193822998377</v>
      </c>
    </row>
    <row r="61" ht="12.75">
      <c r="Z61" s="30"/>
    </row>
    <row r="63" spans="21:29" ht="12.75">
      <c r="U63" s="30"/>
      <c r="V63" s="34"/>
      <c r="W63" s="31"/>
      <c r="X63" s="30"/>
      <c r="AA63" s="30"/>
      <c r="AB63" s="31"/>
      <c r="AC63" s="29"/>
    </row>
    <row r="64" spans="21:29" ht="12.75">
      <c r="U64" s="30"/>
      <c r="V64" s="34"/>
      <c r="W64" s="31"/>
      <c r="X64" s="30"/>
      <c r="AA64" s="30"/>
      <c r="AB64" s="31"/>
      <c r="AC64" s="29"/>
    </row>
    <row r="65" spans="21:29" ht="12.75">
      <c r="U65" s="30"/>
      <c r="V65" s="34"/>
      <c r="W65" s="31"/>
      <c r="X65" s="30"/>
      <c r="AA65" s="30"/>
      <c r="AB65" s="31"/>
      <c r="AC65" s="29"/>
    </row>
    <row r="66" spans="21:29" ht="12.75">
      <c r="U66" s="30"/>
      <c r="V66" s="34"/>
      <c r="W66" s="31"/>
      <c r="X66" s="30"/>
      <c r="AA66" s="30"/>
      <c r="AB66" s="31"/>
      <c r="AC66" s="29"/>
    </row>
    <row r="69" spans="21:29" ht="12.75">
      <c r="U69" s="30"/>
      <c r="V69" s="34"/>
      <c r="W69" s="31"/>
      <c r="X69" s="30"/>
      <c r="AA69" s="30"/>
      <c r="AB69" s="31"/>
      <c r="AC69" s="29"/>
    </row>
    <row r="70" spans="21:29" ht="12.75">
      <c r="U70" s="30"/>
      <c r="V70" s="34"/>
      <c r="W70" s="31"/>
      <c r="X70" s="30"/>
      <c r="AA70" s="30"/>
      <c r="AB70" s="31"/>
      <c r="AC70" s="29"/>
    </row>
    <row r="71" spans="20:28" ht="12.75">
      <c r="T71" s="30"/>
      <c r="U71" s="34"/>
      <c r="V71" s="31"/>
      <c r="W71" s="30"/>
      <c r="Z71" s="30"/>
      <c r="AA71" s="31"/>
      <c r="AB71" s="29"/>
    </row>
    <row r="72" spans="20:28" ht="12.75">
      <c r="T72" s="30"/>
      <c r="U72" s="34"/>
      <c r="V72" s="31"/>
      <c r="W72" s="30"/>
      <c r="Z72" s="30"/>
      <c r="AA72" s="31"/>
      <c r="AB72" s="29"/>
    </row>
    <row r="75" spans="20:28" ht="12.75">
      <c r="T75" s="30"/>
      <c r="U75" s="34"/>
      <c r="V75" s="31"/>
      <c r="W75" s="30"/>
      <c r="Z75" s="30"/>
      <c r="AA75" s="31"/>
      <c r="AB75" s="29"/>
    </row>
    <row r="76" spans="20:28" ht="12.75">
      <c r="T76" s="30"/>
      <c r="U76" s="34"/>
      <c r="V76" s="31"/>
      <c r="W76" s="30"/>
      <c r="Z76" s="30"/>
      <c r="AA76" s="31"/>
      <c r="AB76" s="29"/>
    </row>
    <row r="77" spans="20:28" ht="12.75">
      <c r="T77" s="30"/>
      <c r="U77" s="34"/>
      <c r="V77" s="31"/>
      <c r="W77" s="30"/>
      <c r="Z77" s="30"/>
      <c r="AA77" s="31"/>
      <c r="AB77" s="29"/>
    </row>
    <row r="78" spans="20:28" ht="12.75">
      <c r="T78" s="30"/>
      <c r="U78" s="34"/>
      <c r="V78" s="31"/>
      <c r="W78" s="30"/>
      <c r="Z78" s="30"/>
      <c r="AA78" s="31"/>
      <c r="AB78" s="29"/>
    </row>
    <row r="81" spans="20:28" ht="12.75">
      <c r="T81" s="30"/>
      <c r="U81" s="34"/>
      <c r="V81" s="31"/>
      <c r="W81" s="30"/>
      <c r="Z81" s="30"/>
      <c r="AA81" s="31"/>
      <c r="AB81" s="29"/>
    </row>
    <row r="82" spans="20:28" ht="12.75">
      <c r="T82" s="30"/>
      <c r="U82" s="34"/>
      <c r="V82" s="31"/>
      <c r="W82" s="30"/>
      <c r="Z82" s="30"/>
      <c r="AA82" s="31"/>
      <c r="AB82" s="29"/>
    </row>
    <row r="83" spans="20:28" ht="12.75">
      <c r="T83" s="30"/>
      <c r="U83" s="34"/>
      <c r="V83" s="31"/>
      <c r="W83" s="30"/>
      <c r="Z83" s="30"/>
      <c r="AA83" s="31"/>
      <c r="AB83" s="29"/>
    </row>
    <row r="84" spans="20:28" ht="12.75">
      <c r="T84" s="30"/>
      <c r="U84" s="34"/>
      <c r="V84" s="31"/>
      <c r="W84" s="30"/>
      <c r="Z84" s="30"/>
      <c r="AA84" s="31"/>
      <c r="AB84" s="29"/>
    </row>
    <row r="87" spans="20:28" ht="12.75">
      <c r="T87" s="30"/>
      <c r="U87" s="34"/>
      <c r="V87" s="31"/>
      <c r="W87" s="30"/>
      <c r="Z87" s="30"/>
      <c r="AA87" s="31"/>
      <c r="AB87" s="29"/>
    </row>
    <row r="88" spans="20:28" ht="12.75">
      <c r="T88" s="30"/>
      <c r="U88" s="34"/>
      <c r="V88" s="31"/>
      <c r="W88" s="30"/>
      <c r="Z88" s="30"/>
      <c r="AA88" s="31"/>
      <c r="AB88" s="29"/>
    </row>
    <row r="89" spans="20:28" ht="12.75">
      <c r="T89" s="30"/>
      <c r="U89" s="34"/>
      <c r="V89" s="31"/>
      <c r="W89" s="30"/>
      <c r="Z89" s="30"/>
      <c r="AA89" s="31"/>
      <c r="AB89" s="29"/>
    </row>
    <row r="90" spans="20:28" ht="12.75">
      <c r="T90" s="30"/>
      <c r="U90" s="34"/>
      <c r="V90" s="31"/>
      <c r="W90" s="30"/>
      <c r="Z90" s="30"/>
      <c r="AA90" s="31"/>
      <c r="AB90" s="29"/>
    </row>
    <row r="93" spans="20:28" ht="12.75">
      <c r="T93" s="30"/>
      <c r="U93" s="34"/>
      <c r="V93" s="31"/>
      <c r="W93" s="30"/>
      <c r="Z93" s="30"/>
      <c r="AA93" s="31"/>
      <c r="AB93" s="29"/>
    </row>
    <row r="94" spans="20:28" ht="12.75">
      <c r="T94" s="30"/>
      <c r="U94" s="34"/>
      <c r="V94" s="31"/>
      <c r="W94" s="30"/>
      <c r="Z94" s="30"/>
      <c r="AA94" s="31"/>
      <c r="AB94" s="29"/>
    </row>
    <row r="95" spans="20:28" ht="12.75">
      <c r="T95" s="30"/>
      <c r="U95" s="34"/>
      <c r="V95" s="31"/>
      <c r="W95" s="30"/>
      <c r="Z95" s="30"/>
      <c r="AA95" s="31"/>
      <c r="AB95" s="29"/>
    </row>
    <row r="96" spans="20:28" ht="12.75">
      <c r="T96" s="30"/>
      <c r="U96" s="34"/>
      <c r="V96" s="31"/>
      <c r="W96" s="30"/>
      <c r="Z96" s="30"/>
      <c r="AA96" s="31"/>
      <c r="AB96" s="29"/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zoomScalePageLayoutView="0" workbookViewId="0" topLeftCell="A1">
      <selection activeCell="E26" sqref="E26"/>
    </sheetView>
  </sheetViews>
  <sheetFormatPr defaultColWidth="9.140625" defaultRowHeight="12.75"/>
  <cols>
    <col min="5" max="5" width="10.28125" style="0" customWidth="1"/>
  </cols>
  <sheetData>
    <row r="1" ht="12.75">
      <c r="A1" t="s">
        <v>0</v>
      </c>
    </row>
    <row r="3" ht="12.75">
      <c r="A3" t="s">
        <v>271</v>
      </c>
    </row>
    <row r="5" ht="12.75">
      <c r="A5" s="1" t="s">
        <v>350</v>
      </c>
    </row>
    <row r="7" spans="2:34" ht="12.75">
      <c r="B7" s="15" t="s">
        <v>101</v>
      </c>
      <c r="AD7" s="2" t="s">
        <v>102</v>
      </c>
      <c r="AE7" s="2" t="s">
        <v>103</v>
      </c>
      <c r="AH7" s="15" t="s">
        <v>104</v>
      </c>
    </row>
    <row r="8" spans="5:34" ht="12.75">
      <c r="E8" s="27"/>
      <c r="M8" s="15" t="s">
        <v>105</v>
      </c>
      <c r="T8" s="2" t="s">
        <v>106</v>
      </c>
      <c r="U8" s="2" t="s">
        <v>107</v>
      </c>
      <c r="V8" s="2" t="s">
        <v>108</v>
      </c>
      <c r="W8" s="2" t="s">
        <v>109</v>
      </c>
      <c r="X8" s="2" t="s">
        <v>110</v>
      </c>
      <c r="Z8" s="2" t="s">
        <v>111</v>
      </c>
      <c r="AA8" s="15" t="s">
        <v>112</v>
      </c>
      <c r="AB8" s="2" t="s">
        <v>113</v>
      </c>
      <c r="AC8" s="2" t="s">
        <v>114</v>
      </c>
      <c r="AD8" s="2" t="s">
        <v>115</v>
      </c>
      <c r="AH8" s="15" t="s">
        <v>116</v>
      </c>
    </row>
    <row r="9" spans="2:35" ht="12.75">
      <c r="B9" s="15" t="s">
        <v>117</v>
      </c>
      <c r="C9" s="15" t="s">
        <v>118</v>
      </c>
      <c r="E9" s="27">
        <f>E11+E10</f>
        <v>434392.19208316936</v>
      </c>
      <c r="F9" s="15" t="s">
        <v>119</v>
      </c>
      <c r="K9" s="28"/>
      <c r="M9" s="15" t="s">
        <v>120</v>
      </c>
      <c r="P9" s="15" t="s">
        <v>121</v>
      </c>
      <c r="T9" s="29">
        <f>$E$12*1.25</f>
        <v>496312.1313000547</v>
      </c>
      <c r="U9" s="30">
        <f>100*(+T9/$E$13)</f>
        <v>293.83291161054257</v>
      </c>
      <c r="V9" s="31">
        <f>EXP(5.7226-(0.68367*LN(+U9)))</f>
        <v>6.279533407943963</v>
      </c>
      <c r="W9" s="31">
        <f>(+V9*U9)/100</f>
        <v>18.451335848118475</v>
      </c>
      <c r="X9" s="30">
        <f>100*((((W9/100)-((W9/100)-0.03574)*$E$25)-0.03574-0.00619)/0.344)</f>
        <v>28.474229923496896</v>
      </c>
      <c r="Y9">
        <v>0</v>
      </c>
      <c r="Z9" s="30">
        <f>X9+Y9</f>
        <v>28.474229923496896</v>
      </c>
      <c r="AA9" s="30">
        <f>100*($E$21*$E$23+($E$22*(Z9/100))/(1-$E$25))</f>
        <v>26.506482791568768</v>
      </c>
      <c r="AB9" s="31">
        <f>AA9/U9</f>
        <v>0.09020937323284424</v>
      </c>
      <c r="AC9" s="29">
        <f>$E$12/(1-AB9)</f>
        <v>436418.7686247304</v>
      </c>
      <c r="AD9" t="str">
        <f>IF(AC9=$T$9,"yes","not yet")</f>
        <v>not yet</v>
      </c>
      <c r="AE9" s="30">
        <f>100*(1-AB9)</f>
        <v>90.97906267671557</v>
      </c>
      <c r="AH9">
        <v>0</v>
      </c>
      <c r="AI9">
        <v>1</v>
      </c>
    </row>
    <row r="10" spans="2:35" ht="12.75">
      <c r="B10" s="15" t="s">
        <v>117</v>
      </c>
      <c r="C10" s="15" t="s">
        <v>122</v>
      </c>
      <c r="E10" s="27">
        <f>(+E12-((H19/100)*E11))/H29</f>
        <v>-105665.75874014165</v>
      </c>
      <c r="F10" s="32" t="s">
        <v>119</v>
      </c>
      <c r="K10" s="28"/>
      <c r="M10" s="15" t="s">
        <v>123</v>
      </c>
      <c r="P10" s="15" t="s">
        <v>124</v>
      </c>
      <c r="T10" s="29">
        <f>$E$12*1.25</f>
        <v>496312.1313000547</v>
      </c>
      <c r="U10" s="30">
        <f>100*(+T10/$E$13)</f>
        <v>293.83291161054257</v>
      </c>
      <c r="V10" s="31">
        <f>EXP(5.70827-(0.68367*LN(+U10)))</f>
        <v>6.190189373104126</v>
      </c>
      <c r="W10" s="31">
        <f>(+V10*U10)/100</f>
        <v>18.188813669198247</v>
      </c>
      <c r="X10" s="30">
        <f>100*((((W10/100)-((W10/100)-0.03574)*$E$25)-0.03574-0.00619)/0.344)</f>
        <v>27.94002781522899</v>
      </c>
      <c r="Y10">
        <v>0</v>
      </c>
      <c r="Z10" s="30">
        <f>X10+Y10</f>
        <v>27.94002781522899</v>
      </c>
      <c r="AA10" s="30">
        <f>100*($E$21*$E$23+($E$22*(Z10/100))/(1-$E$25))</f>
        <v>26.04859527019628</v>
      </c>
      <c r="AB10" s="31">
        <f>AA10/U10</f>
        <v>0.08865104704377735</v>
      </c>
      <c r="AC10" s="29">
        <f>$E$12/(1-AB10)</f>
        <v>435672.5310893251</v>
      </c>
      <c r="AD10" t="str">
        <f>IF(AC10=$T$10,"yes","not yet")</f>
        <v>not yet</v>
      </c>
      <c r="AE10" s="30">
        <f>100*(1-AB10)</f>
        <v>91.13489529562227</v>
      </c>
      <c r="AH10">
        <v>50</v>
      </c>
      <c r="AI10">
        <v>2</v>
      </c>
    </row>
    <row r="11" spans="2:35" ht="12.75">
      <c r="B11" s="33" t="s">
        <v>125</v>
      </c>
      <c r="C11" s="15" t="s">
        <v>126</v>
      </c>
      <c r="D11" s="33" t="s">
        <v>127</v>
      </c>
      <c r="E11" s="27">
        <f>+'Results of Operations'!J21</f>
        <v>540057.950823311</v>
      </c>
      <c r="F11" s="15" t="s">
        <v>128</v>
      </c>
      <c r="K11" s="28"/>
      <c r="M11" s="15" t="s">
        <v>129</v>
      </c>
      <c r="P11" s="15" t="s">
        <v>130</v>
      </c>
      <c r="T11" s="29">
        <f>$E$12*1.25</f>
        <v>496312.1313000547</v>
      </c>
      <c r="U11" s="30">
        <f>100*(+T11/$E$13)</f>
        <v>293.83291161054257</v>
      </c>
      <c r="V11" s="31">
        <f>EXP(5.6985-(0.68367*LN(U11)))</f>
        <v>6.130005698902136</v>
      </c>
      <c r="W11" s="31">
        <f>(+V11*U11)/100</f>
        <v>18.011974226976335</v>
      </c>
      <c r="X11" s="30">
        <f>100*((((W11/100)-((W11/100)-0.03574)*$E$25)-0.03574-0.00619)/0.344)</f>
        <v>27.580180113033236</v>
      </c>
      <c r="Y11">
        <v>0</v>
      </c>
      <c r="Z11" s="30">
        <f>X11+Y11</f>
        <v>27.580180113033236</v>
      </c>
      <c r="AA11" s="30">
        <f>100*($E$21*$E$23+($E$22*(Z11/100))/(1-$E$25))</f>
        <v>25.74015438259992</v>
      </c>
      <c r="AB11" s="31">
        <f>AA11/U11</f>
        <v>0.0876013317960682</v>
      </c>
      <c r="AC11" s="29">
        <f>$E$12/(1-AB11)</f>
        <v>435171.28956538386</v>
      </c>
      <c r="AD11" t="str">
        <f>IF(AC11=$T$11,"yes","not yet")</f>
        <v>not yet</v>
      </c>
      <c r="AE11" s="30">
        <f>100*(1-AB11)</f>
        <v>91.23986682039317</v>
      </c>
      <c r="AH11">
        <v>125</v>
      </c>
      <c r="AI11">
        <v>3</v>
      </c>
    </row>
    <row r="12" spans="2:35" ht="12.75">
      <c r="B12" s="33" t="s">
        <v>125</v>
      </c>
      <c r="C12" s="15" t="s">
        <v>131</v>
      </c>
      <c r="D12" s="33" t="s">
        <v>127</v>
      </c>
      <c r="E12" s="27">
        <f>+'Results of Operations'!J99</f>
        <v>397049.7050400438</v>
      </c>
      <c r="F12" s="15" t="s">
        <v>128</v>
      </c>
      <c r="K12" s="28"/>
      <c r="M12" s="15" t="s">
        <v>132</v>
      </c>
      <c r="P12" s="15" t="s">
        <v>133</v>
      </c>
      <c r="T12" s="29">
        <f>$E$12*1.25</f>
        <v>496312.1313000547</v>
      </c>
      <c r="U12" s="30">
        <f>100*(+T12/$E$13)</f>
        <v>293.83291161054257</v>
      </c>
      <c r="V12" s="31">
        <f>EXP(5.6922-(0.68367*LN(U12)))</f>
        <v>6.091508057899073</v>
      </c>
      <c r="W12" s="31">
        <f>(+V12*U12)/100</f>
        <v>17.89885548751566</v>
      </c>
      <c r="X12" s="30">
        <f>100*((((W12/100)-((W12/100)-0.03574)*$E$25)-0.03574-0.00619)/0.344)</f>
        <v>27.34999663157256</v>
      </c>
      <c r="Y12">
        <v>0</v>
      </c>
      <c r="Z12" s="30">
        <f>X12+Y12</f>
        <v>27.34999663157256</v>
      </c>
      <c r="AA12" s="30">
        <f>100*($E$21*$E$23+($E$22*(Z12/100))/(1-$E$25))</f>
        <v>25.542854255633625</v>
      </c>
      <c r="AB12" s="31">
        <f>AA12/U12</f>
        <v>0.08692986131345663</v>
      </c>
      <c r="AC12" s="29">
        <f>$E$12/(1-AB12)</f>
        <v>434851.265217371</v>
      </c>
      <c r="AD12" t="str">
        <f>IF(AC12=$T$12,"yes","not yet")</f>
        <v>not yet</v>
      </c>
      <c r="AE12" s="30">
        <f>100*(1-AB12)</f>
        <v>91.30701386865434</v>
      </c>
      <c r="AH12">
        <v>401</v>
      </c>
      <c r="AI12">
        <v>4</v>
      </c>
    </row>
    <row r="13" spans="2:26" ht="12.75">
      <c r="B13" s="33" t="s">
        <v>125</v>
      </c>
      <c r="C13" s="15" t="s">
        <v>134</v>
      </c>
      <c r="E13" s="27">
        <f>+'Results of Operations'!J105</f>
        <v>168909.64615900003</v>
      </c>
      <c r="F13" s="15" t="s">
        <v>128</v>
      </c>
      <c r="K13" s="28"/>
      <c r="Z13" s="30"/>
    </row>
    <row r="14" spans="3:34" ht="12.75">
      <c r="C14" s="15" t="s">
        <v>135</v>
      </c>
      <c r="E14" s="30">
        <f>U9</f>
        <v>293.83291161054257</v>
      </c>
      <c r="F14" s="15" t="s">
        <v>136</v>
      </c>
      <c r="H14" s="30"/>
      <c r="U14" s="2" t="s">
        <v>137</v>
      </c>
      <c r="V14" s="2" t="s">
        <v>108</v>
      </c>
      <c r="W14" s="2" t="s">
        <v>109</v>
      </c>
      <c r="X14" s="2" t="s">
        <v>110</v>
      </c>
      <c r="Z14" s="30"/>
      <c r="AH14" s="15" t="s">
        <v>138</v>
      </c>
    </row>
    <row r="15" spans="3:31" ht="12.75">
      <c r="C15" s="15" t="s">
        <v>139</v>
      </c>
      <c r="E15" s="30">
        <f>HLOOKUP($AI$38,$AI$32:$AQ$36,$E$16+1)</f>
        <v>259.59977270143526</v>
      </c>
      <c r="F15" s="15" t="s">
        <v>136</v>
      </c>
      <c r="U15" s="30">
        <f>100*(+AC9/$E$13)</f>
        <v>258.3740944042447</v>
      </c>
      <c r="V15" s="34">
        <f>EXP(5.7226-(0.68367*LN(+U15)))</f>
        <v>6.85664004160017</v>
      </c>
      <c r="W15" s="31">
        <f>(+V15*U15)/100</f>
        <v>17.715781614043266</v>
      </c>
      <c r="X15" s="30">
        <f>100*((((W15/100)-((W15/100)-0.03574)*$E$25)-0.03574-0.00619)/0.344)</f>
        <v>26.977462586715944</v>
      </c>
      <c r="Y15">
        <v>0</v>
      </c>
      <c r="Z15" s="30">
        <f>X15+Y15</f>
        <v>26.977462586715944</v>
      </c>
      <c r="AA15" s="30">
        <f>100*($E$21*$E$23+($E$22*(Z15/100))/(1-$E$25))</f>
        <v>25.223539360042242</v>
      </c>
      <c r="AB15" s="31">
        <f>AA15/U15</f>
        <v>0.09762410360141684</v>
      </c>
      <c r="AC15" s="29">
        <f>$E$12/(1-AB15)</f>
        <v>440004.77697230654</v>
      </c>
      <c r="AD15" t="str">
        <f>IF(OR(OR(AC15=AC9,AC15=(AC9+1)),AC15=(AC8193-1)),"yes","not yet")</f>
        <v>not yet</v>
      </c>
      <c r="AE15" s="30">
        <f>100*(1-AB15)</f>
        <v>90.23758963985831</v>
      </c>
    </row>
    <row r="16" spans="3:31" ht="12.75">
      <c r="C16" s="15" t="s">
        <v>140</v>
      </c>
      <c r="E16">
        <f>VLOOKUP(E14,AH9:AI12,2)</f>
        <v>3</v>
      </c>
      <c r="F16" s="15" t="s">
        <v>136</v>
      </c>
      <c r="U16" s="30">
        <f>100*(+AC10/$E$13)</f>
        <v>257.9322975309608</v>
      </c>
      <c r="V16" s="34">
        <f>EXP(5.70827-(0.68367*LN(+U16)))</f>
        <v>6.766997905885453</v>
      </c>
      <c r="W16" s="31">
        <f>(+V16*U16)/100</f>
        <v>17.454273172522353</v>
      </c>
      <c r="X16" s="30">
        <f>100*((((W16/100)-((W16/100)-0.03574)*$E$25)-0.03574-0.00619)/0.344)</f>
        <v>26.445323316179202</v>
      </c>
      <c r="Y16">
        <v>0</v>
      </c>
      <c r="Z16" s="30">
        <f>X16+Y16</f>
        <v>26.445323316179202</v>
      </c>
      <c r="AA16" s="30">
        <f>100*($E$21*$E$23+($E$22*(Z16/100))/(1-$E$25))</f>
        <v>24.767419985296456</v>
      </c>
      <c r="AB16" s="31">
        <f>AA16/U16</f>
        <v>0.09602294951962544</v>
      </c>
      <c r="AC16" s="29">
        <f>$E$12/(1-AB16)</f>
        <v>439225.42594311555</v>
      </c>
      <c r="AD16" t="str">
        <f>IF(OR(OR(AC16=AC10,AC16=(AC10+1)),AC16=(AC10-1)),"yes","not yet")</f>
        <v>not yet</v>
      </c>
      <c r="AE16" s="30">
        <f>100*(1-AB16)</f>
        <v>90.39770504803745</v>
      </c>
    </row>
    <row r="17" spans="21:42" ht="12.75">
      <c r="U17" s="30">
        <f>100*(+AC11/$E$13)</f>
        <v>257.63554625870404</v>
      </c>
      <c r="V17" s="34">
        <f>EXP(5.6985-(0.68367*LN(U17)))</f>
        <v>6.706482281568467</v>
      </c>
      <c r="W17" s="31">
        <f>(+V17*U17)/100</f>
        <v>17.278282260862117</v>
      </c>
      <c r="X17" s="30">
        <f>100*((((W17/100)-((W17/100)-0.03574)*$E$25)-0.03574-0.00619)/0.344)</f>
        <v>26.087202275010117</v>
      </c>
      <c r="Y17">
        <v>0</v>
      </c>
      <c r="Z17" s="30">
        <f>X17+Y17</f>
        <v>26.087202275010117</v>
      </c>
      <c r="AA17" s="30">
        <f>100*($E$21*$E$23+($E$22*(Z17/100))/(1-$E$25))</f>
        <v>24.460459092865815</v>
      </c>
      <c r="AB17" s="31">
        <f>AA17/U17</f>
        <v>0.09494209726907758</v>
      </c>
      <c r="AC17" s="29">
        <f>$E$12/(1-AB17)</f>
        <v>438700.88735978736</v>
      </c>
      <c r="AD17" t="str">
        <f>IF(OR(OR(AC17=AC11,AC17=(AC11+1)),AC17=(AC11-1)),"yes","not yet")</f>
        <v>not yet</v>
      </c>
      <c r="AE17" s="30">
        <f>100*(1-AB17)</f>
        <v>90.50579027309225</v>
      </c>
      <c r="AI17">
        <v>1</v>
      </c>
      <c r="AJ17">
        <v>2</v>
      </c>
      <c r="AK17">
        <v>3</v>
      </c>
      <c r="AL17">
        <v>4</v>
      </c>
      <c r="AM17">
        <v>5</v>
      </c>
      <c r="AN17">
        <v>7</v>
      </c>
      <c r="AO17">
        <v>8</v>
      </c>
      <c r="AP17">
        <v>9</v>
      </c>
    </row>
    <row r="18" spans="3:42" ht="12.75">
      <c r="C18" s="15" t="s">
        <v>141</v>
      </c>
      <c r="U18" s="30">
        <f>100*(+AC12/$E$13)</f>
        <v>257.44608144405896</v>
      </c>
      <c r="V18" s="34">
        <f>EXP(5.6922-(0.68367*LN(U18)))</f>
        <v>6.667716972041199</v>
      </c>
      <c r="W18" s="31">
        <f>(+V18*U18)/100</f>
        <v>17.165776066300527</v>
      </c>
      <c r="X18" s="30">
        <f>100*((((W18/100)-((W18/100)-0.03574)*$E$25)-0.03574-0.00619)/0.344)</f>
        <v>25.858265251192936</v>
      </c>
      <c r="Y18">
        <v>0</v>
      </c>
      <c r="Z18" s="30">
        <f>X18+Y18</f>
        <v>25.858265251192936</v>
      </c>
      <c r="AA18" s="30">
        <f>100*($E$21*$E$23+($E$22*(Z18/100))/(1-$E$25))</f>
        <v>24.26422735816537</v>
      </c>
      <c r="AB18" s="31">
        <f>AA18/U18</f>
        <v>0.09424974434282776</v>
      </c>
      <c r="AC18" s="29">
        <f>$E$12/(1-AB18)</f>
        <v>438365.5456458714</v>
      </c>
      <c r="AD18" t="str">
        <f>IF(OR(OR(AC18=AC12,AC18=(AC12+1)),AC18=(AC12-1)),"yes","not yet")</f>
        <v>not yet</v>
      </c>
      <c r="AE18" s="30">
        <f>100*(1-AB18)</f>
        <v>90.57502556571723</v>
      </c>
      <c r="AI18" t="str">
        <f>AD9</f>
        <v>not yet</v>
      </c>
      <c r="AJ18" t="str">
        <f>AD15</f>
        <v>not yet</v>
      </c>
      <c r="AK18" t="str">
        <f>AD21</f>
        <v>not yet</v>
      </c>
      <c r="AL18" t="str">
        <f>AD27</f>
        <v>not yet</v>
      </c>
      <c r="AM18" t="str">
        <f>AD33</f>
        <v>not yet</v>
      </c>
      <c r="AN18">
        <f>AC45</f>
        <v>439782</v>
      </c>
      <c r="AO18">
        <f>AC51</f>
        <v>439782</v>
      </c>
      <c r="AP18">
        <f>AC57</f>
        <v>439782</v>
      </c>
    </row>
    <row r="19" spans="3:42" ht="12.75">
      <c r="C19" s="15" t="s">
        <v>142</v>
      </c>
      <c r="E19" s="33" t="s">
        <v>117</v>
      </c>
      <c r="F19" s="15" t="s">
        <v>143</v>
      </c>
      <c r="H19" s="30">
        <f>HLOOKUP($AI$29,$AI$23:$AQ$27,$E$16+1)</f>
        <v>90.54970233741109</v>
      </c>
      <c r="I19" s="15" t="s">
        <v>119</v>
      </c>
      <c r="J19" s="35"/>
      <c r="Z19" s="30"/>
      <c r="AI19" t="str">
        <f>AD10</f>
        <v>not yet</v>
      </c>
      <c r="AJ19" t="str">
        <f>AD16</f>
        <v>not yet</v>
      </c>
      <c r="AK19" t="str">
        <f>AD22</f>
        <v>not yet</v>
      </c>
      <c r="AL19" t="str">
        <f>AD28</f>
        <v>not yet</v>
      </c>
      <c r="AM19" t="str">
        <f>AD34</f>
        <v>not yet</v>
      </c>
      <c r="AN19">
        <f>AC46</f>
        <v>439009</v>
      </c>
      <c r="AO19">
        <f>AC52</f>
        <v>439008</v>
      </c>
      <c r="AP19">
        <f>AC58</f>
        <v>439009</v>
      </c>
    </row>
    <row r="20" spans="3:42" ht="12.75">
      <c r="C20" s="36" t="s">
        <v>127</v>
      </c>
      <c r="D20" s="36" t="s">
        <v>127</v>
      </c>
      <c r="E20" s="37"/>
      <c r="H20" s="36" t="s">
        <v>144</v>
      </c>
      <c r="U20" s="15" t="s">
        <v>145</v>
      </c>
      <c r="V20" s="2" t="s">
        <v>108</v>
      </c>
      <c r="W20" s="2" t="s">
        <v>109</v>
      </c>
      <c r="X20" s="2" t="s">
        <v>110</v>
      </c>
      <c r="Z20" s="30"/>
      <c r="AI20" t="str">
        <f>AD11</f>
        <v>not yet</v>
      </c>
      <c r="AJ20" t="str">
        <f>AD17</f>
        <v>not yet</v>
      </c>
      <c r="AK20" t="str">
        <f>AD23</f>
        <v>not yet</v>
      </c>
      <c r="AL20" t="str">
        <f>AD29</f>
        <v>not yet</v>
      </c>
      <c r="AM20" t="str">
        <f>AD35</f>
        <v>not yet</v>
      </c>
      <c r="AN20">
        <f>AC47</f>
        <v>438488</v>
      </c>
      <c r="AO20">
        <f>AC53</f>
        <v>438488</v>
      </c>
      <c r="AP20">
        <f>AC59</f>
        <v>438488</v>
      </c>
    </row>
    <row r="21" spans="2:42" ht="12.75">
      <c r="B21" s="33" t="s">
        <v>125</v>
      </c>
      <c r="C21" s="15" t="s">
        <v>146</v>
      </c>
      <c r="E21" s="39">
        <v>0.4</v>
      </c>
      <c r="F21" s="15" t="s">
        <v>147</v>
      </c>
      <c r="U21" s="30">
        <f>100*(+AC15/$E$13)</f>
        <v>260.49712788937825</v>
      </c>
      <c r="V21" s="34">
        <f>EXP(5.7226-(0.68367*LN(+U21)))</f>
        <v>6.818386359277804</v>
      </c>
      <c r="W21" s="31">
        <f>(+V21*U21)/100</f>
        <v>17.761700634319823</v>
      </c>
      <c r="X21" s="30">
        <f>100*((((W21/100)-((W21/100)-0.03574)*$E$25)-0.03574-0.00619)/0.344)</f>
        <v>27.07090245355777</v>
      </c>
      <c r="Y21">
        <v>0</v>
      </c>
      <c r="Z21" s="30">
        <f>X21+Y21</f>
        <v>27.07090245355777</v>
      </c>
      <c r="AA21" s="30">
        <f>100*($E$21*$E$23+($E$22*(Z21/100))/(1-$E$25))</f>
        <v>25.30363067447809</v>
      </c>
      <c r="AB21" s="31">
        <f>AA21/U21</f>
        <v>0.09713592959544427</v>
      </c>
      <c r="AC21" s="29">
        <f>$E$12/(1-AB21)</f>
        <v>439766.86862966383</v>
      </c>
      <c r="AD21" t="str">
        <f>IF(OR(OR(AC21=AC15,AC21=(AC15+1)),AC21=(AC7-1)),"yes","not yet")</f>
        <v>not yet</v>
      </c>
      <c r="AE21" s="30">
        <f>100*(1-AB21)</f>
        <v>90.28640704045557</v>
      </c>
      <c r="AI21" t="str">
        <f>AD12</f>
        <v>not yet</v>
      </c>
      <c r="AJ21" t="str">
        <f>AD18</f>
        <v>not yet</v>
      </c>
      <c r="AK21" t="str">
        <f>AD24</f>
        <v>not yet</v>
      </c>
      <c r="AL21" t="str">
        <f>AD30</f>
        <v>not yet</v>
      </c>
      <c r="AM21" t="str">
        <f>AD36</f>
        <v>not yet</v>
      </c>
      <c r="AN21">
        <f>AC48</f>
        <v>438156</v>
      </c>
      <c r="AO21">
        <f>AC54</f>
        <v>438156</v>
      </c>
      <c r="AP21">
        <f>AC60</f>
        <v>438156</v>
      </c>
    </row>
    <row r="22" spans="2:31" ht="12.75">
      <c r="B22" s="33" t="s">
        <v>125</v>
      </c>
      <c r="C22" s="15" t="s">
        <v>148</v>
      </c>
      <c r="E22" s="39">
        <v>0.6</v>
      </c>
      <c r="F22" s="15" t="s">
        <v>149</v>
      </c>
      <c r="H22" s="44">
        <v>0.018</v>
      </c>
      <c r="I22" s="15" t="s">
        <v>125</v>
      </c>
      <c r="U22" s="30">
        <f>100*(+AC16/$E$13)</f>
        <v>260.0357267516022</v>
      </c>
      <c r="V22" s="34">
        <f>EXP(5.70827-(0.68367*LN(+U22)))</f>
        <v>6.7295269556884865</v>
      </c>
      <c r="W22" s="31">
        <f>(+V22*U22)/100</f>
        <v>17.499174326169527</v>
      </c>
      <c r="X22" s="30">
        <f>100*((((W22/100)-((W22/100)-0.03574)*$E$25)-0.03574-0.00619)/0.344)</f>
        <v>26.536691942786828</v>
      </c>
      <c r="Y22">
        <v>0</v>
      </c>
      <c r="Z22" s="30">
        <f>X22+Y22</f>
        <v>26.536691942786828</v>
      </c>
      <c r="AA22" s="30">
        <f>100*($E$21*$E$23+($E$22*(Z22/100))/(1-$E$25))</f>
        <v>24.845735950960137</v>
      </c>
      <c r="AB22" s="31">
        <f>AA22/U22</f>
        <v>0.09554739366523238</v>
      </c>
      <c r="AC22" s="29">
        <f>$E$12/(1-AB22)</f>
        <v>438994.48380060575</v>
      </c>
      <c r="AD22" t="str">
        <f>IF(OR(OR(AC22=AC16,AC22=(AC16+1)),AC22=(AC16-1)),"yes","not yet")</f>
        <v>not yet</v>
      </c>
      <c r="AE22" s="30">
        <f>100*(1-AB22)</f>
        <v>90.44526063347676</v>
      </c>
    </row>
    <row r="23" spans="2:42" ht="12.75">
      <c r="B23" s="33" t="s">
        <v>125</v>
      </c>
      <c r="C23" s="15" t="s">
        <v>150</v>
      </c>
      <c r="E23" s="40">
        <v>0.0525</v>
      </c>
      <c r="F23" s="15" t="s">
        <v>151</v>
      </c>
      <c r="H23" s="129">
        <v>0.0051</v>
      </c>
      <c r="I23" s="15" t="s">
        <v>125</v>
      </c>
      <c r="U23" s="30">
        <f>100*(+AC17/$E$13)</f>
        <v>259.7251828630463</v>
      </c>
      <c r="V23" s="34">
        <f>EXP(5.6985-(0.68367*LN(U23)))</f>
        <v>6.669546076816451</v>
      </c>
      <c r="W23" s="31">
        <f>(+V23*U23)/100</f>
        <v>17.32249074414666</v>
      </c>
      <c r="X23" s="30">
        <f>100*((((W23/100)-((W23/100)-0.03574)*$E$25)-0.03574-0.00619)/0.344)</f>
        <v>26.17716139797285</v>
      </c>
      <c r="Y23">
        <v>0</v>
      </c>
      <c r="Z23" s="30">
        <f>X23+Y23</f>
        <v>26.17716139797285</v>
      </c>
      <c r="AA23" s="30">
        <f>100*($E$21*$E$23+($E$22*(Z23/100))/(1-$E$25))</f>
        <v>24.537566912548154</v>
      </c>
      <c r="AB23" s="31">
        <f>AA23/U23</f>
        <v>0.0944751165137763</v>
      </c>
      <c r="AC23" s="29">
        <f>$E$12/(1-AB23)</f>
        <v>438474.64855015697</v>
      </c>
      <c r="AD23" t="str">
        <f>IF(OR(OR(AC23=AC17,AC23=(AC17+1)),AC23=(AC17-1)),"yes","not yet")</f>
        <v>not yet</v>
      </c>
      <c r="AE23" s="30">
        <f>100*(1-AB23)</f>
        <v>90.55248834862238</v>
      </c>
      <c r="AI23" t="str">
        <f>HLOOKUP(1,$AI$17:$AQ$21,$E$16+1)</f>
        <v>not yet</v>
      </c>
      <c r="AJ23" t="str">
        <f>HLOOKUP(2,$AI$17:$AQ$21,$E$16+1)</f>
        <v>not yet</v>
      </c>
      <c r="AK23" t="str">
        <f>HLOOKUP(3,$AI$17:$AQ$21,$E$16+1)</f>
        <v>not yet</v>
      </c>
      <c r="AL23" t="str">
        <f>HLOOKUP(4,$AI$17:$AQ$21,$E$16+1)</f>
        <v>not yet</v>
      </c>
      <c r="AM23" t="str">
        <f>HLOOKUP(5,$AI$17:$AQ$21,$E$16+1)</f>
        <v>not yet</v>
      </c>
      <c r="AN23">
        <f>HLOOKUP(7,$AI$17:$AQ$21,$E$16+1)</f>
        <v>438488</v>
      </c>
      <c r="AO23">
        <f>HLOOKUP(8,$AI$17:$AQ$21,$E$16+1)</f>
        <v>438488</v>
      </c>
      <c r="AP23">
        <f>HLOOKUP(9,$AI$17:$AQ$21,$E$16+1)</f>
        <v>438488</v>
      </c>
    </row>
    <row r="24" spans="5:42" ht="12.75">
      <c r="E24" s="38"/>
      <c r="F24" s="15" t="s">
        <v>152</v>
      </c>
      <c r="H24" s="44">
        <v>0</v>
      </c>
      <c r="I24" s="15" t="s">
        <v>125</v>
      </c>
      <c r="U24" s="30">
        <f>100*(+AC18/$E$13)</f>
        <v>259.5266496699803</v>
      </c>
      <c r="V24" s="34">
        <f>EXP(5.6922-(0.68367*LN(U24)))</f>
        <v>6.631125831185897</v>
      </c>
      <c r="W24" s="31">
        <f>(+V24*U24)/100</f>
        <v>17.209538705077392</v>
      </c>
      <c r="X24" s="30">
        <f>100*((((W24/100)-((W24/100)-0.03574)*$E$25)-0.03574-0.00619)/0.344)</f>
        <v>25.947317132424928</v>
      </c>
      <c r="Y24">
        <v>0</v>
      </c>
      <c r="Z24" s="30">
        <f>X24+Y24</f>
        <v>25.947317132424928</v>
      </c>
      <c r="AA24" s="30">
        <f>100*($E$21*$E$23+($E$22*(Z24/100))/(1-$E$25))</f>
        <v>24.34055754207851</v>
      </c>
      <c r="AB24" s="31">
        <f>AA24/U24</f>
        <v>0.09378827790144283</v>
      </c>
      <c r="AC24" s="29">
        <f>$E$12/(1-AB24)</f>
        <v>438142.31857493205</v>
      </c>
      <c r="AD24" t="str">
        <f>IF(OR(OR(AC24=AC18,AC24=(AC18+1)),AC24=(AC18-1)),"yes","not yet")</f>
        <v>not yet</v>
      </c>
      <c r="AE24" s="30">
        <f>100*(1-AB24)</f>
        <v>90.62117220985571</v>
      </c>
      <c r="AH24">
        <v>1</v>
      </c>
      <c r="AI24" s="30">
        <f>AE9</f>
        <v>90.97906267671557</v>
      </c>
      <c r="AJ24" s="30">
        <f>AE15</f>
        <v>90.23758963985831</v>
      </c>
      <c r="AK24" s="30">
        <f>AE21</f>
        <v>90.28640704045557</v>
      </c>
      <c r="AL24" s="30">
        <f>AE27</f>
        <v>90.28318766109838</v>
      </c>
      <c r="AM24" s="30">
        <f>AE33</f>
        <v>90.28339994753911</v>
      </c>
      <c r="AN24" s="30" t="str">
        <f>AD45</f>
        <v>yes</v>
      </c>
      <c r="AO24" s="30" t="str">
        <f>AD51</f>
        <v>yes</v>
      </c>
      <c r="AP24" s="30" t="str">
        <f>AD57</f>
        <v>yes</v>
      </c>
    </row>
    <row r="25" spans="2:42" ht="12.75">
      <c r="B25" s="33" t="s">
        <v>125</v>
      </c>
      <c r="C25" s="15" t="s">
        <v>153</v>
      </c>
      <c r="E25" s="39">
        <v>0.3</v>
      </c>
      <c r="F25" s="15" t="s">
        <v>154</v>
      </c>
      <c r="H25" s="44">
        <v>0.012</v>
      </c>
      <c r="I25" s="15" t="s">
        <v>125</v>
      </c>
      <c r="Z25" s="30"/>
      <c r="AH25">
        <v>2</v>
      </c>
      <c r="AI25" s="30">
        <f>AE10</f>
        <v>91.13489529562227</v>
      </c>
      <c r="AJ25" s="30">
        <f>AE16</f>
        <v>90.39770504803745</v>
      </c>
      <c r="AK25" s="30">
        <f>AE22</f>
        <v>90.44526063347676</v>
      </c>
      <c r="AL25" s="30">
        <f>AE28</f>
        <v>90.44218778415198</v>
      </c>
      <c r="AM25" s="30">
        <f>AE34</f>
        <v>90.44238631800928</v>
      </c>
      <c r="AN25" s="30" t="str">
        <f>AD46</f>
        <v>yes</v>
      </c>
      <c r="AO25" s="30" t="str">
        <f>AD52</f>
        <v>yes</v>
      </c>
      <c r="AP25" s="30" t="str">
        <f>AD58</f>
        <v>yes</v>
      </c>
    </row>
    <row r="26" spans="8:42" ht="12.75">
      <c r="H26" s="36" t="s">
        <v>127</v>
      </c>
      <c r="U26" s="15" t="s">
        <v>155</v>
      </c>
      <c r="V26" s="2" t="s">
        <v>108</v>
      </c>
      <c r="W26" s="2" t="s">
        <v>109</v>
      </c>
      <c r="X26" s="2" t="s">
        <v>110</v>
      </c>
      <c r="Z26" s="30"/>
      <c r="AH26">
        <v>3</v>
      </c>
      <c r="AI26" s="30">
        <f>AE11</f>
        <v>91.23986682039317</v>
      </c>
      <c r="AJ26" s="30">
        <f>AE17</f>
        <v>90.50579027309225</v>
      </c>
      <c r="AK26" s="30">
        <f>AE23</f>
        <v>90.55248834862238</v>
      </c>
      <c r="AL26" s="30">
        <f>AE29</f>
        <v>90.5495127527646</v>
      </c>
      <c r="AM26" s="30">
        <f>AE35</f>
        <v>90.54970233741109</v>
      </c>
      <c r="AN26" s="30" t="str">
        <f>AD47</f>
        <v>yes</v>
      </c>
      <c r="AO26" s="30" t="str">
        <f>AD53</f>
        <v>yes</v>
      </c>
      <c r="AP26" s="30" t="str">
        <f>AD59</f>
        <v>yes</v>
      </c>
    </row>
    <row r="27" spans="6:42" ht="12.75">
      <c r="F27" s="15" t="s">
        <v>156</v>
      </c>
      <c r="H27" s="28">
        <f>SUM(H22:H25)</f>
        <v>0.0351</v>
      </c>
      <c r="U27" s="30">
        <f>100*(+AC21/$E$13)</f>
        <v>260.35627841863885</v>
      </c>
      <c r="V27" s="34">
        <f>EXP(5.7226-(0.68367*LN(+U27)))</f>
        <v>6.820907970570804</v>
      </c>
      <c r="W27" s="31">
        <f>(+V27*U27)/100</f>
        <v>17.75866214653845</v>
      </c>
      <c r="X27" s="30">
        <f>100*((((W27/100)-((W27/100)-0.03574)*$E$25)-0.03574-0.00619)/0.344)</f>
        <v>27.064719484235216</v>
      </c>
      <c r="Y27">
        <v>0</v>
      </c>
      <c r="Z27" s="30">
        <f>X27+Y27</f>
        <v>27.064719484235216</v>
      </c>
      <c r="AA27" s="30">
        <f>100*($E$21*$E$23+($E$22*(Z27/100))/(1-$E$25))</f>
        <v>25.298330986487333</v>
      </c>
      <c r="AB27" s="31">
        <f>AA27/U27</f>
        <v>0.0971681233890161</v>
      </c>
      <c r="AC27" s="29">
        <f>$E$12/(1-AB27)</f>
        <v>439782.5501359943</v>
      </c>
      <c r="AD27" t="str">
        <f>IF(OR(OR(AC27=AC21,AC27=(AC21+1)),AC27=(AC13-1)),"yes","not yet")</f>
        <v>not yet</v>
      </c>
      <c r="AE27" s="30">
        <f>100*(1-AB27)</f>
        <v>90.28318766109838</v>
      </c>
      <c r="AH27">
        <v>4</v>
      </c>
      <c r="AI27" s="30">
        <f>AE12</f>
        <v>91.30701386865434</v>
      </c>
      <c r="AJ27" s="30">
        <f>AE18</f>
        <v>90.57502556571723</v>
      </c>
      <c r="AK27" s="30">
        <f>AE24</f>
        <v>90.62117220985571</v>
      </c>
      <c r="AL27" s="30">
        <f>AE30</f>
        <v>90.61825818617336</v>
      </c>
      <c r="AM27" s="30">
        <f>AE36</f>
        <v>90.61844217892724</v>
      </c>
      <c r="AN27" s="30" t="str">
        <f>AD48</f>
        <v>yes</v>
      </c>
      <c r="AO27" s="30" t="str">
        <f>AD54</f>
        <v>yes</v>
      </c>
      <c r="AP27" s="30" t="str">
        <f>AD60</f>
        <v>yes</v>
      </c>
    </row>
    <row r="28" spans="21:31" ht="12.75">
      <c r="U28" s="30">
        <f>100*(+AC22/$E$13)</f>
        <v>259.8990014977394</v>
      </c>
      <c r="V28" s="34">
        <f>EXP(5.70827-(0.68367*LN(+U28)))</f>
        <v>6.731947087713169</v>
      </c>
      <c r="W28" s="31">
        <f>(+V28*U28)/100</f>
        <v>17.49626326232267</v>
      </c>
      <c r="X28" s="30">
        <f>100*((((W28/100)-((W28/100)-0.03574)*$E$25)-0.03574-0.00619)/0.344)</f>
        <v>26.530768266354265</v>
      </c>
      <c r="Y28">
        <v>0</v>
      </c>
      <c r="Z28" s="30">
        <f>X28+Y28</f>
        <v>26.530768266354265</v>
      </c>
      <c r="AA28" s="30">
        <f>100*($E$21*$E$23+($E$22*(Z28/100))/(1-$E$25))</f>
        <v>24.840658514017942</v>
      </c>
      <c r="AB28" s="31">
        <f>AA28/U28</f>
        <v>0.09557812215848012</v>
      </c>
      <c r="AC28" s="29">
        <f>$E$12/(1-AB28)</f>
        <v>439009.39900706173</v>
      </c>
      <c r="AD28" t="str">
        <f>IF(OR(OR(AC28=AC22,AC28=(AC22+1)),AC28=(AC22-1)),"yes","not yet")</f>
        <v>not yet</v>
      </c>
      <c r="AE28" s="30">
        <f>100*(1-AB28)</f>
        <v>90.44218778415198</v>
      </c>
    </row>
    <row r="29" spans="6:35" ht="12.75">
      <c r="F29" s="15" t="s">
        <v>157</v>
      </c>
      <c r="H29" s="31">
        <f>((+H19/100)-H27)</f>
        <v>0.8703970233741108</v>
      </c>
      <c r="U29" s="30">
        <f>100*(+AC23/$E$13)</f>
        <v>259.59124213510387</v>
      </c>
      <c r="V29" s="34">
        <f>EXP(5.6985-(0.68367*LN(U29)))</f>
        <v>6.67189857871939</v>
      </c>
      <c r="W29" s="31">
        <f>(+V29*U29)/100</f>
        <v>17.319664394492005</v>
      </c>
      <c r="X29" s="30">
        <f>100*((((W29/100)-((W29/100)-0.03574)*$E$25)-0.03574-0.00619)/0.344)</f>
        <v>26.171410105070937</v>
      </c>
      <c r="Y29">
        <v>0</v>
      </c>
      <c r="Z29" s="30">
        <f>X29+Y29</f>
        <v>26.171410105070937</v>
      </c>
      <c r="AA29" s="30">
        <f>100*($E$21*$E$23+($E$22*(Z29/100))/(1-$E$25))</f>
        <v>24.532637232917946</v>
      </c>
      <c r="AB29" s="31">
        <f>AA29/U29</f>
        <v>0.09450487247235395</v>
      </c>
      <c r="AC29" s="29">
        <f>$E$12/(1-AB29)</f>
        <v>438489.0574995626</v>
      </c>
      <c r="AD29" t="str">
        <f>IF(OR(OR(AC29=AC23,AC29=(AC23+1)),AC29=(AC23-1)),"yes","not yet")</f>
        <v>not yet</v>
      </c>
      <c r="AE29" s="30">
        <f>100*(1-AB29)</f>
        <v>90.5495127527646</v>
      </c>
      <c r="AI29" s="15" t="s">
        <v>158</v>
      </c>
    </row>
    <row r="30" spans="21:35" ht="12.75">
      <c r="U30" s="30">
        <f>100*(+AC24/$E$13)</f>
        <v>259.3944919892229</v>
      </c>
      <c r="V30" s="34">
        <f>EXP(5.6922-(0.68367*LN(U30)))</f>
        <v>6.633435397627684</v>
      </c>
      <c r="W30" s="31">
        <f>(+V30*U30)/100</f>
        <v>17.206766051109618</v>
      </c>
      <c r="X30" s="30">
        <f>100*((((W30/100)-((W30/100)-0.03574)*$E$25)-0.03574-0.00619)/0.344)</f>
        <v>25.941675104002133</v>
      </c>
      <c r="Y30">
        <v>0</v>
      </c>
      <c r="Z30" s="30">
        <f>X30+Y30</f>
        <v>25.941675104002133</v>
      </c>
      <c r="AA30" s="30">
        <f>100*($E$21*$E$23+($E$22*(Z30/100))/(1-$E$25))</f>
        <v>24.335721517716113</v>
      </c>
      <c r="AB30" s="31">
        <f>AA30/U30</f>
        <v>0.09381741813826638</v>
      </c>
      <c r="AC30" s="29">
        <f>$E$12/(1-AB30)</f>
        <v>438156.4079772018</v>
      </c>
      <c r="AD30" t="str">
        <f>IF(OR(OR(AC30=AC24,AC30=(AC24+1)),AC30=(AC24-1)),"yes","not yet")</f>
        <v>not yet</v>
      </c>
      <c r="AE30" s="30">
        <f>100*(1-AB30)</f>
        <v>90.61825818617336</v>
      </c>
      <c r="AI30" s="30">
        <f>HLOOKUP($AI$29,$AI$23:$AQ$27,$E$16+1)</f>
        <v>90.54970233741109</v>
      </c>
    </row>
    <row r="31" spans="5:26" ht="12.75">
      <c r="E31" s="29"/>
      <c r="Z31" s="30"/>
    </row>
    <row r="32" spans="21:42" ht="12.75">
      <c r="U32" s="15" t="s">
        <v>159</v>
      </c>
      <c r="V32" s="2" t="s">
        <v>108</v>
      </c>
      <c r="W32" s="2" t="s">
        <v>109</v>
      </c>
      <c r="X32" s="2" t="s">
        <v>110</v>
      </c>
      <c r="Z32" s="30"/>
      <c r="AI32" t="str">
        <f>HLOOKUP(1,$AI$17:$AQ$21,$E$16+1)</f>
        <v>not yet</v>
      </c>
      <c r="AJ32" t="str">
        <f>HLOOKUP(2,$AI$17:$AQ$21,$E$16+1)</f>
        <v>not yet</v>
      </c>
      <c r="AK32" t="str">
        <f>HLOOKUP(3,$AI$17:$AQ$21,$E$16+1)</f>
        <v>not yet</v>
      </c>
      <c r="AL32" t="str">
        <f>HLOOKUP(4,$AI$17:$AQ$21,$E$16+1)</f>
        <v>not yet</v>
      </c>
      <c r="AM32" t="str">
        <f>HLOOKUP(5,$AI$17:$AQ$21,$E$16+1)</f>
        <v>not yet</v>
      </c>
      <c r="AN32">
        <f>HLOOKUP(7,$AI$17:$AQ$21,$E$16+1)</f>
        <v>438488</v>
      </c>
      <c r="AO32">
        <f>HLOOKUP(8,$AI$17:$AQ$21,$E$16+1)</f>
        <v>438488</v>
      </c>
      <c r="AP32">
        <f>HLOOKUP(9,$AI$17:$AQ$21,$E$16+1)</f>
        <v>438488</v>
      </c>
    </row>
    <row r="33" spans="5:42" ht="12.75">
      <c r="E33" s="29"/>
      <c r="U33" s="30">
        <f>100*(+AC27/$E$13)</f>
        <v>260.36556238002714</v>
      </c>
      <c r="V33" s="34">
        <f>EXP(5.7226-(0.68367*LN(+U33)))</f>
        <v>6.8207416902143345</v>
      </c>
      <c r="W33" s="31">
        <f>(+V33*U33)/100</f>
        <v>17.75886246021552</v>
      </c>
      <c r="X33" s="30">
        <f>100*((((W33/100)-((W33/100)-0.03574)*$E$25)-0.03574-0.00619)/0.344)</f>
        <v>27.065127099275767</v>
      </c>
      <c r="Y33">
        <v>0</v>
      </c>
      <c r="Z33" s="30">
        <f>X33+Y33</f>
        <v>27.065127099275767</v>
      </c>
      <c r="AA33" s="30">
        <f>100*($E$21*$E$23+($E$22*(Z33/100))/(1-$E$25))</f>
        <v>25.298680370807798</v>
      </c>
      <c r="AB33" s="31">
        <f>AA33/U33</f>
        <v>0.09716600052460886</v>
      </c>
      <c r="AC33" s="29">
        <f>$E$12/(1-AB33)</f>
        <v>439781.5160602692</v>
      </c>
      <c r="AD33" t="str">
        <f>IF(OR(OR(AC33=AC27,AC33=(AC27+1)),AC33=(AC19-1)),"yes","not yet")</f>
        <v>not yet</v>
      </c>
      <c r="AE33" s="30">
        <f>100*(1-AB33)</f>
        <v>90.28339994753911</v>
      </c>
      <c r="AH33">
        <v>1</v>
      </c>
      <c r="AI33" s="30">
        <f>U9</f>
        <v>293.83291161054257</v>
      </c>
      <c r="AJ33" s="30">
        <f>U15</f>
        <v>258.3740944042447</v>
      </c>
      <c r="AK33" s="30">
        <f>U21</f>
        <v>260.49712788937825</v>
      </c>
      <c r="AL33" s="30">
        <f>U27</f>
        <v>260.35627841863885</v>
      </c>
      <c r="AM33" s="30">
        <f>U33</f>
        <v>260.36556238002714</v>
      </c>
      <c r="AN33" s="30">
        <f>T45</f>
        <v>0</v>
      </c>
      <c r="AO33" s="30">
        <f>T51</f>
        <v>0</v>
      </c>
      <c r="AP33" s="30">
        <f>T57</f>
        <v>0</v>
      </c>
    </row>
    <row r="34" spans="5:42" ht="12.75">
      <c r="E34" s="29"/>
      <c r="U34" s="30">
        <f>100*(+AC28/$E$13)</f>
        <v>259.90783178469763</v>
      </c>
      <c r="V34" s="34">
        <f>EXP(5.70827-(0.68367*LN(+U34)))</f>
        <v>6.731790720750077</v>
      </c>
      <c r="W34" s="31">
        <f>(+V34*U34)/100</f>
        <v>17.496451302584994</v>
      </c>
      <c r="X34" s="30">
        <f>100*((((W34/100)-((W34/100)-0.03574)*$E$25)-0.03574-0.00619)/0.344)</f>
        <v>26.53115090642295</v>
      </c>
      <c r="Y34">
        <v>0</v>
      </c>
      <c r="Z34" s="30">
        <f>X34+Y34</f>
        <v>26.53115090642295</v>
      </c>
      <c r="AA34" s="30">
        <f>100*($E$21*$E$23+($E$22*(Z34/100))/(1-$E$25))</f>
        <v>24.84098649121967</v>
      </c>
      <c r="AB34" s="31">
        <f>AA34/U34</f>
        <v>0.09557613681990713</v>
      </c>
      <c r="AC34" s="29">
        <f>$E$12/(1-AB34)</f>
        <v>439008.4353192056</v>
      </c>
      <c r="AD34" t="str">
        <f>IF(OR(OR(AC34=AC28,AC34=(AC28+1)),AC34=(AC28-1)),"yes","not yet")</f>
        <v>not yet</v>
      </c>
      <c r="AE34" s="30">
        <f>100*(1-AB34)</f>
        <v>90.44238631800928</v>
      </c>
      <c r="AH34">
        <v>2</v>
      </c>
      <c r="AI34" s="30">
        <f>U10</f>
        <v>293.83291161054257</v>
      </c>
      <c r="AJ34" s="30">
        <f>U16</f>
        <v>257.9322975309608</v>
      </c>
      <c r="AK34" s="30">
        <f>U22</f>
        <v>260.0357267516022</v>
      </c>
      <c r="AL34" s="30">
        <f>U28</f>
        <v>259.8990014977394</v>
      </c>
      <c r="AM34" s="30">
        <f>U34</f>
        <v>259.90783178469763</v>
      </c>
      <c r="AN34" s="30">
        <f>T46</f>
        <v>0</v>
      </c>
      <c r="AO34" s="30">
        <f>T52</f>
        <v>0</v>
      </c>
      <c r="AP34" s="30">
        <f>T58</f>
        <v>0</v>
      </c>
    </row>
    <row r="35" spans="5:42" ht="12.75">
      <c r="E35" s="29"/>
      <c r="U35" s="30">
        <f>100*(+AC29/$E$13)</f>
        <v>259.59977270143526</v>
      </c>
      <c r="V35" s="34">
        <f>EXP(5.6985-(0.68367*LN(U35)))</f>
        <v>6.671748689025521</v>
      </c>
      <c r="W35" s="31">
        <f>(+V35*U35)/100</f>
        <v>17.31984443192124</v>
      </c>
      <c r="X35" s="30">
        <f>100*((((W35/100)-((W35/100)-0.03574)*$E$25)-0.03574-0.00619)/0.344)</f>
        <v>26.171776460304848</v>
      </c>
      <c r="Y35">
        <v>0</v>
      </c>
      <c r="Z35" s="30">
        <f>X35+Y35</f>
        <v>26.171776460304848</v>
      </c>
      <c r="AA35" s="30">
        <f>100*($E$21*$E$23+($E$22*(Z35/100))/(1-$E$25))</f>
        <v>24.532951251689866</v>
      </c>
      <c r="AB35" s="31">
        <f>AA35/U35</f>
        <v>0.09450297662588912</v>
      </c>
      <c r="AC35" s="29">
        <f>$E$12/(1-AB35)</f>
        <v>438488.1394314652</v>
      </c>
      <c r="AD35" t="str">
        <f>IF(OR(OR(AC35=AC29,AC35=(AC29+1)),AC35=(AC29-1)),"yes","not yet")</f>
        <v>not yet</v>
      </c>
      <c r="AE35" s="30">
        <f>100*(1-AB35)</f>
        <v>90.54970233741109</v>
      </c>
      <c r="AH35">
        <v>3</v>
      </c>
      <c r="AI35" s="30">
        <f>U11</f>
        <v>293.83291161054257</v>
      </c>
      <c r="AJ35" s="30">
        <f>U17</f>
        <v>257.63554625870404</v>
      </c>
      <c r="AK35" s="30">
        <f>U23</f>
        <v>259.7251828630463</v>
      </c>
      <c r="AL35" s="30">
        <f>U29</f>
        <v>259.59124213510387</v>
      </c>
      <c r="AM35" s="30">
        <f>U35</f>
        <v>259.59977270143526</v>
      </c>
      <c r="AN35" s="30">
        <f>T47</f>
        <v>0</v>
      </c>
      <c r="AO35" s="30">
        <f>T53</f>
        <v>0</v>
      </c>
      <c r="AP35" s="30">
        <f>T59</f>
        <v>0</v>
      </c>
    </row>
    <row r="36" spans="5:42" ht="12.75">
      <c r="E36" s="29"/>
      <c r="U36" s="30">
        <f>100*(+AC30/$E$13)</f>
        <v>259.4028333732647</v>
      </c>
      <c r="V36" s="34">
        <f>EXP(5.6922-(0.68367*LN(U36)))</f>
        <v>6.633289566364627</v>
      </c>
      <c r="W36" s="31">
        <f>(+V36*U36)/100</f>
        <v>17.206941081002984</v>
      </c>
      <c r="X36" s="30">
        <f>100*((((W36/100)-((W36/100)-0.03574)*$E$25)-0.03574-0.00619)/0.344)</f>
        <v>25.942031269482825</v>
      </c>
      <c r="Y36">
        <v>0</v>
      </c>
      <c r="Z36" s="30">
        <f>X36+Y36</f>
        <v>25.942031269482825</v>
      </c>
      <c r="AA36" s="30">
        <f>100*($E$21*$E$23+($E$22*(Z36/100))/(1-$E$25))</f>
        <v>24.33602680241385</v>
      </c>
      <c r="AB36" s="31">
        <f>AA36/U36</f>
        <v>0.0938155782107276</v>
      </c>
      <c r="AC36" s="29">
        <f>$E$12/(1-AB36)</f>
        <v>438155.5183392628</v>
      </c>
      <c r="AD36" t="str">
        <f>IF(OR(OR(AC36=AC30,AC36=(AC30+1)),AC36=(AC30-1)),"yes","not yet")</f>
        <v>not yet</v>
      </c>
      <c r="AE36" s="30">
        <f>100*(1-AB36)</f>
        <v>90.61844217892724</v>
      </c>
      <c r="AH36">
        <v>4</v>
      </c>
      <c r="AI36" s="30">
        <f>U12</f>
        <v>293.83291161054257</v>
      </c>
      <c r="AJ36" s="30">
        <f>U18</f>
        <v>257.44608144405896</v>
      </c>
      <c r="AK36" s="30">
        <f>U24</f>
        <v>259.5266496699803</v>
      </c>
      <c r="AL36" s="30">
        <f>U30</f>
        <v>259.3944919892229</v>
      </c>
      <c r="AM36" s="30">
        <f>U36</f>
        <v>259.4028333732647</v>
      </c>
      <c r="AN36" s="30">
        <f>T48</f>
        <v>0</v>
      </c>
      <c r="AO36" s="30">
        <f>T54</f>
        <v>0</v>
      </c>
      <c r="AP36" s="30">
        <f>T60</f>
        <v>0</v>
      </c>
    </row>
    <row r="37" spans="5:26" ht="12.75">
      <c r="E37" s="29"/>
      <c r="Z37" s="30"/>
    </row>
    <row r="38" spans="21:35" ht="12.75">
      <c r="U38" s="15" t="s">
        <v>160</v>
      </c>
      <c r="V38" s="2" t="s">
        <v>108</v>
      </c>
      <c r="W38" s="2" t="s">
        <v>109</v>
      </c>
      <c r="X38" s="2" t="s">
        <v>110</v>
      </c>
      <c r="Z38" s="30"/>
      <c r="AI38" s="15" t="s">
        <v>158</v>
      </c>
    </row>
    <row r="39" spans="21:35" ht="12.75">
      <c r="U39" s="30">
        <f>100*(+AC33/$E$13)</f>
        <v>260.36495017359096</v>
      </c>
      <c r="V39" s="34">
        <f>EXP(5.7226-(0.68367*LN(+U39)))</f>
        <v>6.8207526548280315</v>
      </c>
      <c r="W39" s="31">
        <f>(+V39*U39)/100</f>
        <v>17.758849251206886</v>
      </c>
      <c r="X39" s="30">
        <f>100*((((W39/100)-((W39/100)-0.03574)*$E$25)-0.03574-0.00619)/0.344)</f>
        <v>27.06510022047913</v>
      </c>
      <c r="Y39">
        <v>0</v>
      </c>
      <c r="Z39" s="30">
        <f>X39+Y39</f>
        <v>27.06510022047913</v>
      </c>
      <c r="AA39" s="30">
        <f>100*($E$21*$E$23+($E$22*(Z39/100))/(1-$E$25))</f>
        <v>25.29865733183926</v>
      </c>
      <c r="AB39" s="31">
        <f>AA39/U39</f>
        <v>0.09716614050766854</v>
      </c>
      <c r="AC39" s="29">
        <f>ROUND($E$12/(1-AB39),0)</f>
        <v>439782</v>
      </c>
      <c r="AD39" t="str">
        <f>IF(OR(OR(AC39=AC33,AC39=(AC33+1)),AC39=(AC25-1)),"yes","not yet")</f>
        <v>not yet</v>
      </c>
      <c r="AE39" s="30">
        <f>100*(1-AB39)</f>
        <v>90.28338594923314</v>
      </c>
      <c r="AI39" s="30">
        <f>HLOOKUP($AI$38,$AI$32:$AQ$36,$E$16+1)</f>
        <v>259.59977270143526</v>
      </c>
    </row>
    <row r="40" spans="21:31" ht="12.75">
      <c r="U40" s="30">
        <f>100*(+AC34/$E$13)</f>
        <v>259.90726125016744</v>
      </c>
      <c r="V40" s="34">
        <f>EXP(5.70827-(0.68367*LN(+U40)))</f>
        <v>6.731800823520858</v>
      </c>
      <c r="W40" s="31">
        <f>(+V40*U40)/100</f>
        <v>17.49643915322928</v>
      </c>
      <c r="X40" s="30">
        <f>100*((((W40/100)-((W40/100)-0.03574)*$E$25)-0.03574-0.00619)/0.344)</f>
        <v>26.531126183896784</v>
      </c>
      <c r="Y40">
        <v>0</v>
      </c>
      <c r="Z40" s="30">
        <f>X40+Y40</f>
        <v>26.531126183896784</v>
      </c>
      <c r="AA40" s="30">
        <f>100*($E$21*$E$23+($E$22*(Z40/100))/(1-$E$25))</f>
        <v>24.84096530048296</v>
      </c>
      <c r="AB40" s="31">
        <f>AA40/U40</f>
        <v>0.09557626509162008</v>
      </c>
      <c r="AC40" s="29">
        <f>ROUND($E$12/(1-AB40),0)</f>
        <v>439008</v>
      </c>
      <c r="AD40" t="str">
        <f>IF(OR(OR(AC40=AC34,AC40=(AC34+1)),AC40=(AC34-1)),"yes","not yet")</f>
        <v>not yet</v>
      </c>
      <c r="AE40" s="30">
        <f>100*(1-AB40)</f>
        <v>90.442373490838</v>
      </c>
    </row>
    <row r="41" spans="21:42" ht="12.75">
      <c r="U41" s="30">
        <f>100*(+AC35/$E$13)</f>
        <v>259.59922917528485</v>
      </c>
      <c r="V41" s="34">
        <f>EXP(5.6985-(0.68367*LN(U41)))</f>
        <v>6.671758239019629</v>
      </c>
      <c r="W41" s="31">
        <f>(+V41*U41)/100</f>
        <v>17.319832960933514</v>
      </c>
      <c r="X41" s="30">
        <f>100*((((W41/100)-((W41/100)-0.03574)*$E$25)-0.03574-0.00619)/0.344)</f>
        <v>26.171753118178664</v>
      </c>
      <c r="Y41">
        <v>0</v>
      </c>
      <c r="Z41" s="30">
        <f>X41+Y41</f>
        <v>26.171753118178664</v>
      </c>
      <c r="AA41" s="30">
        <f>100*($E$21*$E$23+($E$22*(Z41/100))/(1-$E$25))</f>
        <v>24.53293124415314</v>
      </c>
      <c r="AB41" s="31">
        <f>AA41/U41</f>
        <v>0.09450309741708894</v>
      </c>
      <c r="AC41" s="29">
        <f>ROUND($E$12/(1-AB41),0)</f>
        <v>438488</v>
      </c>
      <c r="AD41" t="str">
        <f>IF(OR(OR(AC41=AC35,AC41=(AC35+1)),AC41=(AC35-1)),"yes","not yet")</f>
        <v>not yet</v>
      </c>
      <c r="AE41" s="30">
        <f>100*(1-AB41)</f>
        <v>90.54969025829111</v>
      </c>
      <c r="AI41" t="str">
        <f>HLOOKUP(1,$AI$17:$AQ$21,$E$16+1)</f>
        <v>not yet</v>
      </c>
      <c r="AJ41" t="str">
        <f>HLOOKUP(2,$AI$17:$AQ$21,$E$16+1)</f>
        <v>not yet</v>
      </c>
      <c r="AK41" t="str">
        <f>HLOOKUP(3,$AI$17:$AQ$21,$E$16+1)</f>
        <v>not yet</v>
      </c>
      <c r="AL41" t="str">
        <f>HLOOKUP(4,$AI$17:$AQ$21,$E$16+1)</f>
        <v>not yet</v>
      </c>
      <c r="AM41" t="str">
        <f>HLOOKUP(5,$AI$17:$AQ$21,$E$16+1)</f>
        <v>not yet</v>
      </c>
      <c r="AN41">
        <f>HLOOKUP(7,$AI$17:$AQ$21,$E$16+1)</f>
        <v>438488</v>
      </c>
      <c r="AO41">
        <f>HLOOKUP(8,$AI$17:$AQ$21,$E$16+1)</f>
        <v>438488</v>
      </c>
      <c r="AP41">
        <f>HLOOKUP(9,$AI$17:$AQ$21,$E$16+1)</f>
        <v>438488</v>
      </c>
    </row>
    <row r="42" spans="21:42" ht="12.75">
      <c r="U42" s="30">
        <f>100*(+AC36/$E$13)</f>
        <v>259.402306678692</v>
      </c>
      <c r="V42" s="34">
        <f>EXP(5.6922-(0.68367*LN(U42)))</f>
        <v>6.633298774259438</v>
      </c>
      <c r="W42" s="31">
        <f>(+V42*U42)/100</f>
        <v>17.206930029318386</v>
      </c>
      <c r="X42" s="30">
        <f>100*((((W42/100)-((W42/100)-0.03574)*$E$25)-0.03574-0.00619)/0.344)</f>
        <v>25.94200878058973</v>
      </c>
      <c r="Y42">
        <v>0</v>
      </c>
      <c r="Z42" s="30">
        <f>X42+Y42</f>
        <v>25.94200878058973</v>
      </c>
      <c r="AA42" s="30">
        <f>100*($E$21*$E$23+($E$22*(Z42/100))/(1-$E$25))</f>
        <v>24.33600752621977</v>
      </c>
      <c r="AB42" s="31">
        <f>AA42/U42</f>
        <v>0.09381569438533753</v>
      </c>
      <c r="AC42" s="29">
        <f>ROUND($E$12/(1-AB42),0)</f>
        <v>438156</v>
      </c>
      <c r="AD42" t="str">
        <f>IF(OR(OR(AC42=AC36,AC42=(AC36+1)),AC42=(AC36-1)),"yes","not yet")</f>
        <v>not yet</v>
      </c>
      <c r="AE42" s="30">
        <f>100*(1-AB42)</f>
        <v>90.61843056146624</v>
      </c>
      <c r="AH42">
        <v>1</v>
      </c>
      <c r="AI42" s="29">
        <f>AC9</f>
        <v>436418.7686247304</v>
      </c>
      <c r="AJ42" s="29">
        <f>AC15</f>
        <v>440004.77697230654</v>
      </c>
      <c r="AK42" s="29">
        <f>AC21</f>
        <v>439766.86862966383</v>
      </c>
      <c r="AL42" s="29">
        <f>AC27</f>
        <v>439782.5501359943</v>
      </c>
      <c r="AM42" s="29">
        <f>AC33</f>
        <v>439781.5160602692</v>
      </c>
      <c r="AN42" s="29">
        <f>AB45</f>
        <v>0.09716607499657584</v>
      </c>
      <c r="AO42" s="29">
        <f>AB51</f>
        <v>0.09716607499657584</v>
      </c>
      <c r="AP42" s="29">
        <f>AB57</f>
        <v>0.09716607499657584</v>
      </c>
    </row>
    <row r="43" spans="26:42" ht="12.75">
      <c r="Z43" s="30"/>
      <c r="AH43">
        <v>2</v>
      </c>
      <c r="AI43" s="29">
        <f>AC10</f>
        <v>435672.5310893251</v>
      </c>
      <c r="AJ43" s="29">
        <f>AC16</f>
        <v>439225.42594311555</v>
      </c>
      <c r="AK43" s="29">
        <f>AC22</f>
        <v>438994.48380060575</v>
      </c>
      <c r="AL43" s="29">
        <f>AC28</f>
        <v>439009.39900706173</v>
      </c>
      <c r="AM43" s="29">
        <f>AC34</f>
        <v>439008.4353192056</v>
      </c>
      <c r="AN43" s="29">
        <f>AB46</f>
        <v>0.09557632303494604</v>
      </c>
      <c r="AO43" s="29">
        <f>AB52</f>
        <v>0.09557618992970551</v>
      </c>
      <c r="AP43" s="29">
        <f>AB58</f>
        <v>0.09557632303494604</v>
      </c>
    </row>
    <row r="44" spans="21:42" ht="12.75">
      <c r="U44" s="15" t="s">
        <v>161</v>
      </c>
      <c r="V44" s="2" t="s">
        <v>108</v>
      </c>
      <c r="W44" s="2" t="s">
        <v>109</v>
      </c>
      <c r="X44" s="2" t="s">
        <v>110</v>
      </c>
      <c r="Z44" s="30"/>
      <c r="AH44">
        <v>3</v>
      </c>
      <c r="AI44" s="29">
        <f>AC11</f>
        <v>435171.28956538386</v>
      </c>
      <c r="AJ44" s="29">
        <f>AC17</f>
        <v>438700.88735978736</v>
      </c>
      <c r="AK44" s="29">
        <f>AC23</f>
        <v>438474.64855015697</v>
      </c>
      <c r="AL44" s="29">
        <f>AC29</f>
        <v>438489.0574995626</v>
      </c>
      <c r="AM44" s="29">
        <f>AC35</f>
        <v>438488.1394314652</v>
      </c>
      <c r="AN44" s="29">
        <f>AB47</f>
        <v>0.09450311576227029</v>
      </c>
      <c r="AO44" s="29">
        <f>AB53</f>
        <v>0.09450311576227029</v>
      </c>
      <c r="AP44" s="29">
        <f>AB59</f>
        <v>0.09450311576227029</v>
      </c>
    </row>
    <row r="45" spans="21:42" ht="12.75">
      <c r="U45" s="30">
        <f>100*(+AC39/$E$13)</f>
        <v>260.3652366816394</v>
      </c>
      <c r="V45" s="34">
        <f>EXP(5.7226-(0.68367*LN(+U45)))</f>
        <v>6.820747523465153</v>
      </c>
      <c r="W45" s="31">
        <f>(+V45*U45)/100</f>
        <v>17.7588554329271</v>
      </c>
      <c r="X45" s="30">
        <f>100*((((W45/100)-((W45/100)-0.03574)*$E$25)-0.03574-0.00619)/0.344)</f>
        <v>27.065112799560954</v>
      </c>
      <c r="Y45">
        <v>0</v>
      </c>
      <c r="Z45" s="30">
        <f>X45+Y45</f>
        <v>27.065112799560954</v>
      </c>
      <c r="AA45" s="30">
        <f>100*($E$21*$E$23+($E$22*(Z45/100))/(1-$E$25))</f>
        <v>25.29866811390939</v>
      </c>
      <c r="AB45" s="31">
        <f>AA45/U45</f>
        <v>0.09716607499657584</v>
      </c>
      <c r="AC45" s="29">
        <f>ROUND($E$12/(1-AB45),0)</f>
        <v>439782</v>
      </c>
      <c r="AD45" t="str">
        <f>IF(OR(OR(AC45=AC39,AC45=(AC39+1)),AC45=(AC31-1)),"yes","not yet")</f>
        <v>yes</v>
      </c>
      <c r="AE45" s="30">
        <f>100*(1-AB45)</f>
        <v>90.28339250034242</v>
      </c>
      <c r="AH45">
        <v>4</v>
      </c>
      <c r="AI45" s="29">
        <f>AC12</f>
        <v>434851.265217371</v>
      </c>
      <c r="AJ45" s="29">
        <f>AC18</f>
        <v>438365.5456458714</v>
      </c>
      <c r="AK45" s="29">
        <f>AC24</f>
        <v>438142.31857493205</v>
      </c>
      <c r="AL45" s="29">
        <f>AC30</f>
        <v>438156.4079772018</v>
      </c>
      <c r="AM45" s="29">
        <f>AC36</f>
        <v>438155.5183392628</v>
      </c>
      <c r="AN45" s="29">
        <f>AB48</f>
        <v>0.09381563148695322</v>
      </c>
      <c r="AO45" s="29">
        <f>AB54</f>
        <v>0.09381563148695322</v>
      </c>
      <c r="AP45" s="29">
        <f>AB60</f>
        <v>0.09381563148695322</v>
      </c>
    </row>
    <row r="46" spans="21:31" ht="12.75">
      <c r="U46" s="30">
        <f>100*(+AC40/$E$13)</f>
        <v>259.9070035270501</v>
      </c>
      <c r="V46" s="34">
        <f>EXP(5.70827-(0.68367*LN(+U46)))</f>
        <v>6.7318053871790235</v>
      </c>
      <c r="W46" s="31">
        <f>(+V46*U46)/100</f>
        <v>17.496433665089533</v>
      </c>
      <c r="X46" s="30">
        <f>100*((((W46/100)-((W46/100)-0.03574)*$E$25)-0.03574-0.00619)/0.344)</f>
        <v>26.531115016170563</v>
      </c>
      <c r="Y46">
        <v>0</v>
      </c>
      <c r="Z46" s="30">
        <f>X46+Y46</f>
        <v>26.531115016170563</v>
      </c>
      <c r="AA46" s="30">
        <f>100*($E$21*$E$23+($E$22*(Z46/100))/(1-$E$25))</f>
        <v>24.8409557281462</v>
      </c>
      <c r="AB46" s="31">
        <f>AA46/U46</f>
        <v>0.09557632303494604</v>
      </c>
      <c r="AC46" s="29">
        <f>ROUND($E$12/(1-AB46),0)</f>
        <v>439009</v>
      </c>
      <c r="AD46" t="str">
        <f>IF(OR(OR(AC46=AC40,AC46=(AC40+1)),AC46=(AC40-1)),"yes","not yet")</f>
        <v>yes</v>
      </c>
      <c r="AE46" s="30">
        <f>100*(1-AB46)</f>
        <v>90.4423676965054</v>
      </c>
    </row>
    <row r="47" spans="21:35" ht="12.75">
      <c r="U47" s="30">
        <f>100*(+AC41/$E$13)</f>
        <v>259.59914662732604</v>
      </c>
      <c r="V47" s="34">
        <f>EXP(5.6985-(0.68367*LN(U47)))</f>
        <v>6.671759689426608</v>
      </c>
      <c r="W47" s="31">
        <f>(+V47*U47)/100</f>
        <v>17.319831218777413</v>
      </c>
      <c r="X47" s="30">
        <f>100*((((W47/100)-((W47/100)-0.03574)*$E$25)-0.03574-0.00619)/0.344)</f>
        <v>26.171749573093567</v>
      </c>
      <c r="Y47">
        <v>0</v>
      </c>
      <c r="Z47" s="30">
        <f>X47+Y47</f>
        <v>26.171749573093567</v>
      </c>
      <c r="AA47" s="30">
        <f>100*($E$21*$E$23+($E$22*(Z47/100))/(1-$E$25))</f>
        <v>24.53292820550877</v>
      </c>
      <c r="AB47" s="31">
        <f>AA47/U47</f>
        <v>0.09450311576227029</v>
      </c>
      <c r="AC47" s="29">
        <f>ROUND($E$12/(1-AB47),0)</f>
        <v>438488</v>
      </c>
      <c r="AD47" t="str">
        <f>IF(OR(OR(AC47=AC41,AC47=(AC41+1)),AC47=(AC41-1)),"yes","not yet")</f>
        <v>yes</v>
      </c>
      <c r="AE47" s="30">
        <f>100*(1-AB47)</f>
        <v>90.54968842377296</v>
      </c>
      <c r="AI47" s="15" t="s">
        <v>158</v>
      </c>
    </row>
    <row r="48" spans="21:35" ht="12.75">
      <c r="U48" s="30">
        <f>100*(+AC42/$E$13)</f>
        <v>259.40259183750214</v>
      </c>
      <c r="V48" s="34">
        <f>EXP(5.6922-(0.68367*LN(U48)))</f>
        <v>6.633293788989943</v>
      </c>
      <c r="W48" s="31">
        <f>(+V48*U48)/100</f>
        <v>17.206936012835964</v>
      </c>
      <c r="X48" s="30">
        <f>100*((((W48/100)-((W48/100)-0.03574)*$E$25)-0.03574-0.00619)/0.344)</f>
        <v>25.942020956352245</v>
      </c>
      <c r="Y48">
        <v>0</v>
      </c>
      <c r="Z48" s="30">
        <f>X48+Y48</f>
        <v>25.942020956352245</v>
      </c>
      <c r="AA48" s="30">
        <f>100*($E$21*$E$23+($E$22*(Z48/100))/(1-$E$25))</f>
        <v>24.33601796258764</v>
      </c>
      <c r="AB48" s="31">
        <f>AA48/U48</f>
        <v>0.09381563148695322</v>
      </c>
      <c r="AC48" s="29">
        <f>ROUND($E$12/(1-AB48),0)</f>
        <v>438156</v>
      </c>
      <c r="AD48" t="str">
        <f>IF(OR(OR(AC48=AC42,AC48=(AC42+1)),AC48=(AC42-1)),"yes","not yet")</f>
        <v>yes</v>
      </c>
      <c r="AE48" s="30">
        <f>100*(1-AB48)</f>
        <v>90.61843685130468</v>
      </c>
      <c r="AI48" s="29">
        <f>HLOOKUP($AI$38,$AI$41:$AQ$45,$E$16+1)</f>
        <v>438488.1394314652</v>
      </c>
    </row>
    <row r="49" ht="12.75">
      <c r="Z49" s="30"/>
    </row>
    <row r="50" spans="4:26" ht="12.75">
      <c r="D50" s="29"/>
      <c r="E50" s="29"/>
      <c r="F50" s="29"/>
      <c r="U50" s="15" t="s">
        <v>162</v>
      </c>
      <c r="V50" s="2" t="s">
        <v>108</v>
      </c>
      <c r="W50" s="2" t="s">
        <v>109</v>
      </c>
      <c r="X50" s="2" t="s">
        <v>110</v>
      </c>
      <c r="Z50" s="30"/>
    </row>
    <row r="51" spans="4:31" ht="12.75">
      <c r="D51" s="29"/>
      <c r="E51" s="29"/>
      <c r="F51" s="29"/>
      <c r="U51" s="30">
        <f>100*(+AC45/$E$13)</f>
        <v>260.3652366816394</v>
      </c>
      <c r="V51" s="34">
        <f>EXP(5.7226-(0.68367*LN(+U51)))</f>
        <v>6.820747523465153</v>
      </c>
      <c r="W51" s="31">
        <f>(+V51*U51)/100</f>
        <v>17.7588554329271</v>
      </c>
      <c r="X51" s="30">
        <f>100*((((W51/100)-((W51/100)-0.03574)*$E$25)-0.03574-0.00619)/0.344)</f>
        <v>27.065112799560954</v>
      </c>
      <c r="Y51">
        <v>0</v>
      </c>
      <c r="Z51" s="30">
        <f>X51+Y51</f>
        <v>27.065112799560954</v>
      </c>
      <c r="AA51" s="30">
        <f>100*($E$21*$E$23+($E$22*(Z51/100))/(1-$E$25))</f>
        <v>25.29866811390939</v>
      </c>
      <c r="AB51" s="31">
        <f>AA51/U51</f>
        <v>0.09716607499657584</v>
      </c>
      <c r="AC51" s="29">
        <f>ROUND($E$12/(1-AB51),0)</f>
        <v>439782</v>
      </c>
      <c r="AD51" t="str">
        <f>IF(OR(OR(AC51=AC45,AC51=(AC45+1)),AC51=(AC37-1)),"yes","not yet")</f>
        <v>yes</v>
      </c>
      <c r="AE51" s="30">
        <f>100*(1-AB51)</f>
        <v>90.28339250034242</v>
      </c>
    </row>
    <row r="52" spans="21:31" ht="12.75">
      <c r="U52" s="30">
        <f>100*(+AC46/$E$13)</f>
        <v>259.9075955595496</v>
      </c>
      <c r="V52" s="34">
        <f>EXP(5.70827-(0.68367*LN(+U52)))</f>
        <v>6.731794903715021</v>
      </c>
      <c r="W52" s="31">
        <f>(+V52*U52)/100</f>
        <v>17.496446272246004</v>
      </c>
      <c r="X52" s="30">
        <f>100*((((W52/100)-((W52/100)-0.03574)*$E$25)-0.03574-0.00619)/0.344)</f>
        <v>26.531140670268027</v>
      </c>
      <c r="Y52">
        <v>0</v>
      </c>
      <c r="Z52" s="30">
        <f>X52+Y52</f>
        <v>26.531140670268027</v>
      </c>
      <c r="AA52" s="30">
        <f>100*($E$21*$E$23+($E$22*(Z52/100))/(1-$E$25))</f>
        <v>24.840977717372596</v>
      </c>
      <c r="AB52" s="31">
        <f>AA52/U52</f>
        <v>0.09557618992970551</v>
      </c>
      <c r="AC52" s="29">
        <f>ROUND($E$12/(1-AB52),0)</f>
        <v>439008</v>
      </c>
      <c r="AD52" t="str">
        <f>IF(OR(OR(AC52=AC46,AC52=(AC46+1)),AC52=(AC46-1)),"yes","not yet")</f>
        <v>yes</v>
      </c>
      <c r="AE52" s="30">
        <f>100*(1-AB52)</f>
        <v>90.44238100702945</v>
      </c>
    </row>
    <row r="53" spans="21:31" ht="12.75">
      <c r="U53" s="30">
        <f>100*(+AC47/$E$13)</f>
        <v>259.59914662732604</v>
      </c>
      <c r="V53" s="34">
        <f>EXP(5.6985-(0.68367*LN(U53)))</f>
        <v>6.671759689426608</v>
      </c>
      <c r="W53" s="31">
        <f>(+V53*U53)/100</f>
        <v>17.319831218777413</v>
      </c>
      <c r="X53" s="30">
        <f>100*((((W53/100)-((W53/100)-0.03574)*$E$25)-0.03574-0.00619)/0.344)</f>
        <v>26.171749573093567</v>
      </c>
      <c r="Y53">
        <v>0</v>
      </c>
      <c r="Z53" s="30">
        <f>X53+Y53</f>
        <v>26.171749573093567</v>
      </c>
      <c r="AA53" s="30">
        <f>100*($E$21*$E$23+($E$22*(Z53/100))/(1-$E$25))</f>
        <v>24.53292820550877</v>
      </c>
      <c r="AB53" s="31">
        <f>AA53/U53</f>
        <v>0.09450311576227029</v>
      </c>
      <c r="AC53" s="29">
        <f>ROUND($E$12/(1-AB53),0)</f>
        <v>438488</v>
      </c>
      <c r="AD53" t="str">
        <f>IF(OR(OR(AC53=AC47,AC53=(AC47+1)),AC53=(AC47-1)),"yes","not yet")</f>
        <v>yes</v>
      </c>
      <c r="AE53" s="30">
        <f>100*(1-AB53)</f>
        <v>90.54968842377296</v>
      </c>
    </row>
    <row r="54" spans="21:31" ht="12.75">
      <c r="U54" s="30">
        <f>100*(+AC48/$E$13)</f>
        <v>259.40259183750214</v>
      </c>
      <c r="V54" s="34">
        <f>EXP(5.6922-(0.68367*LN(U54)))</f>
        <v>6.633293788989943</v>
      </c>
      <c r="W54" s="31">
        <f>(+V54*U54)/100</f>
        <v>17.206936012835964</v>
      </c>
      <c r="X54" s="30">
        <f>100*((((W54/100)-((W54/100)-0.03574)*$E$25)-0.03574-0.00619)/0.344)</f>
        <v>25.942020956352245</v>
      </c>
      <c r="Y54">
        <v>0</v>
      </c>
      <c r="Z54" s="30">
        <f>X54+Y54</f>
        <v>25.942020956352245</v>
      </c>
      <c r="AA54" s="30">
        <f>100*($E$21*$E$23+($E$22*(Z54/100))/(1-$E$25))</f>
        <v>24.33601796258764</v>
      </c>
      <c r="AB54" s="31">
        <f>AA54/U54</f>
        <v>0.09381563148695322</v>
      </c>
      <c r="AC54" s="29">
        <f>ROUND($E$12/(1-AB54),0)</f>
        <v>438156</v>
      </c>
      <c r="AD54" t="str">
        <f>IF(OR(OR(AC54=AC48,AC54=(AC48+1)),AC54=(AC48-1)),"yes","not yet")</f>
        <v>yes</v>
      </c>
      <c r="AE54" s="30">
        <f>100*(1-AB54)</f>
        <v>90.61843685130468</v>
      </c>
    </row>
    <row r="55" ht="12.75">
      <c r="Z55" s="30"/>
    </row>
    <row r="56" spans="21:26" ht="12.75">
      <c r="U56" s="15" t="s">
        <v>163</v>
      </c>
      <c r="V56" s="2" t="s">
        <v>108</v>
      </c>
      <c r="W56" s="2" t="s">
        <v>109</v>
      </c>
      <c r="X56" s="2" t="s">
        <v>110</v>
      </c>
      <c r="Z56" s="30"/>
    </row>
    <row r="57" spans="21:31" ht="12.75">
      <c r="U57" s="30">
        <f>100*(+AC51/$E$13)</f>
        <v>260.3652366816394</v>
      </c>
      <c r="V57" s="34">
        <f>EXP(5.7226-(0.68367*LN(+U57)))</f>
        <v>6.820747523465153</v>
      </c>
      <c r="W57" s="31">
        <f>(+V57*U57)/100</f>
        <v>17.7588554329271</v>
      </c>
      <c r="X57" s="30">
        <f>100*((((W57/100)-((W57/100)-0.03574)*$E$25)-0.03574-0.00619)/0.344)</f>
        <v>27.065112799560954</v>
      </c>
      <c r="Y57">
        <v>0</v>
      </c>
      <c r="Z57" s="30">
        <f>X57+Y57</f>
        <v>27.065112799560954</v>
      </c>
      <c r="AA57" s="30">
        <f>100*($E$21*$E$23+($E$22*(Z57/100))/(1-$E$25))</f>
        <v>25.29866811390939</v>
      </c>
      <c r="AB57" s="31">
        <f>AA57/U57</f>
        <v>0.09716607499657584</v>
      </c>
      <c r="AC57" s="29">
        <f>ROUND($E$12/(1-AB57),0)</f>
        <v>439782</v>
      </c>
      <c r="AD57" t="str">
        <f>IF(OR(OR(AC57=AC51,AC57=(AC51+1)),AC57=(AC43-1)),"yes","not yet")</f>
        <v>yes</v>
      </c>
      <c r="AE57" s="30">
        <f>100*(1-AB57)</f>
        <v>90.28339250034242</v>
      </c>
    </row>
    <row r="58" spans="21:31" ht="12.75">
      <c r="U58" s="30">
        <f>100*(+AC52/$E$13)</f>
        <v>259.9070035270501</v>
      </c>
      <c r="V58" s="34">
        <f>EXP(5.70827-(0.68367*LN(+U58)))</f>
        <v>6.7318053871790235</v>
      </c>
      <c r="W58" s="31">
        <f>(+V58*U58)/100</f>
        <v>17.496433665089533</v>
      </c>
      <c r="X58" s="30">
        <f>100*((((W58/100)-((W58/100)-0.03574)*$E$25)-0.03574-0.00619)/0.344)</f>
        <v>26.531115016170563</v>
      </c>
      <c r="Y58">
        <v>0</v>
      </c>
      <c r="Z58" s="30">
        <f>X58+Y58</f>
        <v>26.531115016170563</v>
      </c>
      <c r="AA58" s="30">
        <f>100*($E$21*$E$23+($E$22*(Z58/100))/(1-$E$25))</f>
        <v>24.8409557281462</v>
      </c>
      <c r="AB58" s="31">
        <f>AA58/U58</f>
        <v>0.09557632303494604</v>
      </c>
      <c r="AC58" s="29">
        <f>ROUND($E$12/(1-AB58),0)</f>
        <v>439009</v>
      </c>
      <c r="AD58" t="str">
        <f>IF(OR(OR(AC58=AC52,AC58=(AC52+1)),AC58=(AC52-1)),"yes","not yet")</f>
        <v>yes</v>
      </c>
      <c r="AE58" s="30">
        <f>100*(1-AB58)</f>
        <v>90.4423676965054</v>
      </c>
    </row>
    <row r="59" spans="21:31" ht="12.75">
      <c r="U59" s="30">
        <f>100*(+AC53/$E$13)</f>
        <v>259.59914662732604</v>
      </c>
      <c r="V59" s="34">
        <f>EXP(5.6985-(0.68367*LN(U59)))</f>
        <v>6.671759689426608</v>
      </c>
      <c r="W59" s="31">
        <f>(+V59*U59)/100</f>
        <v>17.319831218777413</v>
      </c>
      <c r="X59" s="30">
        <f>100*((((W59/100)-((W59/100)-0.03574)*$E$25)-0.03574-0.00619)/0.344)</f>
        <v>26.171749573093567</v>
      </c>
      <c r="Y59">
        <v>0</v>
      </c>
      <c r="Z59" s="30">
        <f>X59+Y59</f>
        <v>26.171749573093567</v>
      </c>
      <c r="AA59" s="30">
        <f>100*($E$21*$E$23+($E$22*(Z59/100))/(1-$E$25))</f>
        <v>24.53292820550877</v>
      </c>
      <c r="AB59" s="31">
        <f>AA59/U59</f>
        <v>0.09450311576227029</v>
      </c>
      <c r="AC59" s="29">
        <f>ROUND($E$12/(1-AB59),0)</f>
        <v>438488</v>
      </c>
      <c r="AD59" t="str">
        <f>IF(OR(OR(AC59=AC53,AC59=(AC53+1)),AC59=(AC53-1)),"yes","not yet")</f>
        <v>yes</v>
      </c>
      <c r="AE59" s="30">
        <f>100*(1-AB59)</f>
        <v>90.54968842377296</v>
      </c>
    </row>
    <row r="60" spans="21:31" ht="12.75">
      <c r="U60" s="30">
        <f>100*(+AC54/$E$13)</f>
        <v>259.40259183750214</v>
      </c>
      <c r="V60" s="34">
        <f>EXP(5.6922-(0.68367*LN(U60)))</f>
        <v>6.633293788989943</v>
      </c>
      <c r="W60" s="31">
        <f>(+V60*U60)/100</f>
        <v>17.206936012835964</v>
      </c>
      <c r="X60" s="30">
        <f>100*((((W60/100)-((W60/100)-0.03574)*$E$25)-0.03574-0.00619)/0.344)</f>
        <v>25.942020956352245</v>
      </c>
      <c r="Y60">
        <v>0</v>
      </c>
      <c r="Z60" s="30">
        <f>X60+Y60</f>
        <v>25.942020956352245</v>
      </c>
      <c r="AA60" s="30">
        <f>100*($E$21*$E$23+($E$22*(Z60/100))/(1-$E$25))</f>
        <v>24.33601796258764</v>
      </c>
      <c r="AB60" s="31">
        <f>AA60/U60</f>
        <v>0.09381563148695322</v>
      </c>
      <c r="AC60" s="29">
        <f>ROUND($E$12/(1-AB60),0)</f>
        <v>438156</v>
      </c>
      <c r="AD60" t="str">
        <f>IF(OR(OR(AC60=AC54,AC60=(AC54+1)),AC60=(AC54-1)),"yes","not yet")</f>
        <v>yes</v>
      </c>
      <c r="AE60" s="30">
        <f>100*(1-AB60)</f>
        <v>90.61843685130468</v>
      </c>
    </row>
    <row r="61" ht="12.75">
      <c r="Z61" s="30"/>
    </row>
    <row r="63" spans="21:29" ht="12.75">
      <c r="U63" s="30"/>
      <c r="V63" s="34"/>
      <c r="W63" s="31"/>
      <c r="X63" s="30"/>
      <c r="AA63" s="30"/>
      <c r="AB63" s="31"/>
      <c r="AC63" s="29"/>
    </row>
    <row r="64" spans="21:29" ht="12.75">
      <c r="U64" s="30"/>
      <c r="V64" s="34"/>
      <c r="W64" s="31"/>
      <c r="X64" s="30"/>
      <c r="AA64" s="30"/>
      <c r="AB64" s="31"/>
      <c r="AC64" s="29"/>
    </row>
    <row r="65" spans="21:29" ht="12.75">
      <c r="U65" s="30"/>
      <c r="V65" s="34"/>
      <c r="W65" s="31"/>
      <c r="X65" s="30"/>
      <c r="AA65" s="30"/>
      <c r="AB65" s="31"/>
      <c r="AC65" s="29"/>
    </row>
    <row r="66" spans="21:29" ht="12.75">
      <c r="U66" s="30"/>
      <c r="V66" s="34"/>
      <c r="W66" s="31"/>
      <c r="X66" s="30"/>
      <c r="AA66" s="30"/>
      <c r="AB66" s="31"/>
      <c r="AC66" s="29"/>
    </row>
    <row r="69" spans="21:29" ht="12.75">
      <c r="U69" s="30"/>
      <c r="V69" s="34"/>
      <c r="W69" s="31"/>
      <c r="X69" s="30"/>
      <c r="AA69" s="30"/>
      <c r="AB69" s="31"/>
      <c r="AC69" s="29"/>
    </row>
    <row r="70" spans="21:29" ht="12.75">
      <c r="U70" s="30"/>
      <c r="V70" s="34"/>
      <c r="W70" s="31"/>
      <c r="X70" s="30"/>
      <c r="AA70" s="30"/>
      <c r="AB70" s="31"/>
      <c r="AC70" s="29"/>
    </row>
    <row r="71" spans="20:28" ht="12.75">
      <c r="T71" s="30"/>
      <c r="U71" s="34"/>
      <c r="V71" s="31"/>
      <c r="W71" s="30"/>
      <c r="Z71" s="30"/>
      <c r="AA71" s="31"/>
      <c r="AB71" s="29"/>
    </row>
    <row r="72" spans="20:28" ht="12.75">
      <c r="T72" s="30"/>
      <c r="U72" s="34"/>
      <c r="V72" s="31"/>
      <c r="W72" s="30"/>
      <c r="Z72" s="30"/>
      <c r="AA72" s="31"/>
      <c r="AB72" s="29"/>
    </row>
    <row r="75" spans="20:28" ht="12.75">
      <c r="T75" s="30"/>
      <c r="U75" s="34"/>
      <c r="V75" s="31"/>
      <c r="W75" s="30"/>
      <c r="Z75" s="30"/>
      <c r="AA75" s="31"/>
      <c r="AB75" s="29"/>
    </row>
    <row r="76" spans="20:28" ht="12.75">
      <c r="T76" s="30"/>
      <c r="U76" s="34"/>
      <c r="V76" s="31"/>
      <c r="W76" s="30"/>
      <c r="Z76" s="30"/>
      <c r="AA76" s="31"/>
      <c r="AB76" s="29"/>
    </row>
    <row r="77" spans="20:28" ht="12.75">
      <c r="T77" s="30"/>
      <c r="U77" s="34"/>
      <c r="V77" s="31"/>
      <c r="W77" s="30"/>
      <c r="Z77" s="30"/>
      <c r="AA77" s="31"/>
      <c r="AB77" s="29"/>
    </row>
    <row r="78" spans="20:28" ht="12.75">
      <c r="T78" s="30"/>
      <c r="U78" s="34"/>
      <c r="V78" s="31"/>
      <c r="W78" s="30"/>
      <c r="Z78" s="30"/>
      <c r="AA78" s="31"/>
      <c r="AB78" s="29"/>
    </row>
    <row r="81" spans="20:28" ht="12.75">
      <c r="T81" s="30"/>
      <c r="U81" s="34"/>
      <c r="V81" s="31"/>
      <c r="W81" s="30"/>
      <c r="Z81" s="30"/>
      <c r="AA81" s="31"/>
      <c r="AB81" s="29"/>
    </row>
    <row r="82" spans="20:28" ht="12.75">
      <c r="T82" s="30"/>
      <c r="U82" s="34"/>
      <c r="V82" s="31"/>
      <c r="W82" s="30"/>
      <c r="Z82" s="30"/>
      <c r="AA82" s="31"/>
      <c r="AB82" s="29"/>
    </row>
    <row r="83" spans="20:28" ht="12.75">
      <c r="T83" s="30"/>
      <c r="U83" s="34"/>
      <c r="V83" s="31"/>
      <c r="W83" s="30"/>
      <c r="Z83" s="30"/>
      <c r="AA83" s="31"/>
      <c r="AB83" s="29"/>
    </row>
    <row r="84" spans="20:28" ht="12.75">
      <c r="T84" s="30"/>
      <c r="U84" s="34"/>
      <c r="V84" s="31"/>
      <c r="W84" s="30"/>
      <c r="Z84" s="30"/>
      <c r="AA84" s="31"/>
      <c r="AB84" s="29"/>
    </row>
    <row r="87" spans="20:28" ht="12.75">
      <c r="T87" s="30"/>
      <c r="U87" s="34"/>
      <c r="V87" s="31"/>
      <c r="W87" s="30"/>
      <c r="Z87" s="30"/>
      <c r="AA87" s="31"/>
      <c r="AB87" s="29"/>
    </row>
    <row r="88" spans="20:28" ht="12.75">
      <c r="T88" s="30"/>
      <c r="U88" s="34"/>
      <c r="V88" s="31"/>
      <c r="W88" s="30"/>
      <c r="Z88" s="30"/>
      <c r="AA88" s="31"/>
      <c r="AB88" s="29"/>
    </row>
    <row r="89" spans="20:28" ht="12.75">
      <c r="T89" s="30"/>
      <c r="U89" s="34"/>
      <c r="V89" s="31"/>
      <c r="W89" s="30"/>
      <c r="Z89" s="30"/>
      <c r="AA89" s="31"/>
      <c r="AB89" s="29"/>
    </row>
    <row r="90" spans="20:28" ht="12.75">
      <c r="T90" s="30"/>
      <c r="U90" s="34"/>
      <c r="V90" s="31"/>
      <c r="W90" s="30"/>
      <c r="Z90" s="30"/>
      <c r="AA90" s="31"/>
      <c r="AB90" s="29"/>
    </row>
    <row r="93" spans="20:28" ht="12.75">
      <c r="T93" s="30"/>
      <c r="U93" s="34"/>
      <c r="V93" s="31"/>
      <c r="W93" s="30"/>
      <c r="Z93" s="30"/>
      <c r="AA93" s="31"/>
      <c r="AB93" s="29"/>
    </row>
    <row r="94" spans="20:28" ht="12.75">
      <c r="T94" s="30"/>
      <c r="U94" s="34"/>
      <c r="V94" s="31"/>
      <c r="W94" s="30"/>
      <c r="Z94" s="30"/>
      <c r="AA94" s="31"/>
      <c r="AB94" s="29"/>
    </row>
    <row r="95" spans="20:28" ht="12.75">
      <c r="T95" s="30"/>
      <c r="U95" s="34"/>
      <c r="V95" s="31"/>
      <c r="W95" s="30"/>
      <c r="Z95" s="30"/>
      <c r="AA95" s="31"/>
      <c r="AB95" s="29"/>
    </row>
    <row r="96" spans="20:28" ht="12.75">
      <c r="T96" s="30"/>
      <c r="U96" s="34"/>
      <c r="V96" s="31"/>
      <c r="W96" s="30"/>
      <c r="Z96" s="30"/>
      <c r="AA96" s="31"/>
      <c r="AB96" s="29"/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zoomScalePageLayoutView="0" workbookViewId="0" topLeftCell="A28">
      <selection activeCell="E4" sqref="E4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12.140625" style="0" customWidth="1"/>
    <col min="4" max="4" width="12.00390625" style="0" customWidth="1"/>
    <col min="5" max="5" width="10.57421875" style="0" customWidth="1"/>
    <col min="6" max="6" width="13.00390625" style="0" customWidth="1"/>
    <col min="7" max="7" width="11.57421875" style="0" customWidth="1"/>
    <col min="8" max="8" width="12.28125" style="0" customWidth="1"/>
    <col min="9" max="9" width="13.00390625" style="0" customWidth="1"/>
    <col min="10" max="11" width="11.7109375" style="0" customWidth="1"/>
    <col min="12" max="12" width="13.8515625" style="0" customWidth="1"/>
    <col min="15" max="15" width="10.421875" style="0" customWidth="1"/>
  </cols>
  <sheetData>
    <row r="1" spans="1:11" ht="12.75">
      <c r="A1" t="s">
        <v>0</v>
      </c>
      <c r="E1" s="102">
        <f>IF('Priceout-Chelan'!K80=0,0,'Priceout-Chelan'!K80)</f>
        <v>0.0964</v>
      </c>
      <c r="H1" s="102">
        <f>IF('Priceout-Chelan'!N80=0,0,'Priceout-Chelan'!N80)</f>
        <v>0</v>
      </c>
      <c r="K1" s="103">
        <f>IF('Priceout-Okanogan'!K76=0,0,'Priceout-Okanogan'!K76)</f>
        <v>0</v>
      </c>
    </row>
    <row r="2" ht="12.75">
      <c r="D2" s="87"/>
    </row>
    <row r="3" ht="12.75">
      <c r="A3" t="s">
        <v>190</v>
      </c>
    </row>
    <row r="4" spans="5:11" ht="12.75">
      <c r="E4">
        <f>+E21/(D21-D15)</f>
        <v>0.09625625429861294</v>
      </c>
      <c r="H4">
        <f>+H21/(G21-G15)</f>
        <v>0.14270070541238494</v>
      </c>
      <c r="K4">
        <f>+K21/(J21-J15)</f>
        <v>-0.22937721340843412</v>
      </c>
    </row>
    <row r="5" spans="1:12" ht="12.75">
      <c r="A5" s="131" t="s">
        <v>366</v>
      </c>
      <c r="F5" s="2" t="s">
        <v>177</v>
      </c>
      <c r="I5" s="2" t="s">
        <v>178</v>
      </c>
      <c r="L5" s="2" t="s">
        <v>179</v>
      </c>
    </row>
    <row r="6" spans="1:12" ht="12.75">
      <c r="A6" s="1"/>
      <c r="C6" s="2" t="s">
        <v>74</v>
      </c>
      <c r="D6" s="2" t="s">
        <v>177</v>
      </c>
      <c r="E6" s="2" t="s">
        <v>78</v>
      </c>
      <c r="F6" s="2" t="s">
        <v>81</v>
      </c>
      <c r="G6" s="2" t="s">
        <v>178</v>
      </c>
      <c r="H6" s="2" t="s">
        <v>78</v>
      </c>
      <c r="I6" s="2" t="s">
        <v>81</v>
      </c>
      <c r="J6" s="2" t="s">
        <v>179</v>
      </c>
      <c r="K6" s="2" t="s">
        <v>78</v>
      </c>
      <c r="L6" s="2" t="s">
        <v>81</v>
      </c>
    </row>
    <row r="7" spans="3:12" ht="12.75">
      <c r="C7" s="2" t="s">
        <v>77</v>
      </c>
      <c r="D7" s="2" t="s">
        <v>74</v>
      </c>
      <c r="E7" s="2" t="s">
        <v>79</v>
      </c>
      <c r="F7" s="2" t="s">
        <v>82</v>
      </c>
      <c r="G7" s="2" t="s">
        <v>74</v>
      </c>
      <c r="H7" s="2" t="s">
        <v>79</v>
      </c>
      <c r="I7" s="2" t="s">
        <v>82</v>
      </c>
      <c r="J7" s="2" t="s">
        <v>74</v>
      </c>
      <c r="K7" s="2" t="s">
        <v>79</v>
      </c>
      <c r="L7" s="2" t="s">
        <v>82</v>
      </c>
    </row>
    <row r="8" spans="3:12" ht="13.5" thickBot="1">
      <c r="C8" s="4" t="s">
        <v>76</v>
      </c>
      <c r="D8" s="4" t="s">
        <v>75</v>
      </c>
      <c r="E8" s="4" t="s">
        <v>80</v>
      </c>
      <c r="F8" s="4" t="s">
        <v>80</v>
      </c>
      <c r="G8" s="4" t="s">
        <v>75</v>
      </c>
      <c r="H8" s="4" t="s">
        <v>80</v>
      </c>
      <c r="I8" s="4" t="s">
        <v>80</v>
      </c>
      <c r="J8" s="4" t="s">
        <v>75</v>
      </c>
      <c r="K8" s="4" t="s">
        <v>80</v>
      </c>
      <c r="L8" s="4" t="s">
        <v>80</v>
      </c>
    </row>
    <row r="9" spans="4:9" ht="13.5" thickTop="1">
      <c r="D9" s="88"/>
      <c r="F9" s="94"/>
      <c r="I9" s="94"/>
    </row>
    <row r="10" spans="1:9" ht="12.75">
      <c r="A10" t="s">
        <v>2</v>
      </c>
      <c r="D10" s="89"/>
      <c r="F10" s="95"/>
      <c r="I10" s="95"/>
    </row>
    <row r="11" spans="1:15" ht="12.75">
      <c r="A11">
        <v>3100</v>
      </c>
      <c r="B11" t="s">
        <v>4</v>
      </c>
      <c r="C11" s="6">
        <f>+'[2]Results of Operations'!N11</f>
        <v>1570488.1799999997</v>
      </c>
      <c r="D11" s="90">
        <f>+'Cost Allocations'!F11</f>
        <v>1133220.8656415464</v>
      </c>
      <c r="E11" s="6">
        <f>+IF(E1=0,+'Lurito-Chelan'!E10,'Priceout-Chelan'!J80-('Priceout-Chelan'!J70-'Priceout-Chelan'!E70))</f>
        <v>111647.45499999999</v>
      </c>
      <c r="F11" s="96">
        <f>+D11+E11</f>
        <v>1244868.3206415465</v>
      </c>
      <c r="G11" s="6">
        <f>+'Cost Allocations'!I11</f>
        <v>99587.78953417194</v>
      </c>
      <c r="H11" s="6">
        <f>+IF(H1=0,+'Lurito-Douglas'!E10,'Priceout-Douglas'!J76-('Priceout-Douglas'!J66-'Priceout-Douglas'!E66))</f>
        <v>20961.379186494214</v>
      </c>
      <c r="I11" s="96">
        <f>+G11+H11</f>
        <v>120549.16872066616</v>
      </c>
      <c r="J11" s="6">
        <f>+'Cost Allocations'!L11</f>
        <v>337679.5248242815</v>
      </c>
      <c r="K11" s="6">
        <f>+IF(K1=0,+'Lurito-Okanogan'!E10,'Priceout-Okanogan'!J76-('Priceout-Okanogan'!J66-'Priceout-Okanogan'!E66))</f>
        <v>-105665.75874014165</v>
      </c>
      <c r="L11" s="6">
        <f>+J11+K11</f>
        <v>232013.76608413988</v>
      </c>
      <c r="O11" s="6">
        <f>+C11-D11-G11-J11</f>
        <v>0</v>
      </c>
    </row>
    <row r="12" spans="1:15" ht="12.75">
      <c r="A12">
        <v>3112</v>
      </c>
      <c r="B12" t="s">
        <v>5</v>
      </c>
      <c r="C12" s="6">
        <f>+'[2]Results of Operations'!N12</f>
        <v>0</v>
      </c>
      <c r="D12" s="90">
        <f>+'Cost Allocations'!F12</f>
        <v>0</v>
      </c>
      <c r="F12" s="96">
        <f aca="true" t="shared" si="0" ref="F12:F19">+D12+E12</f>
        <v>0</v>
      </c>
      <c r="G12" s="6">
        <f>+'Cost Allocations'!I12</f>
        <v>0</v>
      </c>
      <c r="I12" s="96">
        <f aca="true" t="shared" si="1" ref="I12:I19">+G12+H12</f>
        <v>0</v>
      </c>
      <c r="J12" s="6">
        <f>+'Cost Allocations'!L12</f>
        <v>0</v>
      </c>
      <c r="L12" s="6">
        <f aca="true" t="shared" si="2" ref="L12:L19">+J12+K12</f>
        <v>0</v>
      </c>
      <c r="O12" s="6">
        <f aca="true" t="shared" si="3" ref="O12:O90">+C12-D12-G12-J12</f>
        <v>0</v>
      </c>
    </row>
    <row r="13" spans="1:15" ht="12.75">
      <c r="A13">
        <v>3114</v>
      </c>
      <c r="B13" t="s">
        <v>6</v>
      </c>
      <c r="C13" s="6">
        <f>+'[2]Results of Operations'!N13</f>
        <v>0</v>
      </c>
      <c r="D13" s="90">
        <f>+'Cost Allocations'!F13</f>
        <v>0</v>
      </c>
      <c r="F13" s="96">
        <f t="shared" si="0"/>
        <v>0</v>
      </c>
      <c r="G13" s="6">
        <f>+'Cost Allocations'!I13</f>
        <v>0</v>
      </c>
      <c r="I13" s="96">
        <f t="shared" si="1"/>
        <v>0</v>
      </c>
      <c r="J13" s="6">
        <f>+'Cost Allocations'!L13</f>
        <v>0</v>
      </c>
      <c r="L13" s="6">
        <f t="shared" si="2"/>
        <v>0</v>
      </c>
      <c r="O13" s="6">
        <f t="shared" si="3"/>
        <v>0</v>
      </c>
    </row>
    <row r="14" spans="1:15" ht="12.75">
      <c r="A14">
        <v>3300</v>
      </c>
      <c r="B14" t="s">
        <v>7</v>
      </c>
      <c r="C14" s="6">
        <f>+'[2]Results of Operations'!N14</f>
        <v>270406.99</v>
      </c>
      <c r="D14" s="90">
        <f>+'Cost Allocations'!F14</f>
        <v>100120.08311081651</v>
      </c>
      <c r="E14" s="6">
        <f>+IF(E1=0,0,'Priceout-Chelan'!J70-'Priceout-Chelan'!E70)</f>
        <v>7069.325000000012</v>
      </c>
      <c r="F14" s="96">
        <f t="shared" si="0"/>
        <v>107189.40811081653</v>
      </c>
      <c r="G14" s="6">
        <f>+'Cost Allocations'!I14</f>
        <v>47302.71900198967</v>
      </c>
      <c r="H14" s="6">
        <f>+IF(H1=0,0,'Priceout-Douglas'!J66-'Priceout-Douglas'!E66)</f>
        <v>0</v>
      </c>
      <c r="I14" s="96">
        <f t="shared" si="1"/>
        <v>47302.71900198967</v>
      </c>
      <c r="J14" s="6">
        <f>+'Cost Allocations'!L14</f>
        <v>122984.18788719378</v>
      </c>
      <c r="K14" s="6">
        <f>+IF(K1=0,0,'Priceout-Okanogan'!J66-'Priceout-Okanogan'!E66)</f>
        <v>0</v>
      </c>
      <c r="L14" s="6">
        <f t="shared" si="2"/>
        <v>122984.18788719378</v>
      </c>
      <c r="O14" s="6">
        <f t="shared" si="3"/>
        <v>0</v>
      </c>
    </row>
    <row r="15" spans="1:15" ht="12.75">
      <c r="A15">
        <v>3310</v>
      </c>
      <c r="B15" t="s">
        <v>8</v>
      </c>
      <c r="C15" s="6">
        <f>+'[2]Results of Operations'!N15</f>
        <v>366706.02999999997</v>
      </c>
      <c r="D15" s="90">
        <f>+'Cost Allocations'!F15</f>
        <v>256521.250817361</v>
      </c>
      <c r="F15" s="96">
        <f t="shared" si="0"/>
        <v>256521.250817361</v>
      </c>
      <c r="G15" s="6">
        <f>+'Cost Allocations'!I15</f>
        <v>30790.54107080334</v>
      </c>
      <c r="I15" s="96">
        <f t="shared" si="1"/>
        <v>30790.54107080334</v>
      </c>
      <c r="J15" s="6">
        <f>+'Cost Allocations'!L15</f>
        <v>79394.23811183567</v>
      </c>
      <c r="L15" s="6">
        <f t="shared" si="2"/>
        <v>79394.23811183567</v>
      </c>
      <c r="O15" s="6">
        <f t="shared" si="3"/>
        <v>0</v>
      </c>
    </row>
    <row r="16" spans="1:15" ht="12.75">
      <c r="A16">
        <v>3510</v>
      </c>
      <c r="B16" t="s">
        <v>357</v>
      </c>
      <c r="C16" s="6">
        <f>+'[2]Results of Operations'!N16</f>
        <v>0</v>
      </c>
      <c r="D16" s="90">
        <f>+'Cost Allocations'!F18</f>
        <v>0</v>
      </c>
      <c r="F16" s="96">
        <f>+D16+E16</f>
        <v>0</v>
      </c>
      <c r="G16" s="6">
        <f>+'Cost Allocations'!I18</f>
        <v>0</v>
      </c>
      <c r="I16" s="96">
        <f>+G16+H16</f>
        <v>0</v>
      </c>
      <c r="J16" s="6">
        <f>+'Cost Allocations'!L18</f>
        <v>0</v>
      </c>
      <c r="L16" s="6">
        <f>+J16+K16</f>
        <v>0</v>
      </c>
      <c r="O16" s="6">
        <f>+C16-D16-G16-J16</f>
        <v>0</v>
      </c>
    </row>
    <row r="17" spans="1:15" ht="12.75">
      <c r="A17">
        <v>3550</v>
      </c>
      <c r="B17" t="s">
        <v>358</v>
      </c>
      <c r="C17" s="6">
        <f>+'[2]Results of Operations'!N17</f>
        <v>0</v>
      </c>
      <c r="D17" s="90">
        <f>+'Cost Allocations'!F19</f>
        <v>0</v>
      </c>
      <c r="F17" s="96">
        <f>+D17+E17</f>
        <v>0</v>
      </c>
      <c r="G17" s="6">
        <f>+'Cost Allocations'!I19</f>
        <v>0</v>
      </c>
      <c r="I17" s="96">
        <f>+G17+H17</f>
        <v>0</v>
      </c>
      <c r="J17" s="6">
        <f>+'Cost Allocations'!L19</f>
        <v>0</v>
      </c>
      <c r="L17" s="6">
        <f>+J17+K17</f>
        <v>0</v>
      </c>
      <c r="O17" s="6">
        <f>+C17-D17-G17-J17</f>
        <v>0</v>
      </c>
    </row>
    <row r="18" spans="1:15" ht="12.75">
      <c r="A18">
        <v>3400</v>
      </c>
      <c r="B18" t="s">
        <v>9</v>
      </c>
      <c r="C18" s="6">
        <f>+'[2]Results of Operations'!N18</f>
        <v>0</v>
      </c>
      <c r="D18" s="90">
        <f>+'Cost Allocations'!F18</f>
        <v>0</v>
      </c>
      <c r="F18" s="96">
        <f t="shared" si="0"/>
        <v>0</v>
      </c>
      <c r="G18" s="6">
        <f>+'Cost Allocations'!I18</f>
        <v>0</v>
      </c>
      <c r="I18" s="96">
        <f t="shared" si="1"/>
        <v>0</v>
      </c>
      <c r="J18" s="6">
        <f>+'Cost Allocations'!L18</f>
        <v>0</v>
      </c>
      <c r="L18" s="6">
        <f t="shared" si="2"/>
        <v>0</v>
      </c>
      <c r="O18" s="6">
        <f t="shared" si="3"/>
        <v>0</v>
      </c>
    </row>
    <row r="19" spans="1:15" ht="13.5" thickBot="1">
      <c r="A19">
        <v>3500</v>
      </c>
      <c r="B19" t="s">
        <v>10</v>
      </c>
      <c r="C19" s="7">
        <f>+'[2]Results of Operations'!N19</f>
        <v>0</v>
      </c>
      <c r="D19" s="91">
        <f>+'Cost Allocations'!F19</f>
        <v>0</v>
      </c>
      <c r="E19" s="5"/>
      <c r="F19" s="97">
        <f t="shared" si="0"/>
        <v>0</v>
      </c>
      <c r="G19" s="7">
        <f>+'Cost Allocations'!I19</f>
        <v>0</v>
      </c>
      <c r="H19" s="5"/>
      <c r="I19" s="97">
        <f t="shared" si="1"/>
        <v>0</v>
      </c>
      <c r="J19" s="7">
        <f>+'Cost Allocations'!L19</f>
        <v>0</v>
      </c>
      <c r="K19" s="5"/>
      <c r="L19" s="7">
        <f t="shared" si="2"/>
        <v>0</v>
      </c>
      <c r="O19" s="6">
        <f t="shared" si="3"/>
        <v>0</v>
      </c>
    </row>
    <row r="20" spans="1:15" ht="12.75">
      <c r="A20">
        <v>0</v>
      </c>
      <c r="D20" s="89"/>
      <c r="F20" s="95"/>
      <c r="I20" s="95"/>
      <c r="O20" s="6">
        <f t="shared" si="3"/>
        <v>0</v>
      </c>
    </row>
    <row r="21" spans="2:15" ht="13.5" thickBot="1">
      <c r="B21" t="s">
        <v>3</v>
      </c>
      <c r="C21" s="7">
        <f aca="true" t="shared" si="4" ref="C21:L21">SUM(C11:C19)</f>
        <v>2207601.1999999997</v>
      </c>
      <c r="D21" s="91">
        <f t="shared" si="4"/>
        <v>1489862.199569724</v>
      </c>
      <c r="E21" s="7">
        <f t="shared" si="4"/>
        <v>118716.78</v>
      </c>
      <c r="F21" s="97">
        <f t="shared" si="4"/>
        <v>1608578.979569724</v>
      </c>
      <c r="G21" s="7">
        <f t="shared" si="4"/>
        <v>177681.04960696495</v>
      </c>
      <c r="H21" s="7">
        <f t="shared" si="4"/>
        <v>20961.379186494214</v>
      </c>
      <c r="I21" s="97">
        <f t="shared" si="4"/>
        <v>198642.42879345917</v>
      </c>
      <c r="J21" s="7">
        <f t="shared" si="4"/>
        <v>540057.950823311</v>
      </c>
      <c r="K21" s="7">
        <f t="shared" si="4"/>
        <v>-105665.75874014165</v>
      </c>
      <c r="L21" s="7">
        <f t="shared" si="4"/>
        <v>434392.19208316936</v>
      </c>
      <c r="O21" s="6">
        <f t="shared" si="3"/>
        <v>0</v>
      </c>
    </row>
    <row r="22" spans="4:15" ht="12.75">
      <c r="D22" s="89"/>
      <c r="F22" s="95"/>
      <c r="I22" s="95"/>
      <c r="O22" s="6">
        <f t="shared" si="3"/>
        <v>0</v>
      </c>
    </row>
    <row r="23" spans="1:15" ht="12.75">
      <c r="A23" t="s">
        <v>11</v>
      </c>
      <c r="D23" s="89"/>
      <c r="F23" s="95"/>
      <c r="I23" s="95"/>
      <c r="O23" s="6">
        <f t="shared" si="3"/>
        <v>0</v>
      </c>
    </row>
    <row r="24" spans="1:15" ht="12.75">
      <c r="A24" t="s">
        <v>12</v>
      </c>
      <c r="D24" s="89"/>
      <c r="F24" s="95"/>
      <c r="I24" s="95"/>
      <c r="O24" s="6">
        <f t="shared" si="3"/>
        <v>0</v>
      </c>
    </row>
    <row r="25" spans="1:15" ht="12.75">
      <c r="A25">
        <v>4116</v>
      </c>
      <c r="B25" t="s">
        <v>24</v>
      </c>
      <c r="C25" s="6">
        <f>+'[2]Results of Operations'!N25</f>
        <v>59187.93732138288</v>
      </c>
      <c r="D25" s="90">
        <f>+'Cost Allocations'!F25</f>
        <v>46032.60518781747</v>
      </c>
      <c r="F25" s="96">
        <f>+D25+E25</f>
        <v>46032.60518781747</v>
      </c>
      <c r="G25" s="6">
        <f>+'Cost Allocations'!I25</f>
        <v>4600.005255649409</v>
      </c>
      <c r="I25" s="96">
        <f>+G25+H25</f>
        <v>4600.005255649409</v>
      </c>
      <c r="J25" s="6">
        <f>+'Cost Allocations'!L25</f>
        <v>8555.326877916008</v>
      </c>
      <c r="L25" s="6">
        <f>+J25+K25</f>
        <v>8555.326877916008</v>
      </c>
      <c r="O25" s="6">
        <f t="shared" si="3"/>
        <v>0</v>
      </c>
    </row>
    <row r="26" spans="1:15" ht="12.75">
      <c r="A26">
        <v>4117</v>
      </c>
      <c r="B26" t="s">
        <v>278</v>
      </c>
      <c r="C26" s="6">
        <f>+'[2]Results of Operations'!N26</f>
        <v>2232.75</v>
      </c>
      <c r="D26" s="90">
        <f>+'Cost Allocations'!F26</f>
        <v>1736.4906412436894</v>
      </c>
      <c r="F26" s="96">
        <f>+D26+E26</f>
        <v>1736.4906412436894</v>
      </c>
      <c r="G26" s="6">
        <f>+'Cost Allocations'!I26</f>
        <v>173.52626564400862</v>
      </c>
      <c r="I26" s="96">
        <f>+G26+H26</f>
        <v>173.52626564400862</v>
      </c>
      <c r="J26" s="6">
        <f>+'Cost Allocations'!L26</f>
        <v>322.7330931123022</v>
      </c>
      <c r="L26" s="6">
        <f>+J26+K26</f>
        <v>322.7330931123022</v>
      </c>
      <c r="O26" s="6">
        <f>+C26-D26-G26-J26</f>
        <v>0</v>
      </c>
    </row>
    <row r="27" spans="1:15" ht="12.75">
      <c r="A27">
        <v>4118</v>
      </c>
      <c r="B27" t="s">
        <v>25</v>
      </c>
      <c r="C27" s="6">
        <f>+'[2]Results of Operations'!N27</f>
        <v>7395.205756097561</v>
      </c>
      <c r="D27" s="90">
        <f>+'Cost Allocations'!F27</f>
        <v>5982.721456682927</v>
      </c>
      <c r="F27" s="96">
        <f aca="true" t="shared" si="5" ref="F27:F97">+D27+E27</f>
        <v>5982.721456682927</v>
      </c>
      <c r="G27" s="6">
        <f>+'Cost Allocations'!I27</f>
        <v>340.1794647804878</v>
      </c>
      <c r="I27" s="96">
        <f aca="true" t="shared" si="6" ref="I27:I97">+G27+H27</f>
        <v>340.1794647804878</v>
      </c>
      <c r="J27" s="6">
        <f>+'Cost Allocations'!L27</f>
        <v>1072.3048346341463</v>
      </c>
      <c r="L27" s="6">
        <f aca="true" t="shared" si="7" ref="L27:L97">+J27+K27</f>
        <v>1072.3048346341463</v>
      </c>
      <c r="O27" s="6">
        <f t="shared" si="3"/>
        <v>0</v>
      </c>
    </row>
    <row r="28" spans="1:15" ht="12.75">
      <c r="A28">
        <v>4119</v>
      </c>
      <c r="B28" t="s">
        <v>279</v>
      </c>
      <c r="C28" s="6">
        <f>+'[2]Results of Operations'!N28</f>
        <v>82.5</v>
      </c>
      <c r="D28" s="90">
        <f>+'Cost Allocations'!F28</f>
        <v>66.7425</v>
      </c>
      <c r="F28" s="96">
        <f>+D28+E28</f>
        <v>66.7425</v>
      </c>
      <c r="G28" s="6">
        <f>+'Cost Allocations'!I28</f>
        <v>3.795</v>
      </c>
      <c r="I28" s="96">
        <f>+G28+H28</f>
        <v>3.795</v>
      </c>
      <c r="J28" s="6">
        <f>+'Cost Allocations'!L28</f>
        <v>11.962499999999999</v>
      </c>
      <c r="L28" s="6">
        <f>+J28+K28</f>
        <v>11.962499999999999</v>
      </c>
      <c r="O28" s="6">
        <f>+C28-D28-G28-J28</f>
        <v>0</v>
      </c>
    </row>
    <row r="29" spans="1:15" ht="12.75">
      <c r="A29">
        <v>4122</v>
      </c>
      <c r="B29" t="s">
        <v>359</v>
      </c>
      <c r="C29" s="6">
        <f>+'[2]Results of Operations'!N29</f>
        <v>0</v>
      </c>
      <c r="D29" s="90">
        <f>+'Cost Allocations'!F29</f>
        <v>0</v>
      </c>
      <c r="F29" s="96">
        <f>+D29+E29</f>
        <v>0</v>
      </c>
      <c r="G29" s="6">
        <f>+'Cost Allocations'!I29</f>
        <v>0</v>
      </c>
      <c r="I29" s="96">
        <f>+G29+H29</f>
        <v>0</v>
      </c>
      <c r="J29" s="6">
        <f>+'Cost Allocations'!L29</f>
        <v>0</v>
      </c>
      <c r="L29" s="6">
        <f>+J29+K29</f>
        <v>0</v>
      </c>
      <c r="O29" s="6">
        <f>+C29-D29-G29-J29</f>
        <v>0</v>
      </c>
    </row>
    <row r="30" spans="1:15" ht="12.75">
      <c r="A30">
        <v>4132</v>
      </c>
      <c r="B30" t="s">
        <v>26</v>
      </c>
      <c r="C30" s="6">
        <f>+'[2]Results of Operations'!N30</f>
        <v>35099.814956932285</v>
      </c>
      <c r="D30" s="90">
        <f>+'Cost Allocations'!F30</f>
        <v>27298.398917074544</v>
      </c>
      <c r="F30" s="96">
        <f t="shared" si="5"/>
        <v>27298.398917074544</v>
      </c>
      <c r="G30" s="6">
        <f>+'Cost Allocations'!I30</f>
        <v>2727.9094454247806</v>
      </c>
      <c r="I30" s="96">
        <f t="shared" si="6"/>
        <v>2727.9094454247806</v>
      </c>
      <c r="J30" s="6">
        <f>+'Cost Allocations'!L30</f>
        <v>5073.506594432965</v>
      </c>
      <c r="L30" s="6">
        <f t="shared" si="7"/>
        <v>5073.506594432965</v>
      </c>
      <c r="O30" s="6">
        <f t="shared" si="3"/>
        <v>0</v>
      </c>
    </row>
    <row r="31" spans="1:15" ht="12.75">
      <c r="A31">
        <v>4133</v>
      </c>
      <c r="B31" t="s">
        <v>280</v>
      </c>
      <c r="C31" s="6">
        <f>+'[2]Results of Operations'!N31</f>
        <v>4851.46</v>
      </c>
      <c r="D31" s="90">
        <f>+'Cost Allocations'!F31</f>
        <v>3773.156370560121</v>
      </c>
      <c r="F31" s="96">
        <f>+D31+E31</f>
        <v>3773.156370560121</v>
      </c>
      <c r="G31" s="6">
        <f>+'Cost Allocations'!I31</f>
        <v>377.04881277405985</v>
      </c>
      <c r="I31" s="96">
        <f>+G31+H31</f>
        <v>377.04881277405985</v>
      </c>
      <c r="J31" s="6">
        <f>+'Cost Allocations'!L31</f>
        <v>701.2548166658199</v>
      </c>
      <c r="L31" s="6">
        <f>+J31+K31</f>
        <v>701.2548166658199</v>
      </c>
      <c r="O31" s="6">
        <f>+C31-D31-G31-J31</f>
        <v>0</v>
      </c>
    </row>
    <row r="32" spans="1:15" ht="12.75">
      <c r="A32">
        <v>4134</v>
      </c>
      <c r="B32" t="s">
        <v>27</v>
      </c>
      <c r="C32" s="6">
        <f>+'[2]Results of Operations'!N32</f>
        <v>4166.935317073171</v>
      </c>
      <c r="D32" s="90">
        <f>+'Cost Allocations'!F32</f>
        <v>3371.0506715121955</v>
      </c>
      <c r="F32" s="96">
        <f t="shared" si="5"/>
        <v>3371.0506715121955</v>
      </c>
      <c r="G32" s="6">
        <f>+'Cost Allocations'!I32</f>
        <v>191.67902458536585</v>
      </c>
      <c r="I32" s="96">
        <f t="shared" si="6"/>
        <v>191.67902458536585</v>
      </c>
      <c r="J32" s="6">
        <f>+'Cost Allocations'!L32</f>
        <v>604.2056209756098</v>
      </c>
      <c r="L32" s="6">
        <f t="shared" si="7"/>
        <v>604.2056209756098</v>
      </c>
      <c r="O32" s="6">
        <f t="shared" si="3"/>
        <v>0</v>
      </c>
    </row>
    <row r="33" spans="1:15" ht="12.75">
      <c r="A33">
        <v>4135</v>
      </c>
      <c r="B33" t="s">
        <v>281</v>
      </c>
      <c r="C33" s="6">
        <f>+'[2]Results of Operations'!N33</f>
        <v>0</v>
      </c>
      <c r="D33" s="90">
        <f>+'Cost Allocations'!F33</f>
        <v>0</v>
      </c>
      <c r="F33" s="96">
        <f>+D33+E33</f>
        <v>0</v>
      </c>
      <c r="G33" s="6">
        <f>+'Cost Allocations'!I33</f>
        <v>0</v>
      </c>
      <c r="I33" s="96">
        <f>+G33+H33</f>
        <v>0</v>
      </c>
      <c r="J33" s="6">
        <f>+'Cost Allocations'!L33</f>
        <v>0</v>
      </c>
      <c r="L33" s="6">
        <f>+J33+K33</f>
        <v>0</v>
      </c>
      <c r="O33" s="6">
        <f>+C33-D33-G33-J33</f>
        <v>0</v>
      </c>
    </row>
    <row r="34" spans="1:15" ht="12.75">
      <c r="A34">
        <v>4138</v>
      </c>
      <c r="B34" t="s">
        <v>360</v>
      </c>
      <c r="C34" s="6">
        <f>+'[2]Results of Operations'!N34</f>
        <v>0</v>
      </c>
      <c r="D34" s="90">
        <f>+'Cost Allocations'!F34</f>
        <v>0</v>
      </c>
      <c r="F34" s="96">
        <f>+D34+E34</f>
        <v>0</v>
      </c>
      <c r="G34" s="6">
        <f>+'Cost Allocations'!I34</f>
        <v>0</v>
      </c>
      <c r="I34" s="96">
        <f>+G34+H34</f>
        <v>0</v>
      </c>
      <c r="J34" s="6">
        <f>+'Cost Allocations'!L34</f>
        <v>0</v>
      </c>
      <c r="L34" s="6">
        <f>+J34+K34</f>
        <v>0</v>
      </c>
      <c r="O34" s="6">
        <f>+C34-D34-G34-J34</f>
        <v>0</v>
      </c>
    </row>
    <row r="35" spans="1:15" ht="12.75">
      <c r="A35">
        <v>4160</v>
      </c>
      <c r="B35" t="s">
        <v>28</v>
      </c>
      <c r="C35" s="6">
        <f>+'[2]Results of Operations'!N35</f>
        <v>18985.15809626244</v>
      </c>
      <c r="D35" s="90">
        <f>+'Cost Allocations'!F35</f>
        <v>12971.138986096224</v>
      </c>
      <c r="F35" s="96">
        <f t="shared" si="5"/>
        <v>12971.138986096224</v>
      </c>
      <c r="G35" s="6">
        <f>+'Cost Allocations'!I35</f>
        <v>2320.3320136496523</v>
      </c>
      <c r="I35" s="96">
        <f t="shared" si="6"/>
        <v>2320.3320136496523</v>
      </c>
      <c r="J35" s="6">
        <f>+'Cost Allocations'!L35</f>
        <v>3693.687096516563</v>
      </c>
      <c r="L35" s="6">
        <f t="shared" si="7"/>
        <v>3693.687096516563</v>
      </c>
      <c r="O35" s="6">
        <f t="shared" si="3"/>
        <v>0</v>
      </c>
    </row>
    <row r="36" spans="1:15" ht="12.75">
      <c r="A36">
        <v>4161</v>
      </c>
      <c r="B36" t="s">
        <v>282</v>
      </c>
      <c r="C36" s="6">
        <f>+'[2]Results of Operations'!N36</f>
        <v>1659.58</v>
      </c>
      <c r="D36" s="90">
        <f>+'Cost Allocations'!F36</f>
        <v>1133.8669253843857</v>
      </c>
      <c r="F36" s="96">
        <f>+D36+E36</f>
        <v>1133.8669253843857</v>
      </c>
      <c r="G36" s="6">
        <f>+'Cost Allocations'!I36</f>
        <v>202.83089472774958</v>
      </c>
      <c r="I36" s="96">
        <f>+G36+H36</f>
        <v>202.83089472774958</v>
      </c>
      <c r="J36" s="6">
        <f>+'Cost Allocations'!L36</f>
        <v>322.88217988786454</v>
      </c>
      <c r="L36" s="6">
        <f>+J36+K36</f>
        <v>322.88217988786454</v>
      </c>
      <c r="O36" s="6">
        <f>+C36-D36-G36-J36</f>
        <v>0</v>
      </c>
    </row>
    <row r="37" spans="1:15" ht="12.75">
      <c r="A37">
        <v>4180</v>
      </c>
      <c r="B37" t="s">
        <v>29</v>
      </c>
      <c r="C37" s="6">
        <f>+'[2]Results of Operations'!N37</f>
        <v>18243.325350990322</v>
      </c>
      <c r="D37" s="90">
        <f>+'Cost Allocations'!F37</f>
        <v>14188.495683421092</v>
      </c>
      <c r="F37" s="96">
        <f t="shared" si="5"/>
        <v>14188.495683421092</v>
      </c>
      <c r="G37" s="6">
        <f>+'Cost Allocations'!I37</f>
        <v>1417.8462080779414</v>
      </c>
      <c r="I37" s="96">
        <f t="shared" si="6"/>
        <v>1417.8462080779414</v>
      </c>
      <c r="J37" s="6">
        <f>+'Cost Allocations'!L37</f>
        <v>2636.9834594912923</v>
      </c>
      <c r="L37" s="6">
        <f t="shared" si="7"/>
        <v>2636.9834594912923</v>
      </c>
      <c r="O37" s="6">
        <f t="shared" si="3"/>
        <v>0</v>
      </c>
    </row>
    <row r="38" spans="1:15" ht="12.75">
      <c r="A38" t="s">
        <v>15</v>
      </c>
      <c r="C38" s="6"/>
      <c r="D38" s="90"/>
      <c r="F38" s="96"/>
      <c r="G38" s="6"/>
      <c r="I38" s="96"/>
      <c r="J38" s="6"/>
      <c r="L38" s="6"/>
      <c r="O38" s="6">
        <f t="shared" si="3"/>
        <v>0</v>
      </c>
    </row>
    <row r="39" spans="1:15" ht="12.75">
      <c r="A39">
        <v>4210</v>
      </c>
      <c r="B39" t="s">
        <v>30</v>
      </c>
      <c r="C39" s="6">
        <f>+'[2]Results of Operations'!N39</f>
        <v>0</v>
      </c>
      <c r="D39" s="90">
        <f>+'Cost Allocations'!F39</f>
        <v>0</v>
      </c>
      <c r="F39" s="96">
        <f t="shared" si="5"/>
        <v>0</v>
      </c>
      <c r="G39" s="6">
        <f>+'Cost Allocations'!I39</f>
        <v>0</v>
      </c>
      <c r="I39" s="96">
        <f t="shared" si="6"/>
        <v>0</v>
      </c>
      <c r="J39" s="6">
        <f>+'Cost Allocations'!L39</f>
        <v>0</v>
      </c>
      <c r="L39" s="6">
        <f t="shared" si="7"/>
        <v>0</v>
      </c>
      <c r="O39" s="6">
        <f t="shared" si="3"/>
        <v>0</v>
      </c>
    </row>
    <row r="40" spans="1:15" ht="12.75">
      <c r="A40">
        <v>4213</v>
      </c>
      <c r="B40" t="s">
        <v>31</v>
      </c>
      <c r="C40" s="6">
        <f>+'[2]Results of Operations'!N40</f>
        <v>250163.17923324395</v>
      </c>
      <c r="D40" s="90">
        <f>+'Cost Allocations'!F40</f>
        <v>194560.97616047287</v>
      </c>
      <c r="F40" s="96">
        <f t="shared" si="5"/>
        <v>194560.97616047287</v>
      </c>
      <c r="G40" s="6">
        <f>+'Cost Allocations'!I40</f>
        <v>19442.33895150717</v>
      </c>
      <c r="I40" s="96">
        <f t="shared" si="6"/>
        <v>19442.33895150717</v>
      </c>
      <c r="J40" s="6">
        <f>+'Cost Allocations'!L40</f>
        <v>36159.86412126394</v>
      </c>
      <c r="L40" s="6">
        <f t="shared" si="7"/>
        <v>36159.86412126394</v>
      </c>
      <c r="O40" s="6">
        <f t="shared" si="3"/>
        <v>0</v>
      </c>
    </row>
    <row r="41" spans="1:15" ht="12.75">
      <c r="A41">
        <v>4215</v>
      </c>
      <c r="B41" t="s">
        <v>32</v>
      </c>
      <c r="C41" s="6">
        <f>+'[2]Results of Operations'!N41</f>
        <v>48019.18000000001</v>
      </c>
      <c r="D41" s="90">
        <f>+'Cost Allocations'!F41</f>
        <v>17779.437922493275</v>
      </c>
      <c r="F41" s="96">
        <f t="shared" si="5"/>
        <v>17779.437922493275</v>
      </c>
      <c r="G41" s="6">
        <f>+'Cost Allocations'!I41</f>
        <v>8400.070494649428</v>
      </c>
      <c r="I41" s="96">
        <f t="shared" si="6"/>
        <v>8400.070494649428</v>
      </c>
      <c r="J41" s="6">
        <f>+'Cost Allocations'!L41</f>
        <v>21839.671582857303</v>
      </c>
      <c r="L41" s="6">
        <f t="shared" si="7"/>
        <v>21839.671582857303</v>
      </c>
      <c r="O41" s="6">
        <f t="shared" si="3"/>
        <v>0</v>
      </c>
    </row>
    <row r="42" spans="1:15" ht="12.75">
      <c r="A42">
        <v>4216</v>
      </c>
      <c r="B42" t="s">
        <v>283</v>
      </c>
      <c r="C42" s="6">
        <f>+'[2]Results of Operations'!N42</f>
        <v>9275.881816913547</v>
      </c>
      <c r="D42" s="90">
        <f>+'Cost Allocations'!F42</f>
        <v>7214.189660442452</v>
      </c>
      <c r="F42" s="96">
        <f>+D42+E42</f>
        <v>7214.189660442452</v>
      </c>
      <c r="G42" s="6">
        <f>+'Cost Allocations'!I42</f>
        <v>720.9088040506862</v>
      </c>
      <c r="I42" s="96">
        <f>+G42+H42</f>
        <v>720.9088040506862</v>
      </c>
      <c r="J42" s="6">
        <f>+'Cost Allocations'!L42</f>
        <v>1340.78335242041</v>
      </c>
      <c r="L42" s="6">
        <f>+J42+K42</f>
        <v>1340.78335242041</v>
      </c>
      <c r="O42" s="6">
        <f>+C42-D42-G42-J42</f>
        <v>0</v>
      </c>
    </row>
    <row r="43" spans="1:15" ht="12.75">
      <c r="A43">
        <v>4222</v>
      </c>
      <c r="B43" t="s">
        <v>361</v>
      </c>
      <c r="C43" s="6">
        <f>+'[2]Results of Operations'!N43</f>
        <v>0</v>
      </c>
      <c r="D43" s="90">
        <f>+'Cost Allocations'!F43</f>
        <v>0</v>
      </c>
      <c r="F43" s="96">
        <f>+D43+E43</f>
        <v>0</v>
      </c>
      <c r="G43" s="6">
        <f>+'Cost Allocations'!I43</f>
        <v>0</v>
      </c>
      <c r="I43" s="96">
        <f>+G43+H43</f>
        <v>0</v>
      </c>
      <c r="J43" s="6">
        <f>+'Cost Allocations'!L43</f>
        <v>0</v>
      </c>
      <c r="L43" s="6">
        <f>+J43+K43</f>
        <v>0</v>
      </c>
      <c r="O43" s="6">
        <f>+C43-D43-G43-J43</f>
        <v>0</v>
      </c>
    </row>
    <row r="44" spans="1:15" ht="12.75">
      <c r="A44">
        <v>4240</v>
      </c>
      <c r="B44" t="s">
        <v>33</v>
      </c>
      <c r="C44" s="6">
        <f>+'[2]Results of Operations'!N44</f>
        <v>55664.030588123</v>
      </c>
      <c r="D44" s="90">
        <f>+'Cost Allocations'!F44</f>
        <v>43291.93513388335</v>
      </c>
      <c r="F44" s="96">
        <f t="shared" si="5"/>
        <v>43291.93513388335</v>
      </c>
      <c r="G44" s="6">
        <f>+'Cost Allocations'!I44</f>
        <v>4326.132060755057</v>
      </c>
      <c r="I44" s="96">
        <f t="shared" si="6"/>
        <v>4326.132060755057</v>
      </c>
      <c r="J44" s="6">
        <f>+'Cost Allocations'!L44</f>
        <v>8045.963393484599</v>
      </c>
      <c r="L44" s="6">
        <f t="shared" si="7"/>
        <v>8045.963393484599</v>
      </c>
      <c r="O44" s="6">
        <f t="shared" si="3"/>
        <v>0</v>
      </c>
    </row>
    <row r="45" spans="1:15" ht="12.75">
      <c r="A45">
        <v>4241</v>
      </c>
      <c r="B45" t="s">
        <v>284</v>
      </c>
      <c r="C45" s="6">
        <f>+'[2]Results of Operations'!N45</f>
        <v>19387.63370649264</v>
      </c>
      <c r="D45" s="90">
        <f>+'Cost Allocations'!F45</f>
        <v>15078.46578756474</v>
      </c>
      <c r="F45" s="96">
        <f>+D45+E45</f>
        <v>15078.46578756474</v>
      </c>
      <c r="G45" s="6">
        <f>+'Cost Allocations'!I45</f>
        <v>1506.7802829522236</v>
      </c>
      <c r="I45" s="96">
        <f>+G45+H45</f>
        <v>1506.7802829522236</v>
      </c>
      <c r="J45" s="6">
        <f>+'Cost Allocations'!L45</f>
        <v>2802.387635975679</v>
      </c>
      <c r="L45" s="6">
        <f>+J45+K45</f>
        <v>2802.387635975679</v>
      </c>
      <c r="O45" s="6">
        <f>+C45-D45-G45-J45</f>
        <v>0</v>
      </c>
    </row>
    <row r="46" spans="1:15" ht="12.75">
      <c r="A46">
        <v>4244</v>
      </c>
      <c r="B46" t="s">
        <v>362</v>
      </c>
      <c r="C46" s="6">
        <f>+'[2]Results of Operations'!N46</f>
        <v>0</v>
      </c>
      <c r="D46" s="90">
        <f>+'Cost Allocations'!F46</f>
        <v>0</v>
      </c>
      <c r="F46" s="96">
        <f>+D46+E46</f>
        <v>0</v>
      </c>
      <c r="G46" s="6">
        <f>+'Cost Allocations'!I46</f>
        <v>0</v>
      </c>
      <c r="I46" s="96">
        <f>+G46+H46</f>
        <v>0</v>
      </c>
      <c r="J46" s="6">
        <f>+'Cost Allocations'!L46</f>
        <v>0</v>
      </c>
      <c r="L46" s="6">
        <f>+J46+K46</f>
        <v>0</v>
      </c>
      <c r="O46" s="6">
        <f>+C46-D46-G46-J46</f>
        <v>0</v>
      </c>
    </row>
    <row r="47" spans="1:15" ht="12.75">
      <c r="A47">
        <v>4280</v>
      </c>
      <c r="B47" t="s">
        <v>34</v>
      </c>
      <c r="C47" s="6">
        <f>+'[2]Results of Operations'!N47</f>
        <v>4703.099876398333</v>
      </c>
      <c r="D47" s="90">
        <f>+'Cost Allocations'!F47</f>
        <v>3657.77132244992</v>
      </c>
      <c r="F47" s="96">
        <f t="shared" si="5"/>
        <v>3657.77132244992</v>
      </c>
      <c r="G47" s="6">
        <f>+'Cost Allocations'!I47</f>
        <v>365.51846758580285</v>
      </c>
      <c r="I47" s="96">
        <f t="shared" si="6"/>
        <v>365.51846758580285</v>
      </c>
      <c r="J47" s="6">
        <f>+'Cost Allocations'!L47</f>
        <v>679.8100863626113</v>
      </c>
      <c r="L47" s="6">
        <f t="shared" si="7"/>
        <v>679.8100863626113</v>
      </c>
      <c r="O47" s="6">
        <f t="shared" si="3"/>
        <v>0</v>
      </c>
    </row>
    <row r="48" spans="1:15" ht="12.75">
      <c r="A48">
        <v>4282</v>
      </c>
      <c r="B48" t="s">
        <v>363</v>
      </c>
      <c r="C48" s="6">
        <f>+'[2]Results of Operations'!N48</f>
        <v>0</v>
      </c>
      <c r="D48" s="90">
        <f>+'Cost Allocations'!F48</f>
        <v>0</v>
      </c>
      <c r="F48" s="96">
        <f>+D48+E48</f>
        <v>0</v>
      </c>
      <c r="G48" s="6">
        <f>+'Cost Allocations'!I48</f>
        <v>0</v>
      </c>
      <c r="I48" s="96">
        <f>+G48+H48</f>
        <v>0</v>
      </c>
      <c r="J48" s="6">
        <f>+'Cost Allocations'!L48</f>
        <v>0</v>
      </c>
      <c r="L48" s="6">
        <f>+J48+K48</f>
        <v>0</v>
      </c>
      <c r="O48" s="6">
        <f>+C48-D48-G48-J48</f>
        <v>0</v>
      </c>
    </row>
    <row r="49" spans="1:15" ht="12.75">
      <c r="A49" t="s">
        <v>16</v>
      </c>
      <c r="C49" s="6"/>
      <c r="D49" s="90"/>
      <c r="F49" s="96"/>
      <c r="G49" s="6"/>
      <c r="I49" s="96"/>
      <c r="J49" s="6"/>
      <c r="L49" s="6"/>
      <c r="O49" s="6">
        <f t="shared" si="3"/>
        <v>0</v>
      </c>
    </row>
    <row r="50" spans="1:15" ht="12.75">
      <c r="A50">
        <v>4360</v>
      </c>
      <c r="B50" t="s">
        <v>35</v>
      </c>
      <c r="C50" s="6">
        <f>+'[2]Results of Operations'!N50</f>
        <v>359294.6600456168</v>
      </c>
      <c r="D50" s="90">
        <f>+'Cost Allocations'!F50</f>
        <v>355689.5775238</v>
      </c>
      <c r="F50" s="96">
        <f t="shared" si="5"/>
        <v>355689.5775238</v>
      </c>
      <c r="G50" s="6">
        <f>+'Cost Allocations'!I50</f>
        <v>285.5510908370147</v>
      </c>
      <c r="I50" s="96">
        <f t="shared" si="6"/>
        <v>285.5510908370147</v>
      </c>
      <c r="J50" s="6">
        <f>+'Cost Allocations'!L50</f>
        <v>3319.5314309797695</v>
      </c>
      <c r="L50" s="6">
        <f t="shared" si="7"/>
        <v>3319.5314309797695</v>
      </c>
      <c r="O50" s="6">
        <f t="shared" si="3"/>
        <v>-1.0459189070388675E-11</v>
      </c>
    </row>
    <row r="51" spans="1:15" ht="12.75">
      <c r="A51">
        <v>4361</v>
      </c>
      <c r="B51" t="s">
        <v>36</v>
      </c>
      <c r="C51" s="6">
        <f>+'[2]Results of Operations'!N51</f>
        <v>257625.00999999995</v>
      </c>
      <c r="D51" s="90">
        <f>+'Cost Allocations'!F51</f>
        <v>257625.00999999995</v>
      </c>
      <c r="F51" s="96">
        <f t="shared" si="5"/>
        <v>257625.00999999995</v>
      </c>
      <c r="G51" s="6">
        <f>+'Cost Allocations'!I51</f>
        <v>0</v>
      </c>
      <c r="I51" s="96">
        <f t="shared" si="6"/>
        <v>0</v>
      </c>
      <c r="J51" s="6">
        <f>+'Cost Allocations'!L51</f>
        <v>0</v>
      </c>
      <c r="L51" s="6">
        <f t="shared" si="7"/>
        <v>0</v>
      </c>
      <c r="O51" s="6">
        <f t="shared" si="3"/>
        <v>0</v>
      </c>
    </row>
    <row r="52" spans="1:15" ht="12.75">
      <c r="A52">
        <v>4362</v>
      </c>
      <c r="B52" t="s">
        <v>37</v>
      </c>
      <c r="C52" s="6">
        <f>+'[2]Results of Operations'!N52</f>
        <v>115632.74599685206</v>
      </c>
      <c r="D52" s="90">
        <f>+'Cost Allocations'!F52</f>
        <v>0</v>
      </c>
      <c r="F52" s="96">
        <f t="shared" si="5"/>
        <v>0</v>
      </c>
      <c r="G52" s="6">
        <f>+'Cost Allocations'!I52</f>
        <v>26312.88092072662</v>
      </c>
      <c r="I52" s="96">
        <f t="shared" si="6"/>
        <v>26312.88092072662</v>
      </c>
      <c r="J52" s="6">
        <f>+'Cost Allocations'!L52</f>
        <v>89319.86507612544</v>
      </c>
      <c r="L52" s="6">
        <f t="shared" si="7"/>
        <v>89319.86507612544</v>
      </c>
      <c r="O52" s="6">
        <f t="shared" si="3"/>
        <v>0</v>
      </c>
    </row>
    <row r="53" spans="1:15" ht="12.75">
      <c r="A53">
        <v>4363</v>
      </c>
      <c r="B53" t="s">
        <v>38</v>
      </c>
      <c r="C53" s="6">
        <f>+'[2]Results of Operations'!N53</f>
        <v>109081.02</v>
      </c>
      <c r="D53" s="90">
        <f>+'Cost Allocations'!F53</f>
        <v>0</v>
      </c>
      <c r="F53" s="96">
        <f t="shared" si="5"/>
        <v>0</v>
      </c>
      <c r="G53" s="6">
        <f>+'Cost Allocations'!I53</f>
        <v>30482.10153226246</v>
      </c>
      <c r="I53" s="96">
        <f t="shared" si="6"/>
        <v>30482.10153226246</v>
      </c>
      <c r="J53" s="6">
        <f>+'Cost Allocations'!L53</f>
        <v>78598.91846773755</v>
      </c>
      <c r="L53" s="6">
        <f t="shared" si="7"/>
        <v>78598.91846773755</v>
      </c>
      <c r="O53" s="6">
        <f t="shared" si="3"/>
        <v>0</v>
      </c>
    </row>
    <row r="54" spans="1:15" ht="12.75">
      <c r="A54">
        <v>4380</v>
      </c>
      <c r="B54" t="s">
        <v>364</v>
      </c>
      <c r="C54" s="6">
        <f>+'[2]Results of Operations'!N54</f>
        <v>0</v>
      </c>
      <c r="D54" s="90">
        <f>+'Cost Allocations'!F54</f>
        <v>0</v>
      </c>
      <c r="F54" s="96">
        <f>+D54+E54</f>
        <v>0</v>
      </c>
      <c r="G54" s="6">
        <f>+'Cost Allocations'!I54</f>
        <v>0</v>
      </c>
      <c r="I54" s="96">
        <f>+G54+H54</f>
        <v>0</v>
      </c>
      <c r="J54" s="6">
        <f>+'Cost Allocations'!L54</f>
        <v>0</v>
      </c>
      <c r="L54" s="6">
        <f>+J54+K54</f>
        <v>0</v>
      </c>
      <c r="O54" s="6">
        <f>+C54-D54-G54-J54</f>
        <v>0</v>
      </c>
    </row>
    <row r="55" spans="1:15" ht="12.75">
      <c r="A55" t="s">
        <v>13</v>
      </c>
      <c r="C55" s="6"/>
      <c r="D55" s="90"/>
      <c r="F55" s="96"/>
      <c r="G55" s="6"/>
      <c r="I55" s="96"/>
      <c r="J55" s="6"/>
      <c r="L55" s="6"/>
      <c r="O55" s="6">
        <f t="shared" si="3"/>
        <v>0</v>
      </c>
    </row>
    <row r="56" spans="1:15" ht="12.75">
      <c r="A56">
        <v>4430</v>
      </c>
      <c r="B56" t="s">
        <v>39</v>
      </c>
      <c r="C56" s="6">
        <f>+'[2]Results of Operations'!N56</f>
        <v>0</v>
      </c>
      <c r="D56" s="90">
        <f>+'Cost Allocations'!F56</f>
        <v>0</v>
      </c>
      <c r="F56" s="96">
        <f t="shared" si="5"/>
        <v>0</v>
      </c>
      <c r="G56" s="6">
        <f>+'Cost Allocations'!I56</f>
        <v>0</v>
      </c>
      <c r="I56" s="96">
        <f t="shared" si="6"/>
        <v>0</v>
      </c>
      <c r="J56" s="6">
        <f>+'Cost Allocations'!L56</f>
        <v>0</v>
      </c>
      <c r="L56" s="6">
        <f t="shared" si="7"/>
        <v>0</v>
      </c>
      <c r="O56" s="6">
        <f t="shared" si="3"/>
        <v>0</v>
      </c>
    </row>
    <row r="57" spans="1:15" ht="12.75">
      <c r="A57">
        <v>4450</v>
      </c>
      <c r="B57" t="s">
        <v>40</v>
      </c>
      <c r="C57" s="6">
        <f>+'[2]Results of Operations'!N57</f>
        <v>3225</v>
      </c>
      <c r="D57" s="90">
        <f>+'Cost Allocations'!F57</f>
        <v>3225</v>
      </c>
      <c r="F57" s="96">
        <f t="shared" si="5"/>
        <v>3225</v>
      </c>
      <c r="G57" s="6">
        <f>+'Cost Allocations'!I57</f>
        <v>0</v>
      </c>
      <c r="I57" s="96">
        <f t="shared" si="6"/>
        <v>0</v>
      </c>
      <c r="J57" s="6">
        <f>+'Cost Allocations'!L57</f>
        <v>0</v>
      </c>
      <c r="L57" s="6">
        <f t="shared" si="7"/>
        <v>0</v>
      </c>
      <c r="O57" s="6">
        <f t="shared" si="3"/>
        <v>0</v>
      </c>
    </row>
    <row r="58" spans="1:15" ht="12.75">
      <c r="A58" t="s">
        <v>14</v>
      </c>
      <c r="C58" s="6"/>
      <c r="D58" s="90"/>
      <c r="F58" s="96"/>
      <c r="G58" s="6"/>
      <c r="I58" s="96"/>
      <c r="J58" s="6"/>
      <c r="L58" s="6"/>
      <c r="O58" s="6">
        <f t="shared" si="3"/>
        <v>0</v>
      </c>
    </row>
    <row r="59" spans="1:15" ht="12.75">
      <c r="A59">
        <v>4530</v>
      </c>
      <c r="B59" t="s">
        <v>41</v>
      </c>
      <c r="C59" s="6">
        <f>+'[2]Results of Operations'!N59</f>
        <v>36319.526506167145</v>
      </c>
      <c r="D59" s="90">
        <f>+'Cost Allocations'!F59</f>
        <v>28247.012819331034</v>
      </c>
      <c r="F59" s="96">
        <f t="shared" si="5"/>
        <v>28247.012819331034</v>
      </c>
      <c r="G59" s="6">
        <f>+'Cost Allocations'!I59</f>
        <v>2822.7037530282264</v>
      </c>
      <c r="I59" s="96">
        <f t="shared" si="6"/>
        <v>2822.7037530282264</v>
      </c>
      <c r="J59" s="6">
        <f>+'Cost Allocations'!L59</f>
        <v>5249.809933807891</v>
      </c>
      <c r="L59" s="6">
        <f t="shared" si="7"/>
        <v>5249.809933807891</v>
      </c>
      <c r="O59" s="6">
        <f t="shared" si="3"/>
        <v>0</v>
      </c>
    </row>
    <row r="60" spans="1:15" ht="12.75">
      <c r="A60">
        <v>4540</v>
      </c>
      <c r="B60" t="s">
        <v>42</v>
      </c>
      <c r="C60" s="6">
        <f>+'[2]Results of Operations'!N60</f>
        <v>21275.189752642782</v>
      </c>
      <c r="D60" s="90">
        <f>+'Cost Allocations'!F60</f>
        <v>16546.48657312634</v>
      </c>
      <c r="F60" s="96">
        <f t="shared" si="5"/>
        <v>16546.48657312634</v>
      </c>
      <c r="G60" s="6">
        <f>+'Cost Allocations'!I60</f>
        <v>1653.4785482672853</v>
      </c>
      <c r="I60" s="96">
        <f t="shared" si="6"/>
        <v>1653.4785482672853</v>
      </c>
      <c r="J60" s="6">
        <f>+'Cost Allocations'!L60</f>
        <v>3075.2246312491593</v>
      </c>
      <c r="L60" s="6">
        <f t="shared" si="7"/>
        <v>3075.2246312491593</v>
      </c>
      <c r="O60" s="6">
        <f t="shared" si="3"/>
        <v>-4.092726157978177E-12</v>
      </c>
    </row>
    <row r="61" spans="1:15" ht="12.75">
      <c r="A61">
        <v>4580</v>
      </c>
      <c r="B61" t="s">
        <v>43</v>
      </c>
      <c r="C61" s="6">
        <f>+'[2]Results of Operations'!N61</f>
        <v>0</v>
      </c>
      <c r="D61" s="90">
        <f>+'Cost Allocations'!F61</f>
        <v>0</v>
      </c>
      <c r="F61" s="96">
        <f t="shared" si="5"/>
        <v>0</v>
      </c>
      <c r="G61" s="6">
        <f>+'Cost Allocations'!I61</f>
        <v>0</v>
      </c>
      <c r="I61" s="96">
        <f t="shared" si="6"/>
        <v>0</v>
      </c>
      <c r="J61" s="6">
        <f>+'Cost Allocations'!L61</f>
        <v>0</v>
      </c>
      <c r="L61" s="6">
        <f t="shared" si="7"/>
        <v>0</v>
      </c>
      <c r="O61" s="6">
        <f t="shared" si="3"/>
        <v>0</v>
      </c>
    </row>
    <row r="62" spans="1:15" ht="12.75">
      <c r="A62" t="s">
        <v>17</v>
      </c>
      <c r="C62" s="6"/>
      <c r="D62" s="90"/>
      <c r="F62" s="96"/>
      <c r="G62" s="6"/>
      <c r="I62" s="96"/>
      <c r="J62" s="6"/>
      <c r="L62" s="6"/>
      <c r="O62" s="6">
        <f t="shared" si="3"/>
        <v>0</v>
      </c>
    </row>
    <row r="63" spans="1:15" ht="12.75">
      <c r="A63">
        <v>4611</v>
      </c>
      <c r="B63" t="s">
        <v>44</v>
      </c>
      <c r="C63" s="6">
        <f>+'[2]Results of Operations'!N63</f>
        <v>63826.53374999999</v>
      </c>
      <c r="D63" s="90">
        <f>+'Cost Allocations'!F63</f>
        <v>45678.31050982679</v>
      </c>
      <c r="F63" s="96">
        <f t="shared" si="5"/>
        <v>45678.31050982679</v>
      </c>
      <c r="G63" s="6">
        <f>+'Cost Allocations'!I63</f>
        <v>5963.2447923871605</v>
      </c>
      <c r="I63" s="96">
        <f t="shared" si="6"/>
        <v>5963.2447923871605</v>
      </c>
      <c r="J63" s="6">
        <f>+'Cost Allocations'!L63</f>
        <v>12184.978447786032</v>
      </c>
      <c r="L63" s="6">
        <f t="shared" si="7"/>
        <v>12184.978447786032</v>
      </c>
      <c r="O63" s="6">
        <f t="shared" si="3"/>
        <v>0</v>
      </c>
    </row>
    <row r="64" spans="1:15" ht="12.75">
      <c r="A64">
        <v>4612</v>
      </c>
      <c r="B64" t="s">
        <v>45</v>
      </c>
      <c r="C64" s="6">
        <f>+'[2]Results of Operations'!N64</f>
        <v>53684.9194</v>
      </c>
      <c r="D64" s="90">
        <f>+'Cost Allocations'!F64</f>
        <v>38420.328881610694</v>
      </c>
      <c r="F64" s="96">
        <f t="shared" si="5"/>
        <v>38420.328881610694</v>
      </c>
      <c r="G64" s="6">
        <f>+'Cost Allocations'!I64</f>
        <v>5015.724609074114</v>
      </c>
      <c r="I64" s="96">
        <f t="shared" si="6"/>
        <v>5015.724609074114</v>
      </c>
      <c r="J64" s="6">
        <f>+'Cost Allocations'!L64</f>
        <v>10248.86590931519</v>
      </c>
      <c r="L64" s="6">
        <f t="shared" si="7"/>
        <v>10248.86590931519</v>
      </c>
      <c r="O64" s="6">
        <f t="shared" si="3"/>
        <v>0</v>
      </c>
    </row>
    <row r="65" spans="1:15" ht="12.75">
      <c r="A65">
        <v>4613</v>
      </c>
      <c r="B65" t="s">
        <v>46</v>
      </c>
      <c r="C65" s="6">
        <f>+'[2]Results of Operations'!N65</f>
        <v>76874.86642499999</v>
      </c>
      <c r="D65" s="90">
        <f>+'Cost Allocations'!F65</f>
        <v>55016.523891407596</v>
      </c>
      <c r="F65" s="96">
        <f t="shared" si="5"/>
        <v>55016.523891407596</v>
      </c>
      <c r="G65" s="6">
        <f>+'Cost Allocations'!I65</f>
        <v>7182.336560370393</v>
      </c>
      <c r="I65" s="96">
        <f t="shared" si="6"/>
        <v>7182.336560370393</v>
      </c>
      <c r="J65" s="6">
        <f>+'Cost Allocations'!L65</f>
        <v>14676.005973221992</v>
      </c>
      <c r="L65" s="6">
        <f t="shared" si="7"/>
        <v>14676.005973221992</v>
      </c>
      <c r="O65" s="6">
        <f t="shared" si="3"/>
        <v>0</v>
      </c>
    </row>
    <row r="66" spans="1:15" ht="12.75">
      <c r="A66">
        <v>4620</v>
      </c>
      <c r="B66" t="s">
        <v>47</v>
      </c>
      <c r="C66" s="6">
        <f>+'[2]Results of Operations'!N66</f>
        <v>14746.110224999997</v>
      </c>
      <c r="D66" s="90">
        <f>+'Cost Allocations'!F66</f>
        <v>10553.250538529861</v>
      </c>
      <c r="F66" s="96">
        <f t="shared" si="5"/>
        <v>10553.250538529861</v>
      </c>
      <c r="G66" s="6">
        <f>+'Cost Allocations'!I66</f>
        <v>1377.7133088822688</v>
      </c>
      <c r="I66" s="96">
        <f t="shared" si="6"/>
        <v>1377.7133088822688</v>
      </c>
      <c r="J66" s="6">
        <f>+'Cost Allocations'!L66</f>
        <v>2815.146377587867</v>
      </c>
      <c r="L66" s="6">
        <f t="shared" si="7"/>
        <v>2815.146377587867</v>
      </c>
      <c r="O66" s="6">
        <f t="shared" si="3"/>
        <v>0</v>
      </c>
    </row>
    <row r="67" spans="1:15" ht="12.75">
      <c r="A67">
        <v>4622</v>
      </c>
      <c r="B67" t="s">
        <v>48</v>
      </c>
      <c r="C67" s="6">
        <f>+'[2]Results of Operations'!N67</f>
        <v>0</v>
      </c>
      <c r="D67" s="90">
        <f>+'Cost Allocations'!F67</f>
        <v>0</v>
      </c>
      <c r="F67" s="96">
        <f t="shared" si="5"/>
        <v>0</v>
      </c>
      <c r="G67" s="6">
        <f>+'Cost Allocations'!I67</f>
        <v>0</v>
      </c>
      <c r="I67" s="96">
        <f t="shared" si="6"/>
        <v>0</v>
      </c>
      <c r="J67" s="6">
        <f>+'Cost Allocations'!L67</f>
        <v>0</v>
      </c>
      <c r="L67" s="6">
        <f t="shared" si="7"/>
        <v>0</v>
      </c>
      <c r="O67" s="6">
        <f t="shared" si="3"/>
        <v>0</v>
      </c>
    </row>
    <row r="68" spans="1:15" ht="12.75">
      <c r="A68">
        <v>4624</v>
      </c>
      <c r="B68" t="s">
        <v>49</v>
      </c>
      <c r="C68" s="6">
        <f>+'[2]Results of Operations'!N68</f>
        <v>451.8682</v>
      </c>
      <c r="D68" s="90">
        <f>+'Cost Allocations'!F68</f>
        <v>323.385506566327</v>
      </c>
      <c r="F68" s="96">
        <f t="shared" si="5"/>
        <v>323.385506566327</v>
      </c>
      <c r="G68" s="6">
        <f>+'Cost Allocations'!I68</f>
        <v>42.2175626997034</v>
      </c>
      <c r="I68" s="96">
        <f t="shared" si="6"/>
        <v>42.2175626997034</v>
      </c>
      <c r="J68" s="6">
        <f>+'Cost Allocations'!L68</f>
        <v>86.26513073396954</v>
      </c>
      <c r="L68" s="6">
        <f t="shared" si="7"/>
        <v>86.26513073396954</v>
      </c>
      <c r="O68" s="6">
        <f t="shared" si="3"/>
        <v>0</v>
      </c>
    </row>
    <row r="69" spans="1:15" ht="12.75">
      <c r="A69">
        <v>4625</v>
      </c>
      <c r="B69" t="s">
        <v>50</v>
      </c>
      <c r="C69" s="6">
        <f>+'[2]Results of Operations'!N69</f>
        <v>5304.7008</v>
      </c>
      <c r="D69" s="90">
        <f>+'Cost Allocations'!F69</f>
        <v>3796.3799076606856</v>
      </c>
      <c r="F69" s="96">
        <f t="shared" si="5"/>
        <v>3796.3799076606856</v>
      </c>
      <c r="G69" s="6">
        <f>+'Cost Allocations'!I69</f>
        <v>495.61252291523675</v>
      </c>
      <c r="I69" s="96">
        <f t="shared" si="6"/>
        <v>495.61252291523675</v>
      </c>
      <c r="J69" s="6">
        <f>+'Cost Allocations'!L69</f>
        <v>1012.7083694240772</v>
      </c>
      <c r="L69" s="6">
        <f t="shared" si="7"/>
        <v>1012.7083694240772</v>
      </c>
      <c r="O69" s="6">
        <f t="shared" si="3"/>
        <v>0</v>
      </c>
    </row>
    <row r="70" spans="1:15" ht="12.75">
      <c r="A70">
        <v>4627</v>
      </c>
      <c r="B70" t="s">
        <v>51</v>
      </c>
      <c r="C70" s="6">
        <f>+'[2]Results of Operations'!N70</f>
        <v>7593.205375000001</v>
      </c>
      <c r="D70" s="90">
        <f>+'Cost Allocations'!F70</f>
        <v>5434.178742068003</v>
      </c>
      <c r="F70" s="96">
        <f t="shared" si="5"/>
        <v>5434.178742068003</v>
      </c>
      <c r="G70" s="6">
        <f>+'Cost Allocations'!I70</f>
        <v>709.4250580385773</v>
      </c>
      <c r="I70" s="96">
        <f t="shared" si="6"/>
        <v>709.4250580385773</v>
      </c>
      <c r="J70" s="6">
        <f>+'Cost Allocations'!L70</f>
        <v>1449.601574893421</v>
      </c>
      <c r="L70" s="6">
        <f t="shared" si="7"/>
        <v>1449.601574893421</v>
      </c>
      <c r="O70" s="6">
        <f t="shared" si="3"/>
        <v>0</v>
      </c>
    </row>
    <row r="71" spans="1:15" ht="12.75">
      <c r="A71">
        <v>4630</v>
      </c>
      <c r="B71" t="s">
        <v>52</v>
      </c>
      <c r="C71" s="6">
        <f>+'[2]Results of Operations'!N71</f>
        <v>377.29999999999995</v>
      </c>
      <c r="D71" s="90">
        <f>+'Cost Allocations'!F71</f>
        <v>270.0197792796111</v>
      </c>
      <c r="F71" s="96">
        <f t="shared" si="5"/>
        <v>270.0197792796111</v>
      </c>
      <c r="G71" s="6">
        <f>+'Cost Allocations'!I71</f>
        <v>35.250735516679626</v>
      </c>
      <c r="I71" s="96">
        <f t="shared" si="6"/>
        <v>35.250735516679626</v>
      </c>
      <c r="J71" s="6">
        <f>+'Cost Allocations'!L71</f>
        <v>72.02948520370919</v>
      </c>
      <c r="L71" s="6">
        <f t="shared" si="7"/>
        <v>72.02948520370919</v>
      </c>
      <c r="O71" s="6">
        <f t="shared" si="3"/>
        <v>0</v>
      </c>
    </row>
    <row r="72" spans="1:15" ht="12.75">
      <c r="A72">
        <v>4640</v>
      </c>
      <c r="B72" t="s">
        <v>53</v>
      </c>
      <c r="C72" s="6">
        <f>+'[2]Results of Operations'!N72</f>
        <v>11326.468825</v>
      </c>
      <c r="D72" s="90">
        <f>+'Cost Allocations'!F72</f>
        <v>8105.938542655438</v>
      </c>
      <c r="F72" s="96">
        <f t="shared" si="5"/>
        <v>8105.938542655438</v>
      </c>
      <c r="G72" s="6">
        <f>+'Cost Allocations'!I72</f>
        <v>1058.219869833003</v>
      </c>
      <c r="I72" s="96">
        <f t="shared" si="6"/>
        <v>1058.219869833003</v>
      </c>
      <c r="J72" s="6">
        <f>+'Cost Allocations'!L72</f>
        <v>2162.3104125115583</v>
      </c>
      <c r="L72" s="6">
        <f t="shared" si="7"/>
        <v>2162.3104125115583</v>
      </c>
      <c r="O72" s="6">
        <f t="shared" si="3"/>
        <v>0</v>
      </c>
    </row>
    <row r="73" spans="1:15" ht="12.75">
      <c r="A73">
        <v>4650</v>
      </c>
      <c r="B73" t="s">
        <v>54</v>
      </c>
      <c r="C73" s="6">
        <f>+'[2]Results of Operations'!N73</f>
        <v>83781.59999999998</v>
      </c>
      <c r="D73" s="90">
        <f>+'Cost Allocations'!F73</f>
        <v>59959.41993027475</v>
      </c>
      <c r="F73" s="96">
        <f t="shared" si="5"/>
        <v>59959.41993027475</v>
      </c>
      <c r="G73" s="6">
        <f>+'Cost Allocations'!I73</f>
        <v>7827.625292245548</v>
      </c>
      <c r="I73" s="96">
        <f t="shared" si="6"/>
        <v>7827.625292245548</v>
      </c>
      <c r="J73" s="6">
        <f>+'Cost Allocations'!L73</f>
        <v>15994.554777479674</v>
      </c>
      <c r="L73" s="6">
        <f t="shared" si="7"/>
        <v>15994.554777479674</v>
      </c>
      <c r="O73" s="6">
        <f t="shared" si="3"/>
        <v>0</v>
      </c>
    </row>
    <row r="74" spans="1:15" ht="12.75">
      <c r="A74">
        <v>4652</v>
      </c>
      <c r="B74" t="s">
        <v>55</v>
      </c>
      <c r="C74" s="6">
        <f>+'[2]Results of Operations'!N74</f>
        <v>9388.93375</v>
      </c>
      <c r="D74" s="90">
        <f>+'Cost Allocations'!F74</f>
        <v>6719.315713877265</v>
      </c>
      <c r="F74" s="96">
        <f t="shared" si="5"/>
        <v>6719.315713877265</v>
      </c>
      <c r="G74" s="6">
        <f>+'Cost Allocations'!I74</f>
        <v>877.1980397690884</v>
      </c>
      <c r="I74" s="96">
        <f t="shared" si="6"/>
        <v>877.1980397690884</v>
      </c>
      <c r="J74" s="6">
        <f>+'Cost Allocations'!L74</f>
        <v>1792.4199963536466</v>
      </c>
      <c r="L74" s="6">
        <f t="shared" si="7"/>
        <v>1792.4199963536466</v>
      </c>
      <c r="O74" s="6">
        <f t="shared" si="3"/>
        <v>0</v>
      </c>
    </row>
    <row r="75" spans="1:15" ht="12.75">
      <c r="A75">
        <v>4660</v>
      </c>
      <c r="B75" t="s">
        <v>56</v>
      </c>
      <c r="C75" s="6">
        <f>+'[2]Results of Operations'!N75</f>
        <v>0</v>
      </c>
      <c r="D75" s="90">
        <f>+'Cost Allocations'!F75</f>
        <v>0</v>
      </c>
      <c r="F75" s="96">
        <f t="shared" si="5"/>
        <v>0</v>
      </c>
      <c r="G75" s="6">
        <f>+'Cost Allocations'!I75</f>
        <v>0</v>
      </c>
      <c r="I75" s="96">
        <f t="shared" si="6"/>
        <v>0</v>
      </c>
      <c r="J75" s="6">
        <f>+'Cost Allocations'!L75</f>
        <v>0</v>
      </c>
      <c r="L75" s="6">
        <f t="shared" si="7"/>
        <v>0</v>
      </c>
      <c r="O75" s="6">
        <f t="shared" si="3"/>
        <v>0</v>
      </c>
    </row>
    <row r="76" spans="1:15" ht="12.75">
      <c r="A76">
        <v>4670</v>
      </c>
      <c r="B76" t="s">
        <v>57</v>
      </c>
      <c r="C76" s="6">
        <f>+'[2]Results of Operations'!N76</f>
        <v>0</v>
      </c>
      <c r="D76" s="90">
        <f>+'Cost Allocations'!F76</f>
        <v>0</v>
      </c>
      <c r="F76" s="96">
        <f t="shared" si="5"/>
        <v>0</v>
      </c>
      <c r="G76" s="6">
        <f>+'Cost Allocations'!I76</f>
        <v>0</v>
      </c>
      <c r="I76" s="96">
        <f t="shared" si="6"/>
        <v>0</v>
      </c>
      <c r="J76" s="6">
        <f>+'Cost Allocations'!L76</f>
        <v>0</v>
      </c>
      <c r="L76" s="6">
        <f t="shared" si="7"/>
        <v>0</v>
      </c>
      <c r="O76" s="6">
        <f t="shared" si="3"/>
        <v>0</v>
      </c>
    </row>
    <row r="77" spans="1:15" ht="12.75">
      <c r="A77">
        <v>4680</v>
      </c>
      <c r="B77" t="s">
        <v>58</v>
      </c>
      <c r="C77" s="6">
        <f>+'[2]Results of Operations'!N77</f>
        <v>10875.83</v>
      </c>
      <c r="D77" s="90">
        <f>+'Cost Allocations'!F77</f>
        <v>7339.861930654139</v>
      </c>
      <c r="F77" s="96">
        <f t="shared" si="5"/>
        <v>7339.861930654139</v>
      </c>
      <c r="G77" s="6">
        <f>+'Cost Allocations'!I77</f>
        <v>875.352346133404</v>
      </c>
      <c r="I77" s="96">
        <f t="shared" si="6"/>
        <v>875.352346133404</v>
      </c>
      <c r="J77" s="6">
        <f>+'Cost Allocations'!L77</f>
        <v>2660.6157232124583</v>
      </c>
      <c r="L77" s="6">
        <f t="shared" si="7"/>
        <v>2660.6157232124583</v>
      </c>
      <c r="O77" s="6">
        <f t="shared" si="3"/>
        <v>0</v>
      </c>
    </row>
    <row r="78" spans="1:15" ht="12.75">
      <c r="A78">
        <v>4692</v>
      </c>
      <c r="B78" t="s">
        <v>59</v>
      </c>
      <c r="C78" s="6">
        <f>+'[2]Results of Operations'!N78</f>
        <v>11278.303049999999</v>
      </c>
      <c r="D78" s="90">
        <f>+'Cost Allocations'!F78</f>
        <v>8071.468063105129</v>
      </c>
      <c r="F78" s="96">
        <f t="shared" si="5"/>
        <v>8071.468063105129</v>
      </c>
      <c r="G78" s="6">
        <f>+'Cost Allocations'!I78</f>
        <v>1053.719792983067</v>
      </c>
      <c r="I78" s="96">
        <f t="shared" si="6"/>
        <v>1053.719792983067</v>
      </c>
      <c r="J78" s="6">
        <f>+'Cost Allocations'!L78</f>
        <v>2153.1151939118026</v>
      </c>
      <c r="L78" s="6">
        <f t="shared" si="7"/>
        <v>2153.1151939118026</v>
      </c>
      <c r="O78" s="6">
        <f t="shared" si="3"/>
        <v>0</v>
      </c>
    </row>
    <row r="79" spans="1:15" ht="12.75">
      <c r="A79">
        <v>4694</v>
      </c>
      <c r="B79" t="s">
        <v>60</v>
      </c>
      <c r="C79" s="6">
        <f>+'[2]Results of Operations'!N79</f>
        <v>0</v>
      </c>
      <c r="D79" s="90">
        <f>+'Cost Allocations'!F79</f>
        <v>0</v>
      </c>
      <c r="F79" s="96">
        <f t="shared" si="5"/>
        <v>0</v>
      </c>
      <c r="G79" s="6">
        <f>+'Cost Allocations'!I79</f>
        <v>0</v>
      </c>
      <c r="I79" s="96">
        <f t="shared" si="6"/>
        <v>0</v>
      </c>
      <c r="J79" s="6">
        <f>+'Cost Allocations'!L79</f>
        <v>0</v>
      </c>
      <c r="L79" s="6">
        <f t="shared" si="7"/>
        <v>0</v>
      </c>
      <c r="O79" s="6">
        <f t="shared" si="3"/>
        <v>0</v>
      </c>
    </row>
    <row r="80" spans="1:15" ht="12.75">
      <c r="A80">
        <v>4698</v>
      </c>
      <c r="B80" t="s">
        <v>61</v>
      </c>
      <c r="C80" s="6">
        <f>+'[2]Results of Operations'!N80</f>
        <v>223.29999999999998</v>
      </c>
      <c r="D80" s="90">
        <f>+'Cost Allocations'!F80</f>
        <v>159.8076244716066</v>
      </c>
      <c r="F80" s="96">
        <f t="shared" si="5"/>
        <v>159.8076244716066</v>
      </c>
      <c r="G80" s="6">
        <f>+'Cost Allocations'!I80</f>
        <v>20.862680203749168</v>
      </c>
      <c r="I80" s="96">
        <f t="shared" si="6"/>
        <v>20.862680203749168</v>
      </c>
      <c r="J80" s="6">
        <f>+'Cost Allocations'!L80</f>
        <v>42.62969532464422</v>
      </c>
      <c r="L80" s="6">
        <f t="shared" si="7"/>
        <v>42.62969532464422</v>
      </c>
      <c r="O80" s="6">
        <f t="shared" si="3"/>
        <v>0</v>
      </c>
    </row>
    <row r="81" spans="1:15" ht="12.75">
      <c r="A81" t="s">
        <v>18</v>
      </c>
      <c r="C81" s="6"/>
      <c r="D81" s="90"/>
      <c r="F81" s="96"/>
      <c r="G81" s="6"/>
      <c r="I81" s="96"/>
      <c r="J81" s="6"/>
      <c r="L81" s="6"/>
      <c r="O81" s="6">
        <f t="shared" si="3"/>
        <v>0</v>
      </c>
    </row>
    <row r="82" spans="1:15" ht="12.75">
      <c r="A82">
        <v>5010</v>
      </c>
      <c r="B82" t="s">
        <v>62</v>
      </c>
      <c r="C82" s="6">
        <f>+'[2]Results of Operations'!N82</f>
        <v>163708.12378313148</v>
      </c>
      <c r="D82" s="90">
        <f>+'Cost Allocations'!F82</f>
        <v>120543.1263595103</v>
      </c>
      <c r="F82" s="96">
        <f t="shared" si="5"/>
        <v>120543.1263595103</v>
      </c>
      <c r="G82" s="6">
        <f>+'Cost Allocations'!I82</f>
        <v>13768.290555680787</v>
      </c>
      <c r="I82" s="96">
        <f t="shared" si="6"/>
        <v>13768.290555680787</v>
      </c>
      <c r="J82" s="6">
        <f>+'Cost Allocations'!L82</f>
        <v>29396.706867940404</v>
      </c>
      <c r="L82" s="6">
        <f t="shared" si="7"/>
        <v>29396.706867940404</v>
      </c>
      <c r="O82" s="6">
        <f t="shared" si="3"/>
        <v>0</v>
      </c>
    </row>
    <row r="83" spans="1:15" ht="12.75">
      <c r="A83">
        <v>5100</v>
      </c>
      <c r="B83" t="s">
        <v>63</v>
      </c>
      <c r="C83" s="6">
        <f>+'[2]Results of Operations'!N83</f>
        <v>-9784.580954010182</v>
      </c>
      <c r="D83" s="90">
        <f>+'Cost Allocations'!F83</f>
        <v>-7204.675926019252</v>
      </c>
      <c r="F83" s="96">
        <f t="shared" si="5"/>
        <v>-7204.675926019252</v>
      </c>
      <c r="G83" s="6">
        <f>+'Cost Allocations'!I83</f>
        <v>-822.9093976964493</v>
      </c>
      <c r="I83" s="96">
        <f t="shared" si="6"/>
        <v>-822.9093976964493</v>
      </c>
      <c r="J83" s="6">
        <f>+'Cost Allocations'!L83</f>
        <v>-1756.9956302944809</v>
      </c>
      <c r="L83" s="6">
        <f t="shared" si="7"/>
        <v>-1756.9956302944809</v>
      </c>
      <c r="O83" s="6">
        <f t="shared" si="3"/>
        <v>0</v>
      </c>
    </row>
    <row r="84" spans="1:15" ht="12.75">
      <c r="A84" t="s">
        <v>19</v>
      </c>
      <c r="C84" s="6"/>
      <c r="D84" s="90"/>
      <c r="F84" s="96"/>
      <c r="G84" s="6"/>
      <c r="I84" s="96"/>
      <c r="J84" s="6"/>
      <c r="L84" s="6"/>
      <c r="O84" s="6">
        <f t="shared" si="3"/>
        <v>0</v>
      </c>
    </row>
    <row r="85" spans="1:15" ht="12.75">
      <c r="A85">
        <v>5151</v>
      </c>
      <c r="B85" t="s">
        <v>64</v>
      </c>
      <c r="C85" s="6">
        <f>+'[2]Results of Operations'!N85</f>
        <v>0</v>
      </c>
      <c r="D85" s="90">
        <f>+'Cost Allocations'!F85</f>
        <v>0</v>
      </c>
      <c r="F85" s="96">
        <f t="shared" si="5"/>
        <v>0</v>
      </c>
      <c r="G85" s="6">
        <f>+'Cost Allocations'!I85</f>
        <v>0</v>
      </c>
      <c r="I85" s="96">
        <f t="shared" si="6"/>
        <v>0</v>
      </c>
      <c r="J85" s="6">
        <f>+'Cost Allocations'!L85</f>
        <v>0</v>
      </c>
      <c r="L85" s="6">
        <f t="shared" si="7"/>
        <v>0</v>
      </c>
      <c r="O85" s="6">
        <f t="shared" si="3"/>
        <v>0</v>
      </c>
    </row>
    <row r="86" spans="1:15" ht="12.75">
      <c r="A86" t="s">
        <v>20</v>
      </c>
      <c r="C86" s="6"/>
      <c r="D86" s="90"/>
      <c r="F86" s="96"/>
      <c r="G86" s="6"/>
      <c r="I86" s="96"/>
      <c r="J86" s="6"/>
      <c r="L86" s="6"/>
      <c r="O86" s="6">
        <f t="shared" si="3"/>
        <v>0</v>
      </c>
    </row>
    <row r="87" spans="1:15" ht="12.75">
      <c r="A87">
        <v>5220</v>
      </c>
      <c r="B87" t="s">
        <v>65</v>
      </c>
      <c r="C87" s="6">
        <f>+'[2]Results of Operations'!N87</f>
        <v>4157.704797456368</v>
      </c>
      <c r="D87" s="90">
        <f>+'Cost Allocations'!F87</f>
        <v>3233.5977918875706</v>
      </c>
      <c r="F87" s="96">
        <f t="shared" si="5"/>
        <v>3233.5977918875706</v>
      </c>
      <c r="G87" s="6">
        <f>+'Cost Allocations'!I87</f>
        <v>323.1311105823683</v>
      </c>
      <c r="I87" s="96">
        <f t="shared" si="6"/>
        <v>323.1311105823683</v>
      </c>
      <c r="J87" s="6">
        <f>+'Cost Allocations'!L87</f>
        <v>600.97589498643</v>
      </c>
      <c r="L87" s="6">
        <f t="shared" si="7"/>
        <v>600.97589498643</v>
      </c>
      <c r="O87" s="6">
        <f t="shared" si="3"/>
        <v>0</v>
      </c>
    </row>
    <row r="88" spans="1:15" ht="12.75">
      <c r="A88">
        <v>5230</v>
      </c>
      <c r="B88" t="s">
        <v>66</v>
      </c>
      <c r="C88" s="6">
        <f>+'[2]Results of Operations'!N88</f>
        <v>2123.8568780487803</v>
      </c>
      <c r="D88" s="90">
        <f>+'Cost Allocations'!F88</f>
        <v>1718.2002143414634</v>
      </c>
      <c r="F88" s="96">
        <f t="shared" si="5"/>
        <v>1718.2002143414634</v>
      </c>
      <c r="G88" s="6">
        <f>+'Cost Allocations'!I88</f>
        <v>97.69741639024389</v>
      </c>
      <c r="I88" s="96">
        <f t="shared" si="6"/>
        <v>97.69741639024389</v>
      </c>
      <c r="J88" s="6">
        <f>+'Cost Allocations'!L88</f>
        <v>307.9592473170731</v>
      </c>
      <c r="L88" s="6">
        <f t="shared" si="7"/>
        <v>307.9592473170731</v>
      </c>
      <c r="O88" s="6">
        <f t="shared" si="3"/>
        <v>0</v>
      </c>
    </row>
    <row r="89" spans="1:15" ht="12.75">
      <c r="A89">
        <v>5240</v>
      </c>
      <c r="B89" t="s">
        <v>67</v>
      </c>
      <c r="C89" s="6">
        <f>+'[2]Results of Operations'!N89</f>
        <v>41064.37212276386</v>
      </c>
      <c r="D89" s="90">
        <f>+'Cost Allocations'!F89</f>
        <v>31937.25131775958</v>
      </c>
      <c r="F89" s="96">
        <f t="shared" si="5"/>
        <v>31937.25131775958</v>
      </c>
      <c r="G89" s="6">
        <f>+'Cost Allocations'!I89</f>
        <v>3191.466642247965</v>
      </c>
      <c r="I89" s="96">
        <f t="shared" si="6"/>
        <v>3191.466642247965</v>
      </c>
      <c r="J89" s="6">
        <f>+'Cost Allocations'!L89</f>
        <v>5935.654162756321</v>
      </c>
      <c r="L89" s="6">
        <f t="shared" si="7"/>
        <v>5935.654162756321</v>
      </c>
      <c r="O89" s="6">
        <f t="shared" si="3"/>
        <v>0</v>
      </c>
    </row>
    <row r="90" spans="1:15" ht="12.75">
      <c r="A90">
        <v>5241</v>
      </c>
      <c r="B90" t="s">
        <v>68</v>
      </c>
      <c r="C90" s="6">
        <f>+'[2]Results of Operations'!N90</f>
        <v>516.6831988022273</v>
      </c>
      <c r="D90" s="90">
        <f>+'Cost Allocations'!F90</f>
        <v>401.84326019837437</v>
      </c>
      <c r="F90" s="96">
        <f t="shared" si="5"/>
        <v>401.84326019837437</v>
      </c>
      <c r="G90" s="6">
        <f>+'Cost Allocations'!I90</f>
        <v>40.15590908482876</v>
      </c>
      <c r="I90" s="96">
        <f t="shared" si="6"/>
        <v>40.15590908482876</v>
      </c>
      <c r="J90" s="6">
        <f>+'Cost Allocations'!L90</f>
        <v>74.68402951902424</v>
      </c>
      <c r="L90" s="6">
        <f t="shared" si="7"/>
        <v>74.68402951902424</v>
      </c>
      <c r="O90" s="6">
        <f t="shared" si="3"/>
        <v>0</v>
      </c>
    </row>
    <row r="91" spans="1:15" ht="12.75">
      <c r="A91">
        <v>5242</v>
      </c>
      <c r="B91" t="s">
        <v>69</v>
      </c>
      <c r="C91" s="6">
        <f>+'[2]Results of Operations'!N91</f>
        <v>511.0660604106089</v>
      </c>
      <c r="D91" s="90">
        <f>+'Cost Allocations'!F91</f>
        <v>397.47460797684664</v>
      </c>
      <c r="F91" s="96">
        <f t="shared" si="5"/>
        <v>397.47460797684664</v>
      </c>
      <c r="G91" s="6">
        <f>+'Cost Allocations'!I91</f>
        <v>39.71935279831968</v>
      </c>
      <c r="I91" s="96">
        <f t="shared" si="6"/>
        <v>39.71935279831968</v>
      </c>
      <c r="J91" s="6">
        <f>+'Cost Allocations'!L91</f>
        <v>73.87209963544261</v>
      </c>
      <c r="L91" s="6">
        <f t="shared" si="7"/>
        <v>73.87209963544261</v>
      </c>
      <c r="O91" s="6">
        <f aca="true" t="shared" si="8" ref="O91:O105">+C91-D91-G91-J91</f>
        <v>0</v>
      </c>
    </row>
    <row r="92" spans="1:15" ht="12.75">
      <c r="A92">
        <v>5260</v>
      </c>
      <c r="B92" t="s">
        <v>70</v>
      </c>
      <c r="C92" s="6">
        <f>+'[2]Results of Operations'!N92</f>
        <v>32525.655411591222</v>
      </c>
      <c r="D92" s="90">
        <f>+'Cost Allocations'!F92</f>
        <v>21950.859835535604</v>
      </c>
      <c r="E92" s="45">
        <f>+E21*'[1]General Data'!$E$10</f>
        <v>1780.7517</v>
      </c>
      <c r="F92" s="96">
        <f t="shared" si="5"/>
        <v>23731.611535535605</v>
      </c>
      <c r="G92" s="6">
        <f>+'Cost Allocations'!I92</f>
        <v>2617.8607769763803</v>
      </c>
      <c r="H92" s="45">
        <f>+H21*'[1]General Data'!$E$10</f>
        <v>314.4206877974132</v>
      </c>
      <c r="I92" s="96">
        <f t="shared" si="6"/>
        <v>2932.2814647737937</v>
      </c>
      <c r="J92" s="6">
        <f>+'Cost Allocations'!L92</f>
        <v>7956.934799079242</v>
      </c>
      <c r="K92" s="45">
        <f>+K21*'[1]General Data'!$E$10</f>
        <v>-1584.9863811021248</v>
      </c>
      <c r="L92" s="6">
        <f t="shared" si="7"/>
        <v>6371.948417977117</v>
      </c>
      <c r="O92" s="6">
        <f t="shared" si="8"/>
        <v>0</v>
      </c>
    </row>
    <row r="93" spans="1:15" ht="12.75">
      <c r="A93">
        <v>5270</v>
      </c>
      <c r="B93" t="s">
        <v>71</v>
      </c>
      <c r="C93" s="6">
        <f>+'[2]Results of Operations'!N93</f>
        <v>11534.289999999999</v>
      </c>
      <c r="D93" s="90">
        <f>+'Cost Allocations'!F93</f>
        <v>0</v>
      </c>
      <c r="F93" s="96">
        <f t="shared" si="5"/>
        <v>0</v>
      </c>
      <c r="G93" s="6">
        <f>+'Cost Allocations'!I93</f>
        <v>11534.289999999999</v>
      </c>
      <c r="I93" s="96">
        <f t="shared" si="6"/>
        <v>11534.289999999999</v>
      </c>
      <c r="J93" s="6">
        <f>+'Cost Allocations'!L93</f>
        <v>0</v>
      </c>
      <c r="L93" s="6">
        <f t="shared" si="7"/>
        <v>0</v>
      </c>
      <c r="O93" s="6">
        <f t="shared" si="8"/>
        <v>0</v>
      </c>
    </row>
    <row r="94" spans="1:15" ht="12.75">
      <c r="A94">
        <v>5290</v>
      </c>
      <c r="B94" t="s">
        <v>72</v>
      </c>
      <c r="C94" s="6">
        <f>+'[2]Results of Operations'!N94</f>
        <v>1045.1444086186602</v>
      </c>
      <c r="D94" s="90">
        <f>+'Cost Allocations'!F94</f>
        <v>812.8467066686704</v>
      </c>
      <c r="F94" s="96">
        <f t="shared" si="5"/>
        <v>812.8467066686704</v>
      </c>
      <c r="G94" s="6">
        <f>+'Cost Allocations'!I94</f>
        <v>81.22718902085407</v>
      </c>
      <c r="I94" s="96">
        <f t="shared" si="6"/>
        <v>81.22718902085407</v>
      </c>
      <c r="J94" s="6">
        <f>+'Cost Allocations'!L94</f>
        <v>151.07051292913584</v>
      </c>
      <c r="L94" s="6">
        <f t="shared" si="7"/>
        <v>151.07051292913584</v>
      </c>
      <c r="O94" s="6">
        <f t="shared" si="8"/>
        <v>0</v>
      </c>
    </row>
    <row r="95" spans="1:15" ht="12.75">
      <c r="A95" t="s">
        <v>21</v>
      </c>
      <c r="C95" s="6"/>
      <c r="D95" s="90"/>
      <c r="F95" s="96"/>
      <c r="G95" s="6"/>
      <c r="I95" s="96"/>
      <c r="J95" s="6"/>
      <c r="L95" s="6"/>
      <c r="O95" s="6">
        <f t="shared" si="8"/>
        <v>0</v>
      </c>
    </row>
    <row r="96" spans="1:15" ht="12.75">
      <c r="A96">
        <v>5320</v>
      </c>
      <c r="B96" t="s">
        <v>73</v>
      </c>
      <c r="C96" s="6">
        <f>+'[2]Results of Operations'!N96</f>
        <v>70876.75</v>
      </c>
      <c r="D96" s="90">
        <f>+'Cost Allocations'!F96</f>
        <v>50723.89183953401</v>
      </c>
      <c r="F96" s="96">
        <f>+D96+E96</f>
        <v>50723.89183953401</v>
      </c>
      <c r="G96" s="6">
        <f>+'Cost Allocations'!I96</f>
        <v>6621.938957147689</v>
      </c>
      <c r="I96" s="96">
        <f>+G96+H96</f>
        <v>6621.938957147689</v>
      </c>
      <c r="J96" s="6">
        <f>+'Cost Allocations'!L96</f>
        <v>13530.919203318303</v>
      </c>
      <c r="L96" s="6">
        <f>+J96+K96</f>
        <v>13530.919203318303</v>
      </c>
      <c r="O96" s="6">
        <f>+C96-D96-G96-J96</f>
        <v>0</v>
      </c>
    </row>
    <row r="97" spans="1:15" ht="13.5" thickBot="1">
      <c r="A97">
        <v>5322</v>
      </c>
      <c r="B97" t="s">
        <v>73</v>
      </c>
      <c r="C97" s="7">
        <f>+'[2]Results of Operations'!N97</f>
        <v>0</v>
      </c>
      <c r="D97" s="91">
        <f>+'Cost Allocations'!F97</f>
        <v>0</v>
      </c>
      <c r="E97" s="5"/>
      <c r="F97" s="97">
        <f t="shared" si="5"/>
        <v>0</v>
      </c>
      <c r="G97" s="7">
        <f>+'Cost Allocations'!I97</f>
        <v>0</v>
      </c>
      <c r="H97" s="5"/>
      <c r="I97" s="97">
        <f t="shared" si="6"/>
        <v>0</v>
      </c>
      <c r="J97" s="7">
        <f>+'Cost Allocations'!L97</f>
        <v>0</v>
      </c>
      <c r="K97" s="5"/>
      <c r="L97" s="7">
        <f t="shared" si="7"/>
        <v>0</v>
      </c>
      <c r="O97" s="6">
        <f t="shared" si="8"/>
        <v>0</v>
      </c>
    </row>
    <row r="98" spans="4:15" ht="12.75">
      <c r="D98" s="89"/>
      <c r="F98" s="95"/>
      <c r="I98" s="95"/>
      <c r="O98" s="6">
        <f t="shared" si="8"/>
        <v>0</v>
      </c>
    </row>
    <row r="99" spans="2:15" ht="13.5" thickBot="1">
      <c r="B99" t="s">
        <v>22</v>
      </c>
      <c r="C99" s="7">
        <f aca="true" t="shared" si="9" ref="C99:L99">SUM(C25:C97)</f>
        <v>2109583.8298280016</v>
      </c>
      <c r="D99" s="91">
        <f t="shared" si="9"/>
        <v>1533833.1358127375</v>
      </c>
      <c r="E99" s="7">
        <f t="shared" si="9"/>
        <v>1780.7517</v>
      </c>
      <c r="F99" s="97">
        <f t="shared" si="9"/>
        <v>1535613.8875127377</v>
      </c>
      <c r="G99" s="7">
        <f t="shared" si="9"/>
        <v>178700.98897522045</v>
      </c>
      <c r="H99" s="7">
        <f t="shared" si="9"/>
        <v>314.4206877974132</v>
      </c>
      <c r="I99" s="97">
        <f t="shared" si="9"/>
        <v>179015.40966301784</v>
      </c>
      <c r="J99" s="7">
        <f t="shared" si="9"/>
        <v>397049.7050400438</v>
      </c>
      <c r="K99" s="7">
        <f t="shared" si="9"/>
        <v>-1584.9863811021248</v>
      </c>
      <c r="L99" s="7">
        <f t="shared" si="9"/>
        <v>395464.7186589417</v>
      </c>
      <c r="O99" s="6">
        <f t="shared" si="8"/>
        <v>0</v>
      </c>
    </row>
    <row r="100" spans="3:15" ht="12.75">
      <c r="C100" s="6"/>
      <c r="D100" s="90"/>
      <c r="F100" s="95"/>
      <c r="G100" s="6"/>
      <c r="I100" s="95"/>
      <c r="J100" s="6"/>
      <c r="O100" s="6">
        <f t="shared" si="8"/>
        <v>0</v>
      </c>
    </row>
    <row r="101" spans="2:15" ht="13.5" thickBot="1">
      <c r="B101" t="s">
        <v>23</v>
      </c>
      <c r="C101" s="7">
        <f aca="true" t="shared" si="10" ref="C101:L101">+C21-C99</f>
        <v>98017.37017199816</v>
      </c>
      <c r="D101" s="91">
        <f t="shared" si="10"/>
        <v>-43970.93624301348</v>
      </c>
      <c r="E101" s="7">
        <f t="shared" si="10"/>
        <v>116936.0283</v>
      </c>
      <c r="F101" s="97">
        <f t="shared" si="10"/>
        <v>72965.09205698641</v>
      </c>
      <c r="G101" s="7">
        <f t="shared" si="10"/>
        <v>-1019.9393682554946</v>
      </c>
      <c r="H101" s="7">
        <f t="shared" si="10"/>
        <v>20646.9584986968</v>
      </c>
      <c r="I101" s="97">
        <f t="shared" si="10"/>
        <v>19627.01913044133</v>
      </c>
      <c r="J101" s="7">
        <f t="shared" si="10"/>
        <v>143008.2457832672</v>
      </c>
      <c r="K101" s="7">
        <f t="shared" si="10"/>
        <v>-104080.77235903953</v>
      </c>
      <c r="L101" s="7">
        <f t="shared" si="10"/>
        <v>38927.473424227675</v>
      </c>
      <c r="O101" s="6">
        <f t="shared" si="8"/>
        <v>0</v>
      </c>
    </row>
    <row r="102" spans="3:15" ht="12.75">
      <c r="C102" s="6"/>
      <c r="D102" s="90"/>
      <c r="F102" s="95"/>
      <c r="G102" s="6"/>
      <c r="I102" s="95"/>
      <c r="J102" s="6"/>
      <c r="O102" s="6"/>
    </row>
    <row r="103" spans="2:15" ht="12.75">
      <c r="B103" t="s">
        <v>83</v>
      </c>
      <c r="C103" s="9">
        <f>+C99/C21</f>
        <v>0.9556000557655078</v>
      </c>
      <c r="D103" s="92">
        <f>+D99/D21</f>
        <v>1.0295134249702504</v>
      </c>
      <c r="F103" s="98">
        <f>+F99/F21</f>
        <v>0.9546400313669996</v>
      </c>
      <c r="G103" s="9">
        <f>+G99/G21</f>
        <v>1.0057402822108021</v>
      </c>
      <c r="I103" s="98">
        <f>+I99/I21</f>
        <v>0.9011942249717015</v>
      </c>
      <c r="J103" s="9">
        <f>+J99/J21</f>
        <v>0.735198332761784</v>
      </c>
      <c r="L103" s="9">
        <f>+L99/L21</f>
        <v>0.9103863418042869</v>
      </c>
      <c r="O103" s="6"/>
    </row>
    <row r="104" spans="4:15" ht="12.75">
      <c r="D104" s="89"/>
      <c r="F104" s="95"/>
      <c r="I104" s="95"/>
      <c r="O104" s="6"/>
    </row>
    <row r="105" spans="2:15" ht="12.75">
      <c r="B105" t="s">
        <v>84</v>
      </c>
      <c r="C105" s="6">
        <f>+'[2]Results of Operations'!$N$105</f>
        <v>940645.5418895655</v>
      </c>
      <c r="D105" s="93">
        <f>+C105*'Depr Allocation'!L12</f>
        <v>692625.0927273011</v>
      </c>
      <c r="F105" s="96"/>
      <c r="G105" s="63">
        <f>+C105*'Depr Allocation'!L14</f>
        <v>79110.80300326442</v>
      </c>
      <c r="I105" s="96"/>
      <c r="J105" s="63">
        <f>+C105*'Depr Allocation'!L16</f>
        <v>168909.64615900003</v>
      </c>
      <c r="L105" s="6">
        <f>+I105-K105</f>
        <v>0</v>
      </c>
      <c r="O105" s="6">
        <f t="shared" si="8"/>
        <v>0</v>
      </c>
    </row>
    <row r="106" spans="3:15" ht="12.75">
      <c r="C106" s="9">
        <f>+C105/C105</f>
        <v>1</v>
      </c>
      <c r="D106" s="92">
        <f>+D105/C105</f>
        <v>0.7363295331586414</v>
      </c>
      <c r="F106" s="95"/>
      <c r="G106" s="9">
        <f>+G105/C105</f>
        <v>0.08410267149552095</v>
      </c>
      <c r="I106" s="95"/>
      <c r="J106" s="9">
        <f>+J105/C105</f>
        <v>0.1795677953458376</v>
      </c>
      <c r="O106" s="6"/>
    </row>
  </sheetData>
  <sheetProtection/>
  <printOptions/>
  <pageMargins left="0.2" right="0.3" top="0.65" bottom="0.36" header="0.3" footer="0.36"/>
  <pageSetup fitToHeight="0" fitToWidth="1" horizontalDpi="300" verticalDpi="300" orientation="portrait" scale="67" r:id="rId1"/>
  <rowBreaks count="1" manualBreakCount="1">
    <brk id="8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5" sqref="A5"/>
    </sheetView>
  </sheetViews>
  <sheetFormatPr defaultColWidth="9.140625" defaultRowHeight="12.75"/>
  <cols>
    <col min="9" max="9" width="10.28125" style="0" bestFit="1" customWidth="1"/>
  </cols>
  <sheetData>
    <row r="1" ht="12.75">
      <c r="A1" t="s">
        <v>0</v>
      </c>
    </row>
    <row r="3" ht="12.75">
      <c r="A3" t="s">
        <v>174</v>
      </c>
    </row>
    <row r="5" ht="12.75">
      <c r="A5" s="1"/>
    </row>
    <row r="9" ht="12.75">
      <c r="I9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Glen</cp:lastModifiedBy>
  <cp:lastPrinted>2019-04-18T20:35:52Z</cp:lastPrinted>
  <dcterms:created xsi:type="dcterms:W3CDTF">2003-12-07T20:58:46Z</dcterms:created>
  <dcterms:modified xsi:type="dcterms:W3CDTF">2019-04-18T22:44:12Z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Zippy Disposal Service, Inc.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190293</vt:lpwstr>
  </property>
  <property fmtid="{D5CDD505-2E9C-101B-9397-08002B2CF9AE}" pid="10" name="Dat">
    <vt:lpwstr>2019-04-18T00:00:00Z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2019-04-18T00:00:00Z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