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9-15 Natural Gas Schedule 140 - Property Tax Tracker - (UG-190230) (Eff. 05-01-19)\Workpapers\"/>
    </mc:Choice>
  </mc:AlternateContent>
  <bookViews>
    <workbookView xWindow="-45" yWindow="30" windowWidth="14250" windowHeight="12795"/>
  </bookViews>
  <sheets>
    <sheet name="Sched 140 Rates" sheetId="1" r:id="rId1"/>
    <sheet name="Rev Requirement" sheetId="32" r:id="rId2"/>
    <sheet name="Forecasted Volume" sheetId="18" r:id="rId3"/>
    <sheet name="Rate Impacts--&gt;" sheetId="19" r:id="rId4"/>
    <sheet name="Rate Impacts" sheetId="29" r:id="rId5"/>
    <sheet name="Typical Res Bill Combined" sheetId="30" r:id="rId6"/>
    <sheet name="Schedule 140 Revenue" sheetId="3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2">0</definedName>
    <definedName name="_Order1" localSheetId="5">0</definedName>
    <definedName name="_Order1">255</definedName>
    <definedName name="_Order2" localSheetId="2">0</definedName>
    <definedName name="_Order2" localSheetId="5">0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 localSheetId="2">[18]INPUTS!$C$8</definedName>
    <definedName name="CASE">[19]INPUTS!$C$11</definedName>
    <definedName name="Case_Name">'[20]KJB-6,13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'[21]Transp Data'!$A$6:$C$81</definedName>
    <definedName name="Close_Date">'[12]Capital Projects(Input)'!$D$7:$D$53</definedName>
    <definedName name="Construction_OH">'[22]Virtual 49 Back-Up'!$E$54</definedName>
    <definedName name="ConversionFactor">[9]Assumptions!$I$65</definedName>
    <definedName name="COSFacVal">[7]Inputs!$R$5</definedName>
    <definedName name="CurrQtr">'[23]Inc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'[24]Mix Variance'!$B$1:$N$31</definedName>
    <definedName name="Data.Avg">'[23]Avg Amts'!$A$5:$BP$34</definedName>
    <definedName name="Data.Qtrs.Avg">'[23]Avg Amts'!$A$5:$IV$5</definedName>
    <definedName name="data1">'[25]Mix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[26]Inputs!$D$11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'[27]Assumptions of Purchase'!$B$45</definedName>
    <definedName name="DisFac">'[7]Func Dist Factor Table'!$A$11:$G$25</definedName>
    <definedName name="DocketNumber">'[28]JHS-4'!$AP$2</definedName>
    <definedName name="DP.T">[4]INTERNAL!$A$46:$IV$48</definedName>
    <definedName name="EBFIT.T">[4]INTERNAL!$A$88:$IV$90</definedName>
    <definedName name="EffTax" localSheetId="2">[4]INPUTS!$F$31</definedName>
    <definedName name="EffTax">[19]INPUTS!$F$36</definedName>
    <definedName name="Electric_Prices">'[29]Monthly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[26]Inputs!$D$12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'[22]Virtual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[30]Inputs!$E$112</definedName>
    <definedName name="FedTaxRate">[9]Assumptions!$C$33</definedName>
    <definedName name="FERC_Lookup">'[31]Map Table'!$E$2:$F$58</definedName>
    <definedName name="FIT">'[32]ROR &amp; CONV FACTOR'!$J$20</definedName>
    <definedName name="FIT_Tax_Rate">'[12]Assumptions (Input)'!$B$5</definedName>
    <definedName name="FranchiseTax">[11]Variables!$D$26</definedName>
    <definedName name="FTAX" localSheetId="2">[4]INPUTS!$F$30</definedName>
    <definedName name="FTAX">[19]INPUTS!$F$35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 localSheetId="2">{"'Sheet1'!$A$1:$J$121"}</definedName>
    <definedName name="HTML_Control" localSheetId="4">{"'Sheet1'!$A$1:$J$121"}</definedName>
    <definedName name="HTML_Control" localSheetId="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[33]Inputs!$N$18</definedName>
    <definedName name="JP_Bal">[34]ACCOUNTS!$AG$31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_Docket_Number">'[20]KJB-12 Sum'!$AS$2</definedName>
    <definedName name="k_FITrate">'[20]KJB-3,11 Def'!$L$20</definedName>
    <definedName name="keep_Docket_Number">'[35]KJB-3 Sum'!$AQ$2</definedName>
    <definedName name="keep_FIT">'[35]KJB-7 Def'!$L$20</definedName>
    <definedName name="keep_KJB_3_Rate_Increase">'[35]KJB-7 Def'!$C$3</definedName>
    <definedName name="keep_KJB_4_Electric_Summary">'[35]KJB-3 Sum'!$AQ$3</definedName>
    <definedName name="keep_KJB_8_Common_Adjs">'[35]KJB-5 Cmn Adj'!$L$3</definedName>
    <definedName name="keep_KJB_9_Electric_Only">'[35]KJB-5 El Adj'!$E$3</definedName>
    <definedName name="keep_PSE">'[36]Gas Summary'!$I$5</definedName>
    <definedName name="keep_TESTYEAR">'[36]Gas Detail Pages'!$A$8</definedName>
    <definedName name="kp_DOCKET">'[36]Gas Detail Pages'!$A$9</definedName>
    <definedName name="Last_Row" localSheetId="2">IF('Forecasted Volume'!Values_Entered,Header_Row+'Forecasted Volume'!Number_of_Payments,Header_Row)</definedName>
    <definedName name="Last_Row" localSheetId="4">IF('Rate Impacts'!Values_Entered,Header_Row+'Rate Impacts'!Number_of_Payments,Header_Row)</definedName>
    <definedName name="Last_Row" localSheetId="6">IF('Schedule 140 Revenue'!Values_Entered,Header_Row+'Schedule 140 Revenue'!Number_of_Payments,Header_Row)</definedName>
    <definedName name="Last_Row" localSheetId="5">IF('Typical Res Bill Combined'!Values_Entered,Header_Row+'Typical Res Bill Combined'!Number_of_Payments,Header_Row)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[34]ACCOUNTS!$AG$167</definedName>
    <definedName name="LoadArray">'[37]Load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[38]M9100F4!$A$1:$V$99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 localSheetId="4">[39]!menu1_Button5_Click</definedName>
    <definedName name="menu1_Button5_Click" localSheetId="6">[39]!menu1_Button5_Click</definedName>
    <definedName name="menu1_Button5_Click">[39]!menu1_Button5_Click</definedName>
    <definedName name="menu1_Button6_Click" localSheetId="4">[39]!menu1_Button6_Click</definedName>
    <definedName name="menu1_Button6_Click" localSheetId="6">[39]!menu1_Button6_Click</definedName>
    <definedName name="menu1_Button6_Click">[39]!menu1_Button6_Click</definedName>
    <definedName name="MERGER_COST">[40]Sheet1!$AF$3:$AJ$28</definedName>
    <definedName name="METER">[4]EXTERNAL!$A$34:$IV$36</definedName>
    <definedName name="Method">[10]Inputs!$C$6</definedName>
    <definedName name="monthlist">[41]Table!$R$2:$S$13</definedName>
    <definedName name="monthtotals">'[41]WA SBC'!$D$40:$O$40</definedName>
    <definedName name="MTD_Format">[42]Mthly!$B$11:$D$11,[42]Mthly!$B$32:$D$32</definedName>
    <definedName name="MTR_YR3">[43]Variables!$E$14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[44]Inputs!$N$18</definedName>
    <definedName name="NRG">[4]CLASSIFIERS!$A$5:$IV$5</definedName>
    <definedName name="Number_of_Payments" localSheetId="2">MATCH(0.01,End_Bal,-1)+1</definedName>
    <definedName name="Number_of_Payments" localSheetId="4">MATCH(0.01,End_Bal,-1)+1</definedName>
    <definedName name="Number_of_Payments" localSheetId="6">MATCH(0.01,End_Bal,-1)+1</definedName>
    <definedName name="Number_of_Payments" localSheetId="5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'[22]Virtual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'[45]Dist Misc'!$F$120</definedName>
    <definedName name="OthRCF">[18]INPUTS!$F$41</definedName>
    <definedName name="OthUnc">[4]INPUTS!$F$36</definedName>
    <definedName name="outlookdata">'[46]pivoted data'!$D$3:$Q$90</definedName>
    <definedName name="peak_new_table">'[47]2008 Extreme Peaks - 080403'!$E$5:$AD$8</definedName>
    <definedName name="peak_table">'[47]Peaks-F01'!$C$5:$E$243</definedName>
    <definedName name="PeakMethod">[10]Inputs!$T$5</definedName>
    <definedName name="Percent_debt">[30]Inputs!$E$129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'[29]Monthly Price Summary'!$C$4:$H$63</definedName>
    <definedName name="_xlnm.Print_Area" localSheetId="2">'Forecasted Volume'!$A$1:$N$30</definedName>
    <definedName name="_xlnm.Print_Area" localSheetId="4">'Rate Impacts'!$B$1:$U$44</definedName>
    <definedName name="_xlnm.Print_Area" localSheetId="0">'Sched 140 Rates'!$A$1:$R$28</definedName>
    <definedName name="_xlnm.Print_Area" localSheetId="6">'Schedule 140 Revenue'!$A$1:$H$25</definedName>
    <definedName name="_xlnm.Print_Area" localSheetId="5">'Typical Res Bill Combined'!$B$1:$H$42</definedName>
    <definedName name="Prior_Month">[48]Sch_120!$I$21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[49]Sheet1!$A$1147:$B$1887</definedName>
    <definedName name="Prov_Cap_Tax">[30]Inputs!$E$111</definedName>
    <definedName name="PSE">'[50]4.04'!$A$6</definedName>
    <definedName name="PSE_Pre_Tax_Equity_Rate">'[27]Assumptions of Purchase'!$B$42</definedName>
    <definedName name="PTDGP.T">[4]INTERNAL!$A$64:$IV$66</definedName>
    <definedName name="PTDP.T">[4]INTERNAL!$A$67:$IV$69</definedName>
    <definedName name="QTD_Format">[51]QTD!$B$11:$D$11,[51]QTD!$B$35:$D$35</definedName>
    <definedName name="RATE2">'[21]Transp Data'!$A$8:$I$112</definedName>
    <definedName name="Rates">[52]Codes!$A$1:$C$500</definedName>
    <definedName name="RB.T">[4]INTERNAL!$A$70:$IV$72</definedName>
    <definedName name="RCF">[34]INPUTS!$F$48</definedName>
    <definedName name="Requlated_scenario">'[12]Assumptions (Input)'!$B$12</definedName>
    <definedName name="ResExchCrRate">[48]Sch_194!$M$31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 localSheetId="2">[18]INPUTS!$F$39</definedName>
    <definedName name="ResRCF">[19]INPUTS!$F$44</definedName>
    <definedName name="ResUnc" localSheetId="2">[4]INPUTS!$F$34</definedName>
    <definedName name="ResUnc">[19]INPUTS!$F$39</definedName>
    <definedName name="RevClass">[52]Codes!$F$2:$G$10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 localSheetId="2">[54]INPUTS!$F$25</definedName>
    <definedName name="ROD">[19]INPUTS!$F$30</definedName>
    <definedName name="ROR">[19]INPUTS!$F$29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[18]INPUTS!$F$40</definedName>
    <definedName name="SbUnc">[4]INPUTS!$F$35</definedName>
    <definedName name="Sch194Rlfwd">'[55]Sch94 Rlfwd'!$B$11</definedName>
    <definedName name="Schedule">[44]Inputs!$N$14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 localSheetId="2">[4]INPUTS!$F$29</definedName>
    <definedName name="STAX">[19]INPUTS!$F$34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'[28]JHS-6'!$A$7</definedName>
    <definedName name="TFR">[4]CLASSIFIERS!$A$11:$IV$11</definedName>
    <definedName name="ThermalBookLife">[9]Assumptions!$C$25</definedName>
    <definedName name="Title">[9]Assumptions!$A$1</definedName>
    <definedName name="Total_Payment" localSheetId="4">Scheduled_Payment+Extra_Payment</definedName>
    <definedName name="Total_Payment" localSheetId="5">Scheduled_Payment+Extra_Payment</definedName>
    <definedName name="Total_Payment">Scheduled_Payment+Extra_Payment</definedName>
    <definedName name="TotalRateBase">'[7]G+T+D+R+M'!$H$58</definedName>
    <definedName name="TP.T">[4]INTERNAL!$A$91:$IV$93</definedName>
    <definedName name="transdb">'[56]Transp Unbilled'!$A$8:$E$174</definedName>
    <definedName name="TRANSM_2">[57]Transm2!$A$1:$M$461:'[57]10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 localSheetId="2">IF(Loan_Amount*Interest_Rate*Loan_Years*Loan_Start&gt;0,1,0)</definedName>
    <definedName name="Values_Entered" localSheetId="4">IF(Loan_Amount*Interest_Rate*Loan_Years*Loan_Start&gt;0,1,0)</definedName>
    <definedName name="Values_Entered" localSheetId="6">IF(Loan_Amount*Interest_Rate*Loan_Years*Loan_Start&gt;0,1,0)</definedName>
    <definedName name="Values_Entered" localSheetId="5">IF(Loan_Amount*Interest_Rate*Loan_Years*Loan_Start&gt;0,1,0)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inter">'[58]Input Tab'!$B$11</definedName>
    <definedName name="WinterPeak">'[59]Load Data'!$D$9:$H$12,'[59]Load Data'!$D$20:$H$22</definedName>
    <definedName name="WUTC_Docket_No._UG_11____">'[6]MJS-6'!$F$2</definedName>
    <definedName name="WUTC_FILING_FEE">'[6]MJS-7'!$O$15</definedName>
    <definedName name="Years_evaluated">'[60]Revison Inputs'!$B$6</definedName>
    <definedName name="YEFactors">[8]Factors!$S$3:$AG$99</definedName>
    <definedName name="YTD_Format">[51]YTD!$B$13:$D$13,[51]YTD!$B$36:$D$36</definedName>
  </definedNames>
  <calcPr calcId="162913"/>
</workbook>
</file>

<file path=xl/calcChain.xml><?xml version="1.0" encoding="utf-8"?>
<calcChain xmlns="http://schemas.openxmlformats.org/spreadsheetml/2006/main">
  <c r="E27" i="32" l="1"/>
  <c r="D27" i="32"/>
  <c r="F26" i="32"/>
  <c r="F25" i="32"/>
  <c r="A25" i="32"/>
  <c r="A26" i="32" s="1"/>
  <c r="A27" i="32" s="1"/>
  <c r="A30" i="32" s="1"/>
  <c r="A31" i="32" s="1"/>
  <c r="A32" i="32" s="1"/>
  <c r="A33" i="32" s="1"/>
  <c r="F19" i="32"/>
  <c r="D15" i="32"/>
  <c r="D18" i="32" s="1"/>
  <c r="F13" i="32"/>
  <c r="E13" i="32"/>
  <c r="E15" i="32" s="1"/>
  <c r="E18" i="32" s="1"/>
  <c r="E21" i="32" s="1"/>
  <c r="D13" i="32"/>
  <c r="F11" i="32"/>
  <c r="F10" i="32"/>
  <c r="F9" i="32"/>
  <c r="F6" i="32"/>
  <c r="I26" i="32"/>
  <c r="H26" i="32"/>
  <c r="J26" i="32" s="1"/>
  <c r="D28" i="32" l="1"/>
  <c r="E28" i="32"/>
  <c r="D21" i="32"/>
  <c r="F21" i="32" s="1"/>
  <c r="F18" i="32"/>
  <c r="H25" i="32"/>
  <c r="H6" i="32"/>
  <c r="H9" i="32"/>
  <c r="H10" i="32"/>
  <c r="H11" i="32"/>
  <c r="H19" i="32"/>
  <c r="J19" i="32" s="1"/>
  <c r="I25" i="32"/>
  <c r="I27" i="32" s="1"/>
  <c r="I6" i="32"/>
  <c r="I9" i="32"/>
  <c r="I10" i="32"/>
  <c r="I11" i="32"/>
  <c r="F15" i="32"/>
  <c r="I19" i="32"/>
  <c r="H23" i="1" s="1"/>
  <c r="F27" i="32"/>
  <c r="F28" i="32" s="1"/>
  <c r="F24" i="31"/>
  <c r="M25" i="29" s="1"/>
  <c r="C22" i="31"/>
  <c r="F21" i="31"/>
  <c r="F20" i="31"/>
  <c r="M21" i="29" s="1"/>
  <c r="F19" i="31"/>
  <c r="F18" i="31"/>
  <c r="M19" i="29" s="1"/>
  <c r="F17" i="31"/>
  <c r="M18" i="29" s="1"/>
  <c r="F16" i="31"/>
  <c r="F15" i="31"/>
  <c r="M16" i="29" s="1"/>
  <c r="F14" i="31"/>
  <c r="M15" i="29" s="1"/>
  <c r="F13" i="31"/>
  <c r="M14" i="29" s="1"/>
  <c r="F12" i="31"/>
  <c r="F11" i="31"/>
  <c r="M12" i="29" s="1"/>
  <c r="F10" i="31"/>
  <c r="M11" i="29" s="1"/>
  <c r="F9" i="31"/>
  <c r="D33" i="30"/>
  <c r="E33" i="30" s="1"/>
  <c r="G32" i="30"/>
  <c r="G31" i="30"/>
  <c r="G33" i="30" s="1"/>
  <c r="H33" i="30" s="1"/>
  <c r="G29" i="30"/>
  <c r="H29" i="30" s="1"/>
  <c r="E29" i="30"/>
  <c r="G27" i="30"/>
  <c r="H27" i="30" s="1"/>
  <c r="E27" i="30"/>
  <c r="D25" i="30"/>
  <c r="D40" i="30" s="1"/>
  <c r="G24" i="30"/>
  <c r="G23" i="30"/>
  <c r="G22" i="30"/>
  <c r="G21" i="30"/>
  <c r="G20" i="30"/>
  <c r="G18" i="30"/>
  <c r="G17" i="30"/>
  <c r="D14" i="30"/>
  <c r="G13" i="30"/>
  <c r="H13" i="30" s="1"/>
  <c r="E13" i="30"/>
  <c r="H12" i="30"/>
  <c r="G12" i="30"/>
  <c r="E12" i="30"/>
  <c r="G11" i="30"/>
  <c r="H11" i="30" s="1"/>
  <c r="E11" i="30"/>
  <c r="E14" i="30" s="1"/>
  <c r="E39" i="29"/>
  <c r="D36" i="29"/>
  <c r="E35" i="29"/>
  <c r="D35" i="29"/>
  <c r="D34" i="29"/>
  <c r="E31" i="29"/>
  <c r="D31" i="29"/>
  <c r="H25" i="29"/>
  <c r="H39" i="29" s="1"/>
  <c r="F25" i="29"/>
  <c r="M22" i="29"/>
  <c r="F21" i="29"/>
  <c r="M20" i="29"/>
  <c r="F20" i="29"/>
  <c r="H20" i="29" s="1"/>
  <c r="S20" i="29" s="1"/>
  <c r="E33" i="29"/>
  <c r="D33" i="29"/>
  <c r="F18" i="29"/>
  <c r="M17" i="29"/>
  <c r="F17" i="29"/>
  <c r="H17" i="29" s="1"/>
  <c r="S17" i="29" s="1"/>
  <c r="F16" i="29"/>
  <c r="F14" i="29"/>
  <c r="H14" i="29" s="1"/>
  <c r="M13" i="29"/>
  <c r="F13" i="29"/>
  <c r="H13" i="29" s="1"/>
  <c r="E32" i="29"/>
  <c r="D32" i="29"/>
  <c r="R23" i="29"/>
  <c r="R26" i="29" s="1"/>
  <c r="N23" i="29"/>
  <c r="N26" i="29" s="1"/>
  <c r="J23" i="29"/>
  <c r="J26" i="29" s="1"/>
  <c r="F12" i="29"/>
  <c r="H12" i="29" s="1"/>
  <c r="K23" i="29"/>
  <c r="K26" i="29" s="1"/>
  <c r="H11" i="29"/>
  <c r="G23" i="29"/>
  <c r="F11" i="29"/>
  <c r="Q23" i="29"/>
  <c r="Q26" i="29" s="1"/>
  <c r="P23" i="29"/>
  <c r="P26" i="29" s="1"/>
  <c r="M10" i="29"/>
  <c r="L23" i="29"/>
  <c r="L26" i="29" s="1"/>
  <c r="I23" i="29"/>
  <c r="I26" i="29" s="1"/>
  <c r="E30" i="29"/>
  <c r="D30" i="29"/>
  <c r="D37" i="29" s="1"/>
  <c r="D40" i="29" s="1"/>
  <c r="S11" i="29" l="1"/>
  <c r="F22" i="31"/>
  <c r="F25" i="31" s="1"/>
  <c r="J9" i="32"/>
  <c r="H13" i="32"/>
  <c r="H15" i="32" s="1"/>
  <c r="J6" i="32"/>
  <c r="I13" i="32"/>
  <c r="I15" i="32" s="1"/>
  <c r="I18" i="32" s="1"/>
  <c r="J11" i="32"/>
  <c r="H27" i="32"/>
  <c r="J25" i="32"/>
  <c r="J10" i="32"/>
  <c r="I30" i="32"/>
  <c r="I31" i="32" s="1"/>
  <c r="M23" i="29"/>
  <c r="M26" i="29" s="1"/>
  <c r="E25" i="30"/>
  <c r="E34" i="30"/>
  <c r="E36" i="30" s="1"/>
  <c r="G14" i="30"/>
  <c r="D34" i="30"/>
  <c r="H14" i="30"/>
  <c r="S13" i="29"/>
  <c r="H32" i="29"/>
  <c r="H31" i="29"/>
  <c r="S12" i="29"/>
  <c r="S31" i="29" s="1"/>
  <c r="S14" i="29"/>
  <c r="S25" i="29"/>
  <c r="H16" i="29"/>
  <c r="H18" i="29"/>
  <c r="S18" i="29" s="1"/>
  <c r="F19" i="29"/>
  <c r="H19" i="29" s="1"/>
  <c r="S19" i="29" s="1"/>
  <c r="F10" i="29"/>
  <c r="H10" i="29" s="1"/>
  <c r="O23" i="29"/>
  <c r="O26" i="29" s="1"/>
  <c r="E34" i="29"/>
  <c r="F15" i="29"/>
  <c r="H15" i="29" s="1"/>
  <c r="H21" i="29"/>
  <c r="S21" i="29" s="1"/>
  <c r="E36" i="29"/>
  <c r="F22" i="29"/>
  <c r="H22" i="29" s="1"/>
  <c r="D23" i="29"/>
  <c r="E23" i="29"/>
  <c r="E37" i="29" l="1"/>
  <c r="E40" i="29" s="1"/>
  <c r="I21" i="32"/>
  <c r="G23" i="1"/>
  <c r="I28" i="32"/>
  <c r="H30" i="32"/>
  <c r="H31" i="32" s="1"/>
  <c r="H28" i="32"/>
  <c r="J27" i="32"/>
  <c r="H18" i="32"/>
  <c r="J15" i="32"/>
  <c r="J13" i="32"/>
  <c r="S15" i="29"/>
  <c r="H34" i="29"/>
  <c r="S33" i="29"/>
  <c r="E26" i="29"/>
  <c r="F23" i="29"/>
  <c r="S16" i="29"/>
  <c r="H35" i="29"/>
  <c r="H33" i="29"/>
  <c r="S22" i="29"/>
  <c r="H36" i="29"/>
  <c r="S10" i="29"/>
  <c r="H30" i="29"/>
  <c r="H23" i="29"/>
  <c r="H26" i="29" s="1"/>
  <c r="S39" i="29"/>
  <c r="S32" i="29"/>
  <c r="H37" i="29" l="1"/>
  <c r="H40" i="29" s="1"/>
  <c r="J28" i="32"/>
  <c r="H21" i="32"/>
  <c r="J21" i="32" s="1"/>
  <c r="J18" i="32"/>
  <c r="S36" i="29"/>
  <c r="S23" i="29"/>
  <c r="S30" i="29"/>
  <c r="S35" i="29"/>
  <c r="S34" i="29"/>
  <c r="S26" i="29" l="1"/>
  <c r="S37" i="29"/>
  <c r="S40" i="29" l="1"/>
  <c r="H20" i="1" l="1"/>
  <c r="H12" i="1"/>
  <c r="H13" i="1"/>
  <c r="H14" i="1"/>
  <c r="H15" i="1"/>
  <c r="H16" i="1"/>
  <c r="H17" i="1"/>
  <c r="H11" i="1"/>
  <c r="H18" i="1" l="1"/>
  <c r="G20" i="1"/>
  <c r="P20" i="1" s="1"/>
  <c r="G11" i="1" l="1"/>
  <c r="M26" i="18" l="1"/>
  <c r="L26" i="18"/>
  <c r="K26" i="18"/>
  <c r="J26" i="18"/>
  <c r="I26" i="18"/>
  <c r="H26" i="18"/>
  <c r="G26" i="18"/>
  <c r="F26" i="18"/>
  <c r="E26" i="18"/>
  <c r="D26" i="18"/>
  <c r="C26" i="18"/>
  <c r="B26" i="18"/>
  <c r="N26" i="18" s="1"/>
  <c r="M25" i="18"/>
  <c r="L25" i="18"/>
  <c r="K25" i="18"/>
  <c r="J25" i="18"/>
  <c r="I25" i="18"/>
  <c r="H25" i="18"/>
  <c r="G25" i="18"/>
  <c r="F25" i="18"/>
  <c r="E25" i="18"/>
  <c r="D25" i="18"/>
  <c r="C25" i="18"/>
  <c r="B25" i="18"/>
  <c r="N25" i="18" s="1"/>
  <c r="M24" i="18"/>
  <c r="M27" i="18" s="1"/>
  <c r="L24" i="18"/>
  <c r="L27" i="18" s="1"/>
  <c r="K24" i="18"/>
  <c r="K27" i="18" s="1"/>
  <c r="J24" i="18"/>
  <c r="J27" i="18" s="1"/>
  <c r="I24" i="18"/>
  <c r="I27" i="18" s="1"/>
  <c r="H24" i="18"/>
  <c r="H27" i="18" s="1"/>
  <c r="G24" i="18"/>
  <c r="G27" i="18" s="1"/>
  <c r="F24" i="18"/>
  <c r="F27" i="18" s="1"/>
  <c r="E24" i="18"/>
  <c r="E27" i="18" s="1"/>
  <c r="D24" i="18"/>
  <c r="D27" i="18" s="1"/>
  <c r="C24" i="18"/>
  <c r="C27" i="18" s="1"/>
  <c r="B24" i="18"/>
  <c r="N24" i="18" s="1"/>
  <c r="M22" i="18"/>
  <c r="L22" i="18"/>
  <c r="L28" i="18" s="1"/>
  <c r="K22" i="18"/>
  <c r="K28" i="18" s="1"/>
  <c r="J22" i="18"/>
  <c r="I22" i="18"/>
  <c r="H22" i="18"/>
  <c r="H28" i="18" s="1"/>
  <c r="G22" i="18"/>
  <c r="G28" i="18" s="1"/>
  <c r="F22" i="18"/>
  <c r="E22" i="18"/>
  <c r="D22" i="18"/>
  <c r="D28" i="18" s="1"/>
  <c r="C22" i="18"/>
  <c r="C28" i="18" s="1"/>
  <c r="B22" i="18"/>
  <c r="N21" i="18"/>
  <c r="N20" i="18"/>
  <c r="N19" i="18"/>
  <c r="N18" i="18"/>
  <c r="E14" i="1" s="1"/>
  <c r="N17" i="18"/>
  <c r="N16" i="18"/>
  <c r="N15" i="18"/>
  <c r="N14" i="18"/>
  <c r="N13" i="18"/>
  <c r="N12" i="18"/>
  <c r="N11" i="18"/>
  <c r="N10" i="18"/>
  <c r="N22" i="18" s="1"/>
  <c r="N9" i="18"/>
  <c r="N8" i="18"/>
  <c r="C7" i="18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J28" i="18" l="1"/>
  <c r="E28" i="18"/>
  <c r="I28" i="18"/>
  <c r="M28" i="18"/>
  <c r="E11" i="1"/>
  <c r="E15" i="1"/>
  <c r="F28" i="18"/>
  <c r="B27" i="18"/>
  <c r="B28" i="18" s="1"/>
  <c r="E12" i="1"/>
  <c r="E16" i="1"/>
  <c r="E13" i="1"/>
  <c r="E18" i="1" s="1"/>
  <c r="E17" i="1"/>
  <c r="N27" i="18" l="1"/>
  <c r="N28" i="18" s="1"/>
  <c r="Q20" i="1"/>
  <c r="H21" i="1" l="1"/>
  <c r="G17" i="1" l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I11" i="1"/>
  <c r="I23" i="1"/>
  <c r="R20" i="1" l="1"/>
  <c r="E24" i="31" s="1"/>
  <c r="G24" i="31" s="1"/>
  <c r="I20" i="1"/>
  <c r="G18" i="1"/>
  <c r="G21" i="1" s="1"/>
  <c r="H24" i="31" l="1"/>
  <c r="T25" i="29"/>
  <c r="K12" i="1"/>
  <c r="K17" i="1"/>
  <c r="J15" i="1"/>
  <c r="K16" i="1"/>
  <c r="J16" i="1"/>
  <c r="T39" i="29" l="1"/>
  <c r="U25" i="29"/>
  <c r="J17" i="1"/>
  <c r="L17" i="1" s="1"/>
  <c r="E21" i="31" s="1"/>
  <c r="G21" i="31" s="1"/>
  <c r="K15" i="1"/>
  <c r="L15" i="1" s="1"/>
  <c r="J12" i="1"/>
  <c r="L12" i="1" s="1"/>
  <c r="L16" i="1"/>
  <c r="K13" i="1"/>
  <c r="J13" i="1"/>
  <c r="K11" i="1"/>
  <c r="N11" i="1" s="1"/>
  <c r="J11" i="1"/>
  <c r="K14" i="1"/>
  <c r="J14" i="1"/>
  <c r="E14" i="31" l="1"/>
  <c r="G14" i="31" s="1"/>
  <c r="E19" i="31"/>
  <c r="G19" i="31" s="1"/>
  <c r="T22" i="29"/>
  <c r="H21" i="31"/>
  <c r="E20" i="31"/>
  <c r="G20" i="31" s="1"/>
  <c r="E15" i="31"/>
  <c r="G15" i="31" s="1"/>
  <c r="E16" i="31"/>
  <c r="G16" i="31" s="1"/>
  <c r="E11" i="31"/>
  <c r="G11" i="31" s="1"/>
  <c r="U39" i="29"/>
  <c r="L14" i="1"/>
  <c r="L13" i="1"/>
  <c r="L11" i="1"/>
  <c r="M11" i="1"/>
  <c r="O11" i="1" s="1"/>
  <c r="E17" i="31" l="1"/>
  <c r="G17" i="31" s="1"/>
  <c r="E12" i="31"/>
  <c r="G12" i="31" s="1"/>
  <c r="H11" i="31"/>
  <c r="T12" i="29"/>
  <c r="E13" i="31"/>
  <c r="G13" i="31" s="1"/>
  <c r="E18" i="31"/>
  <c r="G18" i="31" s="1"/>
  <c r="H16" i="31"/>
  <c r="T17" i="29"/>
  <c r="U17" i="29" s="1"/>
  <c r="T36" i="29"/>
  <c r="U36" i="29" s="1"/>
  <c r="U22" i="29"/>
  <c r="T16" i="29"/>
  <c r="H15" i="31"/>
  <c r="T20" i="29"/>
  <c r="U20" i="29" s="1"/>
  <c r="H19" i="31"/>
  <c r="E10" i="31"/>
  <c r="G10" i="31" s="1"/>
  <c r="E9" i="31"/>
  <c r="T21" i="29"/>
  <c r="U21" i="29" s="1"/>
  <c r="H20" i="31"/>
  <c r="H14" i="31"/>
  <c r="T15" i="29"/>
  <c r="D18" i="1"/>
  <c r="D21" i="1" s="1"/>
  <c r="T14" i="29" l="1"/>
  <c r="H13" i="31"/>
  <c r="T18" i="29"/>
  <c r="U18" i="29" s="1"/>
  <c r="H17" i="31"/>
  <c r="T34" i="29"/>
  <c r="U34" i="29" s="1"/>
  <c r="U15" i="29"/>
  <c r="G9" i="31"/>
  <c r="G19" i="30"/>
  <c r="G25" i="30" s="1"/>
  <c r="T31" i="29"/>
  <c r="U31" i="29" s="1"/>
  <c r="U12" i="29"/>
  <c r="T11" i="29"/>
  <c r="U11" i="29" s="1"/>
  <c r="H10" i="31"/>
  <c r="T35" i="29"/>
  <c r="U16" i="29"/>
  <c r="T19" i="29"/>
  <c r="U19" i="29" s="1"/>
  <c r="H18" i="31"/>
  <c r="H12" i="31"/>
  <c r="T13" i="29"/>
  <c r="I18" i="1"/>
  <c r="I21" i="1" s="1"/>
  <c r="U35" i="29" l="1"/>
  <c r="T33" i="29"/>
  <c r="U33" i="29" s="1"/>
  <c r="U14" i="29"/>
  <c r="G40" i="30"/>
  <c r="G34" i="30"/>
  <c r="H25" i="30"/>
  <c r="H34" i="30" s="1"/>
  <c r="H36" i="30" s="1"/>
  <c r="H37" i="30" s="1"/>
  <c r="H38" i="30" s="1"/>
  <c r="G22" i="31"/>
  <c r="T10" i="29"/>
  <c r="H9" i="31"/>
  <c r="T32" i="29"/>
  <c r="U32" i="29" s="1"/>
  <c r="U13" i="29"/>
  <c r="T30" i="29" l="1"/>
  <c r="T23" i="29"/>
  <c r="U10" i="29"/>
  <c r="G25" i="31"/>
  <c r="H25" i="31" s="1"/>
  <c r="H22" i="31"/>
  <c r="U30" i="29" l="1"/>
  <c r="T37" i="29"/>
  <c r="T26" i="29"/>
  <c r="U26" i="29" s="1"/>
  <c r="U23" i="29"/>
  <c r="U37" i="29" l="1"/>
  <c r="T40" i="29"/>
  <c r="U40" i="29" s="1"/>
</calcChain>
</file>

<file path=xl/sharedStrings.xml><?xml version="1.0" encoding="utf-8"?>
<sst xmlns="http://schemas.openxmlformats.org/spreadsheetml/2006/main" count="340" uniqueCount="202">
  <si>
    <t>Puget Sound Energy</t>
  </si>
  <si>
    <t>Calculation of Schedule 140 Rates</t>
  </si>
  <si>
    <t>Proposed</t>
  </si>
  <si>
    <t>Property Tax</t>
  </si>
  <si>
    <t>Monthly</t>
  </si>
  <si>
    <t>Rental</t>
  </si>
  <si>
    <t>Plant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</si>
  <si>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</si>
  <si>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</si>
  <si>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</si>
  <si>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</si>
  <si>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</si>
  <si>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</si>
  <si>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</si>
  <si>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</si>
  <si>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</si>
  <si>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</si>
  <si>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</si>
  <si>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</si>
  <si>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</si>
  <si>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</si>
  <si>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</si>
  <si>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</si>
  <si>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</si>
  <si>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</si>
  <si>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</si>
  <si>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</si>
  <si>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</si>
  <si>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Rentals</t>
  </si>
  <si>
    <t>71, 72, 74</t>
  </si>
  <si>
    <t>Total</t>
  </si>
  <si>
    <t>Proposed Revenue Requirement</t>
  </si>
  <si>
    <t>Projected</t>
  </si>
  <si>
    <t>Volume (Therms)</t>
  </si>
  <si>
    <t>Allocation (1)</t>
  </si>
  <si>
    <t>Current</t>
  </si>
  <si>
    <t>Schedule</t>
  </si>
  <si>
    <t>41T</t>
  </si>
  <si>
    <t>85T</t>
  </si>
  <si>
    <t>87T</t>
  </si>
  <si>
    <t>Deferral</t>
  </si>
  <si>
    <t xml:space="preserve">Therm </t>
  </si>
  <si>
    <t xml:space="preserve">Deferral  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</si>
  <si>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</si>
  <si>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</si>
  <si>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</si>
  <si>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</si>
  <si>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</si>
  <si>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</si>
  <si>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</si>
  <si>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</si>
  <si>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</si>
  <si>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</si>
  <si>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</si>
  <si>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</si>
  <si>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</si>
  <si>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</si>
  <si>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</si>
  <si>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</si>
  <si>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31T</t>
  </si>
  <si>
    <t>86T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</si>
  <si>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</si>
  <si>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</si>
  <si>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</si>
  <si>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</si>
  <si>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(a)</t>
  </si>
  <si>
    <t>(b)</t>
  </si>
  <si>
    <t>(c)</t>
  </si>
  <si>
    <t>(d)</t>
  </si>
  <si>
    <t>(e)</t>
  </si>
  <si>
    <t>(g)</t>
  </si>
  <si>
    <t>(f)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</si>
  <si>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</si>
  <si>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</si>
  <si>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</si>
  <si>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</si>
  <si>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</si>
  <si>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</si>
  <si>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</si>
  <si>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</si>
  <si>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</si>
  <si>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</si>
  <si>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Line</t>
  </si>
  <si>
    <t>No.</t>
  </si>
  <si>
    <t>Forecasted Therm Volumes</t>
  </si>
  <si>
    <t>Total Firm</t>
  </si>
  <si>
    <t>Total Interruptible</t>
  </si>
  <si>
    <t>Total Transportation</t>
  </si>
  <si>
    <t>Total Delivered</t>
  </si>
  <si>
    <t>Check</t>
  </si>
  <si>
    <t>&lt;==Check Load</t>
  </si>
  <si>
    <t>Revenue Requirement Increase / (Decrease)</t>
  </si>
  <si>
    <t>Rate Change Impacts by Rate Schedule</t>
  </si>
  <si>
    <t>UG-170034</t>
  </si>
  <si>
    <t>Forecasted</t>
  </si>
  <si>
    <t>Sched 142</t>
  </si>
  <si>
    <t>Sched 140</t>
  </si>
  <si>
    <t>Rate</t>
  </si>
  <si>
    <t>Volume</t>
  </si>
  <si>
    <t>Margin</t>
  </si>
  <si>
    <t>Margin Rate</t>
  </si>
  <si>
    <t>Sched 101</t>
  </si>
  <si>
    <t>Sched 106</t>
  </si>
  <si>
    <t>Sched 120</t>
  </si>
  <si>
    <t>Sched 129</t>
  </si>
  <si>
    <t>Sched 149</t>
  </si>
  <si>
    <t>Total Forecasted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</si>
  <si>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</si>
  <si>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</si>
  <si>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</si>
  <si>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</si>
  <si>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Margin Revenue</t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</si>
  <si>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</si>
  <si>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</si>
  <si>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</si>
  <si>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</si>
  <si>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</si>
  <si>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</si>
  <si>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</si>
  <si>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</si>
  <si>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</si>
  <si>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</si>
  <si>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</si>
  <si>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</si>
  <si>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</si>
  <si>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</si>
  <si>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</si>
  <si>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</si>
  <si>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</si>
  <si>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</si>
  <si>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R </t>
  </si>
  <si>
    <t xml:space="preserve">S </t>
  </si>
  <si>
    <t>T= S/R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</si>
  <si>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</si>
  <si>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</si>
  <si>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</si>
  <si>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</si>
  <si>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</si>
  <si>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</si>
  <si>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</si>
  <si>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</si>
  <si>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</si>
  <si>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</si>
  <si>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</si>
  <si>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</si>
  <si>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</si>
  <si>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</si>
  <si>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r>
      <t>Rentals</t>
    </r>
    <r>
      <rPr>
        <vertAlign val="superscript"/>
        <sz val="11"/>
        <rFont val="Calibri"/>
        <family val="2"/>
      </rPr>
      <t>(2)</t>
    </r>
  </si>
  <si>
    <t>Typical Residential Bill Impacts</t>
  </si>
  <si>
    <t>Current Rates</t>
  </si>
  <si>
    <t>Schedule 140 Rate Change</t>
  </si>
  <si>
    <r>
      <t>Rates</t>
    </r>
    <r>
      <rPr>
        <vertAlign val="superscript"/>
        <sz val="11"/>
        <rFont val="Calibri"/>
        <family val="2"/>
      </rPr>
      <t xml:space="preserve"> (1)</t>
    </r>
  </si>
  <si>
    <t>Charges</t>
  </si>
  <si>
    <t>Rates</t>
  </si>
  <si>
    <t>Volume (therms)</t>
  </si>
  <si>
    <t>Customer charge ($/month)</t>
  </si>
  <si>
    <t>Basic charge</t>
  </si>
  <si>
    <r>
      <t>ERF</t>
    </r>
    <r>
      <rPr>
        <sz val="11"/>
        <rFont val="Calibri"/>
        <family val="2"/>
        <scheme val="minor"/>
      </rPr>
      <t xml:space="preserve"> adjusting charge (Schedule 141)</t>
    </r>
  </si>
  <si>
    <t>Volumetric charges ($/therm)</t>
  </si>
  <si>
    <t>Delivery charge (Schedule 23)</t>
  </si>
  <si>
    <t>Property tax charge (Schedule 140)</t>
  </si>
  <si>
    <t>Decoupling charge (Schedule 142)</t>
  </si>
  <si>
    <t>Low income charge (Schedule 129)</t>
  </si>
  <si>
    <t>CRM Charge (Schedule 149)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</si>
  <si>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</si>
  <si>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</si>
  <si>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</si>
  <si>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</si>
  <si>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</si>
  <si>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</si>
  <si>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</si>
  <si>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</si>
  <si>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</si>
  <si>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Property Tax Tracker Revenue (Schedule 140)</t>
  </si>
  <si>
    <t>2019 Gas Schedule 140 Property Tax Tracker Filing</t>
  </si>
  <si>
    <t>Proposed Effective May 1, 2019</t>
  </si>
  <si>
    <t>Charges (3)</t>
  </si>
  <si>
    <t>(1) Allocation of plant from cost of service study in UG-170034 based on approved revenue requirement.</t>
  </si>
  <si>
    <t>(2) Forecasted rate year normalized volume from F2018 Load Forecast.</t>
  </si>
  <si>
    <t>(3) Forecased rate year rental count calculated using actual December 2018 count.</t>
  </si>
  <si>
    <t>May 2019 - April 2020</t>
  </si>
  <si>
    <t xml:space="preserve">Source: 2018 Load Forecast Calendar Month Therms (7-5-18)  </t>
  </si>
  <si>
    <t>Revenue Requirement from 2018 Filing</t>
  </si>
  <si>
    <t>True-up for 2018 Load Variance</t>
  </si>
  <si>
    <t>= 7 - 9</t>
  </si>
  <si>
    <t>Proposed Rates Effective May 1, 2019</t>
  </si>
  <si>
    <t>UG-180283</t>
  </si>
  <si>
    <t>12ME Apr 2020</t>
  </si>
  <si>
    <t>Sched 141</t>
  </si>
  <si>
    <t>Sched 141X</t>
  </si>
  <si>
    <t>May 19 - Apr 20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</si>
  <si>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September 2016, at approved rates from UG-180283 Tax Reform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</si>
  <si>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rental counts calculated using actual December 2018 count.</t>
    </r>
  </si>
  <si>
    <t>EDIT adjusting charge (Schedule 141X)</t>
  </si>
  <si>
    <r>
      <rPr>
        <vertAlign val="superscript"/>
        <sz val="11"/>
        <rFont val="Calibri"/>
        <family val="2"/>
      </rPr>
      <t xml:space="preserve">(1) </t>
    </r>
    <r>
      <rPr>
        <sz val="11"/>
        <rFont val="Calibri"/>
        <family val="2"/>
        <scheme val="minor"/>
      </rPr>
      <t>Rates for Schedule 23 customers in effect March 1, 2019</t>
    </r>
  </si>
  <si>
    <t>(5/2019 - 4/2020) (2)</t>
  </si>
  <si>
    <t>Sched 141Y</t>
  </si>
  <si>
    <t>Revenue (3)</t>
  </si>
  <si>
    <r>
      <rPr>
        <vertAlign val="superscript"/>
        <sz val="11"/>
        <color theme="1"/>
        <rFont val="Calibri"/>
        <family val="2"/>
      </rPr>
      <t xml:space="preserve">(3) </t>
    </r>
    <r>
      <rPr>
        <sz val="11"/>
        <color theme="1"/>
        <rFont val="Calibri"/>
        <family val="2"/>
        <scheme val="minor"/>
      </rPr>
      <t>Forecasted revenues at current rates effective March 1, 2019</t>
    </r>
  </si>
  <si>
    <t>Tax Reform Credit (Schedule 141Y)</t>
  </si>
  <si>
    <r>
      <t xml:space="preserve">Property Tax Revenue Requirement - </t>
    </r>
    <r>
      <rPr>
        <b/>
        <sz val="14"/>
        <color rgb="FFFF0000"/>
        <rFont val="Calibri"/>
        <family val="2"/>
      </rPr>
      <t>Final April</t>
    </r>
    <r>
      <rPr>
        <b/>
        <sz val="14"/>
        <color theme="1"/>
        <rFont val="Calibri"/>
        <family val="2"/>
        <scheme val="minor"/>
      </rPr>
      <t>, 2019</t>
    </r>
  </si>
  <si>
    <t>Cash Payment to be made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</si>
</sst>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0_);_(&quot;$&quot;* \(#,##0.00000\);_(&quot;$&quot;* &quot;-&quot;?????_);_(@_)"/>
    <numFmt numFmtId="169" formatCode="_(&quot;$&quot;* #,##0.00_);_(&quot;$&quot;* \(#,##0.00\);_(&quot;$&quot;* &quot;-&quot;?????_);_(@_)"/>
    <numFmt numFmtId="170" formatCode="_(&quot;$&quot;* #,##0_);_(&quot;$&quot;* \(#,##0\);_(&quot;$&quot;* &quot;-&quot;?????_);_(@_)"/>
    <numFmt numFmtId="171" formatCode="_(&quot;$&quot;* #,##0.00_);_(&quot;$&quot;* \(#,##0.00\);_(&quot;$&quot;* &quot;-&quot;_);_(@_)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vertAlign val="superscript"/>
      <sz val="11"/>
      <color theme="1"/>
      <name val="Calibri"/>
      <family val="2"/>
    </font>
    <font>
      <sz val="11"/>
      <name val="Calibri"/>
      <family val="2"/>
    </font>
    <font>
      <sz val="11"/>
      <color indexed="21"/>
      <name val="Calibri"/>
      <family val="2"/>
    </font>
    <font>
      <sz val="11"/>
      <color rgb="FF00808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11"/>
      <color indexed="12"/>
      <name val="Calibri"/>
      <family val="2"/>
      <scheme val="minor"/>
    </font>
    <font>
      <sz val="11"/>
      <color indexed="12"/>
      <name val="Calibri"/>
      <family val="2"/>
    </font>
    <font>
      <sz val="11"/>
      <color rgb="FF0000FF"/>
      <name val="Calibri"/>
      <family val="2"/>
    </font>
    <font>
      <sz val="11"/>
      <color rgb="FF7500E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 applyAlignment="1">
      <alignment horizontal="center"/>
    </xf>
    <xf numFmtId="3" fontId="3" fillId="0" borderId="0" xfId="0" applyNumberFormat="1" applyFont="1"/>
    <xf numFmtId="164" fontId="3" fillId="0" borderId="0" xfId="0" applyNumberFormat="1" applyFont="1" applyFill="1"/>
    <xf numFmtId="42" fontId="0" fillId="0" borderId="0" xfId="0" applyNumberFormat="1"/>
    <xf numFmtId="164" fontId="0" fillId="0" borderId="2" xfId="0" applyNumberFormat="1" applyFont="1" applyFill="1" applyBorder="1"/>
    <xf numFmtId="164" fontId="0" fillId="0" borderId="0" xfId="0" applyNumberFormat="1" applyFont="1"/>
    <xf numFmtId="164" fontId="3" fillId="0" borderId="0" xfId="0" applyNumberFormat="1" applyFont="1"/>
    <xf numFmtId="164" fontId="0" fillId="0" borderId="2" xfId="0" applyNumberFormat="1" applyFont="1" applyBorder="1"/>
    <xf numFmtId="9" fontId="0" fillId="0" borderId="0" xfId="0" applyNumberFormat="1" applyFont="1"/>
    <xf numFmtId="42" fontId="4" fillId="0" borderId="0" xfId="0" applyNumberFormat="1" applyFont="1" applyFill="1"/>
    <xf numFmtId="0" fontId="0" fillId="0" borderId="0" xfId="0" applyFont="1"/>
    <xf numFmtId="0" fontId="0" fillId="0" borderId="0" xfId="0" applyAlignment="1">
      <alignment horizontal="center"/>
    </xf>
    <xf numFmtId="42" fontId="5" fillId="0" borderId="0" xfId="0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/>
    <xf numFmtId="165" fontId="0" fillId="0" borderId="0" xfId="0" applyNumberFormat="1" applyFont="1" applyFill="1"/>
    <xf numFmtId="44" fontId="0" fillId="0" borderId="0" xfId="0" applyNumberFormat="1" applyFont="1" applyFill="1"/>
    <xf numFmtId="3" fontId="0" fillId="0" borderId="2" xfId="0" applyNumberFormat="1" applyFont="1" applyBorder="1"/>
    <xf numFmtId="42" fontId="0" fillId="0" borderId="2" xfId="0" applyNumberFormat="1" applyFont="1" applyBorder="1"/>
    <xf numFmtId="42" fontId="0" fillId="0" borderId="0" xfId="0" applyNumberFormat="1" applyFont="1" applyBorder="1"/>
    <xf numFmtId="3" fontId="0" fillId="0" borderId="0" xfId="0" applyNumberFormat="1" applyFont="1"/>
    <xf numFmtId="3" fontId="0" fillId="0" borderId="0" xfId="0" applyNumberFormat="1" applyFont="1" applyBorder="1"/>
    <xf numFmtId="0" fontId="0" fillId="0" borderId="0" xfId="0" applyAlignment="1">
      <alignment horizontal="left"/>
    </xf>
    <xf numFmtId="42" fontId="4" fillId="0" borderId="0" xfId="0" applyNumberFormat="1" applyFont="1"/>
    <xf numFmtId="3" fontId="5" fillId="0" borderId="0" xfId="0" applyNumberFormat="1" applyFont="1" applyFill="1"/>
    <xf numFmtId="6" fontId="0" fillId="0" borderId="0" xfId="0" applyNumberFormat="1" applyFont="1"/>
    <xf numFmtId="42" fontId="0" fillId="0" borderId="0" xfId="0" applyNumberFormat="1" applyFill="1"/>
    <xf numFmtId="0" fontId="0" fillId="0" borderId="0" xfId="0" applyFill="1"/>
    <xf numFmtId="41" fontId="0" fillId="0" borderId="0" xfId="0" applyNumberFormat="1" applyFill="1"/>
    <xf numFmtId="0" fontId="0" fillId="0" borderId="2" xfId="0" applyFill="1" applyBorder="1"/>
    <xf numFmtId="42" fontId="0" fillId="0" borderId="4" xfId="0" applyNumberFormat="1" applyFill="1" applyBorder="1"/>
    <xf numFmtId="3" fontId="3" fillId="0" borderId="0" xfId="0" applyNumberFormat="1" applyFont="1" applyFill="1"/>
    <xf numFmtId="0" fontId="0" fillId="0" borderId="0" xfId="0" applyFont="1" applyAlignment="1">
      <alignment horizontal="center"/>
    </xf>
    <xf numFmtId="165" fontId="0" fillId="0" borderId="0" xfId="0" applyNumberFormat="1" applyFont="1" applyFill="1"/>
    <xf numFmtId="17" fontId="0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1" xfId="0" applyNumberFormat="1" applyFont="1" applyBorder="1"/>
    <xf numFmtId="0" fontId="1" fillId="0" borderId="0" xfId="0" applyFont="1" applyAlignment="1">
      <alignment horizontal="left"/>
    </xf>
    <xf numFmtId="166" fontId="1" fillId="0" borderId="0" xfId="0" applyNumberFormat="1" applyFont="1"/>
    <xf numFmtId="164" fontId="0" fillId="0" borderId="0" xfId="0" applyNumberFormat="1" applyFo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5" fillId="0" borderId="0" xfId="0" applyNumberFormat="1" applyFont="1"/>
    <xf numFmtId="165" fontId="0" fillId="0" borderId="0" xfId="0" applyNumberFormat="1"/>
    <xf numFmtId="10" fontId="0" fillId="0" borderId="0" xfId="0" applyNumberFormat="1" applyFont="1"/>
    <xf numFmtId="42" fontId="3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4" fillId="0" borderId="2" xfId="0" applyNumberFormat="1" applyFont="1" applyBorder="1"/>
    <xf numFmtId="10" fontId="0" fillId="0" borderId="2" xfId="0" applyNumberFormat="1" applyFont="1" applyBorder="1"/>
    <xf numFmtId="0" fontId="16" fillId="0" borderId="0" xfId="0" applyFont="1" applyBorder="1" applyAlignment="1">
      <alignment horizontal="left"/>
    </xf>
    <xf numFmtId="3" fontId="16" fillId="0" borderId="0" xfId="0" applyNumberFormat="1" applyFont="1" applyFill="1" applyBorder="1"/>
    <xf numFmtId="42" fontId="16" fillId="0" borderId="0" xfId="0" applyNumberFormat="1" applyFont="1" applyFill="1" applyBorder="1"/>
    <xf numFmtId="168" fontId="16" fillId="0" borderId="0" xfId="0" applyNumberFormat="1" applyFont="1" applyFill="1" applyBorder="1"/>
    <xf numFmtId="168" fontId="16" fillId="0" borderId="0" xfId="0" applyNumberFormat="1" applyFont="1" applyFill="1"/>
    <xf numFmtId="168" fontId="17" fillId="0" borderId="0" xfId="0" applyNumberFormat="1" applyFont="1"/>
    <xf numFmtId="164" fontId="16" fillId="0" borderId="0" xfId="0" applyNumberFormat="1" applyFont="1"/>
    <xf numFmtId="10" fontId="16" fillId="0" borderId="0" xfId="0" applyNumberFormat="1" applyFont="1"/>
    <xf numFmtId="0" fontId="16" fillId="0" borderId="0" xfId="0" applyFont="1"/>
    <xf numFmtId="169" fontId="16" fillId="0" borderId="0" xfId="0" applyNumberFormat="1" applyFont="1" applyFill="1" applyBorder="1"/>
    <xf numFmtId="37" fontId="16" fillId="0" borderId="0" xfId="0" applyNumberFormat="1" applyFont="1"/>
    <xf numFmtId="37" fontId="16" fillId="0" borderId="0" xfId="0" applyNumberFormat="1" applyFont="1" applyFill="1"/>
    <xf numFmtId="0" fontId="16" fillId="0" borderId="0" xfId="0" applyFont="1" applyAlignment="1">
      <alignment horizontal="left"/>
    </xf>
    <xf numFmtId="3" fontId="16" fillId="0" borderId="0" xfId="0" applyNumberFormat="1" applyFont="1" applyBorder="1"/>
    <xf numFmtId="42" fontId="16" fillId="0" borderId="2" xfId="0" applyNumberFormat="1" applyFont="1" applyFill="1" applyBorder="1"/>
    <xf numFmtId="0" fontId="16" fillId="0" borderId="0" xfId="0" applyFont="1" applyFill="1"/>
    <xf numFmtId="3" fontId="0" fillId="0" borderId="0" xfId="0" applyNumberFormat="1"/>
    <xf numFmtId="10" fontId="0" fillId="0" borderId="0" xfId="0" applyNumberFormat="1"/>
    <xf numFmtId="0" fontId="19" fillId="0" borderId="0" xfId="0" applyFont="1" applyAlignment="1">
      <alignment horizontal="left"/>
    </xf>
    <xf numFmtId="42" fontId="16" fillId="0" borderId="0" xfId="0" applyNumberFormat="1" applyFont="1" applyBorder="1"/>
    <xf numFmtId="42" fontId="16" fillId="0" borderId="0" xfId="0" applyNumberFormat="1" applyFont="1"/>
    <xf numFmtId="166" fontId="16" fillId="0" borderId="0" xfId="0" applyNumberFormat="1" applyFont="1" applyFill="1"/>
    <xf numFmtId="167" fontId="16" fillId="0" borderId="0" xfId="0" applyNumberFormat="1" applyFont="1" applyFill="1"/>
    <xf numFmtId="0" fontId="16" fillId="0" borderId="0" xfId="0" applyFont="1" applyFill="1" applyBorder="1" applyAlignment="1">
      <alignment horizontal="left" vertical="center" textRotation="180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16" fillId="0" borderId="0" xfId="0" applyFont="1" applyBorder="1"/>
    <xf numFmtId="167" fontId="16" fillId="0" borderId="0" xfId="0" applyNumberFormat="1" applyFont="1" applyFill="1" applyBorder="1"/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166" fontId="16" fillId="0" borderId="2" xfId="0" applyNumberFormat="1" applyFont="1" applyFill="1" applyBorder="1"/>
    <xf numFmtId="167" fontId="16" fillId="0" borderId="2" xfId="0" applyNumberFormat="1" applyFont="1" applyFill="1" applyBorder="1"/>
    <xf numFmtId="44" fontId="16" fillId="0" borderId="0" xfId="0" applyNumberFormat="1" applyFont="1"/>
    <xf numFmtId="167" fontId="0" fillId="0" borderId="0" xfId="0" applyNumberFormat="1"/>
    <xf numFmtId="0" fontId="0" fillId="0" borderId="0" xfId="0" quotePrefix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21" fillId="0" borderId="0" xfId="0" applyFont="1"/>
    <xf numFmtId="171" fontId="4" fillId="0" borderId="0" xfId="0" applyNumberFormat="1" applyFont="1"/>
    <xf numFmtId="44" fontId="21" fillId="0" borderId="0" xfId="0" applyNumberFormat="1" applyFont="1"/>
    <xf numFmtId="44" fontId="21" fillId="0" borderId="0" xfId="0" applyNumberFormat="1" applyFont="1" applyBorder="1"/>
    <xf numFmtId="44" fontId="4" fillId="0" borderId="0" xfId="0" applyNumberFormat="1" applyFont="1"/>
    <xf numFmtId="168" fontId="22" fillId="0" borderId="0" xfId="0" applyNumberFormat="1" applyFont="1"/>
    <xf numFmtId="168" fontId="4" fillId="0" borderId="0" xfId="0" applyNumberFormat="1" applyFont="1"/>
    <xf numFmtId="168" fontId="5" fillId="0" borderId="0" xfId="0" applyNumberFormat="1" applyFont="1"/>
    <xf numFmtId="168" fontId="22" fillId="0" borderId="0" xfId="0" applyNumberFormat="1" applyFont="1" applyFill="1"/>
    <xf numFmtId="168" fontId="21" fillId="0" borderId="0" xfId="0" applyNumberFormat="1" applyFont="1" applyFill="1"/>
    <xf numFmtId="168" fontId="4" fillId="0" borderId="2" xfId="0" applyNumberFormat="1" applyFont="1" applyBorder="1"/>
    <xf numFmtId="168" fontId="14" fillId="0" borderId="0" xfId="0" applyNumberFormat="1" applyFont="1"/>
    <xf numFmtId="168" fontId="0" fillId="0" borderId="0" xfId="0" applyNumberFormat="1" applyFont="1" applyFill="1"/>
    <xf numFmtId="168" fontId="12" fillId="0" borderId="0" xfId="0" applyNumberFormat="1" applyFont="1"/>
    <xf numFmtId="168" fontId="0" fillId="0" borderId="0" xfId="0" applyNumberFormat="1" applyFont="1"/>
    <xf numFmtId="171" fontId="4" fillId="0" borderId="2" xfId="0" applyNumberFormat="1" applyFont="1" applyBorder="1"/>
    <xf numFmtId="44" fontId="4" fillId="0" borderId="0" xfId="0" applyNumberFormat="1" applyFont="1" applyBorder="1"/>
    <xf numFmtId="164" fontId="4" fillId="0" borderId="0" xfId="0" applyNumberFormat="1" applyFont="1"/>
    <xf numFmtId="10" fontId="4" fillId="0" borderId="0" xfId="0" applyNumberFormat="1" applyFont="1"/>
    <xf numFmtId="0" fontId="4" fillId="0" borderId="0" xfId="0" applyFont="1" applyFill="1" applyAlignment="1"/>
    <xf numFmtId="0" fontId="12" fillId="0" borderId="0" xfId="0" applyFont="1" applyAlignment="1">
      <alignment horizontal="centerContinuous"/>
    </xf>
    <xf numFmtId="0" fontId="12" fillId="0" borderId="0" xfId="0" applyFont="1"/>
    <xf numFmtId="0" fontId="5" fillId="0" borderId="1" xfId="0" applyFont="1" applyFill="1" applyBorder="1" applyAlignment="1">
      <alignment horizontal="center"/>
    </xf>
    <xf numFmtId="165" fontId="3" fillId="0" borderId="0" xfId="0" applyNumberFormat="1" applyFont="1"/>
    <xf numFmtId="165" fontId="3" fillId="0" borderId="1" xfId="0" applyNumberFormat="1" applyFont="1" applyBorder="1"/>
    <xf numFmtId="169" fontId="23" fillId="0" borderId="0" xfId="0" applyNumberFormat="1" applyFont="1" applyFill="1" applyBorder="1"/>
    <xf numFmtId="165" fontId="5" fillId="0" borderId="0" xfId="0" applyNumberFormat="1" applyFont="1"/>
    <xf numFmtId="3" fontId="23" fillId="0" borderId="0" xfId="0" applyNumberFormat="1" applyFont="1" applyFill="1"/>
    <xf numFmtId="42" fontId="23" fillId="0" borderId="0" xfId="0" applyNumberFormat="1" applyFont="1" applyFill="1" applyBorder="1"/>
    <xf numFmtId="168" fontId="23" fillId="0" borderId="0" xfId="0" applyNumberFormat="1" applyFont="1" applyFill="1"/>
    <xf numFmtId="170" fontId="23" fillId="0" borderId="0" xfId="0" applyNumberFormat="1" applyFont="1" applyFill="1" applyBorder="1"/>
    <xf numFmtId="169" fontId="18" fillId="0" borderId="0" xfId="0" applyNumberFormat="1" applyFont="1" applyFill="1" applyBorder="1"/>
    <xf numFmtId="41" fontId="9" fillId="0" borderId="2" xfId="0" applyNumberFormat="1" applyFont="1" applyFill="1" applyBorder="1"/>
    <xf numFmtId="0" fontId="9" fillId="0" borderId="2" xfId="0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Fill="1"/>
    <xf numFmtId="0" fontId="0" fillId="0" borderId="0" xfId="0" quotePrefix="1" applyAlignment="1">
      <alignment horizontal="left"/>
    </xf>
    <xf numFmtId="0" fontId="24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24" fillId="0" borderId="0" xfId="0" applyFont="1" applyAlignment="1">
      <alignment horizontal="left"/>
    </xf>
    <xf numFmtId="41" fontId="0" fillId="0" borderId="0" xfId="0" applyNumberFormat="1"/>
    <xf numFmtId="166" fontId="0" fillId="0" borderId="0" xfId="0" applyNumberFormat="1" applyFont="1" applyFill="1"/>
    <xf numFmtId="42" fontId="0" fillId="2" borderId="4" xfId="0" applyNumberFormat="1" applyFill="1" applyBorder="1"/>
    <xf numFmtId="42" fontId="0" fillId="0" borderId="3" xfId="0" applyNumberFormat="1" applyBorder="1"/>
    <xf numFmtId="41" fontId="9" fillId="0" borderId="0" xfId="0" applyNumberFormat="1" applyFont="1"/>
    <xf numFmtId="0" fontId="9" fillId="0" borderId="0" xfId="0" applyFont="1"/>
    <xf numFmtId="166" fontId="9" fillId="0" borderId="0" xfId="0" applyNumberFormat="1" applyFont="1"/>
    <xf numFmtId="0" fontId="2" fillId="0" borderId="0" xfId="0" applyFont="1"/>
    <xf numFmtId="10" fontId="0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/>
    <xf numFmtId="171" fontId="4" fillId="0" borderId="0" xfId="0" applyNumberFormat="1" applyFont="1" applyBorder="1"/>
    <xf numFmtId="44" fontId="4" fillId="0" borderId="2" xfId="0" applyNumberFormat="1" applyFont="1" applyBorder="1"/>
    <xf numFmtId="165" fontId="0" fillId="0" borderId="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/>
    <xf numFmtId="42" fontId="0" fillId="0" borderId="3" xfId="0" applyNumberForma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sharedStrings" Target="sharedStrings.xml"/><Relationship Id="rId75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Supplemental%20Filing%202017%20GRC\NO%20MS%20SUPP%202017%20GRC%20Workpapers\%23Electric%20Model%202017%20GRC%20CONT%20CALCULATION%20(SUPP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as%20GRC%202017\Compliance%20Filing\Cost%20Of%20Service\2017%20Gas%20COSS%20September%20TY_Complianc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Settlement\Settlement%20Workpapers\%23Gas%20Model%202017%20GRC%20(SETTLEMENT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COS%20Inputs\COS%20Model\ECOS%20Model%20-%20FINAL%20COMPANY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as%20GRC%202011\Cost%20of%20Service\Revenue%20Reqt%20and%20Rate%20Base\May%2016%20235%20pm\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 refreshError="1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Normal="100" workbookViewId="0">
      <selection activeCell="D24" sqref="D24"/>
    </sheetView>
  </sheetViews>
  <sheetFormatPr defaultRowHeight="15" x14ac:dyDescent="0.25"/>
  <cols>
    <col min="1" max="1" width="4.5703125" style="11" customWidth="1"/>
    <col min="2" max="2" width="25.85546875" style="11" customWidth="1"/>
    <col min="3" max="3" width="10" style="11" bestFit="1" customWidth="1"/>
    <col min="4" max="4" width="12.85546875" style="11" bestFit="1" customWidth="1"/>
    <col min="5" max="5" width="18.85546875" style="11" bestFit="1" customWidth="1"/>
    <col min="6" max="6" width="10.85546875" style="11" bestFit="1" customWidth="1"/>
    <col min="7" max="9" width="13.42578125" style="11" customWidth="1"/>
    <col min="10" max="12" width="12.85546875" style="11" customWidth="1"/>
    <col min="13" max="18" width="9.28515625" style="11" customWidth="1"/>
    <col min="19" max="16384" width="9.140625" style="11"/>
  </cols>
  <sheetData>
    <row r="1" spans="1:19" x14ac:dyDescent="0.25"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1:19" x14ac:dyDescent="0.25">
      <c r="B2" s="161" t="s">
        <v>174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19" x14ac:dyDescent="0.25">
      <c r="B3" s="161" t="s">
        <v>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1:19" x14ac:dyDescent="0.25">
      <c r="B4" s="161" t="s">
        <v>175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</row>
    <row r="5" spans="1:19" x14ac:dyDescent="0.25">
      <c r="M5" s="15"/>
      <c r="N5" s="15"/>
      <c r="O5" s="15"/>
      <c r="P5" s="15"/>
      <c r="Q5" s="15"/>
      <c r="R5" s="15"/>
    </row>
    <row r="6" spans="1:19" x14ac:dyDescent="0.25">
      <c r="E6" s="15"/>
      <c r="F6" s="15"/>
      <c r="G6" s="16" t="s">
        <v>3</v>
      </c>
      <c r="H6" s="16" t="s">
        <v>3</v>
      </c>
      <c r="I6" s="16" t="s">
        <v>3</v>
      </c>
      <c r="J6" s="16" t="s">
        <v>2</v>
      </c>
      <c r="K6" s="16" t="s">
        <v>2</v>
      </c>
      <c r="L6" s="16" t="s">
        <v>2</v>
      </c>
      <c r="M6" s="17" t="s">
        <v>4</v>
      </c>
      <c r="N6" s="17" t="s">
        <v>4</v>
      </c>
      <c r="O6" s="17" t="s">
        <v>4</v>
      </c>
      <c r="P6" s="17" t="s">
        <v>4</v>
      </c>
      <c r="Q6" s="17" t="s">
        <v>4</v>
      </c>
      <c r="R6" s="17" t="s">
        <v>4</v>
      </c>
    </row>
    <row r="7" spans="1:19" x14ac:dyDescent="0.25">
      <c r="B7" s="16"/>
      <c r="C7" s="16"/>
      <c r="D7" s="18" t="s">
        <v>93</v>
      </c>
      <c r="E7" s="18" t="s">
        <v>32</v>
      </c>
      <c r="F7" s="16"/>
      <c r="G7" s="16" t="s">
        <v>7</v>
      </c>
      <c r="H7" s="18" t="s">
        <v>7</v>
      </c>
      <c r="I7" s="16" t="s">
        <v>7</v>
      </c>
      <c r="J7" s="16" t="s">
        <v>8</v>
      </c>
      <c r="K7" s="16" t="s">
        <v>8</v>
      </c>
      <c r="L7" s="16" t="s">
        <v>8</v>
      </c>
      <c r="M7" s="18" t="s">
        <v>8</v>
      </c>
      <c r="N7" s="18" t="s">
        <v>8</v>
      </c>
      <c r="O7" s="18" t="s">
        <v>8</v>
      </c>
      <c r="P7" s="18" t="s">
        <v>8</v>
      </c>
      <c r="Q7" s="18" t="s">
        <v>8</v>
      </c>
      <c r="R7" s="18" t="s">
        <v>8</v>
      </c>
    </row>
    <row r="8" spans="1:19" x14ac:dyDescent="0.25">
      <c r="A8" s="12" t="s">
        <v>82</v>
      </c>
      <c r="B8" s="16"/>
      <c r="C8" s="16"/>
      <c r="D8" s="18" t="s">
        <v>6</v>
      </c>
      <c r="E8" s="18" t="s">
        <v>33</v>
      </c>
      <c r="F8" s="16" t="s">
        <v>5</v>
      </c>
      <c r="G8" s="16" t="s">
        <v>11</v>
      </c>
      <c r="H8" s="18" t="s">
        <v>11</v>
      </c>
      <c r="I8" s="16" t="s">
        <v>11</v>
      </c>
      <c r="J8" s="16" t="s">
        <v>41</v>
      </c>
      <c r="K8" s="16" t="s">
        <v>12</v>
      </c>
      <c r="L8" s="16" t="s">
        <v>12</v>
      </c>
      <c r="M8" s="18" t="s">
        <v>13</v>
      </c>
      <c r="N8" s="18" t="s">
        <v>13</v>
      </c>
      <c r="O8" s="18" t="s">
        <v>13</v>
      </c>
      <c r="P8" s="18" t="s">
        <v>5</v>
      </c>
      <c r="Q8" s="18" t="s">
        <v>5</v>
      </c>
      <c r="R8" s="18" t="s">
        <v>5</v>
      </c>
    </row>
    <row r="9" spans="1:19" x14ac:dyDescent="0.25">
      <c r="A9" s="1" t="s">
        <v>83</v>
      </c>
      <c r="B9" s="19" t="s">
        <v>9</v>
      </c>
      <c r="C9" s="19" t="s">
        <v>10</v>
      </c>
      <c r="D9" s="20" t="s">
        <v>34</v>
      </c>
      <c r="E9" s="20" t="s">
        <v>195</v>
      </c>
      <c r="F9" s="19" t="s">
        <v>176</v>
      </c>
      <c r="G9" s="20" t="s">
        <v>35</v>
      </c>
      <c r="H9" s="19" t="s">
        <v>42</v>
      </c>
      <c r="I9" s="19" t="s">
        <v>30</v>
      </c>
      <c r="J9" s="19" t="s">
        <v>35</v>
      </c>
      <c r="K9" s="19" t="s">
        <v>40</v>
      </c>
      <c r="L9" s="19" t="s">
        <v>30</v>
      </c>
      <c r="M9" s="20" t="s">
        <v>35</v>
      </c>
      <c r="N9" s="20" t="s">
        <v>40</v>
      </c>
      <c r="O9" s="20" t="s">
        <v>30</v>
      </c>
      <c r="P9" s="20" t="s">
        <v>35</v>
      </c>
      <c r="Q9" s="20" t="s">
        <v>40</v>
      </c>
      <c r="R9" s="20" t="s">
        <v>30</v>
      </c>
    </row>
    <row r="10" spans="1:19" x14ac:dyDescent="0.25">
      <c r="B10" s="39" t="s">
        <v>65</v>
      </c>
      <c r="C10" s="39" t="s">
        <v>66</v>
      </c>
      <c r="D10" s="17" t="s">
        <v>67</v>
      </c>
      <c r="E10" s="18" t="s">
        <v>68</v>
      </c>
      <c r="F10" s="17" t="s">
        <v>69</v>
      </c>
      <c r="G10" s="18" t="s">
        <v>71</v>
      </c>
      <c r="H10" s="18" t="s">
        <v>70</v>
      </c>
      <c r="I10" s="18" t="s">
        <v>72</v>
      </c>
      <c r="J10" s="18" t="s">
        <v>73</v>
      </c>
      <c r="K10" s="18" t="s">
        <v>74</v>
      </c>
      <c r="L10" s="18" t="s">
        <v>75</v>
      </c>
      <c r="M10" s="18" t="s">
        <v>76</v>
      </c>
      <c r="N10" s="18" t="s">
        <v>77</v>
      </c>
      <c r="O10" s="18" t="s">
        <v>78</v>
      </c>
      <c r="P10" s="18" t="s">
        <v>79</v>
      </c>
      <c r="Q10" s="18" t="s">
        <v>80</v>
      </c>
      <c r="R10" s="18" t="s">
        <v>81</v>
      </c>
      <c r="S10" s="18"/>
    </row>
    <row r="11" spans="1:19" x14ac:dyDescent="0.25">
      <c r="A11" s="39">
        <v>1</v>
      </c>
      <c r="B11" s="11" t="s">
        <v>14</v>
      </c>
      <c r="C11" s="11" t="s">
        <v>15</v>
      </c>
      <c r="D11" s="3">
        <v>0.64039693758693506</v>
      </c>
      <c r="E11" s="31">
        <f>SUM('Forecasted Volume'!N8:N10)</f>
        <v>639433860</v>
      </c>
      <c r="F11" s="2"/>
      <c r="G11" s="21">
        <f>G$23*D11</f>
        <v>8328583.7352036852</v>
      </c>
      <c r="H11" s="30">
        <f>$H$23*D11</f>
        <v>5967578.7243724503</v>
      </c>
      <c r="I11" s="21">
        <f t="shared" ref="I11:I17" si="0">SUM(G11:H11)</f>
        <v>14296162.459576136</v>
      </c>
      <c r="J11" s="40">
        <f t="shared" ref="J11:J17" si="1">ROUND(G11/$E11,5)</f>
        <v>1.302E-2</v>
      </c>
      <c r="K11" s="40">
        <f>ROUND((+H11)/$E11,5)</f>
        <v>9.3299999999999998E-3</v>
      </c>
      <c r="L11" s="40">
        <f>SUM(J11:K11)</f>
        <v>2.2350000000000002E-2</v>
      </c>
      <c r="M11" s="23">
        <f>ROUND(J11*19,2)</f>
        <v>0.25</v>
      </c>
      <c r="N11" s="23">
        <f>ROUND(K11*19,2)</f>
        <v>0.18</v>
      </c>
      <c r="O11" s="23">
        <f>SUM(M11:N11)</f>
        <v>0.43</v>
      </c>
      <c r="P11" s="22"/>
      <c r="Q11" s="22"/>
      <c r="R11" s="15"/>
    </row>
    <row r="12" spans="1:19" x14ac:dyDescent="0.25">
      <c r="A12" s="39">
        <f>A11+1</f>
        <v>2</v>
      </c>
      <c r="B12" s="11" t="s">
        <v>16</v>
      </c>
      <c r="C12" s="11" t="s">
        <v>17</v>
      </c>
      <c r="D12" s="3">
        <v>0.27010693445647399</v>
      </c>
      <c r="E12" s="31">
        <f>SUM('Forecasted Volume'!N11,'Forecasted Volume'!N16)</f>
        <v>238540651</v>
      </c>
      <c r="F12" s="2"/>
      <c r="G12" s="21">
        <f t="shared" ref="G12:G17" si="2">G$23*D12</f>
        <v>3512834.1330872285</v>
      </c>
      <c r="H12" s="30">
        <f t="shared" ref="H12:H17" si="3">$H$23*D12</f>
        <v>2517008.2815224295</v>
      </c>
      <c r="I12" s="21">
        <f t="shared" si="0"/>
        <v>6029842.4146096576</v>
      </c>
      <c r="J12" s="40">
        <f t="shared" si="1"/>
        <v>1.473E-2</v>
      </c>
      <c r="K12" s="40">
        <f t="shared" ref="K12:K17" si="4">ROUND((+H12)/$E12,5)</f>
        <v>1.055E-2</v>
      </c>
      <c r="L12" s="40">
        <f t="shared" ref="L12:L17" si="5">SUM(J12:K12)</f>
        <v>2.528E-2</v>
      </c>
      <c r="M12" s="22"/>
      <c r="N12" s="22"/>
      <c r="O12" s="15"/>
      <c r="P12" s="22"/>
      <c r="Q12" s="22"/>
      <c r="R12" s="15"/>
    </row>
    <row r="13" spans="1:19" x14ac:dyDescent="0.25">
      <c r="A13" s="39">
        <f t="shared" ref="A13:A23" si="6">A12+1</f>
        <v>3</v>
      </c>
      <c r="B13" s="11" t="s">
        <v>18</v>
      </c>
      <c r="C13" s="11" t="s">
        <v>19</v>
      </c>
      <c r="D13" s="3">
        <v>3.6349996225221455E-2</v>
      </c>
      <c r="E13" s="31">
        <f>SUM('Forecasted Volume'!N12,'Forecasted Volume'!N17)</f>
        <v>90738172</v>
      </c>
      <c r="F13" s="2"/>
      <c r="G13" s="21">
        <f t="shared" si="2"/>
        <v>472744.27713045815</v>
      </c>
      <c r="H13" s="30">
        <f t="shared" si="3"/>
        <v>338729.70242803969</v>
      </c>
      <c r="I13" s="21">
        <f t="shared" si="0"/>
        <v>811473.9795584979</v>
      </c>
      <c r="J13" s="40">
        <f t="shared" si="1"/>
        <v>5.2100000000000002E-3</v>
      </c>
      <c r="K13" s="40">
        <f t="shared" si="4"/>
        <v>3.7299999999999998E-3</v>
      </c>
      <c r="L13" s="40">
        <f t="shared" si="5"/>
        <v>8.94E-3</v>
      </c>
      <c r="M13" s="22"/>
      <c r="N13" s="22"/>
      <c r="O13" s="15"/>
      <c r="P13" s="22"/>
      <c r="Q13" s="22"/>
      <c r="R13" s="15"/>
    </row>
    <row r="14" spans="1:19" x14ac:dyDescent="0.25">
      <c r="A14" s="39">
        <f t="shared" si="6"/>
        <v>4</v>
      </c>
      <c r="B14" s="11" t="s">
        <v>20</v>
      </c>
      <c r="C14" s="11" t="s">
        <v>21</v>
      </c>
      <c r="D14" s="3">
        <v>2.1521899240408551E-2</v>
      </c>
      <c r="E14" s="31">
        <f>SUM('Forecasted Volume'!N13,'Forecasted Volume'!N18)</f>
        <v>95221717</v>
      </c>
      <c r="F14" s="2"/>
      <c r="G14" s="21">
        <f t="shared" si="2"/>
        <v>279899.74567925866</v>
      </c>
      <c r="H14" s="30">
        <f t="shared" si="3"/>
        <v>200553.15770106186</v>
      </c>
      <c r="I14" s="21">
        <f t="shared" si="0"/>
        <v>480452.90338032052</v>
      </c>
      <c r="J14" s="40">
        <f t="shared" si="1"/>
        <v>2.9399999999999999E-3</v>
      </c>
      <c r="K14" s="40">
        <f t="shared" si="4"/>
        <v>2.1099999999999999E-3</v>
      </c>
      <c r="L14" s="40">
        <f t="shared" si="5"/>
        <v>5.0499999999999998E-3</v>
      </c>
      <c r="M14" s="22"/>
      <c r="N14" s="22"/>
      <c r="O14" s="15"/>
      <c r="P14" s="22"/>
      <c r="Q14" s="22"/>
      <c r="R14" s="15"/>
    </row>
    <row r="15" spans="1:19" x14ac:dyDescent="0.25">
      <c r="A15" s="39">
        <f t="shared" si="6"/>
        <v>5</v>
      </c>
      <c r="B15" s="11" t="s">
        <v>22</v>
      </c>
      <c r="C15" s="11" t="s">
        <v>23</v>
      </c>
      <c r="D15" s="3">
        <v>3.1708483832259353E-3</v>
      </c>
      <c r="E15" s="31">
        <f>SUM('Forecasted Volume'!N14,'Forecasted Volume'!N19)</f>
        <v>9232632</v>
      </c>
      <c r="F15" s="2"/>
      <c r="G15" s="21">
        <f t="shared" si="2"/>
        <v>41237.980260871249</v>
      </c>
      <c r="H15" s="30">
        <f t="shared" si="3"/>
        <v>29547.748028356458</v>
      </c>
      <c r="I15" s="21">
        <f t="shared" si="0"/>
        <v>70785.7282892277</v>
      </c>
      <c r="J15" s="40">
        <f t="shared" si="1"/>
        <v>4.47E-3</v>
      </c>
      <c r="K15" s="40">
        <f t="shared" si="4"/>
        <v>3.2000000000000002E-3</v>
      </c>
      <c r="L15" s="40">
        <f t="shared" si="5"/>
        <v>7.6699999999999997E-3</v>
      </c>
      <c r="M15" s="22"/>
      <c r="N15" s="22"/>
      <c r="O15" s="15"/>
      <c r="P15" s="22"/>
      <c r="Q15" s="22"/>
      <c r="R15" s="15"/>
    </row>
    <row r="16" spans="1:19" x14ac:dyDescent="0.25">
      <c r="A16" s="39">
        <f t="shared" si="6"/>
        <v>6</v>
      </c>
      <c r="B16" s="11" t="s">
        <v>24</v>
      </c>
      <c r="C16" s="11" t="s">
        <v>25</v>
      </c>
      <c r="D16" s="3">
        <v>1.4994779333537874E-2</v>
      </c>
      <c r="E16" s="31">
        <f>SUM('Forecasted Volume'!N15,'Forecasted Volume'!N20)</f>
        <v>122437245</v>
      </c>
      <c r="F16" s="2"/>
      <c r="G16" s="21">
        <f t="shared" si="2"/>
        <v>195012.29306443784</v>
      </c>
      <c r="H16" s="30">
        <f t="shared" si="3"/>
        <v>139729.78456870417</v>
      </c>
      <c r="I16" s="21">
        <f t="shared" si="0"/>
        <v>334742.07763314201</v>
      </c>
      <c r="J16" s="40">
        <f t="shared" si="1"/>
        <v>1.5900000000000001E-3</v>
      </c>
      <c r="K16" s="40">
        <f t="shared" si="4"/>
        <v>1.14E-3</v>
      </c>
      <c r="L16" s="40">
        <f t="shared" si="5"/>
        <v>2.7299999999999998E-3</v>
      </c>
      <c r="M16" s="22"/>
      <c r="N16" s="22"/>
      <c r="O16" s="15"/>
      <c r="P16" s="22"/>
      <c r="Q16" s="22"/>
      <c r="R16" s="15"/>
    </row>
    <row r="17" spans="1:18" x14ac:dyDescent="0.25">
      <c r="A17" s="39">
        <f t="shared" si="6"/>
        <v>7</v>
      </c>
      <c r="B17" s="11" t="s">
        <v>26</v>
      </c>
      <c r="D17" s="3">
        <v>5.5609610416970292E-3</v>
      </c>
      <c r="E17" s="31">
        <f>'Forecasted Volume'!N21</f>
        <v>36194910</v>
      </c>
      <c r="F17" s="2"/>
      <c r="G17" s="21">
        <f t="shared" si="2"/>
        <v>72322.222305586649</v>
      </c>
      <c r="H17" s="30">
        <f t="shared" si="3"/>
        <v>51820.16160873702</v>
      </c>
      <c r="I17" s="21">
        <f t="shared" si="0"/>
        <v>124142.38391432367</v>
      </c>
      <c r="J17" s="40">
        <f t="shared" si="1"/>
        <v>2E-3</v>
      </c>
      <c r="K17" s="40">
        <f t="shared" si="4"/>
        <v>1.4300000000000001E-3</v>
      </c>
      <c r="L17" s="40">
        <f t="shared" si="5"/>
        <v>3.4299999999999999E-3</v>
      </c>
      <c r="M17" s="22"/>
      <c r="N17" s="22"/>
      <c r="O17" s="15"/>
      <c r="P17" s="22"/>
      <c r="Q17" s="22"/>
      <c r="R17" s="15"/>
    </row>
    <row r="18" spans="1:18" x14ac:dyDescent="0.25">
      <c r="A18" s="39">
        <f t="shared" si="6"/>
        <v>8</v>
      </c>
      <c r="B18" s="11" t="s">
        <v>27</v>
      </c>
      <c r="D18" s="5">
        <f>SUM(D11:D17)</f>
        <v>0.99210235626749999</v>
      </c>
      <c r="E18" s="24">
        <f>SUM(E11:E17)</f>
        <v>1231799187</v>
      </c>
      <c r="F18" s="24"/>
      <c r="G18" s="25">
        <f t="shared" ref="G18" si="7">SUM(G11:G17)</f>
        <v>12902634.386731528</v>
      </c>
      <c r="H18" s="25">
        <f>SUM(H11:H17)</f>
        <v>9244967.5602297802</v>
      </c>
      <c r="I18" s="25">
        <f>SUM(I11:I17)</f>
        <v>22147601.946961306</v>
      </c>
      <c r="J18" s="26"/>
      <c r="K18" s="26"/>
      <c r="L18" s="15"/>
      <c r="M18" s="15"/>
      <c r="N18" s="15"/>
      <c r="O18" s="15"/>
      <c r="P18" s="15"/>
      <c r="Q18" s="15"/>
      <c r="R18" s="15"/>
    </row>
    <row r="19" spans="1:18" x14ac:dyDescent="0.25">
      <c r="A19" s="39">
        <f t="shared" si="6"/>
        <v>9</v>
      </c>
      <c r="D19" s="6"/>
      <c r="E19" s="27"/>
      <c r="L19" s="15"/>
      <c r="M19" s="15"/>
      <c r="N19" s="15"/>
      <c r="O19" s="15"/>
      <c r="P19" s="15"/>
      <c r="Q19" s="15"/>
      <c r="R19" s="15"/>
    </row>
    <row r="20" spans="1:18" x14ac:dyDescent="0.25">
      <c r="A20" s="39">
        <f t="shared" si="6"/>
        <v>10</v>
      </c>
      <c r="B20" s="11" t="s">
        <v>28</v>
      </c>
      <c r="C20" s="11" t="s">
        <v>29</v>
      </c>
      <c r="D20" s="7">
        <v>7.8976437324998049E-3</v>
      </c>
      <c r="E20" s="2">
        <v>0</v>
      </c>
      <c r="F20" s="38">
        <v>337918</v>
      </c>
      <c r="G20" s="21">
        <f>G$23*D20</f>
        <v>102711.58913529621</v>
      </c>
      <c r="H20" s="30">
        <f>$H$23*D20</f>
        <v>73594.684709655252</v>
      </c>
      <c r="I20" s="21">
        <f>SUM(G20:H20)</f>
        <v>176306.27384495147</v>
      </c>
      <c r="J20" s="21"/>
      <c r="K20" s="21"/>
      <c r="L20" s="15"/>
      <c r="M20" s="15"/>
      <c r="N20" s="15"/>
      <c r="O20" s="15"/>
      <c r="P20" s="23">
        <f>ROUND(G20/$F$20,2)</f>
        <v>0.3</v>
      </c>
      <c r="Q20" s="23">
        <f>ROUND((+H20)/$F$20,2)</f>
        <v>0.22</v>
      </c>
      <c r="R20" s="23">
        <f>SUM(P20:Q20)</f>
        <v>0.52</v>
      </c>
    </row>
    <row r="21" spans="1:18" x14ac:dyDescent="0.25">
      <c r="A21" s="39">
        <f t="shared" si="6"/>
        <v>11</v>
      </c>
      <c r="B21" s="11" t="s">
        <v>30</v>
      </c>
      <c r="D21" s="8">
        <f>D18+D20</f>
        <v>0.99999999999999978</v>
      </c>
      <c r="E21" s="28"/>
      <c r="F21" s="28"/>
      <c r="G21" s="25">
        <f>G18+G20</f>
        <v>13005345.975866824</v>
      </c>
      <c r="H21" s="25">
        <f>H18+H20</f>
        <v>9318562.2449394353</v>
      </c>
      <c r="I21" s="25">
        <f>I18+I20</f>
        <v>22323908.220806256</v>
      </c>
      <c r="J21" s="26"/>
      <c r="K21" s="26"/>
    </row>
    <row r="22" spans="1:18" x14ac:dyDescent="0.25">
      <c r="A22" s="39">
        <f t="shared" si="6"/>
        <v>12</v>
      </c>
      <c r="D22" s="9"/>
    </row>
    <row r="23" spans="1:18" x14ac:dyDescent="0.25">
      <c r="A23" s="39">
        <f t="shared" si="6"/>
        <v>13</v>
      </c>
      <c r="B23" s="11" t="s">
        <v>31</v>
      </c>
      <c r="G23" s="13">
        <f>'Rev Requirement'!I18</f>
        <v>13005345.975866826</v>
      </c>
      <c r="H23" s="13">
        <f>'Rev Requirement'!I19</f>
        <v>9318562.2449394371</v>
      </c>
      <c r="I23" s="10">
        <f>SUM(G23:H23)</f>
        <v>22323908.220806263</v>
      </c>
      <c r="J23" s="10"/>
      <c r="K23" s="10"/>
    </row>
    <row r="25" spans="1:18" x14ac:dyDescent="0.25">
      <c r="I25" s="32"/>
    </row>
    <row r="26" spans="1:18" x14ac:dyDescent="0.25">
      <c r="B26" s="11" t="s">
        <v>177</v>
      </c>
      <c r="D26" s="15"/>
    </row>
    <row r="27" spans="1:18" x14ac:dyDescent="0.25">
      <c r="B27" s="11" t="s">
        <v>178</v>
      </c>
      <c r="D27" s="15"/>
    </row>
    <row r="28" spans="1:18" x14ac:dyDescent="0.25">
      <c r="B28" s="11" t="s">
        <v>179</v>
      </c>
      <c r="D28" s="15"/>
      <c r="I28" s="21"/>
    </row>
    <row r="29" spans="1:18" x14ac:dyDescent="0.25">
      <c r="D29" s="15"/>
    </row>
    <row r="30" spans="1:18" x14ac:dyDescent="0.25">
      <c r="D30" s="15"/>
    </row>
    <row r="31" spans="1:18" x14ac:dyDescent="0.25">
      <c r="D31" s="15"/>
    </row>
  </sheetData>
  <mergeCells count="4">
    <mergeCell ref="B1:R1"/>
    <mergeCell ref="B2:R2"/>
    <mergeCell ref="B3:R3"/>
    <mergeCell ref="B4:R4"/>
  </mergeCells>
  <printOptions horizontalCentered="1"/>
  <pageMargins left="0.45" right="0.45" top="0.75" bottom="0.75" header="0.3" footer="0.3"/>
  <pageSetup scale="59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workbookViewId="0">
      <pane xSplit="2" ySplit="4" topLeftCell="C5" activePane="bottomRight" state="frozen"/>
      <selection activeCell="F28" sqref="F28"/>
      <selection pane="topRight" activeCell="F28" sqref="F28"/>
      <selection pane="bottomLeft" activeCell="F28" sqref="F28"/>
      <selection pane="bottomRight" activeCell="M26" sqref="M26"/>
    </sheetView>
  </sheetViews>
  <sheetFormatPr defaultRowHeight="15" x14ac:dyDescent="0.25"/>
  <cols>
    <col min="1" max="1" width="5.140625" style="158" customWidth="1"/>
    <col min="2" max="2" width="46.7109375" customWidth="1"/>
    <col min="3" max="3" width="8.85546875" style="29" bestFit="1" customWidth="1"/>
    <col min="4" max="6" width="13.28515625" bestFit="1" customWidth="1"/>
    <col min="7" max="7" width="3.7109375" customWidth="1"/>
    <col min="8" max="8" width="13.7109375" bestFit="1" customWidth="1"/>
    <col min="9" max="9" width="13.42578125" bestFit="1" customWidth="1"/>
    <col min="10" max="10" width="13.140625" bestFit="1" customWidth="1"/>
    <col min="12" max="14" width="12.5703125" bestFit="1" customWidth="1"/>
    <col min="15" max="15" width="4.5703125" customWidth="1"/>
    <col min="16" max="18" width="12.5703125" bestFit="1" customWidth="1"/>
    <col min="19" max="19" width="4.7109375" customWidth="1"/>
    <col min="20" max="22" width="12.28515625" bestFit="1" customWidth="1"/>
    <col min="23" max="23" width="5.28515625" customWidth="1"/>
    <col min="24" max="26" width="12.28515625" bestFit="1" customWidth="1"/>
  </cols>
  <sheetData>
    <row r="1" spans="1:14" ht="18.75" x14ac:dyDescent="0.3">
      <c r="A1" s="159" t="s">
        <v>200</v>
      </c>
      <c r="C1" s="134"/>
    </row>
    <row r="2" spans="1:14" ht="18.75" x14ac:dyDescent="0.3">
      <c r="B2" s="133"/>
      <c r="C2" s="134"/>
    </row>
    <row r="3" spans="1:14" x14ac:dyDescent="0.25">
      <c r="D3" s="135" t="s">
        <v>43</v>
      </c>
      <c r="E3" s="136"/>
      <c r="F3" s="137"/>
      <c r="H3" s="135" t="s">
        <v>44</v>
      </c>
      <c r="I3" s="137"/>
      <c r="J3" s="137"/>
    </row>
    <row r="4" spans="1:14" x14ac:dyDescent="0.25">
      <c r="D4" s="1" t="s">
        <v>45</v>
      </c>
      <c r="E4" s="1" t="s">
        <v>46</v>
      </c>
      <c r="F4" s="1" t="s">
        <v>30</v>
      </c>
      <c r="H4" s="1" t="s">
        <v>45</v>
      </c>
      <c r="I4" s="1" t="s">
        <v>46</v>
      </c>
      <c r="J4" s="1" t="s">
        <v>30</v>
      </c>
    </row>
    <row r="5" spans="1:14" x14ac:dyDescent="0.25">
      <c r="H5" s="34">
        <v>0.95238599999999995</v>
      </c>
      <c r="I5" s="34">
        <v>0.954538</v>
      </c>
      <c r="J5" s="34"/>
      <c r="K5" s="138"/>
      <c r="L5" s="34"/>
    </row>
    <row r="6" spans="1:14" x14ac:dyDescent="0.25">
      <c r="A6" s="158">
        <v>1</v>
      </c>
      <c r="B6" t="s">
        <v>182</v>
      </c>
      <c r="C6" s="139"/>
      <c r="D6" s="33">
        <v>60313314.240019262</v>
      </c>
      <c r="E6" s="33">
        <v>22019078.859071229</v>
      </c>
      <c r="F6" s="33">
        <f>SUM(D6:E6)</f>
        <v>82332393.099090487</v>
      </c>
      <c r="G6" s="34"/>
      <c r="H6" s="33">
        <f>D6/$H$5</f>
        <v>63328644.310205385</v>
      </c>
      <c r="I6" s="33">
        <f>E6/$I$5</f>
        <v>23067786.572217375</v>
      </c>
      <c r="J6" s="33">
        <f>SUM(H6:I6)</f>
        <v>86396430.88242276</v>
      </c>
    </row>
    <row r="7" spans="1:14" x14ac:dyDescent="0.25">
      <c r="D7" s="34"/>
      <c r="E7" s="34"/>
      <c r="F7" s="34"/>
      <c r="G7" s="34"/>
      <c r="H7" s="34"/>
      <c r="I7" s="34"/>
      <c r="J7" s="34"/>
    </row>
    <row r="8" spans="1:14" x14ac:dyDescent="0.25">
      <c r="A8" s="158">
        <v>2</v>
      </c>
      <c r="B8" t="s">
        <v>47</v>
      </c>
      <c r="D8" s="140"/>
      <c r="E8" s="140"/>
      <c r="F8" s="34"/>
      <c r="G8" s="34"/>
      <c r="H8" s="34"/>
      <c r="I8" s="34"/>
      <c r="J8" s="34"/>
    </row>
    <row r="9" spans="1:14" x14ac:dyDescent="0.25">
      <c r="A9" s="158">
        <v>3</v>
      </c>
      <c r="B9" s="141" t="s">
        <v>201</v>
      </c>
      <c r="C9" s="142"/>
      <c r="D9" s="35">
        <v>55733659</v>
      </c>
      <c r="E9" s="35">
        <v>20139263</v>
      </c>
      <c r="F9" s="35">
        <f>SUM(D9:E9)</f>
        <v>75872922</v>
      </c>
      <c r="G9" s="34"/>
      <c r="H9" s="33">
        <f>D9/$H$5</f>
        <v>58520031.793831497</v>
      </c>
      <c r="I9" s="33">
        <f>E9/$I$5</f>
        <v>21098440.292581331</v>
      </c>
      <c r="J9" s="35">
        <f>SUM(H9:I9)</f>
        <v>79618472.086412832</v>
      </c>
      <c r="L9" s="143"/>
      <c r="M9" s="143"/>
      <c r="N9" s="143"/>
    </row>
    <row r="10" spans="1:14" x14ac:dyDescent="0.25">
      <c r="A10" s="158">
        <v>4</v>
      </c>
      <c r="B10" s="141" t="s">
        <v>182</v>
      </c>
      <c r="C10" s="139" t="s">
        <v>48</v>
      </c>
      <c r="D10" s="35">
        <v>60313314.240019262</v>
      </c>
      <c r="E10" s="35">
        <v>22019078.859071229</v>
      </c>
      <c r="F10" s="35">
        <f>SUM(D10:E10)</f>
        <v>82332393.099090487</v>
      </c>
      <c r="G10" s="34"/>
      <c r="H10" s="33">
        <f>D10/$H$5</f>
        <v>63328644.310205385</v>
      </c>
      <c r="I10" s="33">
        <f>E10/$I$5</f>
        <v>23067786.572217375</v>
      </c>
      <c r="J10" s="35">
        <f>SUM(H10:I10)</f>
        <v>86396430.88242276</v>
      </c>
      <c r="L10" s="143"/>
      <c r="M10" s="143"/>
      <c r="N10" s="143"/>
    </row>
    <row r="11" spans="1:14" x14ac:dyDescent="0.25">
      <c r="A11" s="158">
        <v>5</v>
      </c>
      <c r="B11" t="s">
        <v>183</v>
      </c>
      <c r="D11" s="35">
        <v>1392396.3898532353</v>
      </c>
      <c r="E11" s="35">
        <v>1169755.7052719721</v>
      </c>
      <c r="F11" s="35">
        <f>SUM(D11:E11)</f>
        <v>2562152.0951252077</v>
      </c>
      <c r="G11" s="34"/>
      <c r="H11" s="33">
        <f>D11/$H$5</f>
        <v>1462008.4607010554</v>
      </c>
      <c r="I11" s="33">
        <f>E11/$I$5</f>
        <v>1225467.928224934</v>
      </c>
      <c r="J11" s="35">
        <f>SUM(H11:I11)</f>
        <v>2687476.3889259892</v>
      </c>
      <c r="L11" s="143"/>
      <c r="M11" s="143"/>
      <c r="N11" s="143"/>
    </row>
    <row r="12" spans="1:14" x14ac:dyDescent="0.25">
      <c r="D12" s="36"/>
      <c r="E12" s="36"/>
      <c r="F12" s="36"/>
      <c r="G12" s="34"/>
      <c r="H12" s="131">
        <v>0</v>
      </c>
      <c r="I12" s="131">
        <v>0</v>
      </c>
      <c r="J12" s="132" t="s">
        <v>90</v>
      </c>
      <c r="L12" s="143"/>
      <c r="M12" s="143"/>
    </row>
    <row r="13" spans="1:14" x14ac:dyDescent="0.25">
      <c r="A13" s="158">
        <v>6</v>
      </c>
      <c r="B13" t="s">
        <v>91</v>
      </c>
      <c r="C13" s="139" t="s">
        <v>49</v>
      </c>
      <c r="D13" s="35">
        <f>D9-D10+D11</f>
        <v>-3187258.8501660265</v>
      </c>
      <c r="E13" s="35">
        <f>E9-E10+E11</f>
        <v>-710060.15379925654</v>
      </c>
      <c r="F13" s="35">
        <f>SUM(D13:E13)</f>
        <v>-3897319.0039652828</v>
      </c>
      <c r="G13" s="34"/>
      <c r="H13" s="35">
        <f>H9-H10+H11</f>
        <v>-3346604.0556728323</v>
      </c>
      <c r="I13" s="35">
        <f>I9-I10+I11</f>
        <v>-743878.35141111002</v>
      </c>
      <c r="J13" s="35">
        <f>SUM(H13:I13)</f>
        <v>-4090482.4070839426</v>
      </c>
      <c r="L13" s="143"/>
      <c r="M13" s="143"/>
      <c r="N13" s="143"/>
    </row>
    <row r="14" spans="1:14" x14ac:dyDescent="0.25">
      <c r="D14" s="36"/>
      <c r="E14" s="36"/>
      <c r="F14" s="36"/>
      <c r="G14" s="34"/>
      <c r="H14" s="36"/>
      <c r="I14" s="36"/>
      <c r="J14" s="36"/>
    </row>
    <row r="15" spans="1:14" ht="15.75" thickBot="1" x14ac:dyDescent="0.3">
      <c r="A15" s="158">
        <v>7</v>
      </c>
      <c r="B15" t="s">
        <v>50</v>
      </c>
      <c r="C15" s="139" t="s">
        <v>51</v>
      </c>
      <c r="D15" s="37">
        <f>D6+D13</f>
        <v>57126055.389853239</v>
      </c>
      <c r="E15" s="37">
        <f>E6+E13</f>
        <v>21309018.70527197</v>
      </c>
      <c r="F15" s="37">
        <f>SUM(D15:E15)</f>
        <v>78435074.095125213</v>
      </c>
      <c r="G15" s="34"/>
      <c r="H15" s="37">
        <f>H6+H13</f>
        <v>59982040.254532553</v>
      </c>
      <c r="I15" s="37">
        <f>I6+I13</f>
        <v>22323908.220806263</v>
      </c>
      <c r="J15" s="37">
        <f>SUM(H15:I15)</f>
        <v>82305948.475338817</v>
      </c>
    </row>
    <row r="16" spans="1:14" ht="15.75" thickTop="1" x14ac:dyDescent="0.25">
      <c r="D16" s="34"/>
      <c r="E16" s="34"/>
      <c r="F16" s="34"/>
      <c r="G16" s="34"/>
      <c r="H16" s="34"/>
      <c r="I16" s="34"/>
      <c r="J16" s="34"/>
    </row>
    <row r="17" spans="1:14" x14ac:dyDescent="0.25">
      <c r="D17" s="34"/>
      <c r="E17" s="34"/>
      <c r="F17" s="34"/>
      <c r="G17" s="34"/>
      <c r="H17" s="34"/>
      <c r="I17" s="34"/>
      <c r="J17" s="34"/>
    </row>
    <row r="18" spans="1:14" x14ac:dyDescent="0.25">
      <c r="A18" s="158">
        <v>8</v>
      </c>
      <c r="B18" t="s">
        <v>52</v>
      </c>
      <c r="C18" s="139" t="s">
        <v>184</v>
      </c>
      <c r="D18" s="33">
        <f>D15-D19</f>
        <v>29926824.772686236</v>
      </c>
      <c r="E18" s="33">
        <f>E15-E19</f>
        <v>12414096.93711197</v>
      </c>
      <c r="F18" s="33">
        <f>SUM(D18:E18)</f>
        <v>42340921.709798202</v>
      </c>
      <c r="G18" s="34"/>
      <c r="H18" s="33">
        <f>H15-H19</f>
        <v>31422999.469423361</v>
      </c>
      <c r="I18" s="33">
        <f>I15-I19</f>
        <v>13005345.975866826</v>
      </c>
      <c r="J18" s="33">
        <f>SUM(H18:I18)</f>
        <v>44428345.445290186</v>
      </c>
      <c r="L18" s="143"/>
      <c r="M18" s="143"/>
      <c r="N18" s="143"/>
    </row>
    <row r="19" spans="1:14" x14ac:dyDescent="0.25">
      <c r="A19" s="158">
        <v>9</v>
      </c>
      <c r="B19" t="s">
        <v>53</v>
      </c>
      <c r="C19" s="142"/>
      <c r="D19" s="35">
        <v>27199230.617167003</v>
      </c>
      <c r="E19" s="35">
        <v>8894921.7681600004</v>
      </c>
      <c r="F19" s="35">
        <f>SUM(D19:E19)</f>
        <v>36094152.385327004</v>
      </c>
      <c r="G19" s="34"/>
      <c r="H19" s="144">
        <f>D19/$H$5</f>
        <v>28559040.785109192</v>
      </c>
      <c r="I19" s="144">
        <f>E19/$I$5</f>
        <v>9318562.2449394371</v>
      </c>
      <c r="J19" s="35">
        <f>SUM(H19:I19)</f>
        <v>37877603.030048631</v>
      </c>
      <c r="L19" s="143"/>
      <c r="M19" s="143"/>
      <c r="N19" s="143"/>
    </row>
    <row r="20" spans="1:14" x14ac:dyDescent="0.25">
      <c r="D20" s="36"/>
      <c r="E20" s="36"/>
      <c r="F20" s="36"/>
      <c r="G20" s="34"/>
      <c r="H20" s="36"/>
      <c r="I20" s="36"/>
      <c r="J20" s="36"/>
    </row>
    <row r="21" spans="1:14" ht="15.75" thickBot="1" x14ac:dyDescent="0.3">
      <c r="A21" s="158">
        <v>10</v>
      </c>
      <c r="B21" t="s">
        <v>50</v>
      </c>
      <c r="C21" s="139" t="s">
        <v>54</v>
      </c>
      <c r="D21" s="37">
        <f>SUM(D18:D20)</f>
        <v>57126055.389853239</v>
      </c>
      <c r="E21" s="37">
        <f>SUM(E18:E20)</f>
        <v>21309018.70527197</v>
      </c>
      <c r="F21" s="37">
        <f>SUM(D21:E21)</f>
        <v>78435074.095125213</v>
      </c>
      <c r="H21" s="145">
        <f>SUM(H18:H19)</f>
        <v>59982040.254532553</v>
      </c>
      <c r="I21" s="145">
        <f>SUM(I18:I19)</f>
        <v>22323908.220806263</v>
      </c>
      <c r="J21" s="145">
        <f>SUM(H21:I21)</f>
        <v>82305948.475338817</v>
      </c>
    </row>
    <row r="22" spans="1:14" ht="15.75" thickTop="1" x14ac:dyDescent="0.25">
      <c r="D22" s="34"/>
      <c r="E22" s="34"/>
      <c r="F22" s="34"/>
    </row>
    <row r="23" spans="1:14" x14ac:dyDescent="0.25">
      <c r="D23" s="33"/>
      <c r="E23" s="33"/>
      <c r="F23" s="33"/>
    </row>
    <row r="24" spans="1:14" x14ac:dyDescent="0.25">
      <c r="A24" s="158">
        <v>11</v>
      </c>
      <c r="B24" t="s">
        <v>55</v>
      </c>
      <c r="D24" s="34"/>
      <c r="E24" s="34"/>
      <c r="F24" s="34"/>
    </row>
    <row r="25" spans="1:14" x14ac:dyDescent="0.25">
      <c r="A25" s="158">
        <f>+A24+1</f>
        <v>12</v>
      </c>
      <c r="B25" s="141" t="s">
        <v>56</v>
      </c>
      <c r="D25" s="35">
        <v>-5476715</v>
      </c>
      <c r="E25" s="35">
        <v>-2140814</v>
      </c>
      <c r="F25" s="35">
        <f>SUM(D25:E25)</f>
        <v>-7617529</v>
      </c>
      <c r="H25" s="144">
        <f>D25/$H$5</f>
        <v>-5750520.2722425573</v>
      </c>
      <c r="I25" s="144">
        <f>E25/$I$5</f>
        <v>-2242775.0388145889</v>
      </c>
      <c r="J25" s="143">
        <f>SUM(H25:I25)</f>
        <v>-7993295.3110571466</v>
      </c>
      <c r="L25" s="143"/>
      <c r="M25" s="143"/>
      <c r="N25" s="143"/>
    </row>
    <row r="26" spans="1:14" x14ac:dyDescent="0.25">
      <c r="A26" s="158">
        <f t="shared" ref="A26:A27" si="0">+A25+1</f>
        <v>13</v>
      </c>
      <c r="B26" s="141" t="s">
        <v>57</v>
      </c>
      <c r="D26" s="35">
        <v>2289456.1498339772</v>
      </c>
      <c r="E26" s="35">
        <v>1430753.8462007449</v>
      </c>
      <c r="F26" s="35">
        <f>SUM(D26:E26)</f>
        <v>3720209.9960347218</v>
      </c>
      <c r="H26" s="144">
        <f>D26/$H$5</f>
        <v>2403916.2165697282</v>
      </c>
      <c r="I26" s="144">
        <f>E26/$I$5</f>
        <v>1498896.6874034819</v>
      </c>
      <c r="J26" s="143">
        <f>SUM(H26:I26)</f>
        <v>3902812.9039732101</v>
      </c>
      <c r="L26" s="143"/>
      <c r="M26" s="143"/>
      <c r="N26" s="143"/>
    </row>
    <row r="27" spans="1:14" ht="15.75" thickBot="1" x14ac:dyDescent="0.3">
      <c r="A27" s="158">
        <f t="shared" si="0"/>
        <v>14</v>
      </c>
      <c r="B27" t="s">
        <v>58</v>
      </c>
      <c r="D27" s="160">
        <f>SUM(D25:D26)</f>
        <v>-3187258.8501660228</v>
      </c>
      <c r="E27" s="160">
        <f>SUM(E25:E26)</f>
        <v>-710060.15379925515</v>
      </c>
      <c r="F27" s="160">
        <f>SUM(D27:E27)</f>
        <v>-3897319.0039652782</v>
      </c>
      <c r="H27" s="146">
        <f>SUM(H25:H26)</f>
        <v>-3346604.055672829</v>
      </c>
      <c r="I27" s="146">
        <f>SUM(I25:I26)</f>
        <v>-743878.351411107</v>
      </c>
      <c r="J27" s="146">
        <f>SUM(H27:I27)</f>
        <v>-4090482.407083936</v>
      </c>
    </row>
    <row r="28" spans="1:14" ht="15.75" thickTop="1" x14ac:dyDescent="0.25">
      <c r="D28" s="147">
        <f>D27-D13</f>
        <v>3.7252902984619141E-9</v>
      </c>
      <c r="E28" s="147">
        <f>E27-E13</f>
        <v>1.3969838619232178E-9</v>
      </c>
      <c r="F28" s="147">
        <f>F27-F13</f>
        <v>4.6566128730773926E-9</v>
      </c>
      <c r="G28" s="148"/>
      <c r="H28" s="149">
        <f>H27-H13</f>
        <v>0</v>
      </c>
      <c r="I28" s="147">
        <f>I27-I13</f>
        <v>3.0267983675003052E-9</v>
      </c>
      <c r="J28" s="147">
        <f>J27-J13</f>
        <v>6.5192580223083496E-9</v>
      </c>
      <c r="K28" s="148"/>
    </row>
    <row r="29" spans="1:14" x14ac:dyDescent="0.25">
      <c r="H29" s="4"/>
      <c r="I29" s="4"/>
      <c r="J29" s="4"/>
    </row>
    <row r="30" spans="1:14" x14ac:dyDescent="0.25">
      <c r="A30" s="158">
        <f>+A27+1</f>
        <v>15</v>
      </c>
      <c r="B30" s="150" t="s">
        <v>61</v>
      </c>
      <c r="C30" s="139"/>
      <c r="H30" s="151">
        <f>H27/H6</f>
        <v>-5.2845029166896679E-2</v>
      </c>
      <c r="I30" s="151">
        <f>I27/I6</f>
        <v>-3.2247495835037207E-2</v>
      </c>
    </row>
    <row r="31" spans="1:14" x14ac:dyDescent="0.25">
      <c r="A31" s="158">
        <f>+A30+1</f>
        <v>16</v>
      </c>
      <c r="B31" s="150" t="s">
        <v>62</v>
      </c>
      <c r="H31" s="158" t="str">
        <f>IF(ABS(H30)&gt;1%,"yes","no")</f>
        <v>yes</v>
      </c>
      <c r="I31" s="158" t="str">
        <f>IF(ABS(I30)&gt;1%,"yes","no")</f>
        <v>yes</v>
      </c>
    </row>
    <row r="32" spans="1:14" x14ac:dyDescent="0.25">
      <c r="A32" s="158">
        <f t="shared" ref="A32:A33" si="1">+A31+1</f>
        <v>17</v>
      </c>
      <c r="B32" s="152" t="s">
        <v>63</v>
      </c>
    </row>
    <row r="33" spans="1:2" x14ac:dyDescent="0.25">
      <c r="A33" s="158">
        <f t="shared" si="1"/>
        <v>18</v>
      </c>
      <c r="B33" s="152" t="s">
        <v>64</v>
      </c>
    </row>
    <row r="35" spans="1:2" x14ac:dyDescent="0.25">
      <c r="B35" s="153"/>
    </row>
    <row r="36" spans="1:2" x14ac:dyDescent="0.25">
      <c r="B36" s="153"/>
    </row>
  </sheetData>
  <pageMargins left="0.7" right="0.7" top="0.75" bottom="0.75" header="0.3" footer="0.3"/>
  <pageSetup scale="84" orientation="landscape" r:id="rId1"/>
  <headerFooter>
    <oddFooter>&amp;L&amp;F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Normal="100" workbookViewId="0">
      <selection activeCell="H32" sqref="H32"/>
    </sheetView>
  </sheetViews>
  <sheetFormatPr defaultRowHeight="15" x14ac:dyDescent="0.25"/>
  <cols>
    <col min="1" max="1" width="19.85546875" style="11" customWidth="1"/>
    <col min="2" max="13" width="13.42578125" style="11" customWidth="1"/>
    <col min="14" max="14" width="13.85546875" style="11" customWidth="1"/>
    <col min="15" max="16384" width="9.140625" style="11"/>
  </cols>
  <sheetData>
    <row r="1" spans="1:14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x14ac:dyDescent="0.25">
      <c r="A2" s="161" t="s">
        <v>174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x14ac:dyDescent="0.25">
      <c r="A3" s="161" t="s">
        <v>84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161" t="s">
        <v>180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4" x14ac:dyDescent="0.25">
      <c r="A7" s="11" t="s">
        <v>36</v>
      </c>
      <c r="B7" s="41">
        <v>43586</v>
      </c>
      <c r="C7" s="41">
        <f>EDATE(B7,1)</f>
        <v>43617</v>
      </c>
      <c r="D7" s="41">
        <f t="shared" ref="D7:M7" si="0">EDATE(C7,1)</f>
        <v>43647</v>
      </c>
      <c r="E7" s="41">
        <f t="shared" si="0"/>
        <v>43678</v>
      </c>
      <c r="F7" s="41">
        <f t="shared" si="0"/>
        <v>43709</v>
      </c>
      <c r="G7" s="41">
        <f t="shared" si="0"/>
        <v>43739</v>
      </c>
      <c r="H7" s="41">
        <f t="shared" si="0"/>
        <v>43770</v>
      </c>
      <c r="I7" s="41">
        <f t="shared" si="0"/>
        <v>43800</v>
      </c>
      <c r="J7" s="41">
        <f t="shared" si="0"/>
        <v>43831</v>
      </c>
      <c r="K7" s="41">
        <f t="shared" si="0"/>
        <v>43862</v>
      </c>
      <c r="L7" s="41">
        <f t="shared" si="0"/>
        <v>43891</v>
      </c>
      <c r="M7" s="41">
        <f t="shared" si="0"/>
        <v>43922</v>
      </c>
      <c r="N7" s="19" t="s">
        <v>30</v>
      </c>
    </row>
    <row r="8" spans="1:14" x14ac:dyDescent="0.25">
      <c r="A8" s="42">
        <v>16</v>
      </c>
      <c r="B8" s="38">
        <v>657</v>
      </c>
      <c r="C8" s="38">
        <v>840</v>
      </c>
      <c r="D8" s="38">
        <v>1066</v>
      </c>
      <c r="E8" s="38">
        <v>885</v>
      </c>
      <c r="F8" s="38">
        <v>862</v>
      </c>
      <c r="G8" s="38">
        <v>666</v>
      </c>
      <c r="H8" s="38">
        <v>686</v>
      </c>
      <c r="I8" s="38">
        <v>843</v>
      </c>
      <c r="J8" s="38">
        <v>1008</v>
      </c>
      <c r="K8" s="38">
        <v>549</v>
      </c>
      <c r="L8" s="38">
        <v>930</v>
      </c>
      <c r="M8" s="38">
        <v>722</v>
      </c>
      <c r="N8" s="27">
        <f t="shared" ref="N8:N21" si="1">SUM(B8:M8)</f>
        <v>9714</v>
      </c>
    </row>
    <row r="9" spans="1:14" x14ac:dyDescent="0.25">
      <c r="A9" s="42">
        <v>23</v>
      </c>
      <c r="B9" s="38">
        <v>31121542</v>
      </c>
      <c r="C9" s="38">
        <v>20769735</v>
      </c>
      <c r="D9" s="38">
        <v>14916126</v>
      </c>
      <c r="E9" s="38">
        <v>14168135</v>
      </c>
      <c r="F9" s="38">
        <v>19776922</v>
      </c>
      <c r="G9" s="38">
        <v>45189013</v>
      </c>
      <c r="H9" s="38">
        <v>80256795</v>
      </c>
      <c r="I9" s="38">
        <v>103932231</v>
      </c>
      <c r="J9" s="38">
        <v>97136451</v>
      </c>
      <c r="K9" s="38">
        <v>85506304</v>
      </c>
      <c r="L9" s="38">
        <v>73689349</v>
      </c>
      <c r="M9" s="38">
        <v>52961543</v>
      </c>
      <c r="N9" s="27">
        <f t="shared" si="1"/>
        <v>639424146</v>
      </c>
    </row>
    <row r="10" spans="1:14" x14ac:dyDescent="0.25">
      <c r="A10" s="42">
        <v>53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27">
        <f t="shared" si="1"/>
        <v>0</v>
      </c>
    </row>
    <row r="11" spans="1:14" x14ac:dyDescent="0.25">
      <c r="A11" s="42">
        <v>31</v>
      </c>
      <c r="B11" s="38">
        <v>13227705</v>
      </c>
      <c r="C11" s="38">
        <v>9701489</v>
      </c>
      <c r="D11" s="38">
        <v>8057195</v>
      </c>
      <c r="E11" s="38">
        <v>8321983</v>
      </c>
      <c r="F11" s="38">
        <v>9537729</v>
      </c>
      <c r="G11" s="38">
        <v>16962689</v>
      </c>
      <c r="H11" s="38">
        <v>27597509</v>
      </c>
      <c r="I11" s="38">
        <v>35571819</v>
      </c>
      <c r="J11" s="38">
        <v>33292333</v>
      </c>
      <c r="K11" s="38">
        <v>30065398</v>
      </c>
      <c r="L11" s="38">
        <v>26192924</v>
      </c>
      <c r="M11" s="38">
        <v>19988827</v>
      </c>
      <c r="N11" s="27">
        <f t="shared" si="1"/>
        <v>238517600</v>
      </c>
    </row>
    <row r="12" spans="1:14" x14ac:dyDescent="0.25">
      <c r="A12" s="42">
        <v>41</v>
      </c>
      <c r="B12" s="38">
        <v>4904026</v>
      </c>
      <c r="C12" s="38">
        <v>4004598</v>
      </c>
      <c r="D12" s="38">
        <v>3002032</v>
      </c>
      <c r="E12" s="38">
        <v>2916178</v>
      </c>
      <c r="F12" s="38">
        <v>3858550</v>
      </c>
      <c r="G12" s="38">
        <v>5671332</v>
      </c>
      <c r="H12" s="38">
        <v>6993345</v>
      </c>
      <c r="I12" s="38">
        <v>8015534</v>
      </c>
      <c r="J12" s="38">
        <v>8158659</v>
      </c>
      <c r="K12" s="38">
        <v>6909293</v>
      </c>
      <c r="L12" s="38">
        <v>7132239</v>
      </c>
      <c r="M12" s="38">
        <v>5754834</v>
      </c>
      <c r="N12" s="27">
        <f t="shared" si="1"/>
        <v>67320620</v>
      </c>
    </row>
    <row r="13" spans="1:14" x14ac:dyDescent="0.25">
      <c r="A13" s="42">
        <v>85</v>
      </c>
      <c r="B13" s="38">
        <v>841002</v>
      </c>
      <c r="C13" s="38">
        <v>890204</v>
      </c>
      <c r="D13" s="38">
        <v>444047</v>
      </c>
      <c r="E13" s="38">
        <v>758849</v>
      </c>
      <c r="F13" s="38">
        <v>1002262</v>
      </c>
      <c r="G13" s="38">
        <v>1787232</v>
      </c>
      <c r="H13" s="38">
        <v>1702862</v>
      </c>
      <c r="I13" s="38">
        <v>1434648</v>
      </c>
      <c r="J13" s="38">
        <v>2869414</v>
      </c>
      <c r="K13" s="38">
        <v>1235606</v>
      </c>
      <c r="L13" s="38">
        <v>1309032</v>
      </c>
      <c r="M13" s="38">
        <v>1619799</v>
      </c>
      <c r="N13" s="27">
        <f t="shared" si="1"/>
        <v>15894957</v>
      </c>
    </row>
    <row r="14" spans="1:14" x14ac:dyDescent="0.25">
      <c r="A14" s="42">
        <v>86</v>
      </c>
      <c r="B14" s="38">
        <v>666928</v>
      </c>
      <c r="C14" s="38">
        <v>338042</v>
      </c>
      <c r="D14" s="38">
        <v>274417</v>
      </c>
      <c r="E14" s="38">
        <v>309790</v>
      </c>
      <c r="F14" s="38">
        <v>455112</v>
      </c>
      <c r="G14" s="38">
        <v>853434</v>
      </c>
      <c r="H14" s="38">
        <v>778385</v>
      </c>
      <c r="I14" s="38">
        <v>962700</v>
      </c>
      <c r="J14" s="38">
        <v>1179491</v>
      </c>
      <c r="K14" s="38">
        <v>1409365</v>
      </c>
      <c r="L14" s="38">
        <v>894965</v>
      </c>
      <c r="M14" s="38">
        <v>883429</v>
      </c>
      <c r="N14" s="27">
        <f t="shared" si="1"/>
        <v>9006058</v>
      </c>
    </row>
    <row r="15" spans="1:14" x14ac:dyDescent="0.25">
      <c r="A15" s="42">
        <v>87</v>
      </c>
      <c r="B15" s="38">
        <v>1771103</v>
      </c>
      <c r="C15" s="38">
        <v>1290116</v>
      </c>
      <c r="D15" s="38">
        <v>1475682</v>
      </c>
      <c r="E15" s="38">
        <v>1041468</v>
      </c>
      <c r="F15" s="38">
        <v>1068554</v>
      </c>
      <c r="G15" s="38">
        <v>1488287</v>
      </c>
      <c r="H15" s="38">
        <v>2284733</v>
      </c>
      <c r="I15" s="38">
        <v>3327418</v>
      </c>
      <c r="J15" s="38">
        <v>1494133</v>
      </c>
      <c r="K15" s="38">
        <v>2612623</v>
      </c>
      <c r="L15" s="38">
        <v>2718765</v>
      </c>
      <c r="M15" s="38">
        <v>1482146</v>
      </c>
      <c r="N15" s="27">
        <f t="shared" si="1"/>
        <v>22055028</v>
      </c>
    </row>
    <row r="16" spans="1:14" x14ac:dyDescent="0.25">
      <c r="A16" s="42" t="s">
        <v>59</v>
      </c>
      <c r="B16" s="38">
        <v>1088</v>
      </c>
      <c r="C16" s="38">
        <v>964</v>
      </c>
      <c r="D16" s="38">
        <v>973</v>
      </c>
      <c r="E16" s="38">
        <v>1449</v>
      </c>
      <c r="F16" s="38">
        <v>1620</v>
      </c>
      <c r="G16" s="38">
        <v>2388</v>
      </c>
      <c r="H16" s="38">
        <v>2959</v>
      </c>
      <c r="I16" s="38">
        <v>4331</v>
      </c>
      <c r="J16" s="38">
        <v>1799</v>
      </c>
      <c r="K16" s="38">
        <v>2160</v>
      </c>
      <c r="L16" s="38">
        <v>2030</v>
      </c>
      <c r="M16" s="38">
        <v>1290</v>
      </c>
      <c r="N16" s="27">
        <f t="shared" si="1"/>
        <v>23051</v>
      </c>
    </row>
    <row r="17" spans="1:14" x14ac:dyDescent="0.25">
      <c r="A17" s="42" t="s">
        <v>37</v>
      </c>
      <c r="B17" s="38">
        <v>1891515</v>
      </c>
      <c r="C17" s="38">
        <v>1888282</v>
      </c>
      <c r="D17" s="38">
        <v>1515312</v>
      </c>
      <c r="E17" s="38">
        <v>1884599</v>
      </c>
      <c r="F17" s="38">
        <v>1697462</v>
      </c>
      <c r="G17" s="38">
        <v>1813545</v>
      </c>
      <c r="H17" s="38">
        <v>2035749</v>
      </c>
      <c r="I17" s="38">
        <v>2193690</v>
      </c>
      <c r="J17" s="38">
        <v>2166649</v>
      </c>
      <c r="K17" s="38">
        <v>2130019</v>
      </c>
      <c r="L17" s="38">
        <v>2209834</v>
      </c>
      <c r="M17" s="38">
        <v>1990896</v>
      </c>
      <c r="N17" s="27">
        <f t="shared" si="1"/>
        <v>23417552</v>
      </c>
    </row>
    <row r="18" spans="1:14" x14ac:dyDescent="0.25">
      <c r="A18" s="42" t="s">
        <v>38</v>
      </c>
      <c r="B18" s="38">
        <v>6289608</v>
      </c>
      <c r="C18" s="38">
        <v>6310869</v>
      </c>
      <c r="D18" s="38">
        <v>5428693</v>
      </c>
      <c r="E18" s="38">
        <v>6804400</v>
      </c>
      <c r="F18" s="38">
        <v>6213120</v>
      </c>
      <c r="G18" s="38">
        <v>6279919</v>
      </c>
      <c r="H18" s="38">
        <v>7180311</v>
      </c>
      <c r="I18" s="38">
        <v>5737129</v>
      </c>
      <c r="J18" s="38">
        <v>7126318</v>
      </c>
      <c r="K18" s="38">
        <v>6932291</v>
      </c>
      <c r="L18" s="38">
        <v>6972858</v>
      </c>
      <c r="M18" s="38">
        <v>8051244</v>
      </c>
      <c r="N18" s="27">
        <f t="shared" si="1"/>
        <v>79326760</v>
      </c>
    </row>
    <row r="19" spans="1:14" x14ac:dyDescent="0.25">
      <c r="A19" s="42" t="s">
        <v>60</v>
      </c>
      <c r="B19" s="38">
        <v>12340</v>
      </c>
      <c r="C19" s="38">
        <v>18493</v>
      </c>
      <c r="D19" s="38">
        <v>9448</v>
      </c>
      <c r="E19" s="38">
        <v>10562</v>
      </c>
      <c r="F19" s="38">
        <v>3354</v>
      </c>
      <c r="G19" s="38">
        <v>14116</v>
      </c>
      <c r="H19" s="38">
        <v>41502</v>
      </c>
      <c r="I19" s="38">
        <v>26477</v>
      </c>
      <c r="J19" s="38">
        <v>25866</v>
      </c>
      <c r="K19" s="38">
        <v>26439</v>
      </c>
      <c r="L19" s="38">
        <v>22960</v>
      </c>
      <c r="M19" s="38">
        <v>15017</v>
      </c>
      <c r="N19" s="27">
        <f t="shared" si="1"/>
        <v>226574</v>
      </c>
    </row>
    <row r="20" spans="1:14" x14ac:dyDescent="0.25">
      <c r="A20" s="42" t="s">
        <v>39</v>
      </c>
      <c r="B20" s="38">
        <v>9122056</v>
      </c>
      <c r="C20" s="38">
        <v>7904385</v>
      </c>
      <c r="D20" s="38">
        <v>8999893</v>
      </c>
      <c r="E20" s="38">
        <v>7349472</v>
      </c>
      <c r="F20" s="38">
        <v>8122671</v>
      </c>
      <c r="G20" s="38">
        <v>8129913</v>
      </c>
      <c r="H20" s="38">
        <v>6792424</v>
      </c>
      <c r="I20" s="38">
        <v>9490509</v>
      </c>
      <c r="J20" s="38">
        <v>8833173</v>
      </c>
      <c r="K20" s="38">
        <v>8411272</v>
      </c>
      <c r="L20" s="38">
        <v>9778735</v>
      </c>
      <c r="M20" s="38">
        <v>7447714</v>
      </c>
      <c r="N20" s="27">
        <f t="shared" si="1"/>
        <v>100382217</v>
      </c>
    </row>
    <row r="21" spans="1:14" x14ac:dyDescent="0.25">
      <c r="A21" s="42" t="s">
        <v>26</v>
      </c>
      <c r="B21" s="38">
        <v>2267399</v>
      </c>
      <c r="C21" s="38">
        <v>1829615</v>
      </c>
      <c r="D21" s="38">
        <v>1557563</v>
      </c>
      <c r="E21" s="38">
        <v>1865795</v>
      </c>
      <c r="F21" s="38">
        <v>2066236</v>
      </c>
      <c r="G21" s="38">
        <v>2902219</v>
      </c>
      <c r="H21" s="38">
        <v>5074782</v>
      </c>
      <c r="I21" s="38">
        <v>4543808</v>
      </c>
      <c r="J21" s="38">
        <v>4285930</v>
      </c>
      <c r="K21" s="38">
        <v>3874079</v>
      </c>
      <c r="L21" s="38">
        <v>3519189</v>
      </c>
      <c r="M21" s="38">
        <v>2408295</v>
      </c>
      <c r="N21" s="27">
        <f t="shared" si="1"/>
        <v>36194910</v>
      </c>
    </row>
    <row r="22" spans="1:14" x14ac:dyDescent="0.25">
      <c r="A22" s="42" t="s">
        <v>30</v>
      </c>
      <c r="B22" s="24">
        <f>SUM(B8:B21)</f>
        <v>72116969</v>
      </c>
      <c r="C22" s="24">
        <f t="shared" ref="C22:M22" si="2">SUM(C8:C21)</f>
        <v>54947632</v>
      </c>
      <c r="D22" s="24">
        <f t="shared" si="2"/>
        <v>45682447</v>
      </c>
      <c r="E22" s="24">
        <f t="shared" si="2"/>
        <v>45433565</v>
      </c>
      <c r="F22" s="24">
        <f t="shared" si="2"/>
        <v>53804454</v>
      </c>
      <c r="G22" s="24">
        <f t="shared" si="2"/>
        <v>91094753</v>
      </c>
      <c r="H22" s="24">
        <f t="shared" si="2"/>
        <v>140742042</v>
      </c>
      <c r="I22" s="24">
        <f t="shared" si="2"/>
        <v>175241137</v>
      </c>
      <c r="J22" s="24">
        <f t="shared" si="2"/>
        <v>166571224</v>
      </c>
      <c r="K22" s="24">
        <f t="shared" si="2"/>
        <v>149115398</v>
      </c>
      <c r="L22" s="24">
        <f t="shared" si="2"/>
        <v>134443810</v>
      </c>
      <c r="M22" s="24">
        <f t="shared" si="2"/>
        <v>102605756</v>
      </c>
      <c r="N22" s="24">
        <f>SUM(N8:N21)</f>
        <v>1231799187</v>
      </c>
    </row>
    <row r="23" spans="1:14" x14ac:dyDescent="0.25">
      <c r="A23" s="4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x14ac:dyDescent="0.25">
      <c r="A24" s="42" t="s">
        <v>85</v>
      </c>
      <c r="B24" s="27">
        <f>SUM(B8:B12)</f>
        <v>49253930</v>
      </c>
      <c r="C24" s="27">
        <f t="shared" ref="C24:M24" si="3">SUM(C8:C12)</f>
        <v>34476662</v>
      </c>
      <c r="D24" s="27">
        <f t="shared" si="3"/>
        <v>25976419</v>
      </c>
      <c r="E24" s="27">
        <f t="shared" si="3"/>
        <v>25407181</v>
      </c>
      <c r="F24" s="27">
        <f t="shared" si="3"/>
        <v>33174063</v>
      </c>
      <c r="G24" s="27">
        <f t="shared" si="3"/>
        <v>67823700</v>
      </c>
      <c r="H24" s="27">
        <f t="shared" si="3"/>
        <v>114848335</v>
      </c>
      <c r="I24" s="27">
        <f t="shared" si="3"/>
        <v>147520427</v>
      </c>
      <c r="J24" s="27">
        <f t="shared" si="3"/>
        <v>138588451</v>
      </c>
      <c r="K24" s="27">
        <f t="shared" si="3"/>
        <v>122481544</v>
      </c>
      <c r="L24" s="27">
        <f t="shared" si="3"/>
        <v>107015442</v>
      </c>
      <c r="M24" s="27">
        <f t="shared" si="3"/>
        <v>78705926</v>
      </c>
      <c r="N24" s="27">
        <f>SUM(B24:M24)</f>
        <v>945272080</v>
      </c>
    </row>
    <row r="25" spans="1:14" x14ac:dyDescent="0.25">
      <c r="A25" s="42" t="s">
        <v>86</v>
      </c>
      <c r="B25" s="27">
        <f>SUM(B13:B15)</f>
        <v>3279033</v>
      </c>
      <c r="C25" s="27">
        <f t="shared" ref="C25:M25" si="4">SUM(C13:C15)</f>
        <v>2518362</v>
      </c>
      <c r="D25" s="27">
        <f t="shared" si="4"/>
        <v>2194146</v>
      </c>
      <c r="E25" s="27">
        <f t="shared" si="4"/>
        <v>2110107</v>
      </c>
      <c r="F25" s="27">
        <f t="shared" si="4"/>
        <v>2525928</v>
      </c>
      <c r="G25" s="27">
        <f t="shared" si="4"/>
        <v>4128953</v>
      </c>
      <c r="H25" s="27">
        <f t="shared" si="4"/>
        <v>4765980</v>
      </c>
      <c r="I25" s="27">
        <f t="shared" si="4"/>
        <v>5724766</v>
      </c>
      <c r="J25" s="27">
        <f t="shared" si="4"/>
        <v>5543038</v>
      </c>
      <c r="K25" s="27">
        <f t="shared" si="4"/>
        <v>5257594</v>
      </c>
      <c r="L25" s="27">
        <f t="shared" si="4"/>
        <v>4922762</v>
      </c>
      <c r="M25" s="27">
        <f t="shared" si="4"/>
        <v>3985374</v>
      </c>
      <c r="N25" s="27">
        <f>SUM(B25:M25)</f>
        <v>46956043</v>
      </c>
    </row>
    <row r="26" spans="1:14" x14ac:dyDescent="0.25">
      <c r="A26" s="42" t="s">
        <v>87</v>
      </c>
      <c r="B26" s="43">
        <f>SUM(B16:B21)</f>
        <v>19584006</v>
      </c>
      <c r="C26" s="43">
        <f t="shared" ref="C26:M26" si="5">SUM(C16:C21)</f>
        <v>17952608</v>
      </c>
      <c r="D26" s="43">
        <f t="shared" si="5"/>
        <v>17511882</v>
      </c>
      <c r="E26" s="43">
        <f t="shared" si="5"/>
        <v>17916277</v>
      </c>
      <c r="F26" s="43">
        <f t="shared" si="5"/>
        <v>18104463</v>
      </c>
      <c r="G26" s="43">
        <f t="shared" si="5"/>
        <v>19142100</v>
      </c>
      <c r="H26" s="43">
        <f t="shared" si="5"/>
        <v>21127727</v>
      </c>
      <c r="I26" s="43">
        <f t="shared" si="5"/>
        <v>21995944</v>
      </c>
      <c r="J26" s="43">
        <f t="shared" si="5"/>
        <v>22439735</v>
      </c>
      <c r="K26" s="43">
        <f t="shared" si="5"/>
        <v>21376260</v>
      </c>
      <c r="L26" s="43">
        <f t="shared" si="5"/>
        <v>22505606</v>
      </c>
      <c r="M26" s="43">
        <f t="shared" si="5"/>
        <v>19914456</v>
      </c>
      <c r="N26" s="43">
        <f>SUM(B26:M26)</f>
        <v>239571064</v>
      </c>
    </row>
    <row r="27" spans="1:14" x14ac:dyDescent="0.25">
      <c r="A27" s="42" t="s">
        <v>88</v>
      </c>
      <c r="B27" s="27">
        <f t="shared" ref="B27:M27" si="6">SUM(B24:B26)</f>
        <v>72116969</v>
      </c>
      <c r="C27" s="27">
        <f t="shared" si="6"/>
        <v>54947632</v>
      </c>
      <c r="D27" s="27">
        <f t="shared" si="6"/>
        <v>45682447</v>
      </c>
      <c r="E27" s="27">
        <f t="shared" si="6"/>
        <v>45433565</v>
      </c>
      <c r="F27" s="27">
        <f t="shared" si="6"/>
        <v>53804454</v>
      </c>
      <c r="G27" s="27">
        <f t="shared" si="6"/>
        <v>91094753</v>
      </c>
      <c r="H27" s="27">
        <f t="shared" si="6"/>
        <v>140742042</v>
      </c>
      <c r="I27" s="27">
        <f t="shared" si="6"/>
        <v>175241137</v>
      </c>
      <c r="J27" s="27">
        <f t="shared" si="6"/>
        <v>166571224</v>
      </c>
      <c r="K27" s="27">
        <f t="shared" si="6"/>
        <v>149115398</v>
      </c>
      <c r="L27" s="27">
        <f t="shared" si="6"/>
        <v>134443810</v>
      </c>
      <c r="M27" s="27">
        <f t="shared" si="6"/>
        <v>102605756</v>
      </c>
      <c r="N27" s="27">
        <f>SUM(B27:M27)</f>
        <v>1231799187</v>
      </c>
    </row>
    <row r="28" spans="1:14" x14ac:dyDescent="0.25">
      <c r="A28" s="44" t="s">
        <v>89</v>
      </c>
      <c r="B28" s="45">
        <f>B22-B27</f>
        <v>0</v>
      </c>
      <c r="C28" s="45">
        <f t="shared" ref="C28:N28" si="7">C22-C27</f>
        <v>0</v>
      </c>
      <c r="D28" s="45">
        <f t="shared" si="7"/>
        <v>0</v>
      </c>
      <c r="E28" s="45">
        <f t="shared" si="7"/>
        <v>0</v>
      </c>
      <c r="F28" s="45">
        <f t="shared" si="7"/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 t="shared" si="7"/>
        <v>0</v>
      </c>
      <c r="M28" s="45">
        <f t="shared" si="7"/>
        <v>0</v>
      </c>
      <c r="N28" s="45">
        <f t="shared" si="7"/>
        <v>0</v>
      </c>
    </row>
    <row r="30" spans="1:14" x14ac:dyDescent="0.25">
      <c r="A30" s="11" t="s">
        <v>181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62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4"/>
  <sheetViews>
    <sheetView zoomScale="90" zoomScaleNormal="90" workbookViewId="0">
      <pane xSplit="3" ySplit="8" topLeftCell="I9" activePane="bottomRight" state="frozenSplit"/>
      <selection activeCell="P36" sqref="P36"/>
      <selection pane="topRight" activeCell="P36" sqref="P36"/>
      <selection pane="bottomLeft" activeCell="P36" sqref="P36"/>
      <selection pane="bottomRight" activeCell="J33" sqref="J33"/>
    </sheetView>
  </sheetViews>
  <sheetFormatPr defaultRowHeight="15" x14ac:dyDescent="0.25"/>
  <cols>
    <col min="1" max="1" width="2.85546875" customWidth="1"/>
    <col min="2" max="2" width="38.7109375" customWidth="1"/>
    <col min="3" max="3" width="9.140625" bestFit="1" customWidth="1"/>
    <col min="4" max="4" width="15" customWidth="1"/>
    <col min="5" max="5" width="14.5703125" bestFit="1" customWidth="1"/>
    <col min="6" max="6" width="11.7109375" bestFit="1" customWidth="1"/>
    <col min="7" max="7" width="16.5703125" bestFit="1" customWidth="1"/>
    <col min="8" max="8" width="15.5703125" bestFit="1" customWidth="1"/>
    <col min="9" max="9" width="14.5703125" bestFit="1" customWidth="1"/>
    <col min="10" max="10" width="14" bestFit="1" customWidth="1"/>
    <col min="11" max="11" width="13.28515625" bestFit="1" customWidth="1"/>
    <col min="12" max="12" width="12.140625" customWidth="1"/>
    <col min="13" max="14" width="13.28515625" bestFit="1" customWidth="1"/>
    <col min="15" max="15" width="12.85546875" bestFit="1" customWidth="1"/>
    <col min="16" max="16" width="11" bestFit="1" customWidth="1"/>
    <col min="17" max="18" width="13.28515625" bestFit="1" customWidth="1"/>
    <col min="19" max="19" width="15.7109375" bestFit="1" customWidth="1"/>
    <col min="20" max="20" width="12.85546875" bestFit="1" customWidth="1"/>
    <col min="21" max="21" width="7.85546875" customWidth="1"/>
    <col min="22" max="22" width="13.7109375" bestFit="1" customWidth="1"/>
  </cols>
  <sheetData>
    <row r="1" spans="2:21" x14ac:dyDescent="0.25">
      <c r="B1" s="162" t="s">
        <v>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2:21" x14ac:dyDescent="0.25">
      <c r="B2" s="162" t="s">
        <v>174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2:21" x14ac:dyDescent="0.25">
      <c r="B3" s="163" t="s">
        <v>92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2:21" x14ac:dyDescent="0.25">
      <c r="B4" s="163" t="s">
        <v>185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2:21" x14ac:dyDescent="0.25">
      <c r="F5" s="157"/>
      <c r="N5" s="157"/>
      <c r="R5" s="157"/>
    </row>
    <row r="6" spans="2:21" x14ac:dyDescent="0.25">
      <c r="B6" s="47"/>
      <c r="C6" s="47"/>
      <c r="D6" s="47" t="s">
        <v>186</v>
      </c>
      <c r="E6" s="47" t="s">
        <v>186</v>
      </c>
      <c r="F6" s="47"/>
      <c r="G6" s="47" t="s">
        <v>94</v>
      </c>
      <c r="H6" s="157"/>
      <c r="I6" s="47"/>
      <c r="J6" s="47"/>
      <c r="K6" s="47"/>
      <c r="L6" s="47"/>
      <c r="M6" s="47"/>
      <c r="N6" s="47"/>
      <c r="O6" s="47"/>
      <c r="P6" s="47"/>
      <c r="Q6" s="47"/>
      <c r="R6" s="47"/>
      <c r="S6" s="48" t="s">
        <v>187</v>
      </c>
      <c r="T6" s="48" t="s">
        <v>96</v>
      </c>
      <c r="U6" s="47"/>
    </row>
    <row r="7" spans="2:21" x14ac:dyDescent="0.25">
      <c r="B7" s="47"/>
      <c r="C7" s="47" t="s">
        <v>97</v>
      </c>
      <c r="D7" s="47" t="s">
        <v>98</v>
      </c>
      <c r="E7" s="47" t="s">
        <v>99</v>
      </c>
      <c r="F7" s="47" t="s">
        <v>100</v>
      </c>
      <c r="G7" s="47" t="s">
        <v>33</v>
      </c>
      <c r="H7" s="157" t="s">
        <v>94</v>
      </c>
      <c r="I7" s="47" t="s">
        <v>101</v>
      </c>
      <c r="J7" s="47" t="s">
        <v>102</v>
      </c>
      <c r="K7" s="47" t="s">
        <v>103</v>
      </c>
      <c r="L7" s="47" t="s">
        <v>104</v>
      </c>
      <c r="M7" s="47" t="s">
        <v>96</v>
      </c>
      <c r="N7" s="47" t="s">
        <v>188</v>
      </c>
      <c r="O7" s="47" t="s">
        <v>189</v>
      </c>
      <c r="P7" s="47" t="s">
        <v>196</v>
      </c>
      <c r="Q7" s="47" t="s">
        <v>95</v>
      </c>
      <c r="R7" s="47" t="s">
        <v>105</v>
      </c>
      <c r="S7" s="47" t="s">
        <v>106</v>
      </c>
      <c r="T7" s="47" t="s">
        <v>7</v>
      </c>
      <c r="U7" s="47" t="s">
        <v>107</v>
      </c>
    </row>
    <row r="8" spans="2:21" ht="17.25" x14ac:dyDescent="0.25">
      <c r="B8" s="1" t="s">
        <v>9</v>
      </c>
      <c r="C8" s="1" t="s">
        <v>36</v>
      </c>
      <c r="D8" s="1" t="s">
        <v>108</v>
      </c>
      <c r="E8" s="1" t="s">
        <v>109</v>
      </c>
      <c r="F8" s="1" t="s">
        <v>110</v>
      </c>
      <c r="G8" s="49" t="s">
        <v>190</v>
      </c>
      <c r="H8" s="1" t="s">
        <v>111</v>
      </c>
      <c r="I8" s="1" t="s">
        <v>7</v>
      </c>
      <c r="J8" s="1" t="s">
        <v>7</v>
      </c>
      <c r="K8" s="1" t="s">
        <v>7</v>
      </c>
      <c r="L8" s="1" t="s">
        <v>7</v>
      </c>
      <c r="M8" s="1" t="s">
        <v>7</v>
      </c>
      <c r="N8" s="1" t="s">
        <v>7</v>
      </c>
      <c r="O8" s="1" t="s">
        <v>7</v>
      </c>
      <c r="P8" s="1" t="s">
        <v>7</v>
      </c>
      <c r="Q8" s="1" t="s">
        <v>7</v>
      </c>
      <c r="R8" s="1" t="s">
        <v>7</v>
      </c>
      <c r="S8" s="1" t="s">
        <v>197</v>
      </c>
      <c r="T8" s="1" t="s">
        <v>112</v>
      </c>
      <c r="U8" s="1" t="s">
        <v>112</v>
      </c>
    </row>
    <row r="9" spans="2:21" x14ac:dyDescent="0.25">
      <c r="B9" s="47" t="s">
        <v>113</v>
      </c>
      <c r="C9" s="47" t="s">
        <v>114</v>
      </c>
      <c r="D9" s="50" t="s">
        <v>115</v>
      </c>
      <c r="E9" s="51" t="s">
        <v>116</v>
      </c>
      <c r="F9" s="47" t="s">
        <v>117</v>
      </c>
      <c r="G9" s="47" t="s">
        <v>118</v>
      </c>
      <c r="H9" s="47" t="s">
        <v>119</v>
      </c>
      <c r="I9" s="47" t="s">
        <v>120</v>
      </c>
      <c r="J9" s="47" t="s">
        <v>121</v>
      </c>
      <c r="K9" s="47" t="s">
        <v>122</v>
      </c>
      <c r="L9" s="51" t="s">
        <v>123</v>
      </c>
      <c r="M9" s="47" t="s">
        <v>124</v>
      </c>
      <c r="N9" s="51" t="s">
        <v>125</v>
      </c>
      <c r="O9" s="51" t="s">
        <v>126</v>
      </c>
      <c r="P9" s="47" t="s">
        <v>127</v>
      </c>
      <c r="Q9" s="51" t="s">
        <v>128</v>
      </c>
      <c r="R9" s="47" t="s">
        <v>129</v>
      </c>
      <c r="S9" s="51" t="s">
        <v>130</v>
      </c>
      <c r="T9" s="47" t="s">
        <v>131</v>
      </c>
      <c r="U9" s="47" t="s">
        <v>132</v>
      </c>
    </row>
    <row r="10" spans="2:21" x14ac:dyDescent="0.25">
      <c r="B10" t="s">
        <v>14</v>
      </c>
      <c r="C10" s="29" t="s">
        <v>133</v>
      </c>
      <c r="D10" s="2">
        <v>577531400.48799992</v>
      </c>
      <c r="E10" s="55">
        <v>299349526.67167699</v>
      </c>
      <c r="F10" s="53">
        <f t="shared" ref="F10:F15" si="0">(E10)/D10</f>
        <v>0.51832597572830497</v>
      </c>
      <c r="G10" s="2">
        <v>639424146</v>
      </c>
      <c r="H10" s="4">
        <f>F10*G10</f>
        <v>331430144.37968814</v>
      </c>
      <c r="I10" s="55">
        <v>208867897.28999999</v>
      </c>
      <c r="J10" s="55">
        <v>-37265639.229999997</v>
      </c>
      <c r="K10" s="55">
        <v>10889393.20638</v>
      </c>
      <c r="L10" s="55">
        <v>3433707.66402</v>
      </c>
      <c r="M10" s="55">
        <f>'Schedule 140 Revenue'!F9</f>
        <v>15653103.094080001</v>
      </c>
      <c r="N10" s="55">
        <v>19825862.599999998</v>
      </c>
      <c r="O10" s="55">
        <v>-4462294.1900000004</v>
      </c>
      <c r="P10" s="55">
        <v>0</v>
      </c>
      <c r="Q10" s="55">
        <v>52145039.109999999</v>
      </c>
      <c r="R10" s="55">
        <v>7167944.6766599994</v>
      </c>
      <c r="S10" s="30">
        <f>SUM(H10:R10)</f>
        <v>607685158.60082805</v>
      </c>
      <c r="T10" s="52">
        <f>'Schedule 140 Revenue'!G9</f>
        <v>-1361973.4309799999</v>
      </c>
      <c r="U10" s="54">
        <f>T10/S10</f>
        <v>-2.2412484683942122E-3</v>
      </c>
    </row>
    <row r="11" spans="2:21" x14ac:dyDescent="0.25">
      <c r="B11" t="s">
        <v>134</v>
      </c>
      <c r="C11" s="29">
        <v>16</v>
      </c>
      <c r="D11" s="2">
        <v>9689.9889999999996</v>
      </c>
      <c r="E11" s="55">
        <v>4941.8900000000003</v>
      </c>
      <c r="F11" s="53">
        <f t="shared" si="0"/>
        <v>0.50999954695511007</v>
      </c>
      <c r="G11" s="2">
        <v>9714</v>
      </c>
      <c r="H11" s="4">
        <f t="shared" ref="H11:H22" si="1">F11*G11</f>
        <v>4954.1355991219389</v>
      </c>
      <c r="I11" s="55">
        <v>3173.08</v>
      </c>
      <c r="J11" s="55">
        <v>-567.5</v>
      </c>
      <c r="K11" s="55">
        <v>165.42941999999999</v>
      </c>
      <c r="L11" s="55"/>
      <c r="M11" s="55">
        <f>'Schedule 140 Revenue'!F10</f>
        <v>237.79872</v>
      </c>
      <c r="N11" s="55">
        <v>301.64999999999998</v>
      </c>
      <c r="O11" s="55">
        <v>-66.459999999999994</v>
      </c>
      <c r="P11" s="55">
        <v>0</v>
      </c>
      <c r="Q11" s="55"/>
      <c r="R11" s="55">
        <v>108.89394</v>
      </c>
      <c r="S11" s="30">
        <f t="shared" ref="S11:S22" si="2">SUM(H11:R11)</f>
        <v>8307.0276791219403</v>
      </c>
      <c r="T11" s="52">
        <f>'Schedule 140 Revenue'!G10</f>
        <v>-20.690819999999999</v>
      </c>
      <c r="U11" s="54">
        <f t="shared" ref="U11:U23" si="3">T11/S11</f>
        <v>-2.4907609314944565E-3</v>
      </c>
    </row>
    <row r="12" spans="2:21" x14ac:dyDescent="0.25">
      <c r="B12" t="s">
        <v>16</v>
      </c>
      <c r="C12" s="29">
        <v>31</v>
      </c>
      <c r="D12" s="2">
        <v>214564223.29299998</v>
      </c>
      <c r="E12" s="55">
        <v>86991648.090000004</v>
      </c>
      <c r="F12" s="53">
        <f t="shared" si="0"/>
        <v>0.40543407822098948</v>
      </c>
      <c r="G12" s="2">
        <v>238517600</v>
      </c>
      <c r="H12" s="4">
        <f t="shared" si="1"/>
        <v>96703163.29548268</v>
      </c>
      <c r="I12" s="55">
        <v>76022714.650000006</v>
      </c>
      <c r="J12" s="55">
        <v>-13898420.550000001</v>
      </c>
      <c r="K12" s="55">
        <v>4061954.7280000001</v>
      </c>
      <c r="L12" s="55">
        <v>1020855.328</v>
      </c>
      <c r="M12" s="55">
        <f>'Schedule 140 Revenue'!F11</f>
        <v>6289709.1120000007</v>
      </c>
      <c r="N12" s="55">
        <v>6091788.4000000004</v>
      </c>
      <c r="O12" s="55">
        <v>-1271849</v>
      </c>
      <c r="P12" s="55">
        <v>0</v>
      </c>
      <c r="Q12" s="55">
        <v>1731637.78</v>
      </c>
      <c r="R12" s="55">
        <v>2595071.4880000004</v>
      </c>
      <c r="S12" s="30">
        <f t="shared" si="2"/>
        <v>179346625.23148265</v>
      </c>
      <c r="T12" s="52">
        <f>'Schedule 140 Revenue'!G11</f>
        <v>-259984.18400000015</v>
      </c>
      <c r="U12" s="54">
        <f t="shared" si="3"/>
        <v>-1.4496184896952403E-3</v>
      </c>
    </row>
    <row r="13" spans="2:21" x14ac:dyDescent="0.25">
      <c r="B13" t="s">
        <v>18</v>
      </c>
      <c r="C13" s="29">
        <v>41</v>
      </c>
      <c r="D13" s="2">
        <v>65990650.213</v>
      </c>
      <c r="E13" s="55">
        <v>14627826.099797169</v>
      </c>
      <c r="F13" s="53">
        <f t="shared" si="0"/>
        <v>0.22166513062960427</v>
      </c>
      <c r="G13" s="2">
        <v>67320620</v>
      </c>
      <c r="H13" s="4">
        <f t="shared" si="1"/>
        <v>14922634.026365951</v>
      </c>
      <c r="I13" s="55">
        <v>19386061.963649999</v>
      </c>
      <c r="J13" s="55">
        <v>-3918733.29</v>
      </c>
      <c r="K13" s="55">
        <v>1146470.1586</v>
      </c>
      <c r="L13" s="55">
        <v>151471.39499999999</v>
      </c>
      <c r="M13" s="55">
        <f>'Schedule 140 Revenue'!F12</f>
        <v>613964.05440000002</v>
      </c>
      <c r="N13" s="55">
        <v>1292890.1199999999</v>
      </c>
      <c r="O13" s="55">
        <v>-220458.13999999998</v>
      </c>
      <c r="P13" s="55">
        <v>0</v>
      </c>
      <c r="Q13" s="55">
        <v>1305886.7999999998</v>
      </c>
      <c r="R13" s="55">
        <v>418734.25640000001</v>
      </c>
      <c r="S13" s="30">
        <f t="shared" si="2"/>
        <v>35098921.344415948</v>
      </c>
      <c r="T13" s="52">
        <f>'Schedule 140 Revenue'!G12</f>
        <v>-12117.711599999973</v>
      </c>
      <c r="U13" s="54">
        <f t="shared" si="3"/>
        <v>-3.4524455840372531E-4</v>
      </c>
    </row>
    <row r="14" spans="2:21" x14ac:dyDescent="0.25">
      <c r="B14" t="s">
        <v>20</v>
      </c>
      <c r="C14" s="29">
        <v>85</v>
      </c>
      <c r="D14" s="2">
        <v>17139795.438999999</v>
      </c>
      <c r="E14" s="55">
        <v>1690709.47</v>
      </c>
      <c r="F14" s="53">
        <f t="shared" si="0"/>
        <v>9.864233654463278E-2</v>
      </c>
      <c r="G14" s="2">
        <v>15894957</v>
      </c>
      <c r="H14" s="4">
        <f t="shared" si="1"/>
        <v>1567915.6977564667</v>
      </c>
      <c r="I14" s="55">
        <v>4383433.15515</v>
      </c>
      <c r="J14" s="55">
        <v>-924927.55</v>
      </c>
      <c r="K14" s="55">
        <v>237311.70801</v>
      </c>
      <c r="L14" s="55">
        <v>17776.652554063516</v>
      </c>
      <c r="M14" s="55">
        <f>'Schedule 140 Revenue'!F13</f>
        <v>70096.760370000004</v>
      </c>
      <c r="N14" s="55">
        <v>153222.36000000002</v>
      </c>
      <c r="O14" s="55">
        <v>-21437.35</v>
      </c>
      <c r="P14" s="55">
        <v>0</v>
      </c>
      <c r="Q14" s="55"/>
      <c r="R14" s="55">
        <v>52612.307670000002</v>
      </c>
      <c r="S14" s="30">
        <f t="shared" si="2"/>
        <v>5536003.7415105309</v>
      </c>
      <c r="T14" s="52">
        <f>'Schedule 140 Revenue'!G13</f>
        <v>10172.77248</v>
      </c>
      <c r="U14" s="54">
        <f t="shared" si="3"/>
        <v>1.8375660413163485E-3</v>
      </c>
    </row>
    <row r="15" spans="2:21" x14ac:dyDescent="0.25">
      <c r="B15" t="s">
        <v>22</v>
      </c>
      <c r="C15" s="29">
        <v>86</v>
      </c>
      <c r="D15" s="2">
        <v>9926029.5299999993</v>
      </c>
      <c r="E15" s="55">
        <v>2102083.46</v>
      </c>
      <c r="F15" s="53">
        <f t="shared" si="0"/>
        <v>0.21177485455254333</v>
      </c>
      <c r="G15" s="2">
        <v>9006058</v>
      </c>
      <c r="H15" s="4">
        <f t="shared" si="1"/>
        <v>1907256.6230417693</v>
      </c>
      <c r="I15" s="55">
        <v>2499533.3523299997</v>
      </c>
      <c r="J15" s="55">
        <v>-524062.52</v>
      </c>
      <c r="K15" s="55">
        <v>134460.44594000001</v>
      </c>
      <c r="L15" s="55">
        <v>19723.267019999999</v>
      </c>
      <c r="M15" s="55">
        <f>'Schedule 140 Revenue'!F14</f>
        <v>76821.674739999988</v>
      </c>
      <c r="N15" s="55">
        <v>155282.33000000002</v>
      </c>
      <c r="O15" s="55">
        <v>-26545.54</v>
      </c>
      <c r="P15" s="55">
        <v>0</v>
      </c>
      <c r="Q15" s="55">
        <v>177170.34000000003</v>
      </c>
      <c r="R15" s="55">
        <v>37375.140700000004</v>
      </c>
      <c r="S15" s="30">
        <f t="shared" si="2"/>
        <v>4457015.1137717692</v>
      </c>
      <c r="T15" s="52">
        <f>'Schedule 140 Revenue'!G14</f>
        <v>-7745.2098799999967</v>
      </c>
      <c r="U15" s="54">
        <f t="shared" si="3"/>
        <v>-1.7377571496376592E-3</v>
      </c>
    </row>
    <row r="16" spans="2:21" x14ac:dyDescent="0.25">
      <c r="B16" t="s">
        <v>24</v>
      </c>
      <c r="C16" s="29">
        <v>87</v>
      </c>
      <c r="D16" s="2">
        <v>23311381.287999999</v>
      </c>
      <c r="E16" s="55">
        <v>1129405.5499999998</v>
      </c>
      <c r="F16" s="53">
        <f>(E16)/D16</f>
        <v>4.8448675608140992E-2</v>
      </c>
      <c r="G16" s="2">
        <v>22055028</v>
      </c>
      <c r="H16" s="4">
        <f t="shared" si="1"/>
        <v>1068536.8971004665</v>
      </c>
      <c r="I16" s="55">
        <v>5964561.7723200005</v>
      </c>
      <c r="J16" s="55">
        <v>-1282940.98</v>
      </c>
      <c r="K16" s="55">
        <v>329281.56803999998</v>
      </c>
      <c r="L16" s="55">
        <v>9962.2296528075458</v>
      </c>
      <c r="M16" s="55">
        <f>'Schedule 140 Revenue'!F15</f>
        <v>64841.782319999998</v>
      </c>
      <c r="N16" s="55">
        <v>102222.69</v>
      </c>
      <c r="O16" s="55">
        <v>-14361.65</v>
      </c>
      <c r="P16" s="55">
        <v>0</v>
      </c>
      <c r="Q16" s="55"/>
      <c r="R16" s="55">
        <v>44551.156560000003</v>
      </c>
      <c r="S16" s="30">
        <f t="shared" si="2"/>
        <v>6286655.4659932749</v>
      </c>
      <c r="T16" s="52">
        <f>'Schedule 140 Revenue'!G15</f>
        <v>-4631.5558800000026</v>
      </c>
      <c r="U16" s="54">
        <f t="shared" si="3"/>
        <v>-7.3672812277588828E-4</v>
      </c>
    </row>
    <row r="17" spans="2:24" x14ac:dyDescent="0.25">
      <c r="B17" t="s">
        <v>135</v>
      </c>
      <c r="C17" s="29" t="s">
        <v>59</v>
      </c>
      <c r="D17" s="2">
        <v>22880.93</v>
      </c>
      <c r="E17" s="55">
        <v>14880.86</v>
      </c>
      <c r="F17" s="53">
        <f>(E17)/D17</f>
        <v>0.65036080264220031</v>
      </c>
      <c r="G17" s="2">
        <v>23051</v>
      </c>
      <c r="H17" s="4">
        <f t="shared" si="1"/>
        <v>14991.466861705359</v>
      </c>
      <c r="I17" s="55"/>
      <c r="J17" s="55"/>
      <c r="K17" s="55"/>
      <c r="L17" s="55">
        <v>98.658280000000005</v>
      </c>
      <c r="M17" s="55">
        <f>'Schedule 140 Revenue'!F16</f>
        <v>607.85487000000001</v>
      </c>
      <c r="N17" s="55">
        <v>850.84999999999991</v>
      </c>
      <c r="O17" s="55">
        <v>-273.55</v>
      </c>
      <c r="P17" s="55">
        <v>0</v>
      </c>
      <c r="Q17" s="55">
        <v>162.74</v>
      </c>
      <c r="R17" s="55">
        <v>250.79488000000001</v>
      </c>
      <c r="S17" s="30">
        <f t="shared" si="2"/>
        <v>16688.814891705362</v>
      </c>
      <c r="T17" s="52">
        <f>'Schedule 140 Revenue'!G16</f>
        <v>-25.125590000000017</v>
      </c>
      <c r="U17" s="54">
        <f t="shared" si="3"/>
        <v>-1.5055347047133875E-3</v>
      </c>
    </row>
    <row r="18" spans="2:24" x14ac:dyDescent="0.25">
      <c r="B18" t="s">
        <v>136</v>
      </c>
      <c r="C18" t="s">
        <v>37</v>
      </c>
      <c r="D18" s="2">
        <v>17702125.890000001</v>
      </c>
      <c r="E18" s="55">
        <v>3565479.9526575999</v>
      </c>
      <c r="F18" s="53">
        <f t="shared" ref="F18:F23" si="4">(E18)/D18</f>
        <v>0.20141535399834398</v>
      </c>
      <c r="G18" s="2">
        <v>23417552</v>
      </c>
      <c r="H18" s="4">
        <f>F18*G18</f>
        <v>4716654.5258546285</v>
      </c>
      <c r="I18" s="55"/>
      <c r="J18" s="55"/>
      <c r="K18" s="55"/>
      <c r="L18" s="55">
        <v>52689.491999999998</v>
      </c>
      <c r="M18" s="55">
        <f>'Schedule 140 Revenue'!F17</f>
        <v>213568.07423999999</v>
      </c>
      <c r="N18" s="55">
        <v>194415.03</v>
      </c>
      <c r="O18" s="55">
        <v>-62207.960000000006</v>
      </c>
      <c r="P18" s="55">
        <v>0</v>
      </c>
      <c r="Q18" s="55">
        <v>440429.76</v>
      </c>
      <c r="R18" s="55">
        <v>145657.17343999998</v>
      </c>
      <c r="S18" s="30">
        <f>SUM(H18:R18)</f>
        <v>5701206.0955346283</v>
      </c>
      <c r="T18" s="52">
        <f>'Schedule 140 Revenue'!G17</f>
        <v>-4215.1593599999906</v>
      </c>
      <c r="U18" s="54">
        <f t="shared" si="3"/>
        <v>-7.3934519983437222E-4</v>
      </c>
    </row>
    <row r="19" spans="2:24" x14ac:dyDescent="0.25">
      <c r="B19" t="s">
        <v>137</v>
      </c>
      <c r="C19" t="s">
        <v>38</v>
      </c>
      <c r="D19" s="2">
        <v>79480065.260000005</v>
      </c>
      <c r="E19" s="55">
        <v>7330425.0899999999</v>
      </c>
      <c r="F19" s="53">
        <f t="shared" si="4"/>
        <v>9.2229731644284246E-2</v>
      </c>
      <c r="G19" s="2">
        <v>79326760</v>
      </c>
      <c r="H19" s="4">
        <f t="shared" si="1"/>
        <v>7316285.7870105421</v>
      </c>
      <c r="I19" s="55"/>
      <c r="J19" s="55"/>
      <c r="K19" s="55"/>
      <c r="L19" s="55">
        <v>79522.41413895975</v>
      </c>
      <c r="M19" s="55">
        <f>'Schedule 140 Revenue'!F18</f>
        <v>349831.01159999997</v>
      </c>
      <c r="N19" s="55">
        <v>310336.02999999997</v>
      </c>
      <c r="O19" s="55">
        <v>-99193.199999999983</v>
      </c>
      <c r="P19" s="55">
        <v>0</v>
      </c>
      <c r="Q19" s="55"/>
      <c r="R19" s="55">
        <v>262571.57559999998</v>
      </c>
      <c r="S19" s="30">
        <f t="shared" si="2"/>
        <v>8219353.6183495019</v>
      </c>
      <c r="T19" s="52">
        <f>'Schedule 140 Revenue'!G18</f>
        <v>50769.126399999994</v>
      </c>
      <c r="U19" s="54">
        <f t="shared" si="3"/>
        <v>6.1767784618317412E-3</v>
      </c>
    </row>
    <row r="20" spans="2:24" x14ac:dyDescent="0.25">
      <c r="B20" t="s">
        <v>138</v>
      </c>
      <c r="C20" t="s">
        <v>60</v>
      </c>
      <c r="D20" s="2">
        <v>372634.3</v>
      </c>
      <c r="E20" s="55">
        <v>84449.41</v>
      </c>
      <c r="F20" s="53">
        <f t="shared" si="4"/>
        <v>0.22662811770145691</v>
      </c>
      <c r="G20" s="2">
        <v>226574</v>
      </c>
      <c r="H20" s="4">
        <f t="shared" si="1"/>
        <v>51348.039140089895</v>
      </c>
      <c r="I20" s="55"/>
      <c r="J20" s="55"/>
      <c r="K20" s="55"/>
      <c r="L20" s="55">
        <v>496.19706000000002</v>
      </c>
      <c r="M20" s="55">
        <f>'Schedule 140 Revenue'!F19</f>
        <v>1932.6762199999998</v>
      </c>
      <c r="N20" s="55">
        <v>2764.39</v>
      </c>
      <c r="O20" s="55">
        <v>-889.14</v>
      </c>
      <c r="P20" s="55">
        <v>0</v>
      </c>
      <c r="Q20" s="55">
        <v>4993.1399999999994</v>
      </c>
      <c r="R20" s="55">
        <v>940.28210000000001</v>
      </c>
      <c r="S20" s="30">
        <f t="shared" si="2"/>
        <v>61585.584520089891</v>
      </c>
      <c r="T20" s="52">
        <f>'Schedule 140 Revenue'!G19</f>
        <v>-194.85363999999993</v>
      </c>
      <c r="U20" s="54">
        <f t="shared" si="3"/>
        <v>-3.1639488610591417E-3</v>
      </c>
    </row>
    <row r="21" spans="2:24" x14ac:dyDescent="0.25">
      <c r="B21" t="s">
        <v>139</v>
      </c>
      <c r="C21" t="s">
        <v>39</v>
      </c>
      <c r="D21" s="2">
        <v>99276638.950000003</v>
      </c>
      <c r="E21" s="55">
        <v>3590033.5100000002</v>
      </c>
      <c r="F21" s="53">
        <f t="shared" si="4"/>
        <v>3.6161916317574934E-2</v>
      </c>
      <c r="G21" s="2">
        <v>100382217</v>
      </c>
      <c r="H21" s="4">
        <f t="shared" si="1"/>
        <v>3630013.3309266479</v>
      </c>
      <c r="I21" s="55"/>
      <c r="J21" s="55"/>
      <c r="K21" s="55"/>
      <c r="L21" s="55">
        <v>36437.339719557305</v>
      </c>
      <c r="M21" s="55">
        <f>'Schedule 140 Revenue'!F20</f>
        <v>295123.71798000002</v>
      </c>
      <c r="N21" s="55">
        <v>149827.18</v>
      </c>
      <c r="O21" s="55">
        <v>-47638.3</v>
      </c>
      <c r="P21" s="55">
        <v>0</v>
      </c>
      <c r="Q21" s="55"/>
      <c r="R21" s="55">
        <v>202772.07834000001</v>
      </c>
      <c r="S21" s="30">
        <f t="shared" si="2"/>
        <v>4266535.3469662052</v>
      </c>
      <c r="T21" s="52">
        <f>'Schedule 140 Revenue'!G20</f>
        <v>-21080.26557000001</v>
      </c>
      <c r="U21" s="54">
        <f t="shared" si="3"/>
        <v>-4.9408393123918457E-3</v>
      </c>
    </row>
    <row r="22" spans="2:24" x14ac:dyDescent="0.25">
      <c r="B22" t="s">
        <v>26</v>
      </c>
      <c r="D22" s="2">
        <v>37223237.460000001</v>
      </c>
      <c r="E22" s="55">
        <v>1465941.3557558353</v>
      </c>
      <c r="F22" s="56">
        <f t="shared" si="4"/>
        <v>3.9382424952454288E-2</v>
      </c>
      <c r="G22" s="2">
        <v>36194910</v>
      </c>
      <c r="H22" s="4">
        <f t="shared" si="1"/>
        <v>1425443.3267358372</v>
      </c>
      <c r="I22" s="55"/>
      <c r="J22" s="55"/>
      <c r="K22" s="55"/>
      <c r="L22" s="55"/>
      <c r="M22" s="55">
        <f>'Schedule 140 Revenue'!F21</f>
        <v>116185.66110000001</v>
      </c>
      <c r="N22" s="55">
        <v>35274.722042470239</v>
      </c>
      <c r="O22" s="55">
        <v>-11662.625379653648</v>
      </c>
      <c r="P22" s="55">
        <v>0</v>
      </c>
      <c r="Q22" s="55"/>
      <c r="R22" s="55">
        <v>89401.4277</v>
      </c>
      <c r="S22" s="30">
        <f t="shared" si="2"/>
        <v>1654642.5121986535</v>
      </c>
      <c r="T22" s="52">
        <f>'Schedule 140 Revenue'!G21</f>
        <v>7962.8801999999896</v>
      </c>
      <c r="U22" s="54">
        <f t="shared" si="3"/>
        <v>4.8124474871729757E-3</v>
      </c>
    </row>
    <row r="23" spans="2:24" x14ac:dyDescent="0.25">
      <c r="B23" t="s">
        <v>30</v>
      </c>
      <c r="D23" s="57">
        <f>SUM(D10:D22)</f>
        <v>1142550753.0299997</v>
      </c>
      <c r="E23" s="58">
        <f>SUM(E10:E22)</f>
        <v>421947351.40988761</v>
      </c>
      <c r="F23" s="53">
        <f t="shared" si="4"/>
        <v>0.36930293931442415</v>
      </c>
      <c r="G23" s="57">
        <f>SUM(G10:G22)</f>
        <v>1231799187</v>
      </c>
      <c r="H23" s="58">
        <f>SUM(H10:H22)</f>
        <v>464759341.53156412</v>
      </c>
      <c r="I23" s="58">
        <f t="shared" ref="I23:K23" si="5">SUM(I10:I22)</f>
        <v>317127375.26344997</v>
      </c>
      <c r="J23" s="58">
        <f t="shared" si="5"/>
        <v>-57815291.619999997</v>
      </c>
      <c r="K23" s="58">
        <f t="shared" si="5"/>
        <v>16799037.24439</v>
      </c>
      <c r="L23" s="58">
        <f>SUM(L10:L22)</f>
        <v>4822740.6374453865</v>
      </c>
      <c r="M23" s="58">
        <f>SUM(M10:M22)</f>
        <v>23746023.272640005</v>
      </c>
      <c r="N23" s="58">
        <f>SUM(N10:N22)</f>
        <v>28315038.352042474</v>
      </c>
      <c r="O23" s="58">
        <f>SUM(O10:O22)</f>
        <v>-6238877.1053796532</v>
      </c>
      <c r="P23" s="58">
        <f>SUM(P10:P22)</f>
        <v>0</v>
      </c>
      <c r="Q23" s="58">
        <f t="shared" ref="Q23:S23" si="6">SUM(Q10:Q22)</f>
        <v>55805319.670000002</v>
      </c>
      <c r="R23" s="58">
        <f t="shared" si="6"/>
        <v>11017991.251989998</v>
      </c>
      <c r="S23" s="59">
        <f t="shared" si="6"/>
        <v>858338698.49814212</v>
      </c>
      <c r="T23" s="58">
        <f>SUM(T10:T22)</f>
        <v>-1603083.4082400003</v>
      </c>
      <c r="U23" s="60">
        <f t="shared" si="3"/>
        <v>-1.8676583160528095E-3</v>
      </c>
      <c r="V23" s="4"/>
    </row>
    <row r="24" spans="2:24" s="69" customFormat="1" x14ac:dyDescent="0.25">
      <c r="B24" s="61"/>
      <c r="C24" s="62"/>
      <c r="D24" s="63"/>
      <c r="E24" s="64"/>
      <c r="F24" s="64"/>
      <c r="G24" s="65"/>
      <c r="H24" s="66"/>
      <c r="I24" s="65"/>
      <c r="J24" s="65"/>
      <c r="K24" s="65"/>
      <c r="L24" s="64"/>
      <c r="M24" s="64"/>
      <c r="N24" s="64"/>
      <c r="O24" s="64"/>
      <c r="P24" s="65"/>
      <c r="Q24" s="64"/>
      <c r="R24" s="64"/>
      <c r="S24" s="64"/>
      <c r="T24" s="67"/>
      <c r="U24" s="68"/>
    </row>
    <row r="25" spans="2:24" s="69" customFormat="1" ht="17.25" x14ac:dyDescent="0.25">
      <c r="B25" s="61" t="s">
        <v>147</v>
      </c>
      <c r="C25" s="61"/>
      <c r="D25" s="2">
        <v>397262</v>
      </c>
      <c r="E25" s="55">
        <v>5943249.8599999994</v>
      </c>
      <c r="F25" s="70">
        <f>E25/D25</f>
        <v>14.960529474251249</v>
      </c>
      <c r="G25" s="126">
        <v>337918</v>
      </c>
      <c r="H25" s="4">
        <f>F25*G25</f>
        <v>5055432.1988800336</v>
      </c>
      <c r="I25" s="127"/>
      <c r="J25" s="128"/>
      <c r="K25" s="128"/>
      <c r="L25" s="55"/>
      <c r="M25" s="55">
        <f>'Schedule 140 Revenue'!F24</f>
        <v>199371.62</v>
      </c>
      <c r="N25" s="55">
        <v>229704.86</v>
      </c>
      <c r="O25" s="55">
        <v>-73993.860000000015</v>
      </c>
      <c r="P25" s="55">
        <v>0</v>
      </c>
      <c r="Q25" s="55"/>
      <c r="R25" s="129">
        <v>0</v>
      </c>
      <c r="S25" s="30">
        <f>SUM(H25:R25)</f>
        <v>5410514.8188800337</v>
      </c>
      <c r="T25" s="52">
        <f>'Schedule 140 Revenue'!G24</f>
        <v>-23654.259999999984</v>
      </c>
      <c r="U25" s="54">
        <f>T25/S25</f>
        <v>-4.3719055934304547E-3</v>
      </c>
      <c r="V25" s="68"/>
      <c r="W25" s="71"/>
      <c r="X25" s="72"/>
    </row>
    <row r="26" spans="2:24" s="69" customFormat="1" x14ac:dyDescent="0.25">
      <c r="B26" s="73" t="s">
        <v>30</v>
      </c>
      <c r="C26" s="73"/>
      <c r="D26" s="74"/>
      <c r="E26" s="75">
        <f>E23+E25</f>
        <v>427890601.26988763</v>
      </c>
      <c r="F26" s="76"/>
      <c r="G26" s="76"/>
      <c r="H26" s="75">
        <f>H23+H25</f>
        <v>469814773.73044413</v>
      </c>
      <c r="I26" s="75">
        <f t="shared" ref="I26:K26" si="7">I23+I25</f>
        <v>317127375.26344997</v>
      </c>
      <c r="J26" s="75">
        <f t="shared" si="7"/>
        <v>-57815291.619999997</v>
      </c>
      <c r="K26" s="75">
        <f t="shared" si="7"/>
        <v>16799037.24439</v>
      </c>
      <c r="L26" s="75">
        <f>L23+L25</f>
        <v>4822740.6374453865</v>
      </c>
      <c r="M26" s="75">
        <f>M23+M25</f>
        <v>23945394.892640006</v>
      </c>
      <c r="N26" s="75">
        <f>N23+N25</f>
        <v>28544743.212042473</v>
      </c>
      <c r="O26" s="75">
        <f>O23+O25</f>
        <v>-6312870.9653796535</v>
      </c>
      <c r="P26" s="75">
        <f>P23+P25</f>
        <v>0</v>
      </c>
      <c r="Q26" s="75">
        <f t="shared" ref="Q26:T26" si="8">Q23+Q25</f>
        <v>55805319.670000002</v>
      </c>
      <c r="R26" s="75">
        <f t="shared" si="8"/>
        <v>11017991.251989998</v>
      </c>
      <c r="S26" s="75">
        <f t="shared" si="8"/>
        <v>863749213.3170222</v>
      </c>
      <c r="T26" s="75">
        <f t="shared" si="8"/>
        <v>-1626737.6682400003</v>
      </c>
      <c r="U26" s="60">
        <f>T26/S26</f>
        <v>-1.8833448912710478E-3</v>
      </c>
      <c r="V26" s="68"/>
    </row>
    <row r="27" spans="2:24" x14ac:dyDescent="0.25">
      <c r="D27" s="77"/>
      <c r="E27" s="4"/>
      <c r="L27" s="4"/>
      <c r="O27" s="4"/>
      <c r="P27" s="4"/>
      <c r="Q27" s="4"/>
      <c r="S27" s="4"/>
      <c r="U27" s="78"/>
    </row>
    <row r="28" spans="2:24" x14ac:dyDescent="0.25">
      <c r="D28" s="77"/>
      <c r="E28" s="4"/>
      <c r="G28" s="77"/>
      <c r="L28" s="4"/>
      <c r="O28" s="4"/>
      <c r="P28" s="4"/>
      <c r="Q28" s="4"/>
      <c r="S28" s="4"/>
      <c r="U28" s="78"/>
    </row>
    <row r="29" spans="2:24" s="69" customFormat="1" x14ac:dyDescent="0.25">
      <c r="B29" s="79" t="s">
        <v>140</v>
      </c>
      <c r="C29" s="79"/>
      <c r="D29" s="74"/>
      <c r="E29" s="80"/>
      <c r="T29" s="81"/>
      <c r="U29" s="68"/>
    </row>
    <row r="30" spans="2:24" s="69" customFormat="1" x14ac:dyDescent="0.25">
      <c r="B30" s="73" t="s">
        <v>141</v>
      </c>
      <c r="C30" s="73"/>
      <c r="D30" s="82">
        <f>D10+D11</f>
        <v>577541090.47699988</v>
      </c>
      <c r="E30" s="83">
        <f>E10+E11</f>
        <v>299354468.56167698</v>
      </c>
      <c r="F30" s="76"/>
      <c r="H30" s="83">
        <f>H10+H11</f>
        <v>331435098.51528728</v>
      </c>
      <c r="L30" s="83"/>
      <c r="O30" s="83"/>
      <c r="P30" s="83"/>
      <c r="Q30" s="83"/>
      <c r="S30" s="83">
        <f>S10+S11</f>
        <v>607693465.62850714</v>
      </c>
      <c r="T30" s="4">
        <f>SUM(T10:T11)</f>
        <v>-1361994.1217999998</v>
      </c>
      <c r="U30" s="54">
        <f t="shared" ref="U30:U37" si="9">T30/S30</f>
        <v>-2.241251879171281E-3</v>
      </c>
      <c r="V30" s="84"/>
    </row>
    <row r="31" spans="2:24" s="69" customFormat="1" x14ac:dyDescent="0.25">
      <c r="B31" s="85" t="s">
        <v>142</v>
      </c>
      <c r="C31" s="85"/>
      <c r="D31" s="82">
        <f>D12+D17</f>
        <v>214587104.22299999</v>
      </c>
      <c r="E31" s="83">
        <f>E12+E17</f>
        <v>87006528.950000003</v>
      </c>
      <c r="F31" s="86"/>
      <c r="H31" s="83">
        <f>H12+H17</f>
        <v>96718154.76234439</v>
      </c>
      <c r="I31" s="87"/>
      <c r="J31" s="87"/>
      <c r="K31" s="87"/>
      <c r="L31" s="83"/>
      <c r="M31" s="87"/>
      <c r="O31" s="83"/>
      <c r="P31" s="83"/>
      <c r="Q31" s="83"/>
      <c r="R31" s="87"/>
      <c r="S31" s="83">
        <f>S12+S17</f>
        <v>179363314.04637435</v>
      </c>
      <c r="T31" s="4">
        <f>SUM(T12,T17)</f>
        <v>-260009.30959000016</v>
      </c>
      <c r="U31" s="54">
        <f t="shared" si="9"/>
        <v>-1.449623692405543E-3</v>
      </c>
    </row>
    <row r="32" spans="2:24" s="69" customFormat="1" x14ac:dyDescent="0.25">
      <c r="B32" s="73" t="s">
        <v>143</v>
      </c>
      <c r="C32" s="73"/>
      <c r="D32" s="82">
        <f t="shared" ref="D32:E35" si="10">D13+D18</f>
        <v>83692776.103</v>
      </c>
      <c r="E32" s="83">
        <f t="shared" si="10"/>
        <v>18193306.05245477</v>
      </c>
      <c r="F32" s="86"/>
      <c r="H32" s="83">
        <f>H13+H18</f>
        <v>19639288.552220579</v>
      </c>
      <c r="I32" s="87"/>
      <c r="J32" s="87"/>
      <c r="K32" s="87"/>
      <c r="L32" s="83"/>
      <c r="M32" s="87"/>
      <c r="O32" s="83"/>
      <c r="P32" s="83"/>
      <c r="Q32" s="83"/>
      <c r="R32" s="87"/>
      <c r="S32" s="83">
        <f>S13+S18</f>
        <v>40800127.439950578</v>
      </c>
      <c r="T32" s="4">
        <f>SUM(T13,T18)</f>
        <v>-16332.870959999964</v>
      </c>
      <c r="U32" s="54">
        <f t="shared" si="9"/>
        <v>-4.0031421431314403E-4</v>
      </c>
    </row>
    <row r="33" spans="2:21" s="69" customFormat="1" x14ac:dyDescent="0.25">
      <c r="B33" s="73" t="s">
        <v>144</v>
      </c>
      <c r="C33" s="73"/>
      <c r="D33" s="82">
        <f t="shared" si="10"/>
        <v>96619860.699000001</v>
      </c>
      <c r="E33" s="83">
        <f t="shared" si="10"/>
        <v>9021134.5600000005</v>
      </c>
      <c r="F33" s="86"/>
      <c r="H33" s="83">
        <f>H14+H19</f>
        <v>8884201.4847670086</v>
      </c>
      <c r="I33" s="87"/>
      <c r="J33" s="87"/>
      <c r="K33" s="87"/>
      <c r="L33" s="83"/>
      <c r="M33" s="87"/>
      <c r="O33" s="83"/>
      <c r="P33" s="83"/>
      <c r="Q33" s="83"/>
      <c r="R33" s="87"/>
      <c r="S33" s="83">
        <f>S14+S19</f>
        <v>13755357.359860033</v>
      </c>
      <c r="T33" s="4">
        <f>SUM(T14,T19)</f>
        <v>60941.898879999993</v>
      </c>
      <c r="U33" s="54">
        <f t="shared" si="9"/>
        <v>4.4304118959378391E-3</v>
      </c>
    </row>
    <row r="34" spans="2:21" s="69" customFormat="1" x14ac:dyDescent="0.25">
      <c r="B34" s="73" t="s">
        <v>145</v>
      </c>
      <c r="C34" s="73"/>
      <c r="D34" s="82">
        <f t="shared" si="10"/>
        <v>10298663.83</v>
      </c>
      <c r="E34" s="83">
        <f t="shared" si="10"/>
        <v>2186532.87</v>
      </c>
      <c r="F34" s="86"/>
      <c r="H34" s="83">
        <f>H15+H20</f>
        <v>1958604.6621818591</v>
      </c>
      <c r="I34" s="87"/>
      <c r="J34" s="87"/>
      <c r="K34" s="87"/>
      <c r="L34" s="88"/>
      <c r="M34" s="87"/>
      <c r="O34" s="88"/>
      <c r="P34" s="88"/>
      <c r="Q34" s="88"/>
      <c r="R34" s="87"/>
      <c r="S34" s="83">
        <f>S15+S20</f>
        <v>4518600.6982918587</v>
      </c>
      <c r="T34" s="4">
        <f>SUM(T15,T20)</f>
        <v>-7940.063519999997</v>
      </c>
      <c r="U34" s="54">
        <f t="shared" si="9"/>
        <v>-1.757195213775259E-3</v>
      </c>
    </row>
    <row r="35" spans="2:21" s="69" customFormat="1" x14ac:dyDescent="0.25">
      <c r="B35" s="61" t="s">
        <v>146</v>
      </c>
      <c r="C35" s="61"/>
      <c r="D35" s="82">
        <f t="shared" si="10"/>
        <v>122588020.23800001</v>
      </c>
      <c r="E35" s="83">
        <f t="shared" si="10"/>
        <v>4719439.0600000005</v>
      </c>
      <c r="F35" s="86"/>
      <c r="G35" s="76"/>
      <c r="H35" s="83">
        <f>H16+H21</f>
        <v>4698550.2280271146</v>
      </c>
      <c r="I35" s="86"/>
      <c r="J35" s="86"/>
      <c r="K35" s="86"/>
      <c r="L35" s="88"/>
      <c r="M35" s="86"/>
      <c r="O35" s="88"/>
      <c r="P35" s="88"/>
      <c r="Q35" s="88"/>
      <c r="R35" s="86"/>
      <c r="S35" s="83">
        <f>S16+S21</f>
        <v>10553190.812959481</v>
      </c>
      <c r="T35" s="4">
        <f>SUM(T16,T21)</f>
        <v>-25711.821450000014</v>
      </c>
      <c r="U35" s="54">
        <f t="shared" si="9"/>
        <v>-2.4364025919464565E-3</v>
      </c>
    </row>
    <row r="36" spans="2:21" s="69" customFormat="1" x14ac:dyDescent="0.25">
      <c r="B36" s="89" t="s">
        <v>26</v>
      </c>
      <c r="C36" s="61"/>
      <c r="D36" s="82">
        <f>D22</f>
        <v>37223237.460000001</v>
      </c>
      <c r="E36" s="83">
        <f>E22</f>
        <v>1465941.3557558353</v>
      </c>
      <c r="F36" s="86"/>
      <c r="G36" s="76"/>
      <c r="H36" s="83">
        <f>H22</f>
        <v>1425443.3267358372</v>
      </c>
      <c r="I36" s="86"/>
      <c r="J36" s="86"/>
      <c r="K36" s="86"/>
      <c r="L36" s="88"/>
      <c r="M36" s="86"/>
      <c r="O36" s="88"/>
      <c r="P36" s="88"/>
      <c r="Q36" s="88"/>
      <c r="R36" s="86"/>
      <c r="S36" s="83">
        <f>S22</f>
        <v>1654642.5121986535</v>
      </c>
      <c r="T36" s="4">
        <f>T22</f>
        <v>7962.8801999999896</v>
      </c>
      <c r="U36" s="54">
        <f t="shared" si="9"/>
        <v>4.8124474871729757E-3</v>
      </c>
    </row>
    <row r="37" spans="2:21" s="69" customFormat="1" x14ac:dyDescent="0.25">
      <c r="B37" s="90" t="s">
        <v>27</v>
      </c>
      <c r="C37" s="90"/>
      <c r="D37" s="91">
        <f>SUM(D30:D36)</f>
        <v>1142550753.03</v>
      </c>
      <c r="E37" s="92">
        <f>SUM(E30:E36)</f>
        <v>421947351.40988755</v>
      </c>
      <c r="F37" s="76"/>
      <c r="G37" s="76"/>
      <c r="H37" s="92">
        <f>SUM(H30:H36)</f>
        <v>464759341.53156406</v>
      </c>
      <c r="I37" s="76"/>
      <c r="J37" s="76"/>
      <c r="K37" s="86"/>
      <c r="L37" s="88"/>
      <c r="M37" s="86"/>
      <c r="O37" s="88"/>
      <c r="P37" s="88"/>
      <c r="Q37" s="88"/>
      <c r="R37" s="86"/>
      <c r="S37" s="92">
        <f>SUM(S30:S36)</f>
        <v>858338698.49814212</v>
      </c>
      <c r="T37" s="92">
        <f>SUM(T30:T36)</f>
        <v>-1603083.40824</v>
      </c>
      <c r="U37" s="60">
        <f t="shared" si="9"/>
        <v>-1.8676583160528093E-3</v>
      </c>
    </row>
    <row r="38" spans="2:21" s="69" customFormat="1" x14ac:dyDescent="0.25">
      <c r="B38" s="61"/>
      <c r="C38" s="61"/>
      <c r="D38" s="82"/>
      <c r="E38" s="83"/>
      <c r="F38" s="76"/>
      <c r="G38" s="76"/>
      <c r="H38" s="83"/>
      <c r="I38" s="76"/>
      <c r="J38" s="76"/>
      <c r="K38" s="86"/>
      <c r="L38" s="88"/>
      <c r="M38" s="86"/>
      <c r="O38" s="88"/>
      <c r="P38" s="88"/>
      <c r="Q38" s="88"/>
      <c r="R38" s="86"/>
      <c r="S38" s="83"/>
      <c r="T38" s="83"/>
      <c r="U38" s="54"/>
    </row>
    <row r="39" spans="2:21" s="69" customFormat="1" x14ac:dyDescent="0.25">
      <c r="B39" s="61" t="s">
        <v>28</v>
      </c>
      <c r="C39" s="61"/>
      <c r="D39" s="82"/>
      <c r="E39" s="83">
        <f>E25</f>
        <v>5943249.8599999994</v>
      </c>
      <c r="F39" s="76"/>
      <c r="G39" s="76"/>
      <c r="H39" s="83">
        <f>H25</f>
        <v>5055432.1988800336</v>
      </c>
      <c r="I39" s="76"/>
      <c r="J39" s="76"/>
      <c r="K39" s="86"/>
      <c r="L39" s="88"/>
      <c r="M39" s="86"/>
      <c r="O39" s="88"/>
      <c r="P39" s="88"/>
      <c r="Q39" s="88"/>
      <c r="R39" s="86"/>
      <c r="S39" s="83">
        <f>S25</f>
        <v>5410514.8188800337</v>
      </c>
      <c r="T39" s="4">
        <f>T25</f>
        <v>-23654.259999999984</v>
      </c>
      <c r="U39" s="54">
        <f>T39/S39</f>
        <v>-4.3719055934304547E-3</v>
      </c>
    </row>
    <row r="40" spans="2:21" s="76" customFormat="1" x14ac:dyDescent="0.25">
      <c r="B40" s="73" t="s">
        <v>30</v>
      </c>
      <c r="C40" s="73"/>
      <c r="D40" s="91">
        <f>D39+D37</f>
        <v>1142550753.03</v>
      </c>
      <c r="E40" s="92">
        <f>E39+E37</f>
        <v>427890601.26988757</v>
      </c>
      <c r="G40" s="69"/>
      <c r="H40" s="92">
        <f>H39+H37</f>
        <v>469814773.73044407</v>
      </c>
      <c r="L40" s="88"/>
      <c r="O40" s="88"/>
      <c r="P40" s="88"/>
      <c r="Q40" s="88"/>
      <c r="S40" s="92">
        <f>S39+S37</f>
        <v>863749213.3170222</v>
      </c>
      <c r="T40" s="92">
        <f>T39+T37</f>
        <v>-1626737.66824</v>
      </c>
      <c r="U40" s="60">
        <f>T40/S40</f>
        <v>-1.8833448912710475E-3</v>
      </c>
    </row>
    <row r="41" spans="2:21" s="69" customFormat="1" x14ac:dyDescent="0.25">
      <c r="B41" s="76"/>
      <c r="C41" s="76"/>
      <c r="D41" s="76"/>
      <c r="E41" s="76"/>
      <c r="F41" s="76"/>
      <c r="I41" s="87"/>
      <c r="L41" s="76"/>
      <c r="O41" s="76"/>
      <c r="P41" s="76"/>
      <c r="Q41" s="76"/>
      <c r="R41" s="76"/>
      <c r="S41" s="76"/>
      <c r="T41" s="93"/>
    </row>
    <row r="42" spans="2:21" ht="17.25" x14ac:dyDescent="0.25">
      <c r="B42" t="s">
        <v>191</v>
      </c>
      <c r="D42" s="77"/>
      <c r="E42" s="77"/>
      <c r="H42" s="94"/>
      <c r="L42" s="77"/>
      <c r="O42" s="77"/>
      <c r="P42" s="77"/>
      <c r="Q42" s="77"/>
      <c r="S42" s="77"/>
    </row>
    <row r="43" spans="2:21" ht="17.25" x14ac:dyDescent="0.25">
      <c r="B43" t="s">
        <v>192</v>
      </c>
      <c r="D43" s="77"/>
      <c r="E43" s="77"/>
      <c r="L43" s="77"/>
      <c r="O43" s="77"/>
      <c r="P43" s="77"/>
      <c r="Q43" s="77"/>
      <c r="S43" s="77"/>
    </row>
    <row r="44" spans="2:21" ht="17.25" x14ac:dyDescent="0.25">
      <c r="B44" t="s">
        <v>198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zoomScaleNormal="100" workbookViewId="0">
      <selection activeCell="I26" sqref="I26"/>
    </sheetView>
  </sheetViews>
  <sheetFormatPr defaultColWidth="9.140625" defaultRowHeight="15" x14ac:dyDescent="0.25"/>
  <cols>
    <col min="1" max="1" width="2.140625" style="96" customWidth="1"/>
    <col min="2" max="2" width="2.42578125" style="96" customWidth="1"/>
    <col min="3" max="3" width="34.5703125" style="96" customWidth="1"/>
    <col min="4" max="5" width="11.85546875" style="96" customWidth="1"/>
    <col min="6" max="6" width="2.7109375" style="96" customWidth="1"/>
    <col min="7" max="8" width="11.85546875" style="96" customWidth="1"/>
    <col min="9" max="16384" width="9.140625" style="96"/>
  </cols>
  <sheetData>
    <row r="1" spans="2:8" x14ac:dyDescent="0.25">
      <c r="B1" s="164" t="s">
        <v>0</v>
      </c>
      <c r="C1" s="164"/>
      <c r="D1" s="164"/>
      <c r="E1" s="164"/>
      <c r="F1" s="164"/>
      <c r="G1" s="164"/>
      <c r="H1" s="164"/>
    </row>
    <row r="2" spans="2:8" x14ac:dyDescent="0.25">
      <c r="B2" s="164" t="s">
        <v>174</v>
      </c>
      <c r="C2" s="164"/>
      <c r="D2" s="164"/>
      <c r="E2" s="164"/>
      <c r="F2" s="164"/>
      <c r="G2" s="164"/>
      <c r="H2" s="164"/>
    </row>
    <row r="3" spans="2:8" x14ac:dyDescent="0.25">
      <c r="B3" s="162" t="s">
        <v>148</v>
      </c>
      <c r="C3" s="162"/>
      <c r="D3" s="162"/>
      <c r="E3" s="162"/>
      <c r="F3" s="162"/>
      <c r="G3" s="162"/>
      <c r="H3" s="162"/>
    </row>
    <row r="4" spans="2:8" x14ac:dyDescent="0.25">
      <c r="B4" s="162" t="s">
        <v>185</v>
      </c>
      <c r="C4" s="162"/>
      <c r="D4" s="162"/>
      <c r="E4" s="162"/>
      <c r="F4" s="162"/>
      <c r="G4" s="162"/>
      <c r="H4" s="162"/>
    </row>
    <row r="6" spans="2:8" x14ac:dyDescent="0.25">
      <c r="D6" s="97" t="s">
        <v>149</v>
      </c>
      <c r="E6" s="97"/>
      <c r="G6" s="97" t="s">
        <v>150</v>
      </c>
      <c r="H6" s="97"/>
    </row>
    <row r="7" spans="2:8" ht="17.25" x14ac:dyDescent="0.25">
      <c r="D7" s="98" t="s">
        <v>151</v>
      </c>
      <c r="E7" s="98" t="s">
        <v>152</v>
      </c>
      <c r="G7" s="98" t="s">
        <v>153</v>
      </c>
      <c r="H7" s="98" t="s">
        <v>152</v>
      </c>
    </row>
    <row r="8" spans="2:8" x14ac:dyDescent="0.25">
      <c r="B8" s="96" t="s">
        <v>154</v>
      </c>
      <c r="D8" s="99">
        <v>64</v>
      </c>
      <c r="E8" s="100"/>
      <c r="G8" s="99">
        <v>64</v>
      </c>
      <c r="H8" s="100"/>
    </row>
    <row r="9" spans="2:8" x14ac:dyDescent="0.25">
      <c r="D9" s="99"/>
      <c r="E9" s="100"/>
      <c r="G9" s="99"/>
      <c r="H9" s="100"/>
    </row>
    <row r="10" spans="2:8" x14ac:dyDescent="0.25">
      <c r="B10" s="96" t="s">
        <v>155</v>
      </c>
      <c r="D10" s="99"/>
      <c r="E10" s="100"/>
      <c r="G10" s="99"/>
      <c r="H10" s="100"/>
    </row>
    <row r="11" spans="2:8" x14ac:dyDescent="0.25">
      <c r="C11" s="96" t="s">
        <v>156</v>
      </c>
      <c r="D11" s="101">
        <v>11</v>
      </c>
      <c r="E11" s="100">
        <f>D11</f>
        <v>11</v>
      </c>
      <c r="G11" s="103">
        <f>$D$11</f>
        <v>11</v>
      </c>
      <c r="H11" s="100">
        <f>G11</f>
        <v>11</v>
      </c>
    </row>
    <row r="12" spans="2:8" x14ac:dyDescent="0.25">
      <c r="C12" s="96" t="s">
        <v>157</v>
      </c>
      <c r="D12" s="102">
        <v>0.67</v>
      </c>
      <c r="E12" s="154">
        <f>D12</f>
        <v>0.67</v>
      </c>
      <c r="G12" s="115">
        <f>$D$12</f>
        <v>0.67</v>
      </c>
      <c r="H12" s="154">
        <f>G12</f>
        <v>0.67</v>
      </c>
    </row>
    <row r="13" spans="2:8" x14ac:dyDescent="0.25">
      <c r="C13" s="96" t="s">
        <v>193</v>
      </c>
      <c r="D13" s="102">
        <v>-0.15</v>
      </c>
      <c r="E13" s="154">
        <f>D13</f>
        <v>-0.15</v>
      </c>
      <c r="G13" s="115">
        <f>$D$13</f>
        <v>-0.15</v>
      </c>
      <c r="H13" s="154">
        <f>G13</f>
        <v>-0.15</v>
      </c>
    </row>
    <row r="14" spans="2:8" x14ac:dyDescent="0.25">
      <c r="C14" s="96" t="s">
        <v>27</v>
      </c>
      <c r="D14" s="155">
        <f>SUM(D11:D13)</f>
        <v>11.52</v>
      </c>
      <c r="E14" s="155">
        <f>SUM(E11:E13)</f>
        <v>11.52</v>
      </c>
      <c r="G14" s="155">
        <f>SUM(G11:G13)</f>
        <v>11.52</v>
      </c>
      <c r="H14" s="155">
        <f>SUM(H11:H13)</f>
        <v>11.52</v>
      </c>
    </row>
    <row r="15" spans="2:8" x14ac:dyDescent="0.25">
      <c r="D15" s="101"/>
      <c r="E15" s="100"/>
      <c r="G15" s="103"/>
      <c r="H15" s="100"/>
    </row>
    <row r="16" spans="2:8" x14ac:dyDescent="0.25">
      <c r="B16" s="96" t="s">
        <v>158</v>
      </c>
      <c r="E16" s="100"/>
      <c r="H16" s="100"/>
    </row>
    <row r="17" spans="3:8" x14ac:dyDescent="0.25">
      <c r="C17" s="96" t="s">
        <v>159</v>
      </c>
      <c r="D17" s="104">
        <v>0.34603</v>
      </c>
      <c r="E17" s="100"/>
      <c r="G17" s="105">
        <f>$D$17</f>
        <v>0.34603</v>
      </c>
      <c r="H17" s="100"/>
    </row>
    <row r="18" spans="3:8" x14ac:dyDescent="0.25">
      <c r="C18" s="96" t="s">
        <v>162</v>
      </c>
      <c r="D18" s="107">
        <v>5.3699999999999998E-3</v>
      </c>
      <c r="E18" s="100"/>
      <c r="G18" s="105">
        <f>$D$18</f>
        <v>5.3699999999999998E-3</v>
      </c>
      <c r="H18" s="100"/>
    </row>
    <row r="19" spans="3:8" x14ac:dyDescent="0.25">
      <c r="C19" s="96" t="s">
        <v>160</v>
      </c>
      <c r="D19" s="104">
        <v>2.4479999999999998E-2</v>
      </c>
      <c r="E19" s="100"/>
      <c r="G19" s="106">
        <f>'Schedule 140 Revenue'!$E$9</f>
        <v>2.2350000000000002E-2</v>
      </c>
      <c r="H19" s="100"/>
    </row>
    <row r="20" spans="3:8" x14ac:dyDescent="0.25">
      <c r="C20" s="96" t="s">
        <v>157</v>
      </c>
      <c r="D20" s="104">
        <v>2.1229999999999999E-2</v>
      </c>
      <c r="E20" s="100"/>
      <c r="G20" s="105">
        <f>$D$20</f>
        <v>2.1229999999999999E-2</v>
      </c>
      <c r="H20" s="100"/>
    </row>
    <row r="21" spans="3:8" x14ac:dyDescent="0.25">
      <c r="C21" s="96" t="s">
        <v>193</v>
      </c>
      <c r="D21" s="104">
        <v>-4.79E-3</v>
      </c>
      <c r="E21" s="100"/>
      <c r="G21" s="105">
        <f>$D$21</f>
        <v>-4.79E-3</v>
      </c>
      <c r="H21" s="100"/>
    </row>
    <row r="22" spans="3:8" x14ac:dyDescent="0.25">
      <c r="C22" s="96" t="s">
        <v>199</v>
      </c>
      <c r="D22" s="104">
        <v>0</v>
      </c>
      <c r="E22" s="100"/>
      <c r="G22" s="113">
        <f>$D$22</f>
        <v>0</v>
      </c>
      <c r="H22" s="100"/>
    </row>
    <row r="23" spans="3:8" x14ac:dyDescent="0.25">
      <c r="C23" s="96" t="s">
        <v>161</v>
      </c>
      <c r="D23" s="104">
        <v>8.1549999999999997E-2</v>
      </c>
      <c r="E23" s="100"/>
      <c r="G23" s="113">
        <f>$D$23</f>
        <v>8.1549999999999997E-2</v>
      </c>
      <c r="H23" s="100"/>
    </row>
    <row r="24" spans="3:8" x14ac:dyDescent="0.25">
      <c r="C24" s="96" t="s">
        <v>163</v>
      </c>
      <c r="D24" s="108">
        <v>1.1209999999999999E-2</v>
      </c>
      <c r="E24" s="100"/>
      <c r="G24" s="113">
        <f>$D$24</f>
        <v>1.1209999999999999E-2</v>
      </c>
      <c r="H24" s="100"/>
    </row>
    <row r="25" spans="3:8" x14ac:dyDescent="0.25">
      <c r="C25" s="96" t="s">
        <v>27</v>
      </c>
      <c r="D25" s="109">
        <f>SUM(D17:D24)</f>
        <v>0.48507999999999996</v>
      </c>
      <c r="E25" s="100">
        <f>ROUND(D25*D$8,2)</f>
        <v>31.05</v>
      </c>
      <c r="G25" s="109">
        <f>SUM(G17:G24)</f>
        <v>0.48294999999999999</v>
      </c>
      <c r="H25" s="100">
        <f>ROUND(G25*G$8,2)</f>
        <v>30.91</v>
      </c>
    </row>
    <row r="27" spans="3:8" x14ac:dyDescent="0.25">
      <c r="C27" s="96" t="s">
        <v>164</v>
      </c>
      <c r="D27" s="110">
        <v>1.703E-2</v>
      </c>
      <c r="E27" s="100">
        <f>ROUND(D27*D$8,2)</f>
        <v>1.0900000000000001</v>
      </c>
      <c r="G27" s="111">
        <f>$D$27</f>
        <v>1.703E-2</v>
      </c>
      <c r="H27" s="100">
        <f>ROUND(G27*G$8,2)</f>
        <v>1.0900000000000001</v>
      </c>
    </row>
    <row r="28" spans="3:8" x14ac:dyDescent="0.25">
      <c r="D28" s="112"/>
      <c r="E28" s="100"/>
      <c r="G28" s="105"/>
      <c r="H28" s="100"/>
    </row>
    <row r="29" spans="3:8" x14ac:dyDescent="0.25">
      <c r="C29" s="96" t="s">
        <v>165</v>
      </c>
      <c r="D29" s="110">
        <v>0</v>
      </c>
      <c r="E29" s="100">
        <f>ROUND(D29*D$8,2)</f>
        <v>0</v>
      </c>
      <c r="G29" s="113">
        <f>$D$29</f>
        <v>0</v>
      </c>
      <c r="H29" s="100">
        <f>ROUND(G29*G$8,2)</f>
        <v>0</v>
      </c>
    </row>
    <row r="30" spans="3:8" x14ac:dyDescent="0.25">
      <c r="D30" s="112"/>
      <c r="E30" s="100"/>
      <c r="G30" s="105"/>
      <c r="H30" s="100"/>
    </row>
    <row r="31" spans="3:8" x14ac:dyDescent="0.25">
      <c r="C31" s="96" t="s">
        <v>166</v>
      </c>
      <c r="D31" s="110">
        <v>0.32665</v>
      </c>
      <c r="E31" s="100"/>
      <c r="G31" s="105">
        <f>$D$31</f>
        <v>0.32665</v>
      </c>
      <c r="H31" s="100"/>
    </row>
    <row r="32" spans="3:8" x14ac:dyDescent="0.25">
      <c r="C32" s="96" t="s">
        <v>167</v>
      </c>
      <c r="D32" s="110">
        <v>-5.8279999999999998E-2</v>
      </c>
      <c r="E32" s="100"/>
      <c r="G32" s="113">
        <f>$D$32</f>
        <v>-5.8279999999999998E-2</v>
      </c>
      <c r="H32" s="100"/>
    </row>
    <row r="33" spans="2:8" x14ac:dyDescent="0.25">
      <c r="C33" s="96" t="s">
        <v>27</v>
      </c>
      <c r="D33" s="109">
        <f>SUM(D31:D32)</f>
        <v>0.26837</v>
      </c>
      <c r="E33" s="100">
        <f>ROUND(D33*D$8,2)</f>
        <v>17.18</v>
      </c>
      <c r="G33" s="109">
        <f>SUM(G31:G32)</f>
        <v>0.26837</v>
      </c>
      <c r="H33" s="100">
        <f>ROUND(G33*G$8,2)</f>
        <v>17.18</v>
      </c>
    </row>
    <row r="34" spans="2:8" x14ac:dyDescent="0.25">
      <c r="C34" s="96" t="s">
        <v>168</v>
      </c>
      <c r="D34" s="109">
        <f>D25+D27+D29+D33</f>
        <v>0.77047999999999994</v>
      </c>
      <c r="E34" s="114">
        <f>SUM(E25,E27,E29,E33)</f>
        <v>49.32</v>
      </c>
      <c r="G34" s="109">
        <f>G25+G27+G29+G33</f>
        <v>0.76834999999999998</v>
      </c>
      <c r="H34" s="114">
        <f>SUM(H25,H27,H29,H33)</f>
        <v>49.18</v>
      </c>
    </row>
    <row r="35" spans="2:8" x14ac:dyDescent="0.25">
      <c r="E35" s="100"/>
      <c r="H35" s="100"/>
    </row>
    <row r="36" spans="2:8" x14ac:dyDescent="0.25">
      <c r="B36" s="96" t="s">
        <v>169</v>
      </c>
      <c r="D36" s="103"/>
      <c r="E36" s="100">
        <f>E14+E34</f>
        <v>60.84</v>
      </c>
      <c r="G36" s="103"/>
      <c r="H36" s="100">
        <f>H14+H34</f>
        <v>60.7</v>
      </c>
    </row>
    <row r="37" spans="2:8" x14ac:dyDescent="0.25">
      <c r="B37" s="96" t="s">
        <v>170</v>
      </c>
      <c r="D37" s="103"/>
      <c r="E37" s="100"/>
      <c r="G37" s="103"/>
      <c r="H37" s="100">
        <f>H36-$E36</f>
        <v>-0.14000000000000057</v>
      </c>
    </row>
    <row r="38" spans="2:8" x14ac:dyDescent="0.25">
      <c r="B38" s="96" t="s">
        <v>171</v>
      </c>
      <c r="D38" s="116"/>
      <c r="E38" s="116"/>
      <c r="G38" s="116"/>
      <c r="H38" s="117">
        <f>H37/$E36</f>
        <v>-2.3011176857330794E-3</v>
      </c>
    </row>
    <row r="39" spans="2:8" x14ac:dyDescent="0.25">
      <c r="E39" s="100"/>
    </row>
    <row r="40" spans="2:8" x14ac:dyDescent="0.25">
      <c r="B40" s="96" t="s">
        <v>172</v>
      </c>
      <c r="D40" s="105">
        <f>D25+D27+D29</f>
        <v>0.50210999999999995</v>
      </c>
      <c r="E40" s="100"/>
      <c r="G40" s="105">
        <f>G25+G27+G29</f>
        <v>0.49997999999999998</v>
      </c>
    </row>
    <row r="42" spans="2:8" ht="17.25" x14ac:dyDescent="0.25">
      <c r="B42" s="118" t="s">
        <v>194</v>
      </c>
    </row>
    <row r="43" spans="2:8" x14ac:dyDescent="0.25">
      <c r="C43" s="118"/>
      <c r="D43" s="118"/>
      <c r="E43" s="118"/>
    </row>
    <row r="48" spans="2:8" ht="14.25" customHeight="1" x14ac:dyDescent="0.2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5" orientation="landscape" blackAndWhite="1" r:id="rId1"/>
  <headerFooter alignWithMargins="0">
    <oddFooter>&amp;L&amp;F 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H29" sqref="H29"/>
    </sheetView>
  </sheetViews>
  <sheetFormatPr defaultRowHeight="15" x14ac:dyDescent="0.25"/>
  <cols>
    <col min="1" max="1" width="38.7109375" customWidth="1"/>
    <col min="2" max="2" width="9.140625" bestFit="1" customWidth="1"/>
    <col min="3" max="3" width="15.85546875" customWidth="1"/>
    <col min="4" max="4" width="16.85546875" bestFit="1" customWidth="1"/>
    <col min="5" max="5" width="16.85546875" customWidth="1"/>
    <col min="6" max="6" width="20.42578125" customWidth="1"/>
    <col min="7" max="7" width="15.140625" customWidth="1"/>
    <col min="8" max="8" width="7.85546875" bestFit="1" customWidth="1"/>
  </cols>
  <sheetData>
    <row r="1" spans="1:9" s="120" customFormat="1" ht="12.75" x14ac:dyDescent="0.2">
      <c r="A1" s="165" t="s">
        <v>0</v>
      </c>
      <c r="B1" s="165"/>
      <c r="C1" s="165"/>
      <c r="D1" s="165"/>
      <c r="E1" s="165"/>
      <c r="F1" s="165"/>
      <c r="G1" s="165"/>
      <c r="H1" s="165"/>
      <c r="I1" s="119"/>
    </row>
    <row r="2" spans="1:9" s="120" customFormat="1" ht="12.75" x14ac:dyDescent="0.2">
      <c r="A2" s="165" t="s">
        <v>174</v>
      </c>
      <c r="B2" s="165"/>
      <c r="C2" s="165"/>
      <c r="D2" s="165"/>
      <c r="E2" s="165"/>
      <c r="F2" s="165"/>
      <c r="G2" s="165"/>
      <c r="H2" s="165"/>
      <c r="I2" s="119"/>
    </row>
    <row r="3" spans="1:9" s="120" customFormat="1" ht="12.75" x14ac:dyDescent="0.2">
      <c r="A3" s="165" t="s">
        <v>173</v>
      </c>
      <c r="B3" s="165"/>
      <c r="C3" s="165"/>
      <c r="D3" s="165"/>
      <c r="E3" s="165"/>
      <c r="F3" s="165"/>
      <c r="G3" s="165"/>
      <c r="H3" s="165"/>
      <c r="I3" s="119"/>
    </row>
    <row r="4" spans="1:9" s="120" customFormat="1" ht="12.75" x14ac:dyDescent="0.2">
      <c r="A4" s="165" t="s">
        <v>175</v>
      </c>
      <c r="B4" s="165"/>
      <c r="C4" s="165"/>
      <c r="D4" s="165"/>
      <c r="E4" s="165"/>
      <c r="F4" s="165"/>
      <c r="G4" s="165"/>
      <c r="H4" s="165"/>
      <c r="I4" s="119"/>
    </row>
    <row r="5" spans="1:9" x14ac:dyDescent="0.25">
      <c r="D5" s="157"/>
      <c r="E5" s="157"/>
    </row>
    <row r="6" spans="1:9" x14ac:dyDescent="0.25">
      <c r="A6" s="47"/>
      <c r="B6" s="47"/>
      <c r="C6" s="47" t="s">
        <v>94</v>
      </c>
      <c r="D6" s="47" t="s">
        <v>35</v>
      </c>
      <c r="E6" s="47" t="s">
        <v>2</v>
      </c>
      <c r="F6" s="47"/>
      <c r="G6" s="47" t="s">
        <v>96</v>
      </c>
      <c r="H6" s="47"/>
    </row>
    <row r="7" spans="1:9" x14ac:dyDescent="0.25">
      <c r="A7" s="47"/>
      <c r="B7" s="47" t="s">
        <v>97</v>
      </c>
      <c r="C7" s="47" t="s">
        <v>33</v>
      </c>
      <c r="D7" s="47" t="s">
        <v>96</v>
      </c>
      <c r="E7" s="47" t="s">
        <v>96</v>
      </c>
      <c r="F7" s="47" t="s">
        <v>94</v>
      </c>
      <c r="G7" s="47" t="s">
        <v>7</v>
      </c>
      <c r="H7" s="47" t="s">
        <v>107</v>
      </c>
    </row>
    <row r="8" spans="1:9" x14ac:dyDescent="0.25">
      <c r="A8" s="1" t="s">
        <v>9</v>
      </c>
      <c r="B8" s="1" t="s">
        <v>36</v>
      </c>
      <c r="C8" s="121" t="s">
        <v>190</v>
      </c>
      <c r="D8" s="1" t="s">
        <v>153</v>
      </c>
      <c r="E8" s="1" t="s">
        <v>153</v>
      </c>
      <c r="F8" s="1" t="s">
        <v>7</v>
      </c>
      <c r="G8" s="1" t="s">
        <v>112</v>
      </c>
      <c r="H8" s="1" t="s">
        <v>112</v>
      </c>
    </row>
    <row r="9" spans="1:9" x14ac:dyDescent="0.25">
      <c r="A9" t="s">
        <v>14</v>
      </c>
      <c r="B9" s="29" t="s">
        <v>133</v>
      </c>
      <c r="C9" s="2">
        <v>639424146</v>
      </c>
      <c r="D9" s="122">
        <v>2.4480000000000002E-2</v>
      </c>
      <c r="E9" s="125">
        <f>'Sched 140 Rates'!$L$11</f>
        <v>2.2350000000000002E-2</v>
      </c>
      <c r="F9" s="30">
        <f>C9*D9</f>
        <v>15653103.094080001</v>
      </c>
      <c r="G9" s="4">
        <f>(E9-D9)*C9</f>
        <v>-1361973.4309799999</v>
      </c>
      <c r="H9" s="46">
        <f>G9/F9</f>
        <v>-8.7009803921568624E-2</v>
      </c>
    </row>
    <row r="10" spans="1:9" x14ac:dyDescent="0.25">
      <c r="A10" t="s">
        <v>134</v>
      </c>
      <c r="B10" s="29">
        <v>16</v>
      </c>
      <c r="C10" s="38">
        <v>9714</v>
      </c>
      <c r="D10" s="122">
        <v>2.4480000000000002E-2</v>
      </c>
      <c r="E10" s="125">
        <f>'Sched 140 Rates'!$L$11</f>
        <v>2.2350000000000002E-2</v>
      </c>
      <c r="F10" s="30">
        <f t="shared" ref="F10:F20" si="0">C10*D10</f>
        <v>237.79872</v>
      </c>
      <c r="G10" s="4">
        <f t="shared" ref="G10:G21" si="1">(E10-D10)*C10</f>
        <v>-20.690819999999999</v>
      </c>
      <c r="H10" s="46">
        <f t="shared" ref="H10:H25" si="2">G10/F10</f>
        <v>-8.7009803921568624E-2</v>
      </c>
    </row>
    <row r="11" spans="1:9" x14ac:dyDescent="0.25">
      <c r="A11" t="s">
        <v>16</v>
      </c>
      <c r="B11" s="29">
        <v>31</v>
      </c>
      <c r="C11" s="2">
        <v>238517600</v>
      </c>
      <c r="D11" s="122">
        <v>2.6370000000000001E-2</v>
      </c>
      <c r="E11" s="125">
        <f>'Sched 140 Rates'!L12</f>
        <v>2.528E-2</v>
      </c>
      <c r="F11" s="30">
        <f t="shared" si="0"/>
        <v>6289709.1120000007</v>
      </c>
      <c r="G11" s="4">
        <f>(E11-D11)*C11</f>
        <v>-259984.18400000015</v>
      </c>
      <c r="H11" s="46">
        <f t="shared" si="2"/>
        <v>-4.1334850208570362E-2</v>
      </c>
    </row>
    <row r="12" spans="1:9" x14ac:dyDescent="0.25">
      <c r="A12" t="s">
        <v>18</v>
      </c>
      <c r="B12" s="29">
        <v>41</v>
      </c>
      <c r="C12" s="2">
        <v>67320620</v>
      </c>
      <c r="D12" s="122">
        <v>9.1199999999999996E-3</v>
      </c>
      <c r="E12" s="125">
        <f>'Sched 140 Rates'!L13</f>
        <v>8.94E-3</v>
      </c>
      <c r="F12" s="30">
        <f t="shared" si="0"/>
        <v>613964.05440000002</v>
      </c>
      <c r="G12" s="4">
        <f t="shared" si="1"/>
        <v>-12117.711599999973</v>
      </c>
      <c r="H12" s="46">
        <f t="shared" si="2"/>
        <v>-1.9736842105263115E-2</v>
      </c>
    </row>
    <row r="13" spans="1:9" x14ac:dyDescent="0.25">
      <c r="A13" t="s">
        <v>20</v>
      </c>
      <c r="B13" s="29">
        <v>85</v>
      </c>
      <c r="C13" s="2">
        <v>15894957</v>
      </c>
      <c r="D13" s="122">
        <v>4.4099999999999999E-3</v>
      </c>
      <c r="E13" s="125">
        <f>'Sched 140 Rates'!L14</f>
        <v>5.0499999999999998E-3</v>
      </c>
      <c r="F13" s="30">
        <f t="shared" si="0"/>
        <v>70096.760370000004</v>
      </c>
      <c r="G13" s="4">
        <f t="shared" si="1"/>
        <v>10172.77248</v>
      </c>
      <c r="H13" s="46">
        <f t="shared" si="2"/>
        <v>0.14512471655328796</v>
      </c>
    </row>
    <row r="14" spans="1:9" x14ac:dyDescent="0.25">
      <c r="A14" t="s">
        <v>22</v>
      </c>
      <c r="B14" s="29">
        <v>86</v>
      </c>
      <c r="C14" s="2">
        <v>9006058</v>
      </c>
      <c r="D14" s="122">
        <v>8.5299999999999994E-3</v>
      </c>
      <c r="E14" s="125">
        <f>'Sched 140 Rates'!L15</f>
        <v>7.6699999999999997E-3</v>
      </c>
      <c r="F14" s="30">
        <f t="shared" si="0"/>
        <v>76821.674739999988</v>
      </c>
      <c r="G14" s="4">
        <f t="shared" si="1"/>
        <v>-7745.2098799999967</v>
      </c>
      <c r="H14" s="46">
        <f t="shared" si="2"/>
        <v>-0.10082063305978896</v>
      </c>
    </row>
    <row r="15" spans="1:9" x14ac:dyDescent="0.25">
      <c r="A15" t="s">
        <v>24</v>
      </c>
      <c r="B15" s="29">
        <v>87</v>
      </c>
      <c r="C15" s="2">
        <v>22055028</v>
      </c>
      <c r="D15" s="122">
        <v>2.9399999999999999E-3</v>
      </c>
      <c r="E15" s="125">
        <f>'Sched 140 Rates'!L16</f>
        <v>2.7299999999999998E-3</v>
      </c>
      <c r="F15" s="30">
        <f t="shared" si="0"/>
        <v>64841.782319999998</v>
      </c>
      <c r="G15" s="4">
        <f t="shared" si="1"/>
        <v>-4631.5558800000026</v>
      </c>
      <c r="H15" s="46">
        <f t="shared" si="2"/>
        <v>-7.1428571428571466E-2</v>
      </c>
    </row>
    <row r="16" spans="1:9" x14ac:dyDescent="0.25">
      <c r="A16" t="s">
        <v>135</v>
      </c>
      <c r="B16" s="29" t="s">
        <v>59</v>
      </c>
      <c r="C16" s="2">
        <v>23051</v>
      </c>
      <c r="D16" s="122">
        <v>2.6370000000000001E-2</v>
      </c>
      <c r="E16" s="125">
        <f>'Sched 140 Rates'!L12</f>
        <v>2.528E-2</v>
      </c>
      <c r="F16" s="30">
        <f t="shared" si="0"/>
        <v>607.85487000000001</v>
      </c>
      <c r="G16" s="4">
        <f t="shared" si="1"/>
        <v>-25.125590000000017</v>
      </c>
      <c r="H16" s="46">
        <f t="shared" si="2"/>
        <v>-4.1334850208570376E-2</v>
      </c>
    </row>
    <row r="17" spans="1:11" x14ac:dyDescent="0.25">
      <c r="A17" t="s">
        <v>136</v>
      </c>
      <c r="B17" t="s">
        <v>37</v>
      </c>
      <c r="C17" s="2">
        <v>23417552</v>
      </c>
      <c r="D17" s="122">
        <v>9.1199999999999996E-3</v>
      </c>
      <c r="E17" s="125">
        <f>'Sched 140 Rates'!L13</f>
        <v>8.94E-3</v>
      </c>
      <c r="F17" s="30">
        <f t="shared" si="0"/>
        <v>213568.07423999999</v>
      </c>
      <c r="G17" s="4">
        <f t="shared" si="1"/>
        <v>-4215.1593599999906</v>
      </c>
      <c r="H17" s="46">
        <f t="shared" si="2"/>
        <v>-1.9736842105263115E-2</v>
      </c>
    </row>
    <row r="18" spans="1:11" x14ac:dyDescent="0.25">
      <c r="A18" t="s">
        <v>137</v>
      </c>
      <c r="B18" t="s">
        <v>38</v>
      </c>
      <c r="C18" s="2">
        <v>79326760</v>
      </c>
      <c r="D18" s="122">
        <v>4.4099999999999999E-3</v>
      </c>
      <c r="E18" s="125">
        <f>'Sched 140 Rates'!L14</f>
        <v>5.0499999999999998E-3</v>
      </c>
      <c r="F18" s="30">
        <f t="shared" si="0"/>
        <v>349831.01159999997</v>
      </c>
      <c r="G18" s="4">
        <f t="shared" si="1"/>
        <v>50769.126399999994</v>
      </c>
      <c r="H18" s="46">
        <f t="shared" si="2"/>
        <v>0.14512471655328799</v>
      </c>
    </row>
    <row r="19" spans="1:11" x14ac:dyDescent="0.25">
      <c r="A19" t="s">
        <v>138</v>
      </c>
      <c r="B19" t="s">
        <v>60</v>
      </c>
      <c r="C19" s="2">
        <v>226574</v>
      </c>
      <c r="D19" s="122">
        <v>8.5299999999999994E-3</v>
      </c>
      <c r="E19" s="125">
        <f>'Sched 140 Rates'!L15</f>
        <v>7.6699999999999997E-3</v>
      </c>
      <c r="F19" s="30">
        <f t="shared" si="0"/>
        <v>1932.6762199999998</v>
      </c>
      <c r="G19" s="4">
        <f t="shared" si="1"/>
        <v>-194.85363999999993</v>
      </c>
      <c r="H19" s="46">
        <f t="shared" si="2"/>
        <v>-0.10082063305978896</v>
      </c>
    </row>
    <row r="20" spans="1:11" x14ac:dyDescent="0.25">
      <c r="A20" t="s">
        <v>139</v>
      </c>
      <c r="B20" t="s">
        <v>39</v>
      </c>
      <c r="C20" s="2">
        <v>100382217</v>
      </c>
      <c r="D20" s="122">
        <v>2.9399999999999999E-3</v>
      </c>
      <c r="E20" s="125">
        <f>'Sched 140 Rates'!L16</f>
        <v>2.7299999999999998E-3</v>
      </c>
      <c r="F20" s="30">
        <f t="shared" si="0"/>
        <v>295123.71798000002</v>
      </c>
      <c r="G20" s="4">
        <f t="shared" si="1"/>
        <v>-21080.26557000001</v>
      </c>
      <c r="H20" s="46">
        <f t="shared" si="2"/>
        <v>-7.1428571428571466E-2</v>
      </c>
    </row>
    <row r="21" spans="1:11" x14ac:dyDescent="0.25">
      <c r="A21" t="s">
        <v>26</v>
      </c>
      <c r="C21" s="2">
        <v>36194910</v>
      </c>
      <c r="D21" s="123">
        <v>3.2100000000000002E-3</v>
      </c>
      <c r="E21" s="125">
        <f>'Sched 140 Rates'!L17</f>
        <v>3.4299999999999999E-3</v>
      </c>
      <c r="F21" s="30">
        <f>C21*D21</f>
        <v>116185.66110000001</v>
      </c>
      <c r="G21" s="4">
        <f t="shared" si="1"/>
        <v>7962.8801999999896</v>
      </c>
      <c r="H21" s="46">
        <f t="shared" si="2"/>
        <v>6.8535825545171236E-2</v>
      </c>
    </row>
    <row r="22" spans="1:11" x14ac:dyDescent="0.25">
      <c r="A22" t="s">
        <v>30</v>
      </c>
      <c r="C22" s="57">
        <f>SUM(C9:C21)</f>
        <v>1231799187</v>
      </c>
      <c r="D22" s="53"/>
      <c r="E22" s="156"/>
      <c r="F22" s="59">
        <f t="shared" ref="F22:G22" si="3">SUM(F9:F21)</f>
        <v>23746023.272640005</v>
      </c>
      <c r="G22" s="58">
        <f t="shared" si="3"/>
        <v>-1603083.4082400003</v>
      </c>
      <c r="H22" s="8">
        <f t="shared" si="2"/>
        <v>-6.7509552645265924E-2</v>
      </c>
    </row>
    <row r="23" spans="1:11" s="69" customFormat="1" x14ac:dyDescent="0.25">
      <c r="A23" s="61"/>
      <c r="B23" s="62"/>
      <c r="C23" s="65"/>
      <c r="D23" s="64"/>
      <c r="E23" s="64"/>
      <c r="F23" s="64"/>
      <c r="G23" s="67"/>
    </row>
    <row r="24" spans="1:11" s="69" customFormat="1" x14ac:dyDescent="0.25">
      <c r="A24" s="61" t="s">
        <v>28</v>
      </c>
      <c r="B24" s="61"/>
      <c r="C24" s="126">
        <v>337918</v>
      </c>
      <c r="D24" s="124">
        <v>0.59</v>
      </c>
      <c r="E24" s="130">
        <f>'Sched 140 Rates'!R20</f>
        <v>0.52</v>
      </c>
      <c r="F24" s="30">
        <f>D24*C24</f>
        <v>199371.62</v>
      </c>
      <c r="G24" s="4">
        <f t="shared" ref="G24" si="4">(E24-D24)*C24</f>
        <v>-23654.259999999984</v>
      </c>
      <c r="H24" s="46">
        <f t="shared" si="2"/>
        <v>-0.11864406779661009</v>
      </c>
      <c r="I24" s="68"/>
      <c r="J24" s="71"/>
      <c r="K24" s="72"/>
    </row>
    <row r="25" spans="1:11" s="69" customFormat="1" x14ac:dyDescent="0.25">
      <c r="A25" s="73" t="s">
        <v>30</v>
      </c>
      <c r="B25" s="73"/>
      <c r="C25" s="76"/>
      <c r="D25" s="76"/>
      <c r="E25" s="76"/>
      <c r="F25" s="75">
        <f t="shared" ref="F25:G25" si="5">F22+F24</f>
        <v>23945394.892640006</v>
      </c>
      <c r="G25" s="75">
        <f t="shared" si="5"/>
        <v>-1626737.6682400003</v>
      </c>
      <c r="H25" s="8">
        <f t="shared" si="2"/>
        <v>-6.7935303449098844E-2</v>
      </c>
      <c r="I25" s="68"/>
    </row>
    <row r="26" spans="1:11" x14ac:dyDescent="0.25">
      <c r="F26" s="4"/>
    </row>
    <row r="27" spans="1:11" x14ac:dyDescent="0.25">
      <c r="C27" s="77"/>
      <c r="F27" s="4"/>
    </row>
    <row r="28" spans="1:11" x14ac:dyDescent="0.25">
      <c r="A28" s="95"/>
    </row>
  </sheetData>
  <mergeCells count="4">
    <mergeCell ref="A1:H1"/>
    <mergeCell ref="A2:H2"/>
    <mergeCell ref="A4:H4"/>
    <mergeCell ref="A3:H3"/>
  </mergeCells>
  <printOptions horizontalCentered="1"/>
  <pageMargins left="0.7" right="0.7" top="0.75" bottom="0.75" header="0.3" footer="0.3"/>
  <pageSetup scale="86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0AA8C9A01BA3F4EA3AF80B6D878BDE8" ma:contentTypeVersion="56" ma:contentTypeDescription="" ma:contentTypeScope="" ma:versionID="cec52e98e630e3c7b0b573e58f5c70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2019-04-01T07:00:00+00:00</OpenedDate>
    <SignificantOrder xmlns="dc463f71-b30c-4ab2-9473-d307f9d35888">false</SignificantOrder>
    <Date1 xmlns="dc463f71-b30c-4ab2-9473-d307f9d35888">2019-04-12T07:00:00+00:00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190230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AF4A757-FBA7-4DE5-9A38-F3AC73444207}"/>
</file>

<file path=customXml/itemProps2.xml><?xml version="1.0" encoding="utf-8"?>
<ds:datastoreItem xmlns:ds="http://schemas.openxmlformats.org/officeDocument/2006/customXml" ds:itemID="{9BE21DA7-4B50-4D4F-8224-9D83FACDBAB5}"/>
</file>

<file path=customXml/itemProps3.xml><?xml version="1.0" encoding="utf-8"?>
<ds:datastoreItem xmlns:ds="http://schemas.openxmlformats.org/officeDocument/2006/customXml" ds:itemID="{39228733-DA8B-41D5-9E7D-25C8C0461520}"/>
</file>

<file path=customXml/itemProps4.xml><?xml version="1.0" encoding="utf-8"?>
<ds:datastoreItem xmlns:ds="http://schemas.openxmlformats.org/officeDocument/2006/customXml" ds:itemID="{B9DB8766-4AD2-4B3D-A010-6A07152C1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Sched 140 Rates</vt:lpstr>
      <vt:lpstr>Rev Requirement</vt:lpstr>
      <vt:lpstr>Forecasted Volume</vt:lpstr>
      <vt:lpstr>Rate Impacts--&gt;</vt:lpstr>
      <vt:lpstr>Rate Impacts</vt:lpstr>
      <vt:lpstr>Typical Res Bill Combined</vt:lpstr>
      <vt:lpstr>Schedule 140 Revenue</vt:lpstr>
      <vt:lpstr>'Forecasted Volume'!Print_Area</vt:lpstr>
      <vt:lpstr>'Rate Impacts'!Print_Area</vt:lpstr>
      <vt:lpstr>'Sched 140 Rates'!Print_Area</vt:lpstr>
      <vt:lpstr>'Schedule 140 Revenue'!Print_Area</vt:lpstr>
      <vt:lpstr>'Typical Res Bill Combined'!Print_Area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Xu</dc:creator>
  <cp:lastModifiedBy>Puget Sound Energy</cp:lastModifiedBy>
  <cp:lastPrinted>2019-04-11T02:55:59Z</cp:lastPrinted>
  <dcterms:created xsi:type="dcterms:W3CDTF">2012-11-20T18:48:04Z</dcterms:created>
  <dcterms:modified xsi:type="dcterms:W3CDTF">2019-04-11T02:56:48Z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0x0101006E56B4D1795A2E4DB2F0B01679ED314A0030AA8C9A01BA3F4EA3AF80B6D878BDE8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