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5" yWindow="2715" windowWidth="16335" windowHeight="8535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calcPr calcId="145621"/>
</workbook>
</file>

<file path=xl/calcChain.xml><?xml version="1.0" encoding="utf-8"?>
<calcChain xmlns="http://schemas.openxmlformats.org/spreadsheetml/2006/main">
  <c r="E26" i="83" l="1"/>
  <c r="B3" i="29" l="1"/>
  <c r="A2" i="7"/>
  <c r="B3" i="71"/>
  <c r="B3" i="21"/>
  <c r="B4" i="2"/>
  <c r="F14" i="83"/>
  <c r="F20" i="21"/>
  <c r="I35" i="71"/>
  <c r="J31" i="21"/>
  <c r="D14" i="83"/>
  <c r="O42" i="1" l="1"/>
  <c r="O41" i="1"/>
  <c r="O40" i="1" l="1"/>
  <c r="G29" i="71" l="1"/>
  <c r="C15" i="71"/>
  <c r="C13" i="71"/>
  <c r="N41" i="1" l="1"/>
  <c r="N40" i="1"/>
  <c r="N42" i="1"/>
  <c r="M41" i="1"/>
  <c r="M40" i="1"/>
  <c r="M42" i="1"/>
  <c r="L42" i="1"/>
  <c r="K42" i="1"/>
  <c r="J42" i="1"/>
  <c r="I42" i="1"/>
  <c r="H42" i="1"/>
  <c r="G42" i="1"/>
  <c r="E42" i="1"/>
  <c r="L41" i="1"/>
  <c r="K41" i="1"/>
  <c r="G41" i="1"/>
  <c r="L40" i="1"/>
  <c r="K40" i="1"/>
  <c r="J40" i="1"/>
  <c r="I40" i="1"/>
  <c r="H40" i="1"/>
  <c r="G40" i="1"/>
  <c r="F40" i="1"/>
  <c r="E40" i="1"/>
  <c r="D40" i="1"/>
  <c r="C40" i="1"/>
  <c r="K12" i="1"/>
  <c r="J12" i="1"/>
  <c r="I12" i="1"/>
  <c r="H12" i="1"/>
  <c r="G12" i="1"/>
  <c r="F12" i="1"/>
  <c r="E12" i="1"/>
  <c r="D12" i="1"/>
  <c r="C12" i="1"/>
  <c r="E26" i="21"/>
  <c r="G26" i="21"/>
  <c r="H26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J26" i="21" l="1"/>
  <c r="F13" i="21" s="1"/>
  <c r="I22" i="7" l="1"/>
  <c r="H24" i="7" l="1"/>
  <c r="X24" i="7" s="1"/>
  <c r="F24" i="7"/>
  <c r="C27" i="71"/>
  <c r="D27" i="71"/>
  <c r="E27" i="71"/>
  <c r="F27" i="71"/>
  <c r="G27" i="71"/>
  <c r="H27" i="71"/>
  <c r="I24" i="7" l="1"/>
  <c r="V27" i="7" l="1"/>
  <c r="U27" i="7"/>
  <c r="T27" i="7"/>
  <c r="Q7" i="1" l="1"/>
  <c r="Q40" i="1" l="1"/>
  <c r="Q34" i="1"/>
  <c r="G27" i="21"/>
  <c r="Q36" i="1" l="1"/>
  <c r="Q41" i="1"/>
  <c r="Q14" i="1"/>
  <c r="M38" i="1"/>
  <c r="H22" i="7" l="1"/>
  <c r="X22" i="7" s="1"/>
  <c r="M43" i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D16" i="2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12" i="21"/>
  <c r="E11" i="21"/>
  <c r="I24" i="2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6" i="7"/>
  <c r="T5" i="7"/>
  <c r="U5" i="7"/>
  <c r="V5" i="7"/>
  <c r="H31" i="71"/>
  <c r="G31" i="71"/>
  <c r="F31" i="71"/>
  <c r="D31" i="71"/>
  <c r="E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J44" i="1" s="1"/>
  <c r="J20" i="1" s="1"/>
  <c r="I38" i="1"/>
  <c r="I44" i="1" s="1"/>
  <c r="I20" i="1" s="1"/>
  <c r="H38" i="1"/>
  <c r="G38" i="1"/>
  <c r="F38" i="1"/>
  <c r="E38" i="1"/>
  <c r="D38" i="1"/>
  <c r="C38" i="1"/>
  <c r="K10" i="1"/>
  <c r="J10" i="1"/>
  <c r="I10" i="1"/>
  <c r="H10" i="1"/>
  <c r="G10" i="1"/>
  <c r="F10" i="1"/>
  <c r="E10" i="1"/>
  <c r="D10" i="1"/>
  <c r="C10" i="1"/>
  <c r="J32" i="21"/>
  <c r="H23" i="7"/>
  <c r="L38" i="1"/>
  <c r="L10" i="1"/>
  <c r="A27" i="71"/>
  <c r="E15" i="2"/>
  <c r="D15" i="2" s="1"/>
  <c r="A21" i="21"/>
  <c r="A22" i="21" s="1"/>
  <c r="A23" i="21" s="1"/>
  <c r="A24" i="21" s="1"/>
  <c r="A25" i="21" s="1"/>
  <c r="H12" i="7"/>
  <c r="X12" i="7" s="1"/>
  <c r="H11" i="7"/>
  <c r="D21" i="29"/>
  <c r="C15" i="2"/>
  <c r="C13" i="2"/>
  <c r="E13" i="2"/>
  <c r="H21" i="7"/>
  <c r="X21" i="7" s="1"/>
  <c r="H20" i="7"/>
  <c r="X20" i="7" s="1"/>
  <c r="H19" i="7"/>
  <c r="X19" i="7" s="1"/>
  <c r="I25" i="29"/>
  <c r="I31" i="29" s="1"/>
  <c r="I26" i="7" s="1"/>
  <c r="X26" i="7" s="1"/>
  <c r="H18" i="7"/>
  <c r="X18" i="7" s="1"/>
  <c r="H17" i="7"/>
  <c r="I17" i="7" s="1"/>
  <c r="H6" i="7"/>
  <c r="H7" i="7"/>
  <c r="H8" i="7"/>
  <c r="X8" i="7" s="1"/>
  <c r="H9" i="7"/>
  <c r="X9" i="7" s="1"/>
  <c r="H10" i="7"/>
  <c r="I10" i="7" s="1"/>
  <c r="H13" i="7"/>
  <c r="I13" i="7" s="1"/>
  <c r="H14" i="7"/>
  <c r="I14" i="7" s="1"/>
  <c r="H15" i="7"/>
  <c r="I15" i="7" s="1"/>
  <c r="H16" i="7"/>
  <c r="D20" i="29"/>
  <c r="D19" i="29"/>
  <c r="D18" i="29"/>
  <c r="H13" i="29"/>
  <c r="H12" i="29"/>
  <c r="S27" i="7"/>
  <c r="X28" i="7"/>
  <c r="A6" i="21"/>
  <c r="A7" i="21" s="1"/>
  <c r="A8" i="21" s="1"/>
  <c r="A9" i="21" s="1"/>
  <c r="A10" i="21" s="1"/>
  <c r="A11" i="21" s="1"/>
  <c r="A12" i="21" s="1"/>
  <c r="A9" i="71"/>
  <c r="A10" i="7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 s="1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E16" i="21" s="1"/>
  <c r="C14" i="2"/>
  <c r="A28" i="71"/>
  <c r="A29" i="71" s="1"/>
  <c r="A30" i="71" s="1"/>
  <c r="A31" i="71" s="1"/>
  <c r="A32" i="71" s="1"/>
  <c r="A33" i="71" s="1"/>
  <c r="A34" i="71" s="1"/>
  <c r="A35" i="71" s="1"/>
  <c r="X23" i="7"/>
  <c r="D43" i="1"/>
  <c r="F44" i="1" l="1"/>
  <c r="E17" i="2"/>
  <c r="G44" i="1"/>
  <c r="I16" i="7"/>
  <c r="D13" i="2"/>
  <c r="C17" i="2"/>
  <c r="F31" i="7" s="1"/>
  <c r="H44" i="1"/>
  <c r="H20" i="1" s="1"/>
  <c r="H22" i="1" s="1"/>
  <c r="H27" i="1" s="1"/>
  <c r="K44" i="1"/>
  <c r="K20" i="1" s="1"/>
  <c r="K22" i="1" s="1"/>
  <c r="K28" i="1" s="1"/>
  <c r="I18" i="7"/>
  <c r="I23" i="7"/>
  <c r="I19" i="7"/>
  <c r="X14" i="7"/>
  <c r="I9" i="7"/>
  <c r="I7" i="7"/>
  <c r="I11" i="7"/>
  <c r="I6" i="7"/>
  <c r="F27" i="7"/>
  <c r="F29" i="7" s="1"/>
  <c r="J27" i="21"/>
  <c r="F14" i="21" s="1"/>
  <c r="E44" i="1"/>
  <c r="E20" i="1" s="1"/>
  <c r="E22" i="1" s="1"/>
  <c r="X16" i="7"/>
  <c r="X17" i="7"/>
  <c r="I12" i="7"/>
  <c r="I21" i="7"/>
  <c r="I20" i="7"/>
  <c r="X7" i="7"/>
  <c r="O44" i="1"/>
  <c r="O20" i="1" s="1"/>
  <c r="O22" i="1" s="1"/>
  <c r="O28" i="1" s="1"/>
  <c r="L44" i="1"/>
  <c r="L20" i="1" s="1"/>
  <c r="L22" i="1" s="1"/>
  <c r="L28" i="1" s="1"/>
  <c r="N44" i="1"/>
  <c r="N20" i="1" s="1"/>
  <c r="N22" i="1" s="1"/>
  <c r="N25" i="1" s="1"/>
  <c r="J22" i="1"/>
  <c r="J27" i="1" s="1"/>
  <c r="D44" i="1"/>
  <c r="D20" i="1" s="1"/>
  <c r="D22" i="1" s="1"/>
  <c r="D25" i="1" s="1"/>
  <c r="I22" i="1"/>
  <c r="I28" i="1" s="1"/>
  <c r="I27" i="71"/>
  <c r="E21" i="2" s="1"/>
  <c r="C31" i="71"/>
  <c r="I8" i="7"/>
  <c r="X13" i="7"/>
  <c r="X6" i="7"/>
  <c r="X25" i="7" s="1"/>
  <c r="X10" i="7"/>
  <c r="X11" i="7"/>
  <c r="X15" i="7"/>
  <c r="F20" i="1"/>
  <c r="Q10" i="1"/>
  <c r="Q38" i="1"/>
  <c r="G20" i="1"/>
  <c r="C43" i="1"/>
  <c r="C44" i="1" s="1"/>
  <c r="Q12" i="1"/>
  <c r="Q16" i="1" s="1"/>
  <c r="M44" i="1"/>
  <c r="C23" i="2" l="1"/>
  <c r="J28" i="21"/>
  <c r="Q43" i="1"/>
  <c r="F21" i="2"/>
  <c r="I29" i="7"/>
  <c r="H29" i="7" s="1"/>
  <c r="E16" i="83" s="1"/>
  <c r="F33" i="7"/>
  <c r="K24" i="1"/>
  <c r="H28" i="1"/>
  <c r="K25" i="1"/>
  <c r="K27" i="1"/>
  <c r="H24" i="1"/>
  <c r="X27" i="7"/>
  <c r="H25" i="1"/>
  <c r="J25" i="1"/>
  <c r="I27" i="7"/>
  <c r="H27" i="7" s="1"/>
  <c r="J24" i="1"/>
  <c r="J28" i="1"/>
  <c r="D27" i="1"/>
  <c r="D24" i="1"/>
  <c r="D26" i="1" s="1"/>
  <c r="D28" i="1"/>
  <c r="C14" i="83"/>
  <c r="F22" i="1"/>
  <c r="F28" i="1" s="1"/>
  <c r="E24" i="1"/>
  <c r="E27" i="1"/>
  <c r="E25" i="1"/>
  <c r="G22" i="1"/>
  <c r="G28" i="1" s="1"/>
  <c r="I24" i="1"/>
  <c r="I25" i="1"/>
  <c r="I27" i="1"/>
  <c r="O27" i="1"/>
  <c r="L25" i="1"/>
  <c r="L27" i="1"/>
  <c r="I31" i="7"/>
  <c r="F17" i="2"/>
  <c r="D17" i="2"/>
  <c r="C16" i="83"/>
  <c r="L24" i="1"/>
  <c r="Q44" i="1"/>
  <c r="C20" i="1"/>
  <c r="E28" i="1"/>
  <c r="M20" i="1"/>
  <c r="O24" i="1"/>
  <c r="O25" i="1"/>
  <c r="N27" i="1"/>
  <c r="N28" i="1"/>
  <c r="N24" i="1"/>
  <c r="N26" i="1" s="1"/>
  <c r="K26" i="1" l="1"/>
  <c r="K30" i="1" s="1"/>
  <c r="Y27" i="7"/>
  <c r="H26" i="1"/>
  <c r="H30" i="1" s="1"/>
  <c r="J26" i="1"/>
  <c r="J30" i="1" s="1"/>
  <c r="E26" i="1"/>
  <c r="E30" i="1" s="1"/>
  <c r="C26" i="83"/>
  <c r="D30" i="1"/>
  <c r="I26" i="1"/>
  <c r="I30" i="1" s="1"/>
  <c r="F27" i="1"/>
  <c r="F24" i="1"/>
  <c r="F25" i="1"/>
  <c r="G24" i="1"/>
  <c r="G27" i="1"/>
  <c r="G25" i="1"/>
  <c r="L26" i="1"/>
  <c r="L30" i="1" s="1"/>
  <c r="C22" i="1"/>
  <c r="C28" i="1" s="1"/>
  <c r="H31" i="7"/>
  <c r="E14" i="83" s="1"/>
  <c r="I33" i="7"/>
  <c r="H33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F30" i="83" s="1"/>
  <c r="D18" i="83"/>
  <c r="D26" i="83" s="1"/>
  <c r="F18" i="21"/>
  <c r="D16" i="83"/>
  <c r="F16" i="83" s="1"/>
  <c r="I33" i="71"/>
  <c r="I33" i="29"/>
  <c r="I35" i="29" s="1"/>
  <c r="F24" i="83" s="1"/>
  <c r="F18" i="83" l="1"/>
  <c r="F22" i="83"/>
  <c r="Q26" i="1"/>
  <c r="Q30" i="1" s="1"/>
  <c r="D30" i="83"/>
  <c r="F15" i="21" l="1"/>
  <c r="F16" i="21" s="1"/>
  <c r="F20" i="83" l="1"/>
  <c r="F26" i="83" s="1"/>
  <c r="E19" i="2"/>
  <c r="E23" i="2" l="1"/>
  <c r="F19" i="2"/>
  <c r="F23" i="2" l="1"/>
</calcChain>
</file>

<file path=xl/comments1.xml><?xml version="1.0" encoding="utf-8"?>
<comments xmlns="http://schemas.openxmlformats.org/spreadsheetml/2006/main">
  <authors>
    <author>jsant</author>
  </authors>
  <commentList>
    <comment ref="B34" author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  <author>Puget Sound Energy</author>
  </authors>
  <commentList>
    <comment ref="C9" author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1" authorId="1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Added $12.92 monthly to cover cost of annual amendment fees</t>
        </r>
      </text>
    </comment>
  </commentList>
</comments>
</file>

<file path=xl/comments3.xml><?xml version="1.0" encoding="utf-8"?>
<comments xmlns="http://schemas.openxmlformats.org/spreadsheetml/2006/main">
  <authors>
    <author>Patrick McConnell</author>
  </authors>
  <commentList>
    <comment ref="I22" authorId="0">
      <text>
        <r>
          <rPr>
            <b/>
            <sz val="9"/>
            <color indexed="81"/>
            <rFont val="Tahoma"/>
            <family val="2"/>
          </rPr>
          <t>Patrick McConnell:</t>
        </r>
        <r>
          <rPr>
            <sz val="9"/>
            <color indexed="81"/>
            <rFont val="Tahoma"/>
            <family val="2"/>
          </rPr>
          <t xml:space="preserve">
Notes went to floating rate on 12/1/17.  Annual charge is 6 mths at Cost Rate, plus Dec - Feb at first floating rate, plus full amt for 19 days of March at 2nd floating rate, plus remaining balance after tender at 2nd floating rate for 38
days</t>
        </r>
      </text>
    </comment>
  </commentList>
</comments>
</file>

<file path=xl/comments4.xml><?xml version="1.0" encoding="utf-8"?>
<comments xmlns="http://schemas.openxmlformats.org/spreadsheetml/2006/main">
  <authors>
    <author>jsant</author>
  </authors>
  <commentList>
    <comment ref="I31" author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<sst xmlns="http://schemas.openxmlformats.org/spreadsheetml/2006/main" count="332" uniqueCount="203">
  <si>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</si>
  <si>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</si>
  <si>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</si>
  <si>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</si>
  <si>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</si>
  <si>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</si>
  <si>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</si>
  <si>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</si>
  <si>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</si>
  <si>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</si>
  <si>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</si>
  <si>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</si>
  <si>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</si>
  <si>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</si>
  <si>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</si>
  <si>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</si>
  <si>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</si>
  <si>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</si>
  <si>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</si>
  <si>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</si>
  <si>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</si>
  <si>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</si>
  <si>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</si>
  <si>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</si>
  <si>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</si>
  <si>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</si>
  <si>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</si>
  <si>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</si>
  <si>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</si>
  <si>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</si>
  <si>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</si>
  <si>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</si>
  <si>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</si>
  <si>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</si>
  <si>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</si>
  <si>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</si>
  <si>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</si>
  <si>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</si>
  <si>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</si>
  <si>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</si>
  <si>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</si>
  <si>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</si>
  <si>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</si>
  <si>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</si>
  <si>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</si>
  <si>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</si>
  <si>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</si>
  <si>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</si>
  <si>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</si>
  <si>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</si>
  <si>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</si>
  <si>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</si>
  <si>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</si>
  <si>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</si>
  <si>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</si>
  <si>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</si>
  <si>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</si>
  <si>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</si>
  <si>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</si>
  <si>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</si>
  <si>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</si>
  <si>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</si>
  <si>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</si>
  <si>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</si>
  <si>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</si>
  <si>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</si>
  <si>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</si>
  <si>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</si>
  <si>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</si>
  <si>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</si>
  <si>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</si>
  <si>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</si>
  <si>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</si>
  <si>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</si>
  <si>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</si>
  <si>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</si>
  <si>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</si>
  <si>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</si>
  <si>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</si>
  <si>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</si>
  <si>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</si>
  <si>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</si>
  <si>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</si>
  <si>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</si>
  <si>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</si>
  <si>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</si>
  <si>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</si>
  <si>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</si>
  <si>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</si>
  <si>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</si>
  <si>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</si>
  <si>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</si>
  <si>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</si>
  <si>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</si>
  <si>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</si>
  <si>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</si>
  <si>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</si>
  <si>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</si>
  <si>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</si>
  <si>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</si>
  <si>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</si>
  <si>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</si>
  <si>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</si>
  <si>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</si>
  <si>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</si>
  <si>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</si>
  <si>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</si>
  <si>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</si>
  <si>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</si>
  <si>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</si>
  <si>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</si>
  <si>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</si>
  <si>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</si>
  <si>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</si>
  <si>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</si>
  <si>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</si>
  <si>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</si>
  <si>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</si>
  <si>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</si>
  <si>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</si>
  <si>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</si>
  <si>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</si>
  <si>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</si>
  <si>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</si>
  <si>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</si>
  <si>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</si>
  <si>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</si>
  <si>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</si>
  <si>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</si>
  <si>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</si>
  <si>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</si>
  <si>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</si>
  <si>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</si>
  <si>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</si>
  <si>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</si>
  <si>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</si>
  <si>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</si>
  <si>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</si>
  <si>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</si>
  <si>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</si>
  <si>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</si>
  <si>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</si>
  <si>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</si>
  <si>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</si>
  <si>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</si>
  <si>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</si>
  <si>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</si>
  <si>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</si>
  <si>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</si>
  <si>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</si>
  <si>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</si>
  <si>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</si>
  <si>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</si>
  <si>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</si>
  <si>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</si>
  <si>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</si>
  <si>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</si>
  <si>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</si>
  <si>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</si>
  <si>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</si>
  <si>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</si>
  <si>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</si>
  <si>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</si>
  <si>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</si>
  <si>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</si>
  <si>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</si>
  <si>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</si>
  <si>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</si>
  <si>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</si>
  <si>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</si>
  <si>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</si>
  <si>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</si>
  <si>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</si>
  <si>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</si>
  <si>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</si>
  <si>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</si>
  <si>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</si>
  <si>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</si>
  <si>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</si>
  <si>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SAP FS10N</t>
  </si>
  <si>
    <t>Capex Fac</t>
  </si>
  <si>
    <t>18101083/18900403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</si>
  <si>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</si>
  <si>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</si>
  <si>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</si>
  <si>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</si>
  <si>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</si>
  <si>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</si>
  <si>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</si>
  <si>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</si>
  <si>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</si>
  <si>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</si>
  <si>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</si>
  <si>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</si>
  <si>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</si>
  <si>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</si>
  <si>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</si>
  <si>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</si>
  <si>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</si>
  <si>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December 31, 2017 Through December 31, 2018</t>
  </si>
  <si>
    <t>As of: 12/31/17</t>
  </si>
  <si>
    <t>Total Amortization for 12 months ended 12/31/18</t>
  </si>
  <si>
    <t>For The 12 Months Ending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</si>
</sst>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</numFmts>
  <fonts count="71"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7">
    <xf numFmtId="37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3" fillId="17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7" fontId="2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37" fontId="24" fillId="0" borderId="0"/>
    <xf numFmtId="37" fontId="15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10" fontId="3" fillId="0" borderId="0"/>
    <xf numFmtId="0" fontId="3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62" fillId="16" borderId="8" applyNumberFormat="0" applyAlignment="0" applyProtection="0"/>
    <xf numFmtId="0" fontId="62" fillId="16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60">
    <xf numFmtId="37" fontId="0" fillId="0" borderId="0" xfId="0"/>
    <xf numFmtId="0" fontId="4" fillId="0" borderId="0" xfId="88" applyFont="1"/>
    <xf numFmtId="0" fontId="4" fillId="0" borderId="0" xfId="88" applyFont="1" applyFill="1"/>
    <xf numFmtId="37" fontId="4" fillId="0" borderId="0" xfId="89" applyFont="1" applyAlignment="1" applyProtection="1">
      <alignment horizontal="center"/>
    </xf>
    <xf numFmtId="37" fontId="4" fillId="0" borderId="0" xfId="89" applyFont="1" applyProtection="1"/>
    <xf numFmtId="37" fontId="4" fillId="0" borderId="0" xfId="89" applyFont="1"/>
    <xf numFmtId="37" fontId="5" fillId="0" borderId="0" xfId="0" applyFont="1" applyAlignment="1">
      <alignment horizontal="centerContinuous"/>
    </xf>
    <xf numFmtId="37" fontId="4" fillId="0" borderId="0" xfId="89" applyFont="1" applyAlignment="1">
      <alignment horizontal="centerContinuous"/>
    </xf>
    <xf numFmtId="37" fontId="4" fillId="0" borderId="0" xfId="89" applyFont="1" applyAlignment="1" applyProtection="1">
      <alignment horizontal="left"/>
    </xf>
    <xf numFmtId="10" fontId="4" fillId="0" borderId="0" xfId="89" applyNumberFormat="1" applyFont="1" applyProtection="1"/>
    <xf numFmtId="37" fontId="4" fillId="0" borderId="0" xfId="89" applyNumberFormat="1" applyFont="1" applyProtection="1"/>
    <xf numFmtId="37" fontId="4" fillId="0" borderId="0" xfId="89" applyFont="1" applyAlignment="1">
      <alignment horizontal="center"/>
    </xf>
    <xf numFmtId="15" fontId="4" fillId="0" borderId="0" xfId="89" applyNumberFormat="1" applyFont="1" applyProtection="1"/>
    <xf numFmtId="7" fontId="4" fillId="0" borderId="0" xfId="89" applyNumberFormat="1" applyFont="1" applyProtection="1"/>
    <xf numFmtId="168" fontId="4" fillId="0" borderId="0" xfId="89" applyNumberFormat="1" applyFont="1" applyProtection="1"/>
    <xf numFmtId="1" fontId="4" fillId="0" borderId="0" xfId="92" applyNumberFormat="1" applyFont="1" applyProtection="1"/>
    <xf numFmtId="10" fontId="4" fillId="0" borderId="0" xfId="92" applyFont="1"/>
    <xf numFmtId="10" fontId="4" fillId="0" borderId="0" xfId="92" applyFont="1" applyAlignment="1">
      <alignment horizontal="centerContinuous"/>
    </xf>
    <xf numFmtId="1" fontId="4" fillId="0" borderId="0" xfId="92" applyNumberFormat="1" applyFont="1" applyAlignment="1" applyProtection="1">
      <alignment horizontal="center"/>
    </xf>
    <xf numFmtId="37" fontId="4" fillId="0" borderId="0" xfId="0" applyFont="1"/>
    <xf numFmtId="5" fontId="4" fillId="0" borderId="0" xfId="92" applyNumberFormat="1" applyFont="1" applyProtection="1"/>
    <xf numFmtId="165" fontId="4" fillId="0" borderId="0" xfId="92" applyNumberFormat="1" applyFont="1" applyProtection="1"/>
    <xf numFmtId="10" fontId="4" fillId="0" borderId="0" xfId="92" applyNumberFormat="1" applyFont="1" applyProtection="1"/>
    <xf numFmtId="37" fontId="4" fillId="0" borderId="0" xfId="90" applyFont="1"/>
    <xf numFmtId="37" fontId="4" fillId="0" borderId="0" xfId="90" applyFont="1" applyAlignment="1" applyProtection="1">
      <alignment horizontal="center"/>
    </xf>
    <xf numFmtId="37" fontId="6" fillId="0" borderId="0" xfId="90" applyFont="1" applyAlignment="1">
      <alignment horizontal="center"/>
    </xf>
    <xf numFmtId="5" fontId="4" fillId="0" borderId="0" xfId="90" applyNumberFormat="1" applyFont="1"/>
    <xf numFmtId="37" fontId="7" fillId="0" borderId="0" xfId="90" applyFont="1"/>
    <xf numFmtId="37" fontId="7" fillId="0" borderId="0" xfId="90" applyFont="1" applyFill="1"/>
    <xf numFmtId="15" fontId="4" fillId="0" borderId="0" xfId="90" applyNumberFormat="1" applyFont="1" applyProtection="1"/>
    <xf numFmtId="0" fontId="4" fillId="0" borderId="0" xfId="93" applyFont="1" applyAlignment="1" applyProtection="1">
      <alignment horizontal="left"/>
    </xf>
    <xf numFmtId="0" fontId="9" fillId="0" borderId="0" xfId="93" applyFont="1"/>
    <xf numFmtId="0" fontId="5" fillId="0" borderId="0" xfId="93" applyFont="1"/>
    <xf numFmtId="5" fontId="5" fillId="0" borderId="0" xfId="93" applyNumberFormat="1" applyFont="1" applyProtection="1"/>
    <xf numFmtId="37" fontId="2" fillId="0" borderId="0" xfId="89" applyFont="1" applyAlignment="1" applyProtection="1">
      <alignment horizontal="centerContinuous"/>
    </xf>
    <xf numFmtId="37" fontId="15" fillId="0" borderId="0" xfId="0" applyFont="1"/>
    <xf numFmtId="37" fontId="17" fillId="0" borderId="0" xfId="0" applyFont="1"/>
    <xf numFmtId="15" fontId="15" fillId="0" borderId="0" xfId="0" applyNumberFormat="1" applyFont="1" applyAlignment="1">
      <alignment horizontal="left"/>
    </xf>
    <xf numFmtId="37" fontId="15" fillId="0" borderId="0" xfId="0" applyFont="1" applyBorder="1"/>
    <xf numFmtId="37" fontId="19" fillId="0" borderId="0" xfId="0" applyFont="1" applyBorder="1" applyAlignment="1">
      <alignment horizontal="right"/>
    </xf>
    <xf numFmtId="37" fontId="19" fillId="0" borderId="0" xfId="0" applyFont="1" applyBorder="1" applyAlignment="1">
      <alignment horizontal="center"/>
    </xf>
    <xf numFmtId="14" fontId="15" fillId="0" borderId="0" xfId="0" applyNumberFormat="1" applyFont="1" applyFill="1" applyBorder="1"/>
    <xf numFmtId="170" fontId="15" fillId="0" borderId="0" xfId="55" applyNumberFormat="1" applyFont="1" applyBorder="1"/>
    <xf numFmtId="166" fontId="17" fillId="0" borderId="0" xfId="0" applyNumberFormat="1" applyFont="1" applyAlignment="1">
      <alignment horizontal="left"/>
    </xf>
    <xf numFmtId="37" fontId="11" fillId="0" borderId="0" xfId="90" applyFont="1" applyFill="1" applyAlignment="1">
      <alignment horizontal="center"/>
    </xf>
    <xf numFmtId="5" fontId="7" fillId="0" borderId="0" xfId="90" applyNumberFormat="1" applyFont="1" applyFill="1"/>
    <xf numFmtId="37" fontId="7" fillId="0" borderId="0" xfId="90" applyFont="1" applyFill="1" applyAlignment="1">
      <alignment horizontal="center"/>
    </xf>
    <xf numFmtId="37" fontId="7" fillId="0" borderId="0" xfId="0" applyFont="1" applyFill="1"/>
    <xf numFmtId="10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/>
    <xf numFmtId="2" fontId="7" fillId="0" borderId="0" xfId="0" applyNumberFormat="1" applyFont="1" applyFill="1"/>
    <xf numFmtId="10" fontId="7" fillId="0" borderId="0" xfId="0" applyNumberFormat="1" applyFont="1" applyFill="1"/>
    <xf numFmtId="5" fontId="7" fillId="0" borderId="0" xfId="90" applyNumberFormat="1" applyFont="1" applyFill="1" applyProtection="1"/>
    <xf numFmtId="37" fontId="11" fillId="0" borderId="0" xfId="90" applyFont="1" applyFill="1" applyAlignment="1" applyProtection="1">
      <alignment horizontal="center"/>
    </xf>
    <xf numFmtId="10" fontId="7" fillId="0" borderId="0" xfId="90" applyNumberFormat="1" applyFont="1" applyFill="1" applyProtection="1"/>
    <xf numFmtId="168" fontId="7" fillId="0" borderId="0" xfId="90" applyNumberFormat="1" applyFont="1" applyFill="1" applyAlignment="1" applyProtection="1">
      <alignment horizontal="fill"/>
    </xf>
    <xf numFmtId="166" fontId="4" fillId="0" borderId="0" xfId="90" applyNumberFormat="1" applyFont="1" applyFill="1"/>
    <xf numFmtId="0" fontId="15" fillId="0" borderId="0" xfId="93" applyFont="1"/>
    <xf numFmtId="0" fontId="16" fillId="0" borderId="0" xfId="93" quotePrefix="1" applyFont="1" applyFill="1" applyAlignment="1" applyProtection="1">
      <alignment horizontal="center"/>
    </xf>
    <xf numFmtId="0" fontId="15" fillId="0" borderId="0" xfId="93" applyFont="1" applyFill="1"/>
    <xf numFmtId="0" fontId="17" fillId="0" borderId="0" xfId="93" applyFont="1" applyFill="1" applyAlignment="1" applyProtection="1">
      <alignment horizontal="center"/>
    </xf>
    <xf numFmtId="14" fontId="15" fillId="0" borderId="0" xfId="93" applyNumberFormat="1" applyFont="1" applyFill="1"/>
    <xf numFmtId="0" fontId="23" fillId="0" borderId="10" xfId="93" applyFont="1" applyFill="1" applyBorder="1" applyAlignment="1" applyProtection="1">
      <alignment horizontal="center" wrapText="1"/>
    </xf>
    <xf numFmtId="0" fontId="22" fillId="0" borderId="10" xfId="93" applyFont="1" applyFill="1" applyBorder="1" applyAlignment="1">
      <alignment horizontal="center"/>
    </xf>
    <xf numFmtId="7" fontId="15" fillId="0" borderId="0" xfId="93" applyNumberFormat="1" applyFont="1" applyFill="1"/>
    <xf numFmtId="0" fontId="17" fillId="0" borderId="0" xfId="93" quotePrefix="1" applyFont="1" applyFill="1" applyAlignment="1" applyProtection="1">
      <alignment horizontal="left"/>
    </xf>
    <xf numFmtId="37" fontId="12" fillId="0" borderId="0" xfId="89" applyFont="1"/>
    <xf numFmtId="37" fontId="14" fillId="0" borderId="0" xfId="89" applyFont="1"/>
    <xf numFmtId="37" fontId="14" fillId="0" borderId="0" xfId="89" applyFont="1" applyAlignment="1" applyProtection="1">
      <alignment horizontal="center"/>
    </xf>
    <xf numFmtId="37" fontId="26" fillId="0" borderId="0" xfId="89" applyFont="1" applyAlignment="1" applyProtection="1">
      <alignment horizontal="center"/>
    </xf>
    <xf numFmtId="37" fontId="12" fillId="0" borderId="0" xfId="89" applyFont="1" applyAlignment="1" applyProtection="1">
      <alignment horizontal="left"/>
    </xf>
    <xf numFmtId="37" fontId="12" fillId="0" borderId="0" xfId="89" applyFont="1" applyAlignment="1" applyProtection="1">
      <alignment horizontal="fill"/>
    </xf>
    <xf numFmtId="37" fontId="12" fillId="0" borderId="0" xfId="89" applyFont="1" applyAlignment="1" applyProtection="1">
      <alignment horizontal="center"/>
    </xf>
    <xf numFmtId="10" fontId="12" fillId="0" borderId="0" xfId="89" applyNumberFormat="1" applyFont="1" applyProtection="1"/>
    <xf numFmtId="37" fontId="12" fillId="0" borderId="0" xfId="89" applyNumberFormat="1" applyFont="1" applyProtection="1"/>
    <xf numFmtId="5" fontId="12" fillId="0" borderId="0" xfId="89" applyNumberFormat="1" applyFont="1" applyProtection="1"/>
    <xf numFmtId="5" fontId="12" fillId="0" borderId="0" xfId="89" applyNumberFormat="1" applyFont="1"/>
    <xf numFmtId="5" fontId="28" fillId="0" borderId="0" xfId="89" applyNumberFormat="1" applyFont="1"/>
    <xf numFmtId="5" fontId="28" fillId="0" borderId="0" xfId="89" applyNumberFormat="1" applyFont="1" applyProtection="1"/>
    <xf numFmtId="37" fontId="14" fillId="0" borderId="11" xfId="89" applyFont="1" applyBorder="1" applyAlignment="1" applyProtection="1">
      <alignment horizontal="left"/>
    </xf>
    <xf numFmtId="5" fontId="14" fillId="0" borderId="12" xfId="89" applyNumberFormat="1" applyFont="1" applyBorder="1" applyProtection="1"/>
    <xf numFmtId="5" fontId="14" fillId="0" borderId="12" xfId="89" applyNumberFormat="1" applyFont="1" applyBorder="1"/>
    <xf numFmtId="5" fontId="29" fillId="0" borderId="0" xfId="89" applyNumberFormat="1" applyFont="1" applyFill="1" applyProtection="1"/>
    <xf numFmtId="5" fontId="29" fillId="0" borderId="0" xfId="89" applyNumberFormat="1" applyFont="1" applyProtection="1"/>
    <xf numFmtId="5" fontId="29" fillId="0" borderId="0" xfId="89" applyNumberFormat="1" applyFont="1"/>
    <xf numFmtId="170" fontId="29" fillId="0" borderId="0" xfId="55" applyNumberFormat="1" applyFont="1"/>
    <xf numFmtId="5" fontId="30" fillId="0" borderId="0" xfId="89" applyNumberFormat="1" applyFont="1"/>
    <xf numFmtId="5" fontId="30" fillId="0" borderId="0" xfId="89" applyNumberFormat="1" applyFont="1" applyProtection="1"/>
    <xf numFmtId="37" fontId="0" fillId="0" borderId="0" xfId="0" applyBorder="1"/>
    <xf numFmtId="0" fontId="8" fillId="0" borderId="0" xfId="88" applyFont="1"/>
    <xf numFmtId="0" fontId="8" fillId="0" borderId="0" xfId="88" applyFont="1" applyFill="1"/>
    <xf numFmtId="164" fontId="8" fillId="0" borderId="0" xfId="88" applyNumberFormat="1" applyFont="1"/>
    <xf numFmtId="175" fontId="8" fillId="0" borderId="0" xfId="88" applyNumberFormat="1" applyFont="1" applyFill="1" applyBorder="1" applyProtection="1"/>
    <xf numFmtId="0" fontId="8" fillId="0" borderId="0" xfId="88" applyFont="1" applyBorder="1"/>
    <xf numFmtId="0" fontId="4" fillId="0" borderId="0" xfId="88" applyFont="1" applyBorder="1"/>
    <xf numFmtId="164" fontId="33" fillId="0" borderId="0" xfId="88" applyNumberFormat="1" applyFont="1" applyFill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" fontId="18" fillId="0" borderId="0" xfId="88" applyNumberFormat="1" applyFont="1" applyFill="1" applyAlignment="1" applyProtection="1">
      <alignment horizontal="center"/>
    </xf>
    <xf numFmtId="0" fontId="18" fillId="0" borderId="0" xfId="88" applyFont="1" applyAlignment="1" applyProtection="1">
      <alignment horizontal="center" wrapText="1"/>
    </xf>
    <xf numFmtId="0" fontId="17" fillId="0" borderId="0" xfId="88" applyFont="1" applyAlignment="1">
      <alignment horizontal="centerContinuous"/>
    </xf>
    <xf numFmtId="10" fontId="14" fillId="0" borderId="0" xfId="92" applyFont="1" applyAlignment="1">
      <alignment horizontal="centerContinuous"/>
    </xf>
    <xf numFmtId="10" fontId="12" fillId="0" borderId="0" xfId="92" applyFont="1"/>
    <xf numFmtId="10" fontId="12" fillId="0" borderId="0" xfId="92" applyFont="1" applyAlignment="1">
      <alignment horizontal="center"/>
    </xf>
    <xf numFmtId="10" fontId="14" fillId="0" borderId="0" xfId="92" applyFont="1" applyAlignment="1">
      <alignment horizontal="center"/>
    </xf>
    <xf numFmtId="10" fontId="14" fillId="0" borderId="0" xfId="92" applyFont="1" applyAlignment="1" applyProtection="1">
      <alignment horizontal="center"/>
    </xf>
    <xf numFmtId="10" fontId="26" fillId="0" borderId="0" xfId="92" applyFont="1" applyAlignment="1" applyProtection="1">
      <alignment horizontal="center"/>
    </xf>
    <xf numFmtId="10" fontId="12" fillId="0" borderId="0" xfId="92" applyFont="1" applyAlignment="1" applyProtection="1">
      <alignment horizontal="left"/>
    </xf>
    <xf numFmtId="10" fontId="14" fillId="0" borderId="0" xfId="92" applyFont="1" applyAlignment="1" applyProtection="1">
      <alignment horizontal="left"/>
    </xf>
    <xf numFmtId="10" fontId="14" fillId="0" borderId="0" xfId="92" applyFont="1"/>
    <xf numFmtId="10" fontId="12" fillId="0" borderId="0" xfId="92" applyFont="1" applyBorder="1"/>
    <xf numFmtId="0" fontId="17" fillId="0" borderId="0" xfId="93" quotePrefix="1" applyFont="1" applyFill="1" applyBorder="1" applyAlignment="1" applyProtection="1">
      <alignment horizontal="left"/>
    </xf>
    <xf numFmtId="0" fontId="23" fillId="0" borderId="10" xfId="93" applyFont="1" applyFill="1" applyBorder="1" applyAlignment="1" applyProtection="1">
      <alignment horizontal="left"/>
    </xf>
    <xf numFmtId="168" fontId="15" fillId="0" borderId="0" xfId="93" applyNumberFormat="1" applyFont="1" applyFill="1" applyAlignment="1">
      <alignment horizontal="left"/>
    </xf>
    <xf numFmtId="15" fontId="15" fillId="0" borderId="0" xfId="93" applyNumberFormat="1" applyFont="1" applyFill="1" applyAlignment="1">
      <alignment horizontal="center"/>
    </xf>
    <xf numFmtId="174" fontId="15" fillId="0" borderId="0" xfId="93" applyNumberFormat="1" applyFont="1" applyFill="1"/>
    <xf numFmtId="15" fontId="32" fillId="0" borderId="0" xfId="93" applyNumberFormat="1" applyFont="1" applyBorder="1" applyAlignment="1">
      <alignment horizontal="left"/>
    </xf>
    <xf numFmtId="0" fontId="21" fillId="0" borderId="0" xfId="93" applyFont="1"/>
    <xf numFmtId="0" fontId="32" fillId="0" borderId="0" xfId="93" quotePrefix="1" applyFont="1" applyAlignment="1">
      <alignment horizontal="left"/>
    </xf>
    <xf numFmtId="37" fontId="32" fillId="0" borderId="0" xfId="0" applyFont="1" applyBorder="1"/>
    <xf numFmtId="37" fontId="21" fillId="0" borderId="0" xfId="0" applyFont="1" applyBorder="1"/>
    <xf numFmtId="0" fontId="34" fillId="0" borderId="0" xfId="88" applyFont="1" applyAlignment="1" applyProtection="1">
      <alignment horizontal="center" wrapText="1"/>
    </xf>
    <xf numFmtId="172" fontId="17" fillId="0" borderId="0" xfId="93" applyNumberFormat="1" applyFont="1" applyFill="1" applyAlignment="1">
      <alignment horizontal="left"/>
    </xf>
    <xf numFmtId="39" fontId="0" fillId="0" borderId="0" xfId="0" applyNumberFormat="1"/>
    <xf numFmtId="37" fontId="24" fillId="0" borderId="13" xfId="0" applyFont="1" applyBorder="1"/>
    <xf numFmtId="37" fontId="17" fillId="0" borderId="0" xfId="0" applyFont="1" applyBorder="1" applyAlignment="1">
      <alignment horizontal="left"/>
    </xf>
    <xf numFmtId="37" fontId="23" fillId="0" borderId="0" xfId="89" applyFont="1" applyAlignment="1" applyProtection="1">
      <alignment horizontal="center"/>
    </xf>
    <xf numFmtId="37" fontId="24" fillId="0" borderId="0" xfId="91" applyFont="1" applyBorder="1" applyAlignment="1" applyProtection="1">
      <alignment horizontal="left"/>
    </xf>
    <xf numFmtId="1" fontId="15" fillId="0" borderId="0" xfId="92" applyNumberFormat="1" applyFont="1" applyAlignment="1" applyProtection="1">
      <alignment horizontal="center"/>
    </xf>
    <xf numFmtId="37" fontId="17" fillId="0" borderId="0" xfId="89" applyFont="1" applyAlignment="1" applyProtection="1">
      <alignment horizontal="left"/>
    </xf>
    <xf numFmtId="37" fontId="25" fillId="0" borderId="0" xfId="89" applyFont="1" applyAlignment="1" applyProtection="1">
      <alignment horizontal="left"/>
    </xf>
    <xf numFmtId="37" fontId="24" fillId="0" borderId="0" xfId="90" applyNumberFormat="1" applyFont="1" applyAlignment="1">
      <alignment horizontal="center"/>
    </xf>
    <xf numFmtId="37" fontId="36" fillId="0" borderId="0" xfId="90" applyFont="1"/>
    <xf numFmtId="37" fontId="23" fillId="0" borderId="0" xfId="90" applyNumberFormat="1" applyFont="1"/>
    <xf numFmtId="37" fontId="24" fillId="0" borderId="0" xfId="90" applyNumberFormat="1" applyFont="1"/>
    <xf numFmtId="37" fontId="24" fillId="0" borderId="0" xfId="0" applyNumberFormat="1" applyFont="1"/>
    <xf numFmtId="171" fontId="24" fillId="0" borderId="0" xfId="0" applyNumberFormat="1" applyFont="1"/>
    <xf numFmtId="37" fontId="23" fillId="0" borderId="0" xfId="90" applyNumberFormat="1" applyFont="1" applyAlignment="1" applyProtection="1">
      <alignment horizontal="left"/>
    </xf>
    <xf numFmtId="38" fontId="12" fillId="0" borderId="0" xfId="92" applyNumberFormat="1" applyFont="1"/>
    <xf numFmtId="0" fontId="24" fillId="0" borderId="0" xfId="88" applyFont="1" applyAlignment="1" applyProtection="1">
      <alignment horizontal="left"/>
    </xf>
    <xf numFmtId="0" fontId="24" fillId="0" borderId="0" xfId="88" applyFont="1"/>
    <xf numFmtId="0" fontId="23" fillId="0" borderId="0" xfId="88" applyFont="1" applyAlignment="1" applyProtection="1">
      <alignment horizontal="left"/>
    </xf>
    <xf numFmtId="0" fontId="23" fillId="0" borderId="0" xfId="88" applyFont="1" applyAlignment="1" applyProtection="1">
      <alignment horizontal="centerContinuous"/>
    </xf>
    <xf numFmtId="0" fontId="36" fillId="0" borderId="0" xfId="88" applyFont="1" applyFill="1" applyAlignment="1">
      <alignment horizontal="centerContinuous"/>
    </xf>
    <xf numFmtId="0" fontId="36" fillId="0" borderId="0" xfId="88" applyFont="1" applyAlignment="1">
      <alignment horizontal="centerContinuous"/>
    </xf>
    <xf numFmtId="37" fontId="15" fillId="0" borderId="14" xfId="0" applyFont="1" applyBorder="1" applyAlignment="1">
      <alignment horizontal="centerContinuous"/>
    </xf>
    <xf numFmtId="7" fontId="15" fillId="0" borderId="0" xfId="59" applyNumberFormat="1" applyFont="1" applyBorder="1"/>
    <xf numFmtId="5" fontId="15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4" fillId="0" borderId="0" xfId="90" applyNumberFormat="1" applyFont="1" applyAlignment="1" applyProtection="1">
      <alignment horizontal="centerContinuous"/>
    </xf>
    <xf numFmtId="37" fontId="24" fillId="0" borderId="0" xfId="90" applyNumberFormat="1" applyFont="1" applyAlignment="1">
      <alignment horizontal="centerContinuous"/>
    </xf>
    <xf numFmtId="37" fontId="24" fillId="0" borderId="0" xfId="0" applyNumberFormat="1" applyFont="1" applyAlignment="1">
      <alignment horizontal="centerContinuous"/>
    </xf>
    <xf numFmtId="166" fontId="24" fillId="0" borderId="0" xfId="90" applyNumberFormat="1" applyFont="1" applyFill="1" applyAlignment="1">
      <alignment horizontal="centerContinuous"/>
    </xf>
    <xf numFmtId="166" fontId="24" fillId="0" borderId="0" xfId="0" applyNumberFormat="1" applyFont="1" applyFill="1" applyAlignment="1">
      <alignment horizontal="centerContinuous"/>
    </xf>
    <xf numFmtId="166" fontId="24" fillId="0" borderId="0" xfId="90" applyNumberFormat="1" applyFont="1" applyFill="1" applyAlignment="1" applyProtection="1">
      <alignment horizontal="centerContinuous"/>
    </xf>
    <xf numFmtId="37" fontId="24" fillId="0" borderId="0" xfId="0" applyFont="1"/>
    <xf numFmtId="14" fontId="24" fillId="0" borderId="0" xfId="0" applyNumberFormat="1" applyFont="1" applyBorder="1"/>
    <xf numFmtId="37" fontId="23" fillId="0" borderId="0" xfId="0" applyFont="1" applyBorder="1"/>
    <xf numFmtId="175" fontId="33" fillId="0" borderId="19" xfId="88" applyNumberFormat="1" applyFont="1" applyFill="1" applyBorder="1" applyProtection="1"/>
    <xf numFmtId="164" fontId="33" fillId="0" borderId="19" xfId="88" applyNumberFormat="1" applyFont="1" applyFill="1" applyBorder="1" applyProtection="1"/>
    <xf numFmtId="175" fontId="33" fillId="0" borderId="20" xfId="88" applyNumberFormat="1" applyFont="1" applyFill="1" applyBorder="1" applyProtection="1"/>
    <xf numFmtId="5" fontId="12" fillId="0" borderId="0" xfId="55" applyNumberFormat="1" applyFont="1" applyAlignment="1" applyProtection="1"/>
    <xf numFmtId="10" fontId="12" fillId="0" borderId="0" xfId="92" applyFont="1" applyAlignment="1" applyProtection="1"/>
    <xf numFmtId="5" fontId="12" fillId="0" borderId="0" xfId="92" applyNumberFormat="1" applyFont="1" applyAlignment="1" applyProtection="1"/>
    <xf numFmtId="10" fontId="12" fillId="0" borderId="0" xfId="92" applyFont="1" applyBorder="1" applyAlignment="1" applyProtection="1"/>
    <xf numFmtId="5" fontId="12" fillId="0" borderId="0" xfId="92" applyNumberFormat="1" applyFont="1" applyAlignment="1"/>
    <xf numFmtId="165" fontId="12" fillId="0" borderId="0" xfId="92" applyNumberFormat="1" applyFont="1" applyBorder="1" applyAlignment="1" applyProtection="1"/>
    <xf numFmtId="10" fontId="35" fillId="0" borderId="0" xfId="92" applyFont="1" applyBorder="1" applyAlignment="1"/>
    <xf numFmtId="5" fontId="33" fillId="0" borderId="0" xfId="88" applyNumberFormat="1" applyFont="1" applyFill="1" applyProtection="1"/>
    <xf numFmtId="37" fontId="24" fillId="0" borderId="0" xfId="90" applyNumberFormat="1" applyFont="1" applyAlignment="1">
      <alignment horizontal="right"/>
    </xf>
    <xf numFmtId="37" fontId="38" fillId="0" borderId="0" xfId="89" applyFont="1" applyAlignment="1" applyProtection="1">
      <alignment horizontal="center"/>
    </xf>
    <xf numFmtId="37" fontId="33" fillId="0" borderId="0" xfId="88" applyNumberFormat="1" applyFont="1" applyFill="1" applyProtection="1"/>
    <xf numFmtId="10" fontId="12" fillId="0" borderId="0" xfId="92" applyNumberFormat="1" applyFont="1" applyAlignment="1" applyProtection="1"/>
    <xf numFmtId="10" fontId="24" fillId="0" borderId="0" xfId="0" applyNumberFormat="1" applyFont="1"/>
    <xf numFmtId="37" fontId="17" fillId="0" borderId="0" xfId="0" applyFont="1" applyFill="1" applyBorder="1" applyAlignment="1">
      <alignment horizontal="left"/>
    </xf>
    <xf numFmtId="37" fontId="15" fillId="0" borderId="15" xfId="0" applyFont="1" applyBorder="1" applyAlignment="1">
      <alignment horizontal="centerContinuous"/>
    </xf>
    <xf numFmtId="37" fontId="17" fillId="0" borderId="16" xfId="0" applyFont="1" applyFill="1" applyBorder="1" applyAlignment="1">
      <alignment horizontal="left"/>
    </xf>
    <xf numFmtId="170" fontId="15" fillId="0" borderId="17" xfId="55" applyNumberFormat="1" applyFont="1" applyBorder="1"/>
    <xf numFmtId="37" fontId="23" fillId="0" borderId="17" xfId="0" applyFont="1" applyBorder="1"/>
    <xf numFmtId="37" fontId="0" fillId="0" borderId="21" xfId="0" applyBorder="1"/>
    <xf numFmtId="37" fontId="17" fillId="0" borderId="18" xfId="0" applyFont="1" applyFill="1" applyBorder="1" applyAlignment="1">
      <alignment horizontal="left"/>
    </xf>
    <xf numFmtId="7" fontId="15" fillId="0" borderId="18" xfId="59" applyNumberFormat="1" applyFont="1" applyBorder="1"/>
    <xf numFmtId="10" fontId="14" fillId="0" borderId="0" xfId="89" applyNumberFormat="1" applyFont="1" applyProtection="1"/>
    <xf numFmtId="37" fontId="24" fillId="0" borderId="0" xfId="89" applyFont="1" applyAlignment="1" applyProtection="1">
      <alignment horizontal="center"/>
    </xf>
    <xf numFmtId="1" fontId="24" fillId="0" borderId="0" xfId="92" applyNumberFormat="1" applyFont="1" applyAlignment="1" applyProtection="1">
      <alignment horizontal="center"/>
    </xf>
    <xf numFmtId="5" fontId="12" fillId="0" borderId="0" xfId="92" applyNumberFormat="1" applyFont="1"/>
    <xf numFmtId="10" fontId="4" fillId="0" borderId="0" xfId="92" applyFont="1" applyBorder="1"/>
    <xf numFmtId="1" fontId="15" fillId="0" borderId="0" xfId="92" applyNumberFormat="1" applyFont="1" applyFill="1" applyAlignment="1" applyProtection="1">
      <alignment horizontal="center"/>
    </xf>
    <xf numFmtId="164" fontId="33" fillId="0" borderId="22" xfId="88" applyNumberFormat="1" applyFont="1" applyFill="1" applyBorder="1" applyProtection="1"/>
    <xf numFmtId="17" fontId="43" fillId="0" borderId="0" xfId="88" applyNumberFormat="1" applyFont="1" applyFill="1" applyAlignment="1" applyProtection="1">
      <alignment horizontal="center"/>
    </xf>
    <xf numFmtId="175" fontId="42" fillId="0" borderId="0" xfId="88" applyNumberFormat="1" applyFont="1" applyFill="1" applyBorder="1" applyProtection="1"/>
    <xf numFmtId="164" fontId="24" fillId="0" borderId="0" xfId="88" applyNumberFormat="1" applyFont="1" applyFill="1" applyBorder="1" applyProtection="1"/>
    <xf numFmtId="0" fontId="17" fillId="0" borderId="0" xfId="93" quotePrefix="1" applyFont="1" applyFill="1" applyBorder="1" applyAlignment="1" applyProtection="1">
      <alignment horizontal="centerContinuous" vertical="center" wrapText="1"/>
    </xf>
    <xf numFmtId="172" fontId="43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5" fillId="0" borderId="0" xfId="98" applyNumberFormat="1" applyFont="1"/>
    <xf numFmtId="178" fontId="15" fillId="0" borderId="0" xfId="98" applyNumberFormat="1" applyFont="1"/>
    <xf numFmtId="37" fontId="15" fillId="0" borderId="16" xfId="0" applyFont="1" applyFill="1" applyBorder="1"/>
    <xf numFmtId="37" fontId="15" fillId="0" borderId="0" xfId="0" applyFont="1" applyFill="1" applyBorder="1"/>
    <xf numFmtId="44" fontId="20" fillId="0" borderId="0" xfId="59" applyFont="1" applyFill="1" applyBorder="1"/>
    <xf numFmtId="167" fontId="20" fillId="0" borderId="0" xfId="0" applyNumberFormat="1" applyFont="1" applyFill="1" applyBorder="1"/>
    <xf numFmtId="37" fontId="15" fillId="0" borderId="18" xfId="0" applyFont="1" applyFill="1" applyBorder="1"/>
    <xf numFmtId="170" fontId="15" fillId="0" borderId="0" xfId="55" applyNumberFormat="1" applyFont="1" applyFill="1" applyBorder="1"/>
    <xf numFmtId="168" fontId="29" fillId="0" borderId="0" xfId="89" applyNumberFormat="1" applyFont="1" applyProtection="1"/>
    <xf numFmtId="168" fontId="29" fillId="0" borderId="0" xfId="89" applyNumberFormat="1" applyFont="1"/>
    <xf numFmtId="37" fontId="15" fillId="0" borderId="0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10" fontId="23" fillId="18" borderId="23" xfId="90" applyNumberFormat="1" applyFont="1" applyFill="1" applyBorder="1" applyProtection="1"/>
    <xf numFmtId="10" fontId="14" fillId="18" borderId="23" xfId="89" applyNumberFormat="1" applyFont="1" applyFill="1" applyBorder="1" applyAlignment="1" applyProtection="1">
      <alignment horizontal="center"/>
    </xf>
    <xf numFmtId="175" fontId="34" fillId="18" borderId="23" xfId="88" applyNumberFormat="1" applyFont="1" applyFill="1" applyBorder="1" applyProtection="1"/>
    <xf numFmtId="164" fontId="34" fillId="18" borderId="23" xfId="88" applyNumberFormat="1" applyFont="1" applyFill="1" applyBorder="1" applyProtection="1"/>
    <xf numFmtId="37" fontId="15" fillId="0" borderId="0" xfId="0" applyFont="1" applyBorder="1" applyAlignment="1">
      <alignment horizontal="center"/>
    </xf>
    <xf numFmtId="37" fontId="11" fillId="0" borderId="0" xfId="90" applyFont="1" applyAlignment="1">
      <alignment horizontal="center"/>
    </xf>
    <xf numFmtId="37" fontId="37" fillId="0" borderId="0" xfId="0" applyFont="1" applyAlignment="1">
      <alignment horizontal="right"/>
    </xf>
    <xf numFmtId="0" fontId="23" fillId="0" borderId="0" xfId="93" applyFont="1" applyFill="1" applyBorder="1" applyAlignment="1" applyProtection="1">
      <alignment horizontal="center" wrapText="1"/>
    </xf>
    <xf numFmtId="37" fontId="23" fillId="0" borderId="0" xfId="0" applyFont="1" applyFill="1" applyBorder="1"/>
    <xf numFmtId="0" fontId="47" fillId="0" borderId="0" xfId="93" applyFont="1"/>
    <xf numFmtId="0" fontId="8" fillId="0" borderId="0" xfId="88" applyFont="1" applyFill="1" applyBorder="1"/>
    <xf numFmtId="37" fontId="8" fillId="0" borderId="0" xfId="88" applyNumberFormat="1" applyFont="1" applyFill="1" applyBorder="1"/>
    <xf numFmtId="10" fontId="35" fillId="0" borderId="0" xfId="92" applyNumberFormat="1" applyFont="1" applyBorder="1" applyAlignment="1" applyProtection="1"/>
    <xf numFmtId="0" fontId="24" fillId="0" borderId="12" xfId="88" applyFont="1" applyBorder="1" applyAlignment="1" applyProtection="1">
      <alignment horizontal="left"/>
    </xf>
    <xf numFmtId="0" fontId="24" fillId="0" borderId="0" xfId="88" applyFont="1" applyBorder="1" applyAlignment="1" applyProtection="1">
      <alignment horizontal="left"/>
    </xf>
    <xf numFmtId="175" fontId="24" fillId="0" borderId="12" xfId="88" applyNumberFormat="1" applyFont="1" applyFill="1" applyBorder="1" applyProtection="1"/>
    <xf numFmtId="0" fontId="24" fillId="0" borderId="0" xfId="88" applyFont="1" applyBorder="1" applyAlignment="1" applyProtection="1">
      <alignment horizontal="left" indent="1"/>
    </xf>
    <xf numFmtId="0" fontId="24" fillId="0" borderId="12" xfId="88" applyFont="1" applyBorder="1" applyAlignment="1" applyProtection="1">
      <alignment horizontal="left" indent="2"/>
    </xf>
    <xf numFmtId="37" fontId="17" fillId="0" borderId="0" xfId="90" applyNumberFormat="1" applyFont="1" applyAlignment="1" applyProtection="1">
      <alignment horizontal="centerContinuous"/>
    </xf>
    <xf numFmtId="0" fontId="17" fillId="0" borderId="0" xfId="93" applyFont="1" applyFill="1" applyAlignment="1" applyProtection="1">
      <alignment horizontal="left"/>
    </xf>
    <xf numFmtId="0" fontId="5" fillId="0" borderId="0" xfId="93" applyFont="1" applyFill="1"/>
    <xf numFmtId="1" fontId="15" fillId="0" borderId="0" xfId="93" applyNumberFormat="1" applyFont="1" applyFill="1" applyAlignment="1" applyProtection="1">
      <alignment horizontal="center"/>
    </xf>
    <xf numFmtId="0" fontId="5" fillId="0" borderId="0" xfId="93" applyFont="1" applyAlignment="1">
      <alignment horizontal="center"/>
    </xf>
    <xf numFmtId="37" fontId="4" fillId="0" borderId="0" xfId="92" applyNumberFormat="1" applyFont="1"/>
    <xf numFmtId="37" fontId="19" fillId="0" borderId="0" xfId="0" applyFont="1"/>
    <xf numFmtId="167" fontId="4" fillId="0" borderId="0" xfId="92" applyNumberFormat="1" applyFont="1"/>
    <xf numFmtId="10" fontId="7" fillId="0" borderId="0" xfId="92" applyFont="1"/>
    <xf numFmtId="14" fontId="15" fillId="0" borderId="16" xfId="0" applyNumberFormat="1" applyFont="1" applyFill="1" applyBorder="1"/>
    <xf numFmtId="10" fontId="35" fillId="0" borderId="0" xfId="92" applyNumberFormat="1" applyFont="1" applyFill="1" applyBorder="1" applyAlignment="1" applyProtection="1"/>
    <xf numFmtId="10" fontId="23" fillId="0" borderId="0" xfId="90" applyNumberFormat="1" applyFont="1" applyFill="1" applyBorder="1" applyProtection="1"/>
    <xf numFmtId="175" fontId="34" fillId="0" borderId="19" xfId="88" applyNumberFormat="1" applyFont="1" applyFill="1" applyBorder="1" applyProtection="1"/>
    <xf numFmtId="164" fontId="34" fillId="0" borderId="24" xfId="88" applyNumberFormat="1" applyFont="1" applyFill="1" applyBorder="1" applyProtection="1"/>
    <xf numFmtId="0" fontId="23" fillId="0" borderId="0" xfId="93" applyFont="1" applyFill="1" applyAlignment="1" applyProtection="1">
      <alignment horizontal="center"/>
    </xf>
    <xf numFmtId="0" fontId="23" fillId="0" borderId="0" xfId="93" applyFont="1" applyFill="1" applyAlignment="1">
      <alignment horizontal="center"/>
    </xf>
    <xf numFmtId="10" fontId="44" fillId="0" borderId="0" xfId="92" applyFont="1" applyBorder="1"/>
    <xf numFmtId="37" fontId="4" fillId="0" borderId="0" xfId="92" applyNumberFormat="1" applyFont="1" applyBorder="1"/>
    <xf numFmtId="182" fontId="27" fillId="0" borderId="0" xfId="92" applyNumberFormat="1" applyFont="1" applyBorder="1" applyAlignment="1">
      <alignment horizontal="center"/>
    </xf>
    <xf numFmtId="37" fontId="12" fillId="0" borderId="0" xfId="92" applyNumberFormat="1" applyFont="1" applyBorder="1" applyAlignment="1">
      <alignment horizontal="center"/>
    </xf>
    <xf numFmtId="10" fontId="27" fillId="0" borderId="0" xfId="92" applyFont="1" applyBorder="1" applyAlignment="1" applyProtection="1"/>
    <xf numFmtId="10" fontId="12" fillId="0" borderId="0" xfId="92" applyNumberFormat="1" applyFont="1" applyBorder="1" applyAlignment="1" applyProtection="1"/>
    <xf numFmtId="181" fontId="40" fillId="0" borderId="0" xfId="92" applyNumberFormat="1" applyFont="1" applyBorder="1" applyAlignment="1" applyProtection="1">
      <alignment horizontal="centerContinuous" vertical="center" wrapText="1"/>
    </xf>
    <xf numFmtId="166" fontId="17" fillId="0" borderId="0" xfId="0" applyNumberFormat="1" applyFont="1" applyFill="1" applyBorder="1" applyAlignment="1">
      <alignment horizontal="centerContinuous" vertical="center" wrapText="1"/>
    </xf>
    <xf numFmtId="37" fontId="15" fillId="0" borderId="0" xfId="0" applyFont="1" applyFill="1" applyBorder="1" applyAlignment="1">
      <alignment horizontal="centerContinuous" vertical="center" wrapText="1"/>
    </xf>
    <xf numFmtId="37" fontId="15" fillId="0" borderId="0" xfId="0" applyFont="1" applyBorder="1" applyAlignment="1">
      <alignment horizontal="left" vertical="center" wrapText="1"/>
    </xf>
    <xf numFmtId="5" fontId="15" fillId="0" borderId="0" xfId="59" applyNumberFormat="1" applyFont="1" applyFill="1" applyBorder="1"/>
    <xf numFmtId="179" fontId="33" fillId="0" borderId="0" xfId="88" applyNumberFormat="1" applyFont="1" applyFill="1" applyProtection="1"/>
    <xf numFmtId="37" fontId="23" fillId="0" borderId="0" xfId="89" quotePrefix="1" applyFont="1" applyAlignment="1" applyProtection="1">
      <alignment horizontal="center"/>
    </xf>
    <xf numFmtId="14" fontId="17" fillId="0" borderId="16" xfId="0" applyNumberFormat="1" applyFont="1" applyFill="1" applyBorder="1"/>
    <xf numFmtId="14" fontId="15" fillId="0" borderId="16" xfId="0" applyNumberFormat="1" applyFont="1" applyFill="1" applyBorder="1" applyAlignment="1">
      <alignment horizontal="left" indent="1"/>
    </xf>
    <xf numFmtId="0" fontId="17" fillId="0" borderId="0" xfId="93" applyFont="1" applyAlignment="1" applyProtection="1">
      <alignment horizontal="left"/>
    </xf>
    <xf numFmtId="181" fontId="14" fillId="0" borderId="0" xfId="92" applyNumberFormat="1" applyFont="1" applyBorder="1" applyAlignment="1" applyProtection="1">
      <alignment horizontal="centerContinuous" vertical="center" wrapText="1"/>
    </xf>
    <xf numFmtId="181" fontId="17" fillId="0" borderId="0" xfId="90" applyNumberFormat="1" applyFont="1" applyFill="1" applyAlignment="1" applyProtection="1">
      <alignment horizontal="centerContinuous"/>
    </xf>
    <xf numFmtId="168" fontId="15" fillId="0" borderId="0" xfId="0" applyNumberFormat="1" applyFont="1" applyFill="1" applyBorder="1" applyAlignment="1">
      <alignment horizontal="center"/>
    </xf>
    <xf numFmtId="183" fontId="33" fillId="0" borderId="0" xfId="88" applyNumberFormat="1" applyFont="1" applyFill="1" applyProtection="1"/>
    <xf numFmtId="5" fontId="36" fillId="0" borderId="0" xfId="90" applyNumberFormat="1" applyFont="1" applyFill="1"/>
    <xf numFmtId="5" fontId="4" fillId="0" borderId="0" xfId="90" applyNumberFormat="1" applyFont="1" applyFill="1"/>
    <xf numFmtId="175" fontId="24" fillId="0" borderId="0" xfId="88" applyNumberFormat="1" applyFont="1" applyFill="1" applyProtection="1"/>
    <xf numFmtId="175" fontId="23" fillId="0" borderId="0" xfId="88" applyNumberFormat="1" applyFont="1" applyFill="1" applyProtection="1"/>
    <xf numFmtId="37" fontId="45" fillId="0" borderId="0" xfId="0" applyFont="1"/>
    <xf numFmtId="175" fontId="24" fillId="0" borderId="0" xfId="88" applyNumberFormat="1" applyFont="1" applyFill="1" applyBorder="1" applyProtection="1"/>
    <xf numFmtId="37" fontId="24" fillId="0" borderId="0" xfId="0" applyFont="1" applyFill="1" applyBorder="1"/>
    <xf numFmtId="37" fontId="25" fillId="0" borderId="0" xfId="0" applyNumberFormat="1" applyFont="1" applyFill="1" applyBorder="1" applyAlignment="1">
      <alignment horizontal="center"/>
    </xf>
    <xf numFmtId="37" fontId="46" fillId="0" borderId="0" xfId="0" applyFont="1" applyFill="1" applyBorder="1"/>
    <xf numFmtId="170" fontId="25" fillId="0" borderId="0" xfId="59" applyNumberFormat="1" applyFont="1" applyBorder="1"/>
    <xf numFmtId="14" fontId="25" fillId="0" borderId="0" xfId="0" applyNumberFormat="1" applyFont="1" applyFill="1" applyBorder="1"/>
    <xf numFmtId="168" fontId="24" fillId="0" borderId="0" xfId="0" applyNumberFormat="1" applyFont="1"/>
    <xf numFmtId="17" fontId="24" fillId="0" borderId="0" xfId="0" applyNumberFormat="1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37" fontId="24" fillId="0" borderId="0" xfId="90" applyNumberFormat="1" applyFont="1" applyAlignment="1" applyProtection="1"/>
    <xf numFmtId="17" fontId="24" fillId="0" borderId="0" xfId="90" applyNumberFormat="1" applyFont="1" applyProtection="1"/>
    <xf numFmtId="17" fontId="24" fillId="0" borderId="0" xfId="90" applyNumberFormat="1" applyFont="1" applyAlignment="1" applyProtection="1">
      <alignment horizontal="center"/>
    </xf>
    <xf numFmtId="171" fontId="24" fillId="0" borderId="0" xfId="0" applyNumberFormat="1" applyFont="1" applyFill="1" applyAlignment="1">
      <alignment horizontal="center"/>
    </xf>
    <xf numFmtId="175" fontId="23" fillId="0" borderId="12" xfId="88" applyNumberFormat="1" applyFont="1" applyFill="1" applyBorder="1" applyProtection="1"/>
    <xf numFmtId="171" fontId="24" fillId="0" borderId="0" xfId="0" applyNumberFormat="1" applyFont="1" applyFill="1"/>
    <xf numFmtId="175" fontId="23" fillId="0" borderId="0" xfId="88" applyNumberFormat="1" applyFont="1" applyFill="1" applyBorder="1" applyProtection="1"/>
    <xf numFmtId="2" fontId="24" fillId="0" borderId="0" xfId="0" applyNumberFormat="1" applyFont="1" applyFill="1" applyBorder="1" applyAlignment="1">
      <alignment horizontal="center"/>
    </xf>
    <xf numFmtId="175" fontId="23" fillId="0" borderId="25" xfId="88" applyNumberFormat="1" applyFont="1" applyFill="1" applyBorder="1" applyProtection="1"/>
    <xf numFmtId="37" fontId="46" fillId="0" borderId="0" xfId="90" applyNumberFormat="1" applyFont="1"/>
    <xf numFmtId="37" fontId="46" fillId="0" borderId="0" xfId="90" applyNumberFormat="1" applyFont="1" applyAlignment="1">
      <alignment horizontal="right"/>
    </xf>
    <xf numFmtId="175" fontId="46" fillId="0" borderId="0" xfId="88" applyNumberFormat="1" applyFont="1" applyFill="1" applyProtection="1"/>
    <xf numFmtId="37" fontId="4" fillId="0" borderId="0" xfId="90" applyFont="1" applyFill="1"/>
    <xf numFmtId="37" fontId="24" fillId="0" borderId="0" xfId="0" applyNumberFormat="1" applyFont="1" applyFill="1"/>
    <xf numFmtId="15" fontId="15" fillId="0" borderId="0" xfId="93" applyNumberFormat="1" applyFont="1" applyFill="1" applyAlignment="1">
      <alignment horizontal="right"/>
    </xf>
    <xf numFmtId="5" fontId="15" fillId="0" borderId="0" xfId="93" applyNumberFormat="1" applyFont="1" applyFill="1"/>
    <xf numFmtId="168" fontId="15" fillId="0" borderId="0" xfId="93" applyNumberFormat="1" applyFont="1" applyFill="1" applyAlignment="1" applyProtection="1">
      <alignment horizontal="left"/>
    </xf>
    <xf numFmtId="15" fontId="15" fillId="0" borderId="0" xfId="93" applyNumberFormat="1" applyFont="1" applyFill="1" applyAlignment="1" applyProtection="1">
      <alignment horizontal="center"/>
    </xf>
    <xf numFmtId="5" fontId="19" fillId="0" borderId="0" xfId="93" applyNumberFormat="1" applyFont="1" applyFill="1"/>
    <xf numFmtId="174" fontId="25" fillId="0" borderId="0" xfId="93" applyNumberFormat="1" applyFont="1" applyFill="1"/>
    <xf numFmtId="5" fontId="17" fillId="0" borderId="25" xfId="93" applyNumberFormat="1" applyFont="1" applyFill="1" applyBorder="1" applyAlignment="1" applyProtection="1">
      <alignment horizontal="right"/>
    </xf>
    <xf numFmtId="43" fontId="42" fillId="0" borderId="0" xfId="88" applyNumberFormat="1" applyFont="1" applyFill="1" applyProtection="1"/>
    <xf numFmtId="164" fontId="33" fillId="0" borderId="26" xfId="88" applyNumberFormat="1" applyFont="1" applyFill="1" applyBorder="1" applyProtection="1"/>
    <xf numFmtId="175" fontId="33" fillId="0" borderId="10" xfId="88" applyNumberFormat="1" applyFont="1" applyFill="1" applyBorder="1" applyProtection="1"/>
    <xf numFmtId="164" fontId="33" fillId="0" borderId="25" xfId="88" applyNumberFormat="1" applyFont="1" applyFill="1" applyBorder="1" applyProtection="1"/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0" fontId="33" fillId="0" borderId="0" xfId="88" applyFont="1" applyFill="1"/>
    <xf numFmtId="37" fontId="23" fillId="0" borderId="0" xfId="89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64" fontId="42" fillId="0" borderId="0" xfId="88" applyNumberFormat="1" applyFont="1" applyFill="1" applyBorder="1" applyProtection="1"/>
    <xf numFmtId="164" fontId="24" fillId="0" borderId="12" xfId="88" applyNumberFormat="1" applyFont="1" applyFill="1" applyBorder="1" applyProtection="1"/>
    <xf numFmtId="37" fontId="11" fillId="0" borderId="0" xfId="90" applyFont="1" applyAlignment="1">
      <alignment horizontal="right"/>
    </xf>
    <xf numFmtId="5" fontId="45" fillId="0" borderId="0" xfId="59" applyNumberFormat="1" applyFont="1" applyFill="1" applyBorder="1"/>
    <xf numFmtId="180" fontId="45" fillId="0" borderId="0" xfId="0" applyNumberFormat="1" applyFont="1" applyFill="1" applyBorder="1"/>
    <xf numFmtId="169" fontId="45" fillId="0" borderId="0" xfId="0" applyNumberFormat="1" applyFont="1" applyFill="1" applyBorder="1"/>
    <xf numFmtId="10" fontId="4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2" fillId="0" borderId="0" xfId="89" applyFont="1" applyAlignment="1">
      <alignment horizontal="left" indent="1"/>
    </xf>
    <xf numFmtId="5" fontId="12" fillId="0" borderId="26" xfId="89" applyNumberFormat="1" applyFont="1" applyBorder="1" applyProtection="1"/>
    <xf numFmtId="5" fontId="29" fillId="0" borderId="26" xfId="89" applyNumberFormat="1" applyFont="1" applyBorder="1"/>
    <xf numFmtId="168" fontId="29" fillId="0" borderId="26" xfId="89" applyNumberFormat="1" applyFont="1" applyBorder="1" applyProtection="1"/>
    <xf numFmtId="14" fontId="17" fillId="0" borderId="16" xfId="0" applyNumberFormat="1" applyFont="1" applyFill="1" applyBorder="1" applyAlignment="1">
      <alignment horizontal="left" indent="2"/>
    </xf>
    <xf numFmtId="37" fontId="17" fillId="0" borderId="16" xfId="0" applyFont="1" applyFill="1" applyBorder="1" applyAlignment="1">
      <alignment horizontal="left" indent="1"/>
    </xf>
    <xf numFmtId="0" fontId="14" fillId="0" borderId="0" xfId="93" quotePrefix="1" applyFont="1" applyFill="1" applyBorder="1" applyAlignment="1" applyProtection="1">
      <alignment horizontal="centerContinuous" vertical="center" wrapText="1"/>
    </xf>
    <xf numFmtId="181" fontId="14" fillId="0" borderId="0" xfId="93" quotePrefix="1" applyNumberFormat="1" applyFont="1" applyFill="1" applyBorder="1" applyAlignment="1" applyProtection="1">
      <alignment horizontal="centerContinuous" vertical="center" wrapText="1"/>
    </xf>
    <xf numFmtId="37" fontId="48" fillId="0" borderId="0" xfId="0" applyFont="1" applyBorder="1" applyAlignment="1">
      <alignment horizontal="center"/>
    </xf>
    <xf numFmtId="10" fontId="28" fillId="0" borderId="0" xfId="92" applyNumberFormat="1" applyFont="1" applyFill="1" applyAlignment="1" applyProtection="1"/>
    <xf numFmtId="10" fontId="33" fillId="0" borderId="0" xfId="98" applyNumberFormat="1" applyFont="1" applyFill="1" applyBorder="1" applyProtection="1"/>
    <xf numFmtId="10" fontId="33" fillId="0" borderId="10" xfId="88" applyNumberFormat="1" applyFont="1" applyFill="1" applyBorder="1" applyProtection="1"/>
    <xf numFmtId="37" fontId="42" fillId="0" borderId="0" xfId="88" applyNumberFormat="1" applyFont="1" applyFill="1" applyBorder="1" applyProtection="1"/>
    <xf numFmtId="184" fontId="33" fillId="0" borderId="0" xfId="88" applyNumberFormat="1" applyFont="1" applyFill="1" applyBorder="1" applyProtection="1"/>
    <xf numFmtId="0" fontId="31" fillId="0" borderId="0" xfId="88" applyFont="1" applyBorder="1" applyAlignment="1" applyProtection="1">
      <alignment horizontal="centerContinuous" vertical="center" wrapText="1"/>
    </xf>
    <xf numFmtId="10" fontId="31" fillId="0" borderId="0" xfId="92" applyFont="1" applyBorder="1" applyAlignment="1" applyProtection="1">
      <alignment horizontal="centerContinuous" vertical="center" wrapText="1"/>
    </xf>
    <xf numFmtId="172" fontId="31" fillId="0" borderId="0" xfId="92" applyNumberFormat="1" applyFont="1" applyBorder="1" applyAlignment="1" applyProtection="1">
      <alignment horizontal="centerContinuous" vertical="center" wrapText="1"/>
    </xf>
    <xf numFmtId="180" fontId="48" fillId="0" borderId="0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center"/>
    </xf>
    <xf numFmtId="37" fontId="23" fillId="0" borderId="13" xfId="0" applyFont="1" applyFill="1" applyBorder="1"/>
    <xf numFmtId="5" fontId="12" fillId="0" borderId="0" xfId="89" applyNumberFormat="1" applyFont="1" applyFill="1" applyProtection="1"/>
    <xf numFmtId="10" fontId="12" fillId="0" borderId="0" xfId="92" applyFont="1" applyFill="1" applyAlignment="1" applyProtection="1"/>
    <xf numFmtId="37" fontId="14" fillId="0" borderId="0" xfId="89" applyFont="1" applyBorder="1" applyAlignment="1" applyProtection="1">
      <alignment horizontal="center"/>
    </xf>
    <xf numFmtId="37" fontId="39" fillId="0" borderId="29" xfId="0" applyFont="1" applyFill="1" applyBorder="1"/>
    <xf numFmtId="37" fontId="15" fillId="0" borderId="15" xfId="0" applyFont="1" applyFill="1" applyBorder="1"/>
    <xf numFmtId="37" fontId="0" fillId="0" borderId="14" xfId="0" applyBorder="1"/>
    <xf numFmtId="37" fontId="15" fillId="0" borderId="17" xfId="0" applyFont="1" applyBorder="1"/>
    <xf numFmtId="37" fontId="15" fillId="0" borderId="18" xfId="0" applyFont="1" applyBorder="1"/>
    <xf numFmtId="37" fontId="15" fillId="0" borderId="21" xfId="0" applyFont="1" applyBorder="1"/>
    <xf numFmtId="10" fontId="12" fillId="0" borderId="0" xfId="92" applyNumberFormat="1" applyFont="1" applyAlignment="1"/>
    <xf numFmtId="10" fontId="28" fillId="0" borderId="0" xfId="92" applyNumberFormat="1" applyFont="1" applyAlignment="1" applyProtection="1"/>
    <xf numFmtId="37" fontId="24" fillId="0" borderId="0" xfId="90" applyNumberFormat="1" applyFont="1" applyBorder="1" applyAlignment="1">
      <alignment horizontal="center"/>
    </xf>
    <xf numFmtId="37" fontId="23" fillId="0" borderId="0" xfId="90" applyNumberFormat="1" applyFont="1" applyBorder="1" applyAlignment="1" applyProtection="1">
      <alignment horizontal="center" wrapText="1"/>
    </xf>
    <xf numFmtId="17" fontId="17" fillId="0" borderId="0" xfId="88" applyNumberFormat="1" applyFont="1" applyFill="1" applyAlignment="1" applyProtection="1">
      <alignment horizontal="right"/>
    </xf>
    <xf numFmtId="164" fontId="24" fillId="0" borderId="0" xfId="88" applyNumberFormat="1" applyFont="1" applyFill="1" applyProtection="1"/>
    <xf numFmtId="164" fontId="24" fillId="0" borderId="26" xfId="88" applyNumberFormat="1" applyFont="1" applyFill="1" applyBorder="1" applyProtection="1"/>
    <xf numFmtId="39" fontId="42" fillId="0" borderId="0" xfId="0" applyNumberFormat="1" applyFont="1"/>
    <xf numFmtId="168" fontId="45" fillId="0" borderId="0" xfId="98" applyNumberFormat="1" applyFont="1" applyFill="1" applyBorder="1"/>
    <xf numFmtId="168" fontId="15" fillId="0" borderId="0" xfId="98" applyNumberFormat="1" applyFont="1" applyFill="1" applyBorder="1" applyAlignment="1">
      <alignment horizontal="left"/>
    </xf>
    <xf numFmtId="169" fontId="45" fillId="0" borderId="0" xfId="0" applyNumberFormat="1" applyFont="1" applyFill="1" applyBorder="1" applyAlignment="1">
      <alignment horizontal="center"/>
    </xf>
    <xf numFmtId="5" fontId="15" fillId="0" borderId="25" xfId="59" applyNumberFormat="1" applyFont="1" applyBorder="1"/>
    <xf numFmtId="5" fontId="15" fillId="0" borderId="25" xfId="55" applyNumberFormat="1" applyFont="1" applyFill="1" applyBorder="1"/>
    <xf numFmtId="168" fontId="15" fillId="0" borderId="25" xfId="98" applyNumberFormat="1" applyFont="1" applyFill="1" applyBorder="1" applyAlignment="1">
      <alignment horizontal="center"/>
    </xf>
    <xf numFmtId="5" fontId="17" fillId="0" borderId="25" xfId="55" applyNumberFormat="1" applyFont="1" applyFill="1" applyBorder="1"/>
    <xf numFmtId="10" fontId="17" fillId="0" borderId="0" xfId="92" applyFont="1" applyAlignment="1" applyProtection="1">
      <alignment horizontal="left"/>
    </xf>
    <xf numFmtId="176" fontId="42" fillId="0" borderId="0" xfId="88" applyNumberFormat="1" applyFont="1" applyFill="1" applyProtection="1"/>
    <xf numFmtId="164" fontId="42" fillId="0" borderId="0" xfId="88" applyNumberFormat="1" applyFont="1" applyFill="1" applyProtection="1"/>
    <xf numFmtId="175" fontId="42" fillId="0" borderId="0" xfId="88" applyNumberFormat="1" applyFont="1" applyFill="1" applyProtection="1"/>
    <xf numFmtId="0" fontId="42" fillId="0" borderId="0" xfId="88" applyFont="1" applyFill="1"/>
    <xf numFmtId="5" fontId="45" fillId="0" borderId="0" xfId="55" applyNumberFormat="1" applyFont="1" applyFill="1" applyBorder="1"/>
    <xf numFmtId="168" fontId="45" fillId="0" borderId="0" xfId="0" applyNumberFormat="1" applyFont="1" applyFill="1" applyBorder="1" applyAlignment="1">
      <alignment horizontal="center"/>
    </xf>
    <xf numFmtId="37" fontId="25" fillId="0" borderId="0" xfId="0" applyFont="1"/>
    <xf numFmtId="37" fontId="17" fillId="0" borderId="0" xfId="89" applyFont="1" applyAlignment="1" applyProtection="1">
      <alignment horizontal="center"/>
    </xf>
    <xf numFmtId="37" fontId="17" fillId="0" borderId="10" xfId="0" applyFont="1" applyBorder="1"/>
    <xf numFmtId="37" fontId="17" fillId="0" borderId="0" xfId="0" applyFont="1" applyBorder="1"/>
    <xf numFmtId="37" fontId="17" fillId="0" borderId="0" xfId="0" applyFont="1" applyFill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0" xfId="0" applyFont="1" applyAlignment="1">
      <alignment horizontal="center"/>
    </xf>
    <xf numFmtId="174" fontId="17" fillId="0" borderId="10" xfId="93" applyNumberFormat="1" applyFont="1" applyFill="1" applyBorder="1" applyAlignment="1">
      <alignment horizontal="center"/>
    </xf>
    <xf numFmtId="174" fontId="17" fillId="0" borderId="0" xfId="93" applyNumberFormat="1" applyFont="1" applyFill="1" applyBorder="1" applyAlignment="1">
      <alignment horizontal="center"/>
    </xf>
    <xf numFmtId="37" fontId="25" fillId="0" borderId="0" xfId="0" applyFont="1" applyFill="1" applyBorder="1"/>
    <xf numFmtId="37" fontId="25" fillId="0" borderId="0" xfId="0" applyNumberFormat="1" applyFont="1"/>
    <xf numFmtId="37" fontId="45" fillId="0" borderId="0" xfId="0" applyNumberFormat="1" applyFont="1"/>
    <xf numFmtId="37" fontId="15" fillId="0" borderId="0" xfId="0" applyNumberFormat="1" applyFont="1"/>
    <xf numFmtId="37" fontId="45" fillId="0" borderId="0" xfId="0" applyNumberFormat="1" applyFont="1" applyFill="1"/>
    <xf numFmtId="37" fontId="17" fillId="0" borderId="12" xfId="0" applyFont="1" applyFill="1" applyBorder="1"/>
    <xf numFmtId="37" fontId="25" fillId="0" borderId="0" xfId="0" applyNumberFormat="1" applyFont="1" applyBorder="1"/>
    <xf numFmtId="37" fontId="25" fillId="0" borderId="0" xfId="0" applyFont="1" applyFill="1" applyBorder="1" applyAlignment="1">
      <alignment horizontal="left" indent="1"/>
    </xf>
    <xf numFmtId="37" fontId="15" fillId="0" borderId="0" xfId="0" applyFont="1" applyFill="1" applyBorder="1" applyAlignment="1">
      <alignment horizontal="left" indent="1"/>
    </xf>
    <xf numFmtId="37" fontId="17" fillId="0" borderId="0" xfId="0" applyFont="1" applyFill="1" applyBorder="1"/>
    <xf numFmtId="39" fontId="15" fillId="0" borderId="0" xfId="0" applyNumberFormat="1" applyFont="1"/>
    <xf numFmtId="5" fontId="17" fillId="0" borderId="12" xfId="59" applyNumberFormat="1" applyFont="1" applyFill="1" applyBorder="1"/>
    <xf numFmtId="5" fontId="17" fillId="0" borderId="23" xfId="59" applyNumberFormat="1" applyFont="1" applyFill="1" applyBorder="1"/>
    <xf numFmtId="5" fontId="15" fillId="0" borderId="25" xfId="59" applyNumberFormat="1" applyFont="1" applyFill="1" applyBorder="1"/>
    <xf numFmtId="173" fontId="45" fillId="0" borderId="0" xfId="0" applyNumberFormat="1" applyFont="1" applyBorder="1" applyAlignment="1">
      <alignment horizontal="left" indent="1"/>
    </xf>
    <xf numFmtId="1" fontId="45" fillId="0" borderId="0" xfId="0" applyNumberFormat="1" applyFont="1" applyFill="1" applyBorder="1" applyAlignment="1">
      <alignment horizontal="center"/>
    </xf>
    <xf numFmtId="37" fontId="23" fillId="0" borderId="0" xfId="89" applyFont="1" applyAlignment="1" applyProtection="1">
      <alignment horizontal="left"/>
    </xf>
    <xf numFmtId="37" fontId="23" fillId="0" borderId="10" xfId="90" applyNumberFormat="1" applyFont="1" applyBorder="1" applyAlignment="1" applyProtection="1">
      <alignment horizontal="center" wrapText="1"/>
    </xf>
    <xf numFmtId="175" fontId="34" fillId="0" borderId="12" xfId="88" applyNumberFormat="1" applyFont="1" applyFill="1" applyBorder="1" applyProtection="1"/>
    <xf numFmtId="10" fontId="23" fillId="19" borderId="23" xfId="90" applyNumberFormat="1" applyFont="1" applyFill="1" applyBorder="1" applyProtection="1"/>
    <xf numFmtId="186" fontId="42" fillId="0" borderId="0" xfId="88" applyNumberFormat="1" applyFont="1" applyFill="1" applyBorder="1" applyProtection="1"/>
    <xf numFmtId="188" fontId="45" fillId="0" borderId="0" xfId="93" applyNumberFormat="1" applyFont="1" applyFill="1"/>
    <xf numFmtId="5" fontId="15" fillId="0" borderId="0" xfId="55" applyNumberFormat="1" applyFont="1" applyFill="1" applyBorder="1"/>
    <xf numFmtId="179" fontId="42" fillId="0" borderId="0" xfId="88" applyNumberFormat="1" applyFont="1" applyFill="1" applyBorder="1" applyProtection="1"/>
    <xf numFmtId="176" fontId="18" fillId="0" borderId="0" xfId="88" applyNumberFormat="1" applyFont="1" applyAlignment="1" applyProtection="1">
      <alignment horizontal="center" wrapText="1"/>
    </xf>
    <xf numFmtId="0" fontId="65" fillId="0" borderId="0" xfId="88" applyFont="1"/>
    <xf numFmtId="10" fontId="27" fillId="0" borderId="0" xfId="92" applyNumberFormat="1" applyFont="1" applyFill="1" applyBorder="1" applyAlignment="1" applyProtection="1"/>
    <xf numFmtId="181" fontId="17" fillId="0" borderId="0" xfId="0" applyNumberFormat="1" applyFont="1" applyBorder="1" applyAlignment="1">
      <alignment horizontal="left"/>
    </xf>
    <xf numFmtId="5" fontId="5" fillId="0" borderId="0" xfId="93" applyNumberFormat="1" applyFont="1"/>
    <xf numFmtId="10" fontId="67" fillId="0" borderId="0" xfId="92" applyNumberFormat="1" applyFont="1" applyFill="1" applyAlignment="1" applyProtection="1"/>
    <xf numFmtId="10" fontId="8" fillId="0" borderId="0" xfId="98" applyNumberFormat="1" applyFont="1"/>
    <xf numFmtId="10" fontId="12" fillId="0" borderId="0" xfId="89" applyNumberFormat="1" applyFont="1"/>
    <xf numFmtId="5" fontId="45" fillId="0" borderId="0" xfId="59" applyNumberFormat="1" applyFont="1" applyFill="1"/>
    <xf numFmtId="189" fontId="12" fillId="0" borderId="0" xfId="55" applyNumberFormat="1" applyFont="1" applyBorder="1" applyAlignment="1"/>
    <xf numFmtId="37" fontId="68" fillId="0" borderId="0" xfId="0" applyFont="1"/>
    <xf numFmtId="37" fontId="0" fillId="0" borderId="0" xfId="0" applyNumberFormat="1" applyFont="1"/>
    <xf numFmtId="10" fontId="20" fillId="0" borderId="0" xfId="98" applyNumberFormat="1" applyFont="1" applyFill="1" applyBorder="1"/>
    <xf numFmtId="10" fontId="15" fillId="0" borderId="0" xfId="98" applyNumberFormat="1" applyFont="1"/>
    <xf numFmtId="10" fontId="15" fillId="0" borderId="0" xfId="98" applyNumberFormat="1" applyFont="1" applyFill="1"/>
    <xf numFmtId="187" fontId="44" fillId="0" borderId="0" xfId="92" applyNumberFormat="1" applyFont="1" applyBorder="1"/>
    <xf numFmtId="5" fontId="18" fillId="0" borderId="0" xfId="59" applyNumberFormat="1" applyFont="1" applyFill="1" applyBorder="1"/>
    <xf numFmtId="37" fontId="17" fillId="0" borderId="16" xfId="0" applyFont="1" applyFill="1" applyBorder="1"/>
    <xf numFmtId="10" fontId="24" fillId="0" borderId="0" xfId="99" applyNumberFormat="1" applyFont="1" applyFill="1"/>
    <xf numFmtId="37" fontId="23" fillId="0" borderId="0" xfId="87" applyNumberFormat="1" applyFont="1" applyFill="1" applyBorder="1"/>
    <xf numFmtId="0" fontId="15" fillId="0" borderId="0" xfId="93" applyNumberFormat="1" applyFont="1" applyFill="1"/>
    <xf numFmtId="37" fontId="46" fillId="0" borderId="0" xfId="0" applyFont="1" applyBorder="1"/>
    <xf numFmtId="37" fontId="15" fillId="0" borderId="0" xfId="0" applyFont="1" applyBorder="1" applyAlignment="1">
      <alignment horizontal="right"/>
    </xf>
    <xf numFmtId="37" fontId="46" fillId="0" borderId="0" xfId="0" applyFont="1" applyFill="1" applyBorder="1" applyAlignment="1">
      <alignment horizontal="center"/>
    </xf>
    <xf numFmtId="170" fontId="15" fillId="0" borderId="25" xfId="59" applyNumberFormat="1" applyFont="1" applyBorder="1"/>
    <xf numFmtId="5" fontId="17" fillId="0" borderId="0" xfId="55" applyNumberFormat="1" applyFont="1" applyFill="1" applyBorder="1"/>
    <xf numFmtId="168" fontId="15" fillId="0" borderId="0" xfId="98" applyNumberFormat="1" applyFont="1" applyFill="1" applyBorder="1" applyAlignment="1">
      <alignment horizontal="center"/>
    </xf>
    <xf numFmtId="175" fontId="34" fillId="0" borderId="0" xfId="88" applyNumberFormat="1" applyFont="1" applyFill="1" applyBorder="1" applyProtection="1"/>
    <xf numFmtId="10" fontId="0" fillId="0" borderId="0" xfId="98" applyNumberFormat="1" applyFont="1"/>
    <xf numFmtId="10" fontId="21" fillId="0" borderId="0" xfId="98" applyNumberFormat="1" applyFont="1"/>
    <xf numFmtId="168" fontId="4" fillId="0" borderId="0" xfId="98" applyNumberFormat="1" applyFont="1"/>
    <xf numFmtId="37" fontId="24" fillId="0" borderId="0" xfId="90" applyNumberFormat="1" applyFont="1" applyFill="1" applyAlignment="1">
      <alignment horizontal="center"/>
    </xf>
    <xf numFmtId="168" fontId="24" fillId="0" borderId="0" xfId="0" applyNumberFormat="1" applyFont="1" applyFill="1"/>
    <xf numFmtId="17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/>
    <xf numFmtId="10" fontId="12" fillId="0" borderId="0" xfId="92" applyFont="1" applyFill="1" applyBorder="1" applyAlignment="1" applyProtection="1"/>
    <xf numFmtId="14" fontId="4" fillId="0" borderId="0" xfId="90" applyNumberFormat="1" applyFont="1"/>
    <xf numFmtId="10" fontId="8" fillId="0" borderId="0" xfId="98" applyNumberFormat="1" applyFont="1" applyFill="1"/>
    <xf numFmtId="10" fontId="1" fillId="0" borderId="0" xfId="92" applyNumberFormat="1" applyFont="1" applyFill="1" applyBorder="1" applyAlignment="1" applyProtection="1"/>
    <xf numFmtId="168" fontId="12" fillId="0" borderId="0" xfId="92" applyNumberFormat="1" applyFont="1" applyAlignment="1" applyProtection="1"/>
    <xf numFmtId="5" fontId="12" fillId="0" borderId="0" xfId="92" applyNumberFormat="1" applyFont="1" applyFill="1" applyAlignment="1"/>
    <xf numFmtId="10" fontId="1" fillId="0" borderId="0" xfId="92" applyFont="1" applyFill="1" applyAlignment="1" applyProtection="1"/>
    <xf numFmtId="5" fontId="28" fillId="0" borderId="0" xfId="92" applyNumberFormat="1" applyFont="1" applyFill="1" applyBorder="1" applyAlignment="1" applyProtection="1"/>
    <xf numFmtId="5" fontId="35" fillId="0" borderId="0" xfId="92" applyNumberFormat="1" applyFont="1" applyFill="1" applyBorder="1" applyAlignment="1" applyProtection="1"/>
    <xf numFmtId="10" fontId="12" fillId="0" borderId="0" xfId="92" applyFont="1" applyFill="1" applyBorder="1"/>
    <xf numFmtId="10" fontId="12" fillId="0" borderId="0" xfId="92" applyFont="1" applyFill="1"/>
    <xf numFmtId="0" fontId="23" fillId="0" borderId="0" xfId="88" applyFont="1" applyAlignment="1" applyProtection="1">
      <alignment horizontal="center"/>
    </xf>
    <xf numFmtId="0" fontId="41" fillId="0" borderId="0" xfId="88" applyFont="1" applyFill="1" applyBorder="1" applyAlignment="1" applyProtection="1">
      <alignment horizontal="center" vertical="center" wrapText="1"/>
    </xf>
    <xf numFmtId="37" fontId="17" fillId="0" borderId="16" xfId="0" applyFont="1" applyFill="1" applyBorder="1" applyAlignment="1">
      <alignment horizontal="left"/>
    </xf>
    <xf numFmtId="37" fontId="17" fillId="0" borderId="0" xfId="0" applyFont="1" applyFill="1" applyBorder="1" applyAlignment="1">
      <alignment horizontal="left"/>
    </xf>
    <xf numFmtId="37" fontId="39" fillId="0" borderId="29" xfId="0" applyFont="1" applyFill="1" applyBorder="1" applyAlignment="1">
      <alignment horizontal="left"/>
    </xf>
    <xf numFmtId="37" fontId="39" fillId="0" borderId="15" xfId="0" applyFont="1" applyFill="1" applyBorder="1" applyAlignment="1">
      <alignment horizontal="left"/>
    </xf>
    <xf numFmtId="181" fontId="17" fillId="0" borderId="0" xfId="93" applyNumberFormat="1" applyFont="1" applyFill="1" applyAlignment="1">
      <alignment horizontal="left"/>
    </xf>
  </cellXfs>
  <cellStyles count="10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" xfId="59" builtinId="4"/>
    <cellStyle name="Currency 2" xfId="60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C37" sqref="C37"/>
    </sheetView>
  </sheetViews>
  <sheetFormatPr defaultColWidth="11.5" defaultRowHeight="12.75"/>
  <cols>
    <col min="1" max="1" width="3.83203125" style="16" customWidth="1"/>
    <col min="2" max="2" width="37.33203125" style="16" customWidth="1"/>
    <col min="3" max="3" width="18.1640625" style="16" customWidth="1"/>
    <col min="4" max="4" width="13.5" style="16" customWidth="1"/>
    <col min="5" max="5" width="13.1640625" style="16" customWidth="1"/>
    <col min="6" max="6" width="13.5" style="16" customWidth="1"/>
    <col min="7" max="7" width="11.5" style="16" customWidth="1"/>
    <col min="8" max="8" width="13.83203125" style="16" customWidth="1"/>
    <col min="9" max="9" width="11.1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B1" s="337" t="s">
        <v>4</v>
      </c>
      <c r="C1" s="337"/>
      <c r="D1" s="337"/>
      <c r="E1" s="337"/>
      <c r="F1" s="337"/>
    </row>
    <row r="2" spans="1:12">
      <c r="A2" s="103"/>
      <c r="B2" s="17"/>
      <c r="C2" s="17"/>
      <c r="D2" s="17"/>
      <c r="E2" s="17"/>
      <c r="F2" s="17"/>
    </row>
    <row r="3" spans="1:12" ht="15.75">
      <c r="B3" s="338" t="s">
        <v>6</v>
      </c>
      <c r="C3" s="338"/>
      <c r="D3" s="338"/>
      <c r="E3" s="338"/>
      <c r="F3" s="338"/>
    </row>
    <row r="4" spans="1:12" ht="15.75">
      <c r="B4" s="339" t="s">
        <v>58</v>
      </c>
      <c r="C4" s="339"/>
      <c r="D4" s="339"/>
      <c r="E4" s="339"/>
      <c r="F4" s="339"/>
      <c r="H4" s="234"/>
      <c r="L4" s="236"/>
    </row>
    <row r="5" spans="1:12">
      <c r="A5" s="104"/>
      <c r="B5" s="251" t="s">
        <v>202</v>
      </c>
      <c r="C5" s="251"/>
      <c r="D5" s="251"/>
      <c r="E5" s="251"/>
      <c r="F5" s="251"/>
      <c r="H5" s="234"/>
      <c r="L5" s="236"/>
    </row>
    <row r="6" spans="1:12">
      <c r="A6" s="18"/>
      <c r="C6" s="19"/>
      <c r="H6" s="234"/>
      <c r="L6" s="236"/>
    </row>
    <row r="7" spans="1:12">
      <c r="A7" s="18"/>
      <c r="B7" s="104"/>
      <c r="C7" s="104"/>
      <c r="D7" s="104"/>
      <c r="E7" s="104"/>
      <c r="F7" s="104"/>
      <c r="H7" s="234"/>
      <c r="L7" s="236"/>
    </row>
    <row r="8" spans="1:12">
      <c r="A8" s="189">
        <v>1</v>
      </c>
      <c r="B8" s="128" t="s">
        <v>5</v>
      </c>
      <c r="C8" s="128" t="s">
        <v>27</v>
      </c>
      <c r="D8" s="128" t="s">
        <v>52</v>
      </c>
      <c r="E8" s="128" t="s">
        <v>64</v>
      </c>
      <c r="F8" s="128" t="s">
        <v>65</v>
      </c>
      <c r="H8" s="234"/>
      <c r="L8" s="236"/>
    </row>
    <row r="9" spans="1:12">
      <c r="A9" s="189">
        <f>+A8+1</f>
        <v>2</v>
      </c>
      <c r="B9" s="104"/>
      <c r="C9" s="104"/>
      <c r="D9" s="104"/>
      <c r="E9" s="104"/>
      <c r="F9" s="104"/>
      <c r="H9" s="234"/>
      <c r="L9" s="236"/>
    </row>
    <row r="10" spans="1:12">
      <c r="A10" s="189">
        <f t="shared" ref="A10:A17" si="0">+A9+1</f>
        <v>3</v>
      </c>
      <c r="B10" s="105" t="s">
        <v>2</v>
      </c>
      <c r="C10" s="106"/>
      <c r="D10" s="106"/>
      <c r="E10" s="106"/>
      <c r="F10" s="106" t="s">
        <v>7</v>
      </c>
      <c r="H10" s="234"/>
      <c r="L10" s="236"/>
    </row>
    <row r="11" spans="1:12">
      <c r="A11" s="189">
        <f t="shared" si="0"/>
        <v>4</v>
      </c>
      <c r="B11" s="106"/>
      <c r="C11" s="107"/>
      <c r="D11" s="106"/>
      <c r="E11" s="106"/>
      <c r="F11" s="107" t="s">
        <v>8</v>
      </c>
      <c r="H11" s="234"/>
      <c r="L11" s="236"/>
    </row>
    <row r="12" spans="1:12">
      <c r="A12" s="189">
        <f t="shared" si="0"/>
        <v>5</v>
      </c>
      <c r="B12" s="108" t="s">
        <v>9</v>
      </c>
      <c r="C12" s="108" t="s">
        <v>79</v>
      </c>
      <c r="D12" s="108" t="s">
        <v>10</v>
      </c>
      <c r="E12" s="108" t="s">
        <v>11</v>
      </c>
      <c r="F12" s="108" t="s">
        <v>12</v>
      </c>
      <c r="H12" s="234"/>
      <c r="L12" s="236"/>
    </row>
    <row r="13" spans="1:12">
      <c r="A13" s="189">
        <f t="shared" si="0"/>
        <v>6</v>
      </c>
      <c r="B13" s="109"/>
      <c r="C13" s="109"/>
      <c r="D13" s="109"/>
      <c r="E13" s="109"/>
      <c r="F13" s="109"/>
      <c r="H13" s="234"/>
      <c r="L13" s="236"/>
    </row>
    <row r="14" spans="1:12">
      <c r="A14" s="189">
        <f t="shared" si="0"/>
        <v>7</v>
      </c>
      <c r="B14" s="109" t="s">
        <v>13</v>
      </c>
      <c r="C14" s="166">
        <f>'Pg 2 CapStructure'!Q10</f>
        <v>240409667</v>
      </c>
      <c r="D14" s="446">
        <f>ROUND(C14/$C$30,4)</f>
        <v>3.0599999999999999E-2</v>
      </c>
      <c r="E14" s="344">
        <f>'Pg 6 LTD Cost '!H31</f>
        <v>2.41E-2</v>
      </c>
      <c r="F14" s="177">
        <f>ROUND(D14*E14,4)</f>
        <v>6.9999999999999999E-4</v>
      </c>
      <c r="L14" s="234"/>
    </row>
    <row r="15" spans="1:12">
      <c r="A15" s="189">
        <f t="shared" si="0"/>
        <v>8</v>
      </c>
      <c r="B15" s="109"/>
      <c r="C15" s="168"/>
      <c r="D15" s="177"/>
      <c r="E15" s="167"/>
      <c r="F15" s="177"/>
      <c r="L15" s="234"/>
    </row>
    <row r="16" spans="1:12">
      <c r="A16" s="189">
        <f t="shared" si="0"/>
        <v>9</v>
      </c>
      <c r="B16" s="109" t="s">
        <v>14</v>
      </c>
      <c r="C16" s="168">
        <f>'Pg 2 CapStructure'!Q16</f>
        <v>3768263996</v>
      </c>
      <c r="D16" s="412">
        <f>ROUND(C16/$C$30,4)</f>
        <v>0.47939999999999999</v>
      </c>
      <c r="E16" s="169">
        <f>'Pg 6 LTD Cost '!H29</f>
        <v>5.8700000000000002E-2</v>
      </c>
      <c r="F16" s="177">
        <f>ROUND(D16*E16,4)</f>
        <v>2.81E-2</v>
      </c>
      <c r="L16" s="234"/>
    </row>
    <row r="17" spans="1:12">
      <c r="A17" s="189">
        <f t="shared" si="0"/>
        <v>10</v>
      </c>
      <c r="B17" s="111"/>
      <c r="C17" s="170"/>
      <c r="D17" s="177"/>
      <c r="E17" s="169"/>
      <c r="F17" s="352"/>
      <c r="H17" s="245"/>
      <c r="I17" s="191"/>
      <c r="J17" s="191"/>
      <c r="K17" s="191"/>
      <c r="L17" s="246"/>
    </row>
    <row r="18" spans="1:12">
      <c r="A18" s="189">
        <v>11</v>
      </c>
      <c r="B18" s="104" t="s">
        <v>188</v>
      </c>
      <c r="C18" s="170"/>
      <c r="D18" s="177">
        <f>ROUND((C14+C16)/C30,4)</f>
        <v>0.51</v>
      </c>
      <c r="E18" s="169">
        <f>'Pg 6 LTD Cost '!H33</f>
        <v>5.6899999999999999E-2</v>
      </c>
      <c r="F18" s="352">
        <f>F16+F14</f>
        <v>2.8799999999999999E-2</v>
      </c>
      <c r="H18" s="422"/>
      <c r="I18" s="191"/>
      <c r="J18" s="191"/>
      <c r="K18" s="191"/>
      <c r="L18" s="246"/>
    </row>
    <row r="19" spans="1:12">
      <c r="A19" s="189">
        <v>12</v>
      </c>
      <c r="B19" s="111"/>
      <c r="C19" s="170"/>
      <c r="D19" s="177"/>
      <c r="E19" s="169"/>
      <c r="F19" s="352"/>
      <c r="H19" s="245"/>
      <c r="I19" s="191"/>
      <c r="J19" s="191"/>
      <c r="K19" s="191"/>
      <c r="L19" s="246"/>
    </row>
    <row r="20" spans="1:12">
      <c r="A20" s="189">
        <v>13</v>
      </c>
      <c r="B20" s="104" t="s">
        <v>54</v>
      </c>
      <c r="C20" s="170"/>
      <c r="D20" s="177"/>
      <c r="E20" s="169"/>
      <c r="F20" s="352">
        <f>'Pg 4 STD OS &amp; Comm Fees'!F20</f>
        <v>2.0000000000000001E-4</v>
      </c>
      <c r="H20" s="245"/>
      <c r="I20" s="191"/>
      <c r="J20" s="191"/>
      <c r="K20" s="191"/>
      <c r="L20" s="246"/>
    </row>
    <row r="21" spans="1:12">
      <c r="A21" s="189">
        <v>14</v>
      </c>
      <c r="B21" s="111"/>
      <c r="C21" s="170"/>
      <c r="D21" s="177"/>
      <c r="E21" s="169"/>
      <c r="F21" s="352"/>
      <c r="H21" s="245"/>
      <c r="I21" s="191"/>
      <c r="J21" s="191"/>
      <c r="K21" s="191"/>
      <c r="L21" s="246"/>
    </row>
    <row r="22" spans="1:12">
      <c r="A22" s="189">
        <v>15</v>
      </c>
      <c r="B22" s="104" t="s">
        <v>189</v>
      </c>
      <c r="C22" s="170"/>
      <c r="D22" s="177"/>
      <c r="E22" s="169"/>
      <c r="F22" s="352">
        <f>'Pg 5 STD Amort'!I35</f>
        <v>1E-4</v>
      </c>
      <c r="H22" s="245"/>
      <c r="I22" s="191"/>
      <c r="J22" s="191"/>
      <c r="K22" s="191"/>
      <c r="L22" s="246"/>
    </row>
    <row r="23" spans="1:12">
      <c r="A23" s="189">
        <v>16</v>
      </c>
      <c r="B23" s="111"/>
      <c r="C23" s="170"/>
      <c r="D23" s="177"/>
      <c r="E23" s="169"/>
      <c r="F23" s="352"/>
      <c r="H23" s="245"/>
      <c r="I23" s="191"/>
      <c r="J23" s="191"/>
      <c r="K23" s="191"/>
      <c r="L23" s="246"/>
    </row>
    <row r="24" spans="1:12">
      <c r="A24" s="189">
        <v>17</v>
      </c>
      <c r="B24" s="104" t="s">
        <v>190</v>
      </c>
      <c r="C24" s="170"/>
      <c r="D24" s="177"/>
      <c r="E24" s="169"/>
      <c r="F24" s="352">
        <f>'Pg 7 Reacquired Debt'!I35</f>
        <v>2.9999999999999997E-4</v>
      </c>
      <c r="H24" s="245"/>
      <c r="I24" s="191"/>
      <c r="J24" s="191"/>
      <c r="K24" s="191"/>
      <c r="L24" s="246"/>
    </row>
    <row r="25" spans="1:12">
      <c r="A25" s="189">
        <v>18</v>
      </c>
      <c r="B25" s="111"/>
      <c r="C25" s="447"/>
      <c r="D25" s="177"/>
      <c r="E25" s="169"/>
      <c r="F25" s="352"/>
      <c r="H25"/>
      <c r="I25" s="191"/>
      <c r="J25" s="191"/>
      <c r="K25" s="191"/>
      <c r="L25" s="246"/>
    </row>
    <row r="26" spans="1:12">
      <c r="A26" s="189">
        <v>19</v>
      </c>
      <c r="B26" s="111" t="s">
        <v>191</v>
      </c>
      <c r="C26" s="447">
        <f>C16+C14</f>
        <v>4008673663</v>
      </c>
      <c r="D26" s="177">
        <f>D18</f>
        <v>0.51</v>
      </c>
      <c r="E26" s="448">
        <f>F26/D26</f>
        <v>5.7647058823529412E-2</v>
      </c>
      <c r="F26" s="442">
        <f>SUM(F18:F25)</f>
        <v>2.9399999999999999E-2</v>
      </c>
      <c r="G26" s="437"/>
      <c r="H26"/>
      <c r="I26" s="191"/>
      <c r="J26" s="191"/>
      <c r="K26" s="191"/>
      <c r="L26" s="246"/>
    </row>
    <row r="27" spans="1:12">
      <c r="A27" s="189">
        <v>20</v>
      </c>
      <c r="B27" s="111"/>
      <c r="C27" s="447"/>
      <c r="D27" s="177"/>
      <c r="E27" s="169"/>
      <c r="F27" s="352"/>
      <c r="H27"/>
      <c r="I27" s="191"/>
      <c r="J27" s="191"/>
      <c r="K27" s="191"/>
      <c r="L27" s="246"/>
    </row>
    <row r="28" spans="1:12">
      <c r="A28" s="189">
        <v>21</v>
      </c>
      <c r="B28" s="110" t="s">
        <v>15</v>
      </c>
      <c r="C28" s="449">
        <f>'Pg 2 CapStructure'!Q20</f>
        <v>3852191881</v>
      </c>
      <c r="D28" s="332">
        <f>ROUND(C28/$C$30,4)</f>
        <v>0.49</v>
      </c>
      <c r="E28" s="445">
        <v>9.5000000000000001E-2</v>
      </c>
      <c r="F28" s="353">
        <f>ROUND(D28*E28,4)</f>
        <v>4.6600000000000003E-2</v>
      </c>
      <c r="H28"/>
      <c r="I28" s="247"/>
      <c r="J28" s="248"/>
      <c r="K28" s="249"/>
      <c r="L28" s="169"/>
    </row>
    <row r="29" spans="1:12">
      <c r="A29" s="189">
        <v>22</v>
      </c>
      <c r="B29" s="111"/>
      <c r="C29" s="442"/>
      <c r="D29" s="171"/>
      <c r="E29" s="409"/>
      <c r="F29" s="169"/>
      <c r="H29"/>
      <c r="I29" s="247"/>
      <c r="J29" s="248"/>
      <c r="K29" s="249"/>
      <c r="L29" s="169"/>
    </row>
    <row r="30" spans="1:12">
      <c r="A30" s="189">
        <v>23</v>
      </c>
      <c r="B30" s="110" t="s">
        <v>16</v>
      </c>
      <c r="C30" s="450">
        <f>C28+C26</f>
        <v>7860865544</v>
      </c>
      <c r="D30" s="239">
        <f>D28+D18</f>
        <v>1</v>
      </c>
      <c r="E30" s="416"/>
      <c r="F30" s="223">
        <f>F28+F26</f>
        <v>7.5999999999999998E-2</v>
      </c>
      <c r="H30"/>
      <c r="I30" s="112"/>
      <c r="J30" s="248"/>
      <c r="K30" s="169"/>
      <c r="L30" s="250"/>
    </row>
    <row r="31" spans="1:12">
      <c r="A31" s="189">
        <v>24</v>
      </c>
      <c r="B31" s="104"/>
      <c r="C31" s="451"/>
      <c r="D31" s="112"/>
      <c r="E31" s="172"/>
      <c r="F31" s="112"/>
      <c r="H31"/>
      <c r="I31" s="104"/>
      <c r="J31" s="104"/>
    </row>
    <row r="32" spans="1:12">
      <c r="A32" s="189">
        <v>25</v>
      </c>
      <c r="B32" s="104"/>
      <c r="C32" s="452"/>
      <c r="D32" s="104"/>
      <c r="E32" s="112"/>
      <c r="F32" s="104"/>
      <c r="H32"/>
    </row>
    <row r="33" spans="1:8">
      <c r="A33" s="189">
        <v>26</v>
      </c>
      <c r="B33" s="367" t="s">
        <v>167</v>
      </c>
      <c r="C33" s="452"/>
      <c r="D33" s="104"/>
      <c r="E33" s="140"/>
      <c r="F33" s="104"/>
      <c r="G33" s="237"/>
      <c r="H33"/>
    </row>
    <row r="34" spans="1:8">
      <c r="A34" s="15"/>
      <c r="B34" s="104"/>
      <c r="C34" s="104"/>
      <c r="D34" s="104"/>
      <c r="E34" s="104"/>
      <c r="F34" s="104"/>
    </row>
    <row r="35" spans="1:8">
      <c r="A35" s="15"/>
      <c r="B35" s="104"/>
      <c r="C35" s="168"/>
      <c r="D35" s="104"/>
      <c r="E35" s="104"/>
      <c r="F35" s="104"/>
    </row>
    <row r="36" spans="1:8">
      <c r="A36" s="15"/>
      <c r="B36" s="104"/>
      <c r="C36" s="168"/>
      <c r="D36" s="104"/>
      <c r="E36" s="104"/>
      <c r="F36" s="104"/>
    </row>
    <row r="37" spans="1:8">
      <c r="A37" s="15"/>
      <c r="B37" s="104"/>
      <c r="C37" s="168"/>
      <c r="D37" s="104"/>
      <c r="E37" s="104"/>
      <c r="F37" s="104"/>
    </row>
    <row r="38" spans="1:8">
      <c r="A38" s="15"/>
      <c r="B38" s="104"/>
      <c r="D38" s="104"/>
      <c r="E38" s="104"/>
      <c r="F38" s="104"/>
    </row>
    <row r="39" spans="1:8">
      <c r="A39" s="15"/>
      <c r="B39" s="104"/>
      <c r="C39" s="190"/>
      <c r="D39" s="104"/>
      <c r="E39" s="104"/>
      <c r="F39" s="104"/>
    </row>
    <row r="40" spans="1:8">
      <c r="A40" s="15"/>
      <c r="B40" s="104"/>
      <c r="C40" s="104"/>
      <c r="D40" s="104"/>
      <c r="E40" s="104"/>
      <c r="F40" s="104"/>
    </row>
    <row r="41" spans="1:8">
      <c r="A41" s="15"/>
      <c r="B41" s="104"/>
      <c r="C41" s="104"/>
      <c r="D41" s="104"/>
      <c r="E41" s="104"/>
      <c r="F41" s="104"/>
    </row>
    <row r="42" spans="1:8">
      <c r="B42" s="104"/>
      <c r="C42" s="104"/>
      <c r="D42" s="104"/>
      <c r="E42" s="104"/>
      <c r="F42" s="104"/>
    </row>
    <row r="43" spans="1:8">
      <c r="B43" s="104"/>
      <c r="C43" s="104"/>
      <c r="D43" s="104"/>
      <c r="E43" s="104"/>
      <c r="F43" s="104"/>
    </row>
    <row r="44" spans="1:8">
      <c r="E44" s="104"/>
    </row>
    <row r="46" spans="1:8">
      <c r="C46" s="20"/>
      <c r="D46" s="21"/>
    </row>
    <row r="47" spans="1:8">
      <c r="D47" s="21"/>
    </row>
    <row r="48" spans="1:8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20" zoomScaleNormal="120" workbookViewId="0">
      <pane xSplit="2" ySplit="6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O56" sqref="O56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0.83203125" style="2" customWidth="1"/>
    <col min="4" max="4" width="11" style="2" customWidth="1"/>
    <col min="5" max="5" width="11.1640625" style="2" customWidth="1"/>
    <col min="6" max="7" width="10.83203125" style="2" customWidth="1"/>
    <col min="8" max="9" width="10.5" style="2" customWidth="1"/>
    <col min="10" max="11" width="10.83203125" style="2" customWidth="1"/>
    <col min="12" max="16" width="10.6640625" style="2" customWidth="1"/>
    <col min="17" max="17" width="12.5" style="1" customWidth="1"/>
    <col min="18" max="18" width="10.33203125" style="1" customWidth="1"/>
    <col min="19" max="19" width="13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B1" s="144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53">
      <c r="B2" s="144" t="s">
        <v>35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53" ht="12.75" customHeight="1">
      <c r="B3" s="454" t="s">
        <v>199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</row>
    <row r="4" spans="1:53">
      <c r="B4" s="453" t="s">
        <v>59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</row>
    <row r="5" spans="1:53">
      <c r="A5" s="130">
        <v>1</v>
      </c>
      <c r="B5" s="128" t="s">
        <v>5</v>
      </c>
      <c r="C5" s="309" t="s">
        <v>27</v>
      </c>
      <c r="D5" s="309" t="s">
        <v>52</v>
      </c>
      <c r="E5" s="309" t="s">
        <v>64</v>
      </c>
      <c r="F5" s="309" t="s">
        <v>65</v>
      </c>
      <c r="G5" s="309" t="s">
        <v>66</v>
      </c>
      <c r="H5" s="309" t="s">
        <v>67</v>
      </c>
      <c r="I5" s="309" t="s">
        <v>68</v>
      </c>
      <c r="J5" s="309" t="s">
        <v>69</v>
      </c>
      <c r="K5" s="309" t="s">
        <v>71</v>
      </c>
      <c r="L5" s="309" t="s">
        <v>72</v>
      </c>
      <c r="M5" s="309" t="s">
        <v>73</v>
      </c>
      <c r="N5" s="309" t="s">
        <v>74</v>
      </c>
      <c r="O5" s="309" t="s">
        <v>75</v>
      </c>
      <c r="P5" s="309"/>
      <c r="Q5" s="128" t="s">
        <v>76</v>
      </c>
    </row>
    <row r="6" spans="1:53" ht="35.1" customHeight="1">
      <c r="A6" s="130">
        <f>+A5+1</f>
        <v>2</v>
      </c>
      <c r="B6" s="102" t="s">
        <v>1</v>
      </c>
      <c r="C6" s="194">
        <v>43100</v>
      </c>
      <c r="D6" s="194">
        <v>43131</v>
      </c>
      <c r="E6" s="194">
        <v>43159</v>
      </c>
      <c r="F6" s="194">
        <v>43190</v>
      </c>
      <c r="G6" s="194">
        <v>43220</v>
      </c>
      <c r="H6" s="194">
        <v>43251</v>
      </c>
      <c r="I6" s="194">
        <v>43281</v>
      </c>
      <c r="J6" s="194">
        <v>43312</v>
      </c>
      <c r="K6" s="194">
        <v>43343</v>
      </c>
      <c r="L6" s="194">
        <v>43373</v>
      </c>
      <c r="M6" s="194">
        <v>43404</v>
      </c>
      <c r="N6" s="194">
        <v>43434</v>
      </c>
      <c r="O6" s="194">
        <v>43465</v>
      </c>
      <c r="P6" s="194"/>
      <c r="Q6" s="123" t="s">
        <v>107</v>
      </c>
      <c r="R6" s="101"/>
      <c r="S6" s="9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>
      <c r="A7" s="130">
        <f>+A6+1</f>
        <v>3</v>
      </c>
      <c r="B7" s="142" t="s">
        <v>36</v>
      </c>
      <c r="C7" s="368">
        <v>329463000</v>
      </c>
      <c r="D7" s="368">
        <v>255500000</v>
      </c>
      <c r="E7" s="368">
        <v>153050000</v>
      </c>
      <c r="F7" s="368">
        <v>370689000</v>
      </c>
      <c r="G7" s="368">
        <v>391000000</v>
      </c>
      <c r="H7" s="368">
        <v>366000000</v>
      </c>
      <c r="I7" s="368">
        <v>28000000</v>
      </c>
      <c r="J7" s="368">
        <v>80000000</v>
      </c>
      <c r="K7" s="368">
        <v>102000000</v>
      </c>
      <c r="L7" s="368">
        <v>206000000</v>
      </c>
      <c r="M7" s="368">
        <v>259000000</v>
      </c>
      <c r="N7" s="368">
        <v>319297000</v>
      </c>
      <c r="O7" s="368">
        <v>379297000</v>
      </c>
      <c r="P7" s="368"/>
      <c r="Q7" s="163">
        <f>ROUND(((C7+O7)+(SUM(D7:N7)*2))/24,0)</f>
        <v>240409667</v>
      </c>
      <c r="R7" s="407"/>
      <c r="S7" s="408"/>
      <c r="T7" s="408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</row>
    <row r="8" spans="1:53">
      <c r="A8" s="130">
        <f>+A7+1</f>
        <v>4</v>
      </c>
      <c r="B8" s="142" t="s">
        <v>163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163">
        <f>ROUND(((C8+L8)+(SUM(D8:N8)*2))/24,0)</f>
        <v>0</v>
      </c>
      <c r="R8" s="407"/>
      <c r="S8" s="408"/>
      <c r="T8" s="408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</row>
    <row r="9" spans="1:53" ht="13.5" thickBot="1">
      <c r="A9" s="130">
        <f>+A8+1</f>
        <v>5</v>
      </c>
      <c r="B9" s="142" t="s">
        <v>149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163">
        <f>ROUND(((C9+L9)+(SUM(D9:N9)*2))/24,0)</f>
        <v>0</v>
      </c>
      <c r="R9" s="101"/>
      <c r="T9" s="408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ht="13.5" thickBot="1">
      <c r="A10" s="130">
        <f>+A9+1</f>
        <v>6</v>
      </c>
      <c r="B10" s="143" t="s">
        <v>30</v>
      </c>
      <c r="C10" s="358">
        <f t="shared" ref="C10:H10" si="0">SUM(C7:C9)</f>
        <v>329463000</v>
      </c>
      <c r="D10" s="358">
        <f t="shared" si="0"/>
        <v>255500000</v>
      </c>
      <c r="E10" s="358">
        <f t="shared" si="0"/>
        <v>153050000</v>
      </c>
      <c r="F10" s="358">
        <f t="shared" si="0"/>
        <v>370689000</v>
      </c>
      <c r="G10" s="358">
        <f t="shared" si="0"/>
        <v>391000000</v>
      </c>
      <c r="H10" s="358">
        <f t="shared" si="0"/>
        <v>366000000</v>
      </c>
      <c r="I10" s="358">
        <f t="shared" ref="I10:Q10" si="1">SUM(I7:I9)</f>
        <v>28000000</v>
      </c>
      <c r="J10" s="358">
        <f t="shared" si="1"/>
        <v>80000000</v>
      </c>
      <c r="K10" s="358">
        <f t="shared" si="1"/>
        <v>102000000</v>
      </c>
      <c r="L10" s="358">
        <f t="shared" si="1"/>
        <v>206000000</v>
      </c>
      <c r="M10" s="358">
        <f t="shared" si="1"/>
        <v>259000000</v>
      </c>
      <c r="N10" s="358">
        <f t="shared" si="1"/>
        <v>319297000</v>
      </c>
      <c r="O10" s="358">
        <f t="shared" si="1"/>
        <v>379297000</v>
      </c>
      <c r="P10" s="196"/>
      <c r="Q10" s="214">
        <f t="shared" si="1"/>
        <v>240409667</v>
      </c>
      <c r="R10" s="97"/>
      <c r="T10" s="97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2"/>
      <c r="AG10" s="92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ht="6.95" customHeight="1" thickBot="1">
      <c r="A11" s="130"/>
      <c r="B11" s="141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163"/>
      <c r="R11" s="97"/>
      <c r="T11" s="9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2"/>
      <c r="AG11" s="92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13.5" thickBot="1">
      <c r="A12" s="130">
        <f>+A10+1</f>
        <v>7</v>
      </c>
      <c r="B12" s="143" t="s">
        <v>122</v>
      </c>
      <c r="C12" s="369">
        <f>3523860000-24602220-1758560</f>
        <v>3497499220</v>
      </c>
      <c r="D12" s="369">
        <f>3523860000-24441336-1753206</f>
        <v>3497665458</v>
      </c>
      <c r="E12" s="369">
        <f>3523860000-24320009-1747851</f>
        <v>3497792140</v>
      </c>
      <c r="F12" s="369">
        <f>3523860000-24198682-1742497</f>
        <v>3497918821</v>
      </c>
      <c r="G12" s="369">
        <f>3523860000-24077356-1737143</f>
        <v>3498045501</v>
      </c>
      <c r="H12" s="369">
        <f>3523860000-23956029-1731788</f>
        <v>3498172183</v>
      </c>
      <c r="I12" s="369">
        <f>3923860000-24245951-6983726</f>
        <v>3892630323</v>
      </c>
      <c r="J12" s="369">
        <f>3923860000-24988076-6949205</f>
        <v>3891922719</v>
      </c>
      <c r="K12" s="369">
        <f>3923860000-24987492-6929267</f>
        <v>3891943241</v>
      </c>
      <c r="L12" s="369">
        <v>3892076008</v>
      </c>
      <c r="M12" s="369">
        <v>3892170221</v>
      </c>
      <c r="N12" s="369">
        <v>3892307056</v>
      </c>
      <c r="O12" s="369">
        <v>3892443356</v>
      </c>
      <c r="P12" s="369"/>
      <c r="Q12" s="214">
        <f>ROUND(((C12+O12)+(SUM(D12:N12)*2))/24,0)</f>
        <v>3711467913</v>
      </c>
      <c r="R12" s="97"/>
      <c r="S12" s="408"/>
      <c r="T12" s="408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2"/>
      <c r="AG12" s="92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ht="6" customHeight="1">
      <c r="A13" s="130"/>
      <c r="B13" s="143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164"/>
      <c r="R13" s="97"/>
      <c r="T13" s="97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ht="13.5" customHeight="1">
      <c r="A14" s="130">
        <f>+A12+1</f>
        <v>8</v>
      </c>
      <c r="B14" s="143" t="s">
        <v>116</v>
      </c>
      <c r="C14" s="370">
        <v>250000000</v>
      </c>
      <c r="D14" s="370">
        <v>250000000</v>
      </c>
      <c r="E14" s="370">
        <v>250000000</v>
      </c>
      <c r="F14" s="370">
        <v>56553000</v>
      </c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241">
        <f>ROUND(((C14+O14)+(SUM(D14:N14)*2))/24,0)</f>
        <v>56796083</v>
      </c>
      <c r="R14" s="97"/>
      <c r="S14" s="408"/>
      <c r="T14" s="408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ht="5.25" customHeight="1" thickBot="1">
      <c r="A15" s="130"/>
      <c r="B15" s="143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164"/>
      <c r="R15" s="97"/>
      <c r="S15" s="97"/>
      <c r="T15" s="97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ht="13.5" customHeight="1" thickBot="1">
      <c r="A16" s="130">
        <f>+A14+1</f>
        <v>9</v>
      </c>
      <c r="B16" s="143" t="s">
        <v>14</v>
      </c>
      <c r="C16" s="301">
        <f t="shared" ref="C16:O16" si="2">SUM(C12:C14)</f>
        <v>3747499220</v>
      </c>
      <c r="D16" s="301">
        <f t="shared" si="2"/>
        <v>3747665458</v>
      </c>
      <c r="E16" s="301">
        <f t="shared" si="2"/>
        <v>3747792140</v>
      </c>
      <c r="F16" s="301">
        <f t="shared" si="2"/>
        <v>3554471821</v>
      </c>
      <c r="G16" s="301">
        <f t="shared" si="2"/>
        <v>3498045501</v>
      </c>
      <c r="H16" s="301">
        <f t="shared" si="2"/>
        <v>3498172183</v>
      </c>
      <c r="I16" s="301">
        <f t="shared" si="2"/>
        <v>3892630323</v>
      </c>
      <c r="J16" s="301">
        <f t="shared" si="2"/>
        <v>3891922719</v>
      </c>
      <c r="K16" s="301">
        <f t="shared" si="2"/>
        <v>3891943241</v>
      </c>
      <c r="L16" s="301">
        <f t="shared" si="2"/>
        <v>3892076008</v>
      </c>
      <c r="M16" s="301">
        <f t="shared" si="2"/>
        <v>3892170221</v>
      </c>
      <c r="N16" s="301">
        <f t="shared" si="2"/>
        <v>3892307056</v>
      </c>
      <c r="O16" s="301">
        <f t="shared" si="2"/>
        <v>3892443356</v>
      </c>
      <c r="P16" s="98"/>
      <c r="Q16" s="214">
        <f>SUM(Q12:Q14)</f>
        <v>3768263996</v>
      </c>
      <c r="R16" s="97"/>
      <c r="S16" s="264"/>
      <c r="T16" s="97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ht="6.75" customHeight="1" thickBot="1">
      <c r="A17" s="130"/>
      <c r="B17" s="14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64"/>
      <c r="R17" s="97"/>
      <c r="S17" s="97"/>
      <c r="T17" s="97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ht="13.5" thickBot="1">
      <c r="A18" s="130">
        <f>+A16+1</f>
        <v>10</v>
      </c>
      <c r="B18" s="143" t="s">
        <v>82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0</v>
      </c>
      <c r="N18" s="300">
        <v>0</v>
      </c>
      <c r="O18" s="300">
        <v>0</v>
      </c>
      <c r="P18" s="300"/>
      <c r="Q18" s="213"/>
      <c r="R18" s="97"/>
      <c r="S18" s="176"/>
      <c r="T18" s="97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ht="6.95" customHeight="1" thickBot="1">
      <c r="A19" s="130"/>
      <c r="B19" s="143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63"/>
      <c r="R19" s="97"/>
      <c r="S19" s="97"/>
      <c r="T19" s="97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ht="13.5" thickBot="1">
      <c r="A20" s="130">
        <f>+A18+1</f>
        <v>11</v>
      </c>
      <c r="B20" s="143" t="s">
        <v>97</v>
      </c>
      <c r="C20" s="302">
        <f t="shared" ref="C20:H20" si="3">C44</f>
        <v>3770421993</v>
      </c>
      <c r="D20" s="302">
        <f t="shared" si="3"/>
        <v>3830206006</v>
      </c>
      <c r="E20" s="302">
        <f t="shared" si="3"/>
        <v>3880699843</v>
      </c>
      <c r="F20" s="302">
        <f>F44</f>
        <v>3879184263</v>
      </c>
      <c r="G20" s="302">
        <f t="shared" si="3"/>
        <v>3897023977</v>
      </c>
      <c r="H20" s="302">
        <f t="shared" si="3"/>
        <v>3896636196</v>
      </c>
      <c r="I20" s="302">
        <f t="shared" ref="I20:O20" si="4">I44</f>
        <v>3856513605</v>
      </c>
      <c r="J20" s="302">
        <f t="shared" si="4"/>
        <v>3845263673</v>
      </c>
      <c r="K20" s="302">
        <f>K44</f>
        <v>3836679107</v>
      </c>
      <c r="L20" s="302">
        <f t="shared" si="4"/>
        <v>3800815427</v>
      </c>
      <c r="M20" s="302">
        <f t="shared" si="4"/>
        <v>3817737182</v>
      </c>
      <c r="N20" s="302">
        <f t="shared" si="4"/>
        <v>3859567841</v>
      </c>
      <c r="O20" s="302">
        <f t="shared" si="4"/>
        <v>3881528902</v>
      </c>
      <c r="P20" s="270"/>
      <c r="Q20" s="213">
        <f>ROUND(((C20+O20)+(SUM(D20:N20)*2))/24,0)</f>
        <v>3852191881</v>
      </c>
      <c r="R20" s="97"/>
      <c r="S20" s="97"/>
      <c r="T20" s="97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ht="6.95" customHeight="1">
      <c r="A21" s="130"/>
      <c r="B21" s="14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65"/>
      <c r="R21" s="97"/>
      <c r="S21" s="97"/>
      <c r="T21" s="97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ht="13.5" thickBot="1">
      <c r="A22" s="130">
        <f>+A20+1</f>
        <v>12</v>
      </c>
      <c r="B22" s="143" t="s">
        <v>86</v>
      </c>
      <c r="C22" s="303">
        <f t="shared" ref="C22:H22" si="5">C10+C16+C18+C20</f>
        <v>7847384213</v>
      </c>
      <c r="D22" s="303">
        <f t="shared" si="5"/>
        <v>7833371464</v>
      </c>
      <c r="E22" s="303">
        <f t="shared" si="5"/>
        <v>7781541983</v>
      </c>
      <c r="F22" s="303">
        <f>F10+F16+F18+F20-1000</f>
        <v>7804344084</v>
      </c>
      <c r="G22" s="303">
        <f>G10+G16+G18+G20-1000</f>
        <v>7786068478</v>
      </c>
      <c r="H22" s="303">
        <f t="shared" si="5"/>
        <v>7760808379</v>
      </c>
      <c r="I22" s="303">
        <f>I10+I16+I18+I20</f>
        <v>7777143928</v>
      </c>
      <c r="J22" s="303">
        <f>J10+J16+J18+J20+1000</f>
        <v>7817187392</v>
      </c>
      <c r="K22" s="303">
        <f t="shared" ref="K22:O22" si="6">K10+K16+K18+K20</f>
        <v>7830622348</v>
      </c>
      <c r="L22" s="303">
        <f>L10+L16+L18+L20</f>
        <v>7898891435</v>
      </c>
      <c r="M22" s="303">
        <f t="shared" si="6"/>
        <v>7968907403</v>
      </c>
      <c r="N22" s="303">
        <f t="shared" si="6"/>
        <v>8071171897</v>
      </c>
      <c r="O22" s="303">
        <f t="shared" si="6"/>
        <v>8153269258</v>
      </c>
      <c r="P22" s="303"/>
      <c r="Q22" s="242">
        <f>Q10+Q16+Q18+Q20</f>
        <v>7860865544</v>
      </c>
      <c r="R22" s="97"/>
      <c r="S22" s="97"/>
      <c r="T22" s="97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ht="13.5" thickTop="1">
      <c r="A23" s="130"/>
      <c r="B23" s="143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93"/>
      <c r="R23" s="97"/>
      <c r="S23" s="97"/>
      <c r="T23" s="97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>
      <c r="A24" s="130">
        <f>+A22+1</f>
        <v>13</v>
      </c>
      <c r="B24" s="129" t="s">
        <v>30</v>
      </c>
      <c r="C24" s="304">
        <f t="shared" ref="C24:H24" si="7">C10/C$22</f>
        <v>4.1983798812120172E-2</v>
      </c>
      <c r="D24" s="304">
        <f t="shared" si="7"/>
        <v>3.2616862506036771E-2</v>
      </c>
      <c r="E24" s="304">
        <f t="shared" si="7"/>
        <v>1.9668338272075349E-2</v>
      </c>
      <c r="F24" s="304">
        <f t="shared" si="7"/>
        <v>4.7497777649240819E-2</v>
      </c>
      <c r="G24" s="304">
        <f t="shared" si="7"/>
        <v>5.0217898944094029E-2</v>
      </c>
      <c r="H24" s="304">
        <f t="shared" si="7"/>
        <v>4.7160035672361239E-2</v>
      </c>
      <c r="I24" s="304">
        <f>I10/I$22</f>
        <v>3.6002934058082408E-3</v>
      </c>
      <c r="J24" s="304">
        <f>J10/J$22</f>
        <v>1.0233859825577531E-2</v>
      </c>
      <c r="K24" s="304">
        <f>K10/K$22</f>
        <v>1.3025784601405476E-2</v>
      </c>
      <c r="L24" s="304">
        <f>L10/L$22</f>
        <v>2.6079608979965682E-2</v>
      </c>
      <c r="M24" s="304">
        <f t="shared" ref="M24:O24" si="8">M10/M$22</f>
        <v>3.2501318800930733E-2</v>
      </c>
      <c r="N24" s="304">
        <f t="shared" si="8"/>
        <v>3.9560178382358646E-2</v>
      </c>
      <c r="O24" s="304">
        <f t="shared" si="8"/>
        <v>4.6520848017846735E-2</v>
      </c>
      <c r="P24" s="304"/>
      <c r="Q24" s="305">
        <f>Q10/Q$22</f>
        <v>3.0583103813993946E-2</v>
      </c>
      <c r="R24" s="97"/>
      <c r="S24" s="97"/>
      <c r="T24" s="97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>
      <c r="A25" s="130">
        <f>+A24+1</f>
        <v>14</v>
      </c>
      <c r="B25" s="129" t="s">
        <v>31</v>
      </c>
      <c r="C25" s="306">
        <f t="shared" ref="C25:H25" si="9">C16/C$22</f>
        <v>0.47754756467663223</v>
      </c>
      <c r="D25" s="306">
        <f t="shared" si="9"/>
        <v>0.47842304877577041</v>
      </c>
      <c r="E25" s="306">
        <f t="shared" si="9"/>
        <v>0.48162589730771105</v>
      </c>
      <c r="F25" s="306">
        <f t="shared" si="9"/>
        <v>0.4554478611837689</v>
      </c>
      <c r="G25" s="306">
        <f t="shared" si="9"/>
        <v>0.44926980938890221</v>
      </c>
      <c r="H25" s="306">
        <f t="shared" si="9"/>
        <v>0.45074842879328358</v>
      </c>
      <c r="I25" s="306">
        <f>I16/I$22</f>
        <v>0.50052183154093222</v>
      </c>
      <c r="J25" s="306">
        <f>J16/J$22</f>
        <v>0.49786739447783218</v>
      </c>
      <c r="K25" s="306">
        <f>K16/K$22</f>
        <v>0.49701582684472473</v>
      </c>
      <c r="L25" s="306">
        <f>L16/L$22</f>
        <v>0.4927369922764358</v>
      </c>
      <c r="M25" s="306">
        <f t="shared" ref="M25:O25" si="10">M16/M$22</f>
        <v>0.48841955668034759</v>
      </c>
      <c r="N25" s="306">
        <f t="shared" si="10"/>
        <v>0.48224806826958355</v>
      </c>
      <c r="O25" s="306">
        <f t="shared" si="10"/>
        <v>0.47740890590369361</v>
      </c>
      <c r="P25" s="306"/>
      <c r="Q25" s="307">
        <f>Q16/Q$22</f>
        <v>0.47937011196893203</v>
      </c>
      <c r="R25" s="97"/>
      <c r="S25" s="97"/>
      <c r="T25" s="97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53">
      <c r="A26" s="130">
        <f>+A25+1</f>
        <v>15</v>
      </c>
      <c r="B26" s="129" t="s">
        <v>103</v>
      </c>
      <c r="C26" s="304">
        <f t="shared" ref="C26:H26" si="11">SUM(C24:C25)</f>
        <v>0.5195313634887524</v>
      </c>
      <c r="D26" s="304">
        <f t="shared" si="11"/>
        <v>0.51103991128180715</v>
      </c>
      <c r="E26" s="304">
        <f t="shared" si="11"/>
        <v>0.50129423557978636</v>
      </c>
      <c r="F26" s="304">
        <f t="shared" si="11"/>
        <v>0.50294563883300969</v>
      </c>
      <c r="G26" s="304">
        <f t="shared" si="11"/>
        <v>0.49948770833299622</v>
      </c>
      <c r="H26" s="304">
        <f t="shared" si="11"/>
        <v>0.49790846446564485</v>
      </c>
      <c r="I26" s="304">
        <f>SUM(I24:I25)</f>
        <v>0.50412212494674047</v>
      </c>
      <c r="J26" s="304">
        <f>SUM(J24:J25)</f>
        <v>0.50810125430340969</v>
      </c>
      <c r="K26" s="304">
        <f>SUM(K24:K25)</f>
        <v>0.51004161144613025</v>
      </c>
      <c r="L26" s="304">
        <f>SUM(L24:L25)</f>
        <v>0.5188166012564015</v>
      </c>
      <c r="M26" s="304">
        <f t="shared" ref="M26:O26" si="12">SUM(M24:M25)</f>
        <v>0.5209208754812783</v>
      </c>
      <c r="N26" s="304">
        <f t="shared" si="12"/>
        <v>0.52180824665194225</v>
      </c>
      <c r="O26" s="304">
        <f t="shared" si="12"/>
        <v>0.5239297539215404</v>
      </c>
      <c r="P26" s="304"/>
      <c r="Q26" s="305">
        <f>SUM(Q24:Q25)</f>
        <v>0.50995321578292596</v>
      </c>
      <c r="R26" s="97"/>
      <c r="S26" s="97"/>
      <c r="T26" s="97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3">
      <c r="A27" s="130">
        <f>+A26+1</f>
        <v>16</v>
      </c>
      <c r="B27" s="129" t="s">
        <v>104</v>
      </c>
      <c r="C27" s="304">
        <f>C18/C$22</f>
        <v>0</v>
      </c>
      <c r="D27" s="304">
        <f>D18/D$22</f>
        <v>0</v>
      </c>
      <c r="E27" s="304">
        <f>E18/E$22</f>
        <v>0</v>
      </c>
      <c r="F27" s="304">
        <f>F18/F$22</f>
        <v>0</v>
      </c>
      <c r="G27" s="304">
        <f t="shared" ref="G27:O27" si="13">G18/G$22</f>
        <v>0</v>
      </c>
      <c r="H27" s="304">
        <f t="shared" si="13"/>
        <v>0</v>
      </c>
      <c r="I27" s="304">
        <f t="shared" si="13"/>
        <v>0</v>
      </c>
      <c r="J27" s="304">
        <f t="shared" si="13"/>
        <v>0</v>
      </c>
      <c r="K27" s="304">
        <f t="shared" si="13"/>
        <v>0</v>
      </c>
      <c r="L27" s="304">
        <f t="shared" si="13"/>
        <v>0</v>
      </c>
      <c r="M27" s="304">
        <f t="shared" si="13"/>
        <v>0</v>
      </c>
      <c r="N27" s="304">
        <f t="shared" si="13"/>
        <v>0</v>
      </c>
      <c r="O27" s="304">
        <f t="shared" si="13"/>
        <v>0</v>
      </c>
      <c r="P27" s="304"/>
      <c r="Q27" s="305">
        <f>Q18/Q$22</f>
        <v>0</v>
      </c>
      <c r="R27" s="97"/>
      <c r="S27" s="97"/>
      <c r="T27" s="97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3">
      <c r="A28" s="130">
        <f>+A27+1</f>
        <v>17</v>
      </c>
      <c r="B28" s="129" t="s">
        <v>105</v>
      </c>
      <c r="C28" s="334">
        <f>C20/C$22</f>
        <v>0.4804686365112476</v>
      </c>
      <c r="D28" s="334">
        <f>D20/D$22</f>
        <v>0.4889600887181928</v>
      </c>
      <c r="E28" s="334">
        <f>E20/E$22</f>
        <v>0.49870576442021364</v>
      </c>
      <c r="F28" s="334">
        <f>F20/F$22</f>
        <v>0.49705448930075646</v>
      </c>
      <c r="G28" s="334">
        <f t="shared" ref="G28:O28" si="14">G20/G$22</f>
        <v>0.50051242010152786</v>
      </c>
      <c r="H28" s="334">
        <f t="shared" si="14"/>
        <v>0.50209153553435515</v>
      </c>
      <c r="I28" s="334">
        <f t="shared" si="14"/>
        <v>0.49587787505325953</v>
      </c>
      <c r="J28" s="334">
        <f t="shared" si="14"/>
        <v>0.49189861777334248</v>
      </c>
      <c r="K28" s="334">
        <f t="shared" si="14"/>
        <v>0.48995838855386975</v>
      </c>
      <c r="L28" s="334">
        <f t="shared" si="14"/>
        <v>0.4811833987435985</v>
      </c>
      <c r="M28" s="334">
        <f t="shared" si="14"/>
        <v>0.4790791245187217</v>
      </c>
      <c r="N28" s="334">
        <f t="shared" si="14"/>
        <v>0.4781917533480578</v>
      </c>
      <c r="O28" s="334">
        <f t="shared" si="14"/>
        <v>0.47607024607845966</v>
      </c>
      <c r="P28" s="334"/>
      <c r="Q28" s="307">
        <f>Q20/Q$22</f>
        <v>0.49004678421707398</v>
      </c>
      <c r="R28" s="97"/>
      <c r="S28" s="97"/>
      <c r="T28" s="97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53">
      <c r="A29" s="192"/>
      <c r="B29" s="129"/>
      <c r="C29" s="310"/>
      <c r="D29" s="308"/>
      <c r="E29" s="308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1"/>
      <c r="R29" s="97"/>
      <c r="S29" s="97"/>
      <c r="T29" s="97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53" ht="13.5" thickBot="1">
      <c r="A30" s="130">
        <f>+A28+1</f>
        <v>18</v>
      </c>
      <c r="B30" s="129" t="s">
        <v>106</v>
      </c>
      <c r="C30" s="312">
        <f>SUM(C26:C28)</f>
        <v>1</v>
      </c>
      <c r="D30" s="312">
        <f>SUM(D26:D28)</f>
        <v>1</v>
      </c>
      <c r="E30" s="312">
        <f>SUM(E26:E28)</f>
        <v>1</v>
      </c>
      <c r="F30" s="312">
        <f>SUM(F26:F28)</f>
        <v>1.0000001281337663</v>
      </c>
      <c r="G30" s="312">
        <f t="shared" ref="G30:O30" si="15">SUM(G26:G28)</f>
        <v>1.0000001284345241</v>
      </c>
      <c r="H30" s="312">
        <f t="shared" si="15"/>
        <v>1</v>
      </c>
      <c r="I30" s="312">
        <f t="shared" si="15"/>
        <v>1</v>
      </c>
      <c r="J30" s="312">
        <f t="shared" si="15"/>
        <v>0.99999987207675223</v>
      </c>
      <c r="K30" s="312">
        <f t="shared" si="15"/>
        <v>1</v>
      </c>
      <c r="L30" s="312">
        <f t="shared" si="15"/>
        <v>1</v>
      </c>
      <c r="M30" s="312">
        <f t="shared" si="15"/>
        <v>1</v>
      </c>
      <c r="N30" s="312">
        <f t="shared" si="15"/>
        <v>1</v>
      </c>
      <c r="O30" s="312">
        <f t="shared" si="15"/>
        <v>1</v>
      </c>
      <c r="P30" s="312"/>
      <c r="Q30" s="313">
        <f>SUM(Q26:Q28)</f>
        <v>1</v>
      </c>
      <c r="R30" s="97"/>
      <c r="S30" s="97"/>
      <c r="T30" s="97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</row>
    <row r="31" spans="1:53" ht="13.5" thickTop="1">
      <c r="A31" s="130"/>
      <c r="B31" s="14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7"/>
      <c r="S31" s="97"/>
      <c r="T31" s="97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spans="1:53">
      <c r="A32" s="130"/>
      <c r="B32" s="14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98"/>
      <c r="R32" s="97"/>
      <c r="S32" s="97"/>
      <c r="T32" s="97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spans="1:54" ht="13.5" thickBot="1">
      <c r="A33" s="130"/>
      <c r="B33" s="143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98"/>
      <c r="R33" s="97"/>
      <c r="S33" s="97"/>
      <c r="T33" s="97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</row>
    <row r="34" spans="1:54" ht="13.5" thickBot="1">
      <c r="A34" s="130">
        <f>+A30+1</f>
        <v>19</v>
      </c>
      <c r="B34" s="143" t="s">
        <v>81</v>
      </c>
      <c r="C34" s="314">
        <v>3601123505</v>
      </c>
      <c r="D34" s="314">
        <v>3655356385</v>
      </c>
      <c r="E34" s="314">
        <v>3706182091</v>
      </c>
      <c r="F34" s="314">
        <v>3708508200</v>
      </c>
      <c r="G34" s="314">
        <v>3726219151</v>
      </c>
      <c r="H34" s="314">
        <v>3733692606</v>
      </c>
      <c r="I34" s="314">
        <v>3694402390</v>
      </c>
      <c r="J34" s="314">
        <v>3687207694</v>
      </c>
      <c r="K34" s="314">
        <v>3681006366</v>
      </c>
      <c r="L34" s="314">
        <v>3649419000</v>
      </c>
      <c r="M34" s="314">
        <v>3734417868</v>
      </c>
      <c r="N34" s="314">
        <v>3801664639</v>
      </c>
      <c r="O34" s="314">
        <v>3747890375</v>
      </c>
      <c r="P34" s="314"/>
      <c r="Q34" s="214">
        <f>ROUND(((C34+O34)+(SUM(D34:N34)*2))/24,0)</f>
        <v>3704381944</v>
      </c>
      <c r="R34" s="90"/>
      <c r="S34" s="408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</row>
    <row r="35" spans="1:54" ht="13.5" thickBot="1">
      <c r="A35" s="130">
        <f>+A34+1</f>
        <v>20</v>
      </c>
      <c r="B35" s="141" t="s">
        <v>32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173"/>
      <c r="R35" s="90"/>
      <c r="S35" s="408"/>
      <c r="T35" s="90"/>
      <c r="U35" s="94"/>
      <c r="V35" s="141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/>
    </row>
    <row r="36" spans="1:54" ht="13.5" thickBot="1">
      <c r="A36" s="130">
        <f>+A35+1</f>
        <v>21</v>
      </c>
      <c r="B36" s="141" t="s">
        <v>33</v>
      </c>
      <c r="C36" s="195">
        <v>-19215436</v>
      </c>
      <c r="D36" s="195">
        <v>-19215436</v>
      </c>
      <c r="E36" s="195">
        <v>-19215436</v>
      </c>
      <c r="F36" s="195">
        <v>-19347542</v>
      </c>
      <c r="G36" s="195">
        <v>-19347542</v>
      </c>
      <c r="H36" s="195">
        <v>-19347542</v>
      </c>
      <c r="I36" s="195">
        <v>-19201404</v>
      </c>
      <c r="J36" s="195">
        <v>-19201404</v>
      </c>
      <c r="K36" s="195">
        <v>-19201404</v>
      </c>
      <c r="L36" s="195">
        <v>-19336429</v>
      </c>
      <c r="M36" s="195">
        <v>-19336429</v>
      </c>
      <c r="N36" s="195">
        <v>-19336429</v>
      </c>
      <c r="O36" s="195">
        <v>-19756868</v>
      </c>
      <c r="P36" s="195"/>
      <c r="Q36" s="214">
        <f>ROUND(((C36+O36)+(SUM(D36:N36)*2))/24,0)</f>
        <v>-19297762</v>
      </c>
      <c r="R36" s="98"/>
      <c r="S36" s="408"/>
      <c r="T36" s="408"/>
      <c r="U36" s="94"/>
      <c r="V36" s="99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/>
    </row>
    <row r="37" spans="1:54" ht="13.5" thickBot="1">
      <c r="A37" s="130">
        <f>+A36+1</f>
        <v>22</v>
      </c>
      <c r="B37" s="141" t="s">
        <v>3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R37" s="98"/>
      <c r="S37" s="408"/>
      <c r="T37" s="93"/>
      <c r="U37" s="93"/>
      <c r="V37" s="99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4"/>
      <c r="AT37" s="94"/>
      <c r="AU37" s="94"/>
      <c r="AV37" s="94"/>
      <c r="AW37" s="94"/>
      <c r="AX37" s="94"/>
      <c r="AY37" s="94"/>
      <c r="AZ37" s="94"/>
      <c r="BA37" s="94"/>
      <c r="BB37" s="95"/>
    </row>
    <row r="38" spans="1:54" ht="13.5" thickBot="1">
      <c r="A38" s="130">
        <f t="shared" ref="A38:A44" si="16">+A37+1</f>
        <v>23</v>
      </c>
      <c r="B38" s="224" t="s">
        <v>34</v>
      </c>
      <c r="C38" s="315">
        <f t="shared" ref="C38:H38" si="17">SUM(C36:C37)</f>
        <v>-19215436</v>
      </c>
      <c r="D38" s="315">
        <f t="shared" si="17"/>
        <v>-19215436</v>
      </c>
      <c r="E38" s="315">
        <f t="shared" si="17"/>
        <v>-19215436</v>
      </c>
      <c r="F38" s="315">
        <f t="shared" si="17"/>
        <v>-19347542</v>
      </c>
      <c r="G38" s="315">
        <f t="shared" si="17"/>
        <v>-19347542</v>
      </c>
      <c r="H38" s="315">
        <f t="shared" si="17"/>
        <v>-19347542</v>
      </c>
      <c r="I38" s="315">
        <f>SUM(I36:I37)</f>
        <v>-19201404</v>
      </c>
      <c r="J38" s="315">
        <f>SUM(J36:J37)</f>
        <v>-19201404</v>
      </c>
      <c r="K38" s="315">
        <f>SUM(K36:K37)</f>
        <v>-19201404</v>
      </c>
      <c r="L38" s="315">
        <f>SUM(L36:L37)</f>
        <v>-19336429</v>
      </c>
      <c r="M38" s="315">
        <f>SUM(M36:M37)</f>
        <v>-19336429</v>
      </c>
      <c r="N38" s="315">
        <f t="shared" ref="N38:O38" si="18">SUM(N36:N37)</f>
        <v>-19336429</v>
      </c>
      <c r="O38" s="315">
        <f t="shared" si="18"/>
        <v>-19756868</v>
      </c>
      <c r="P38" s="196"/>
      <c r="Q38" s="214">
        <f>ROUND(((C38+O38)+(SUM(D38:N38)*2))/24,0)</f>
        <v>-19297762</v>
      </c>
      <c r="R38" s="98"/>
      <c r="S38" s="408"/>
      <c r="T38" s="90"/>
      <c r="U38" s="94"/>
      <c r="V38" s="90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</row>
    <row r="39" spans="1:54" ht="13.5" thickBot="1">
      <c r="A39" s="130">
        <f t="shared" si="16"/>
        <v>24</v>
      </c>
      <c r="B39" s="225" t="s">
        <v>161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97"/>
      <c r="R39" s="98"/>
      <c r="S39" s="408"/>
      <c r="T39" s="90"/>
      <c r="U39" s="94"/>
      <c r="V39" s="90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</row>
    <row r="40" spans="1:54" ht="13.5" thickBot="1">
      <c r="A40" s="130">
        <f t="shared" si="16"/>
        <v>25</v>
      </c>
      <c r="B40" s="227" t="s">
        <v>162</v>
      </c>
      <c r="C40" s="314">
        <f>-17330000-5849000</f>
        <v>-23179000</v>
      </c>
      <c r="D40" s="314">
        <f>-24121000-5849000</f>
        <v>-29970000</v>
      </c>
      <c r="E40" s="314">
        <f>-25029000-5849000</f>
        <v>-30878000</v>
      </c>
      <c r="F40" s="314">
        <f>-21535000+21485000</f>
        <v>-50000</v>
      </c>
      <c r="G40" s="314">
        <f>-22650000+21485000</f>
        <v>-1165000</v>
      </c>
      <c r="H40" s="314">
        <f>-15775000+21485000</f>
        <v>5710000</v>
      </c>
      <c r="I40" s="314">
        <f>-16075000+21485000</f>
        <v>5410000</v>
      </c>
      <c r="J40" s="314">
        <f>-13006000+21485000</f>
        <v>8479000</v>
      </c>
      <c r="K40" s="314">
        <f>-11416000+21485000</f>
        <v>10069000</v>
      </c>
      <c r="L40" s="314">
        <f>-4979000+21485000</f>
        <v>16506000</v>
      </c>
      <c r="M40" s="314">
        <f>62238000+21485000</f>
        <v>83723000</v>
      </c>
      <c r="N40" s="314">
        <f>86771000+21485000</f>
        <v>108256000</v>
      </c>
      <c r="O40" s="314">
        <f>10591000+21485000</f>
        <v>32076000</v>
      </c>
      <c r="P40" s="196"/>
      <c r="Q40" s="214">
        <f>ROUND(((C40+O40)+(SUM(D40:N40)*2))/24,0)</f>
        <v>15044875</v>
      </c>
      <c r="R40" s="98"/>
      <c r="S40" s="408"/>
      <c r="T40" s="90"/>
      <c r="U40" s="94"/>
      <c r="V40" s="90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</row>
    <row r="41" spans="1:54" ht="13.5" thickBot="1">
      <c r="A41" s="130">
        <f t="shared" si="16"/>
        <v>26</v>
      </c>
      <c r="B41" s="227" t="s">
        <v>112</v>
      </c>
      <c r="C41" s="195">
        <v>-5038694</v>
      </c>
      <c r="D41" s="195">
        <v>-5006591</v>
      </c>
      <c r="E41" s="195">
        <v>-4974487</v>
      </c>
      <c r="F41" s="195">
        <v>-6027641</v>
      </c>
      <c r="G41" s="195">
        <f>-5995538</f>
        <v>-5995538</v>
      </c>
      <c r="H41" s="195">
        <v>-5963435</v>
      </c>
      <c r="I41" s="195">
        <v>-5931332</v>
      </c>
      <c r="J41" s="195">
        <v>-5899229</v>
      </c>
      <c r="K41" s="195">
        <f>-5867125-193000</f>
        <v>-6060125</v>
      </c>
      <c r="L41" s="195">
        <f>-5835022-229000</f>
        <v>-6064022</v>
      </c>
      <c r="M41" s="195">
        <f>-5802919-382000</f>
        <v>-6184919</v>
      </c>
      <c r="N41" s="195">
        <f>-5770816-512000</f>
        <v>-6282816</v>
      </c>
      <c r="O41" s="195">
        <f>-5738712-660000</f>
        <v>-6398712</v>
      </c>
      <c r="P41" s="195"/>
      <c r="Q41" s="214">
        <f>ROUND(((C41+O41)+(SUM(D41:N41)*2))/24,0)</f>
        <v>-5842403</v>
      </c>
      <c r="R41" s="98"/>
      <c r="S41" s="408"/>
      <c r="T41" s="90"/>
      <c r="U41" s="94"/>
      <c r="V41" s="256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</row>
    <row r="42" spans="1:54" ht="13.5" thickBot="1">
      <c r="A42" s="130">
        <f t="shared" si="16"/>
        <v>27</v>
      </c>
      <c r="B42" s="227" t="s">
        <v>113</v>
      </c>
      <c r="C42" s="195">
        <v>-121865358</v>
      </c>
      <c r="D42" s="195">
        <v>-120657594</v>
      </c>
      <c r="E42" s="195">
        <f>-118004330-1445499</f>
        <v>-119449829</v>
      </c>
      <c r="F42" s="195">
        <v>-145250880</v>
      </c>
      <c r="G42" s="195">
        <f>-143459337-837409</f>
        <v>-144296746</v>
      </c>
      <c r="H42" s="195">
        <f>-142512676-829937</f>
        <v>-143342613</v>
      </c>
      <c r="I42" s="195">
        <f>-141566015-822464</f>
        <v>-142388479</v>
      </c>
      <c r="J42" s="195">
        <f>-140619354-814992</f>
        <v>-141434346</v>
      </c>
      <c r="K42" s="195">
        <f>-139672693-807519</f>
        <v>-140480212</v>
      </c>
      <c r="L42" s="195">
        <f>-141717574-784402</f>
        <v>-142501976</v>
      </c>
      <c r="M42" s="195">
        <f>-140743862-777104</f>
        <v>-141520966</v>
      </c>
      <c r="N42" s="195">
        <f>-139770150-769807</f>
        <v>-140539957</v>
      </c>
      <c r="O42" s="195">
        <f>-138796438-762509</f>
        <v>-139558947</v>
      </c>
      <c r="P42" s="195"/>
      <c r="Q42" s="214">
        <f>ROUND(((C42+O42)+(SUM(D42:N42)*2))/24,0)</f>
        <v>-137714646</v>
      </c>
      <c r="R42" s="98"/>
      <c r="S42" s="408"/>
      <c r="T42" s="90"/>
      <c r="U42" s="94"/>
      <c r="V42" s="256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</row>
    <row r="43" spans="1:54" ht="13.5" thickBot="1">
      <c r="A43" s="130">
        <f t="shared" si="16"/>
        <v>28</v>
      </c>
      <c r="B43" s="228" t="s">
        <v>114</v>
      </c>
      <c r="C43" s="226">
        <f t="shared" ref="C43:H43" si="19">SUM(C40:C42)</f>
        <v>-150083052</v>
      </c>
      <c r="D43" s="226">
        <f t="shared" si="19"/>
        <v>-155634185</v>
      </c>
      <c r="E43" s="226">
        <f t="shared" si="19"/>
        <v>-155302316</v>
      </c>
      <c r="F43" s="226">
        <f t="shared" si="19"/>
        <v>-151328521</v>
      </c>
      <c r="G43" s="226">
        <f t="shared" si="19"/>
        <v>-151457284</v>
      </c>
      <c r="H43" s="226">
        <f t="shared" si="19"/>
        <v>-143596048</v>
      </c>
      <c r="I43" s="226">
        <f>SUM(I40:I42)</f>
        <v>-142909811</v>
      </c>
      <c r="J43" s="226">
        <f>SUM(J40:J42)</f>
        <v>-138854575</v>
      </c>
      <c r="K43" s="226">
        <f>SUM(K40:K42)</f>
        <v>-136471337</v>
      </c>
      <c r="L43" s="226">
        <f>SUM(L40:L42)</f>
        <v>-132059998</v>
      </c>
      <c r="M43" s="226">
        <f t="shared" ref="M43:O43" si="20">SUM(M40:M42)</f>
        <v>-63982885</v>
      </c>
      <c r="N43" s="226">
        <f t="shared" si="20"/>
        <v>-38566773</v>
      </c>
      <c r="O43" s="226">
        <f t="shared" si="20"/>
        <v>-113881659</v>
      </c>
      <c r="P43" s="270"/>
      <c r="Q43" s="214">
        <f>ROUND(((C43+O43)+(SUM(D43:N43)*2))/24,0)</f>
        <v>-128512174</v>
      </c>
      <c r="R43" s="98"/>
      <c r="S43" s="90"/>
      <c r="T43" s="90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</row>
    <row r="44" spans="1:54" ht="13.5" thickBot="1">
      <c r="A44" s="130">
        <f t="shared" si="16"/>
        <v>29</v>
      </c>
      <c r="B44" s="143" t="s">
        <v>97</v>
      </c>
      <c r="C44" s="303">
        <f t="shared" ref="C44:M44" si="21">+C34-C38-C43</f>
        <v>3770421993</v>
      </c>
      <c r="D44" s="303">
        <f t="shared" si="21"/>
        <v>3830206006</v>
      </c>
      <c r="E44" s="303">
        <f t="shared" si="21"/>
        <v>3880699843</v>
      </c>
      <c r="F44" s="303">
        <f t="shared" si="21"/>
        <v>3879184263</v>
      </c>
      <c r="G44" s="303">
        <f t="shared" si="21"/>
        <v>3897023977</v>
      </c>
      <c r="H44" s="303">
        <f t="shared" si="21"/>
        <v>3896636196</v>
      </c>
      <c r="I44" s="303">
        <f t="shared" si="21"/>
        <v>3856513605</v>
      </c>
      <c r="J44" s="303">
        <f t="shared" si="21"/>
        <v>3845263673</v>
      </c>
      <c r="K44" s="303">
        <f t="shared" si="21"/>
        <v>3836679107</v>
      </c>
      <c r="L44" s="303">
        <f t="shared" si="21"/>
        <v>3800815427</v>
      </c>
      <c r="M44" s="303">
        <f t="shared" si="21"/>
        <v>3817737182</v>
      </c>
      <c r="N44" s="303">
        <f t="shared" ref="N44" si="22">+N34-N38-N43</f>
        <v>3859567841</v>
      </c>
      <c r="O44" s="303">
        <f>+O34-O38-O43</f>
        <v>3881528902</v>
      </c>
      <c r="P44" s="98"/>
      <c r="Q44" s="214">
        <f>ROUND(((C44+O44)+(SUM(D44:N44)*2))/24,0)</f>
        <v>3852191881</v>
      </c>
      <c r="R44" s="98"/>
      <c r="S44" s="90"/>
      <c r="T44" s="90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</row>
    <row r="45" spans="1:54" ht="13.5" thickTop="1"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0"/>
      <c r="R45" s="98"/>
      <c r="S45" s="90"/>
      <c r="T45" s="90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</row>
    <row r="46" spans="1:54"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90"/>
      <c r="R46" s="98"/>
      <c r="S46" s="90"/>
      <c r="T46" s="90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</row>
    <row r="47" spans="1:54"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90"/>
      <c r="R47" s="98"/>
      <c r="S47" s="90"/>
      <c r="T47" s="90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/>
    </row>
    <row r="48" spans="1:54"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90"/>
      <c r="R48" s="98"/>
      <c r="S48" s="90"/>
      <c r="T48" s="90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5"/>
    </row>
    <row r="49" spans="3:54">
      <c r="C49" s="406"/>
      <c r="D49" s="406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90"/>
      <c r="R49" s="98"/>
      <c r="S49" s="90"/>
      <c r="T49" s="90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5"/>
    </row>
    <row r="50" spans="3:54">
      <c r="C50" s="406"/>
      <c r="D50" s="406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434"/>
      <c r="R50" s="98"/>
      <c r="S50" s="90"/>
      <c r="T50" s="90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5"/>
    </row>
    <row r="51" spans="3:54">
      <c r="C51" s="406"/>
      <c r="D51" s="406"/>
      <c r="E51" s="335"/>
      <c r="F51" s="335"/>
      <c r="G51" s="335"/>
      <c r="H51" s="195"/>
      <c r="I51" s="195"/>
      <c r="J51" s="195"/>
      <c r="K51" s="195"/>
      <c r="L51" s="195"/>
      <c r="M51" s="195"/>
      <c r="N51" s="195"/>
      <c r="O51" s="195"/>
      <c r="P51" s="195"/>
      <c r="Q51" s="92"/>
      <c r="R51" s="98"/>
      <c r="S51" s="90"/>
      <c r="T51" s="90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/>
    </row>
    <row r="52" spans="3:54">
      <c r="C52" s="406"/>
      <c r="D52" s="40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90"/>
      <c r="R52" s="98"/>
      <c r="S52" s="90"/>
      <c r="T52" s="90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/>
    </row>
    <row r="53" spans="3:54"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413"/>
      <c r="R53" s="98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3:54"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413"/>
      <c r="R54" s="98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3:54"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90"/>
      <c r="R55" s="98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3:54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444"/>
      <c r="N56" s="91"/>
      <c r="O56" s="91"/>
      <c r="P56" s="91"/>
      <c r="Q56" s="90"/>
      <c r="R56" s="98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3:54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0"/>
      <c r="R57" s="98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3:54"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0"/>
      <c r="R58" s="98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3:54"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0"/>
      <c r="R59" s="98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3:54"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0"/>
      <c r="R60" s="98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3:54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0"/>
      <c r="R61" s="98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3:54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0"/>
      <c r="R62" s="98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3:54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0"/>
      <c r="R63" s="98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3:54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3:53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3:53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3:53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3:53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3:53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3:53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3:53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spans="3:53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3:53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3:53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3:53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3:53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3:53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3:53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3:53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3:53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3:53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3:53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3:53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3:53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  <row r="85" spans="3:53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</row>
    <row r="86" spans="3:53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spans="3:53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</row>
    <row r="88" spans="3:53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spans="3:53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</row>
    <row r="90" spans="3:53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3:53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</row>
    <row r="92" spans="3:53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</row>
    <row r="93" spans="3:53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</row>
    <row r="94" spans="3:53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</row>
    <row r="95" spans="3:53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</row>
    <row r="96" spans="3:53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</row>
    <row r="97" spans="3:53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3:53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3:53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3:53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3:53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</row>
    <row r="102" spans="3:53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</row>
    <row r="103" spans="3:53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</row>
    <row r="104" spans="3:53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3:53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3:53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3:53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</row>
    <row r="108" spans="3:53"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</row>
    <row r="109" spans="3:53"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</row>
    <row r="110" spans="3:53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</row>
    <row r="111" spans="3:53"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</row>
    <row r="112" spans="3:53"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</row>
    <row r="113" spans="3:53"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</row>
    <row r="114" spans="3:53"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</row>
    <row r="115" spans="3:53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</row>
    <row r="116" spans="3:53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</row>
    <row r="117" spans="3:53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</row>
    <row r="118" spans="3:53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</row>
    <row r="119" spans="3:53"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3:53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</row>
    <row r="121" spans="3:53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</row>
    <row r="122" spans="3:53"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</row>
    <row r="123" spans="3:53"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</row>
    <row r="124" spans="3:53"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</row>
    <row r="125" spans="3:53"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</row>
    <row r="126" spans="3:53"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</row>
    <row r="127" spans="3:53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</row>
    <row r="128" spans="3:53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</row>
    <row r="129" spans="3:53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</row>
    <row r="130" spans="3:53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</row>
    <row r="131" spans="3:53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</row>
    <row r="132" spans="3:53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</row>
    <row r="133" spans="3:53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</row>
    <row r="134" spans="3:53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</row>
    <row r="135" spans="3:53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</row>
    <row r="136" spans="3:53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</row>
    <row r="137" spans="3:53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</row>
    <row r="138" spans="3:53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</row>
    <row r="139" spans="3:53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</row>
    <row r="140" spans="3:53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</row>
    <row r="141" spans="3:53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</row>
    <row r="142" spans="3:53"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</row>
    <row r="143" spans="3:53"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</row>
    <row r="144" spans="3:53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</row>
    <row r="145" spans="3:53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</row>
    <row r="146" spans="3:53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</row>
    <row r="147" spans="3:53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</row>
    <row r="148" spans="3:53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</row>
    <row r="149" spans="3:53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</row>
    <row r="150" spans="3:53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</row>
    <row r="151" spans="3:53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</row>
    <row r="152" spans="3:53"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</row>
    <row r="153" spans="3:53"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</row>
    <row r="154" spans="3:53"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</row>
    <row r="155" spans="3:53"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</row>
    <row r="156" spans="3:53"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</row>
    <row r="157" spans="3:53"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</row>
    <row r="158" spans="3:53"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</row>
    <row r="159" spans="3:53"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</row>
    <row r="160" spans="3:53"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</row>
    <row r="161" spans="3:53"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</row>
    <row r="162" spans="3:53"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</row>
    <row r="163" spans="3:53"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</row>
    <row r="164" spans="3:53"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</row>
    <row r="165" spans="3:53"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</row>
    <row r="166" spans="3:53"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</row>
    <row r="167" spans="3:53"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</row>
    <row r="168" spans="3:53"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</row>
    <row r="169" spans="3:53"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</row>
    <row r="170" spans="3:53"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</row>
    <row r="171" spans="3:53"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</row>
    <row r="172" spans="3:53"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</row>
    <row r="173" spans="3:53"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</row>
    <row r="174" spans="3:53"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</row>
    <row r="175" spans="3:53"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</row>
    <row r="176" spans="3:53"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</row>
    <row r="177" spans="3:53"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</row>
    <row r="178" spans="3:53"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</row>
    <row r="179" spans="3:53"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</row>
    <row r="180" spans="3:53"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</row>
    <row r="181" spans="3:53"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</row>
    <row r="182" spans="3:53"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</row>
    <row r="183" spans="3:53"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</row>
    <row r="184" spans="3:53"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</row>
    <row r="185" spans="3:53"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</row>
    <row r="186" spans="3:53"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</row>
    <row r="187" spans="3:53"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</row>
    <row r="188" spans="3:53"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</row>
    <row r="189" spans="3:53"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</row>
    <row r="190" spans="3:53"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</row>
    <row r="191" spans="3:53"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</row>
    <row r="192" spans="3:53"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</row>
    <row r="193" spans="3:53"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</row>
    <row r="194" spans="3:53"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</row>
    <row r="195" spans="3:53"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</row>
    <row r="196" spans="3:53"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</row>
    <row r="197" spans="3:53"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</row>
    <row r="198" spans="3:53"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</row>
    <row r="199" spans="3:53"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</row>
    <row r="200" spans="3:53"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</row>
    <row r="201" spans="3:53"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</row>
    <row r="202" spans="3:53"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</row>
    <row r="203" spans="3:53"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</row>
    <row r="204" spans="3:53"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</row>
    <row r="205" spans="3:53"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</row>
    <row r="206" spans="3:53"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</row>
    <row r="207" spans="3:53"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</row>
    <row r="208" spans="3:53"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</row>
    <row r="209" spans="3:53"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</row>
    <row r="210" spans="3:53"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</row>
    <row r="211" spans="3:53"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</row>
    <row r="212" spans="3:53"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</row>
    <row r="213" spans="3:53"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</row>
    <row r="214" spans="3:53"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</row>
    <row r="215" spans="3:53"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</row>
    <row r="216" spans="3:53"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</row>
    <row r="217" spans="3:53"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</row>
    <row r="218" spans="3:53"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</row>
    <row r="219" spans="3:53"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</row>
    <row r="220" spans="3:53"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</row>
    <row r="221" spans="3:53"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</row>
    <row r="222" spans="3:53"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</row>
    <row r="223" spans="3:53"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</row>
    <row r="224" spans="3:53"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</row>
    <row r="225" spans="3:53"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</row>
    <row r="226" spans="3:53"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</row>
    <row r="227" spans="3:53"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</row>
    <row r="228" spans="3:53"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</row>
    <row r="229" spans="3:53"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</row>
    <row r="230" spans="3:53"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</row>
    <row r="231" spans="3:53"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</row>
    <row r="232" spans="3:53"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</row>
    <row r="233" spans="3:53"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</row>
    <row r="234" spans="3:53"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</row>
    <row r="235" spans="3:53"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</row>
    <row r="236" spans="3:53"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</row>
    <row r="237" spans="3:53"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</row>
    <row r="238" spans="3:53"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</row>
    <row r="239" spans="3:53"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</row>
    <row r="240" spans="3:53"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</row>
    <row r="241" spans="3:53"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</row>
    <row r="242" spans="3:53"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3:53"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</row>
    <row r="244" spans="3:53"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</row>
    <row r="245" spans="3:53"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</row>
    <row r="246" spans="3:53"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</row>
    <row r="247" spans="3:53"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</row>
    <row r="248" spans="3:53"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</row>
    <row r="249" spans="3:53"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</row>
    <row r="250" spans="3:53"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</row>
    <row r="251" spans="3:53"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</row>
    <row r="252" spans="3:53"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</row>
    <row r="253" spans="3:53"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</row>
    <row r="254" spans="3:53"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</row>
    <row r="255" spans="3:53"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</row>
    <row r="256" spans="3:53"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</row>
    <row r="257" spans="3:53"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</row>
    <row r="258" spans="3:53"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</row>
    <row r="259" spans="3:53"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</row>
    <row r="260" spans="3:53"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</row>
    <row r="261" spans="3:53"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</row>
    <row r="262" spans="3:53"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</row>
    <row r="263" spans="3:53"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</row>
    <row r="264" spans="3:53"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</row>
    <row r="265" spans="3:53"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</row>
    <row r="266" spans="3:53"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</row>
    <row r="267" spans="3:53"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</row>
    <row r="268" spans="3:53"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</row>
    <row r="269" spans="3:53"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</row>
    <row r="270" spans="3:53"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</row>
    <row r="271" spans="3:53"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</row>
    <row r="272" spans="3:53"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</row>
    <row r="273" spans="3:53"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</row>
    <row r="274" spans="3:53"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</row>
    <row r="275" spans="3:53"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</row>
    <row r="276" spans="3:53"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</row>
    <row r="277" spans="3:53"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</row>
    <row r="278" spans="3:53"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</row>
    <row r="279" spans="3:53"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</row>
    <row r="280" spans="3:53"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</row>
    <row r="281" spans="3:53"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</row>
    <row r="282" spans="3:53"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</row>
    <row r="283" spans="3:53"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</row>
    <row r="284" spans="3:53"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</row>
    <row r="285" spans="3:53"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</row>
    <row r="286" spans="3:53"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</row>
    <row r="287" spans="3:53"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</row>
    <row r="288" spans="3:53"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3:53"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3:53"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3:53"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3:53"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3:53"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</row>
    <row r="294" spans="3:53"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</row>
    <row r="295" spans="3:53"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</row>
    <row r="296" spans="3:53"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</row>
    <row r="297" spans="3:53"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</row>
    <row r="298" spans="3:53"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</row>
    <row r="299" spans="3:53"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</row>
    <row r="300" spans="3:53"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</row>
    <row r="301" spans="3:53"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</row>
    <row r="302" spans="3:53"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</row>
    <row r="303" spans="3:53"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</row>
    <row r="304" spans="3:53"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</row>
    <row r="305" spans="3:53"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</row>
    <row r="306" spans="3:53"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</row>
    <row r="307" spans="3:53"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</row>
    <row r="308" spans="3:53"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</row>
    <row r="309" spans="3:53"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</row>
    <row r="310" spans="3:53"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</row>
    <row r="311" spans="3:53"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</row>
    <row r="312" spans="3:53"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</row>
    <row r="313" spans="3:53"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</row>
    <row r="314" spans="3:53"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</row>
    <row r="315" spans="3:53"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</row>
    <row r="316" spans="3:53"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</row>
    <row r="317" spans="3:53"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</row>
    <row r="318" spans="3:53"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</row>
    <row r="319" spans="3:53"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</row>
    <row r="320" spans="3:53"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</row>
    <row r="321" spans="3:53"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</row>
    <row r="322" spans="3:53"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</row>
    <row r="323" spans="3:53"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</row>
    <row r="324" spans="3:53"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</row>
    <row r="325" spans="3:53"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</row>
    <row r="326" spans="3:53"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</row>
    <row r="327" spans="3:53"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</row>
    <row r="328" spans="3:53"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</row>
    <row r="329" spans="3:53"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</row>
    <row r="330" spans="3:53"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</row>
    <row r="331" spans="3:53"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</row>
    <row r="332" spans="3:53"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</row>
    <row r="333" spans="3:53"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</row>
    <row r="334" spans="3:53"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</row>
    <row r="335" spans="3:53"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</row>
    <row r="336" spans="3:53"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</row>
    <row r="337" spans="3:53"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</row>
    <row r="338" spans="3:53"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</row>
    <row r="339" spans="3:53"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</row>
    <row r="340" spans="3:53"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</row>
    <row r="341" spans="3:53"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</row>
    <row r="342" spans="3:53"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</row>
    <row r="343" spans="3:53"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</row>
    <row r="344" spans="3:53"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</row>
    <row r="345" spans="3:53"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</row>
    <row r="346" spans="3:53"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</row>
    <row r="347" spans="3:53"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</row>
    <row r="348" spans="3:53"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</row>
    <row r="349" spans="3:53"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</row>
    <row r="350" spans="3:53"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</row>
    <row r="351" spans="3:53"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</row>
    <row r="352" spans="3:53"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</row>
    <row r="353" spans="3:53"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</row>
    <row r="354" spans="3:53"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</row>
    <row r="355" spans="3:53"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</row>
    <row r="356" spans="3:53"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</row>
    <row r="357" spans="3:53"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</row>
    <row r="358" spans="3:53"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</row>
    <row r="359" spans="3:53"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</row>
    <row r="360" spans="3:53"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</row>
    <row r="361" spans="3:53"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</row>
    <row r="362" spans="3:53"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</row>
    <row r="363" spans="3:53"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</row>
    <row r="364" spans="3:53"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</row>
    <row r="365" spans="3:53"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</row>
    <row r="366" spans="3:53"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</row>
    <row r="367" spans="3:53"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</row>
    <row r="368" spans="3:53"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</row>
    <row r="369" spans="3:53"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</row>
    <row r="370" spans="3:53"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</row>
    <row r="371" spans="3:53"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</row>
    <row r="372" spans="3:53"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</row>
    <row r="373" spans="3:53"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</row>
    <row r="374" spans="3:53"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</row>
    <row r="375" spans="3:53"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</row>
    <row r="376" spans="3:53"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</row>
    <row r="377" spans="3:53"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</row>
    <row r="378" spans="3:53"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</row>
    <row r="379" spans="3:53"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</row>
    <row r="380" spans="3:53"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</row>
    <row r="381" spans="3:53"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</row>
    <row r="382" spans="3:53"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</row>
    <row r="383" spans="3:53"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</row>
    <row r="384" spans="3:53"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</row>
    <row r="385" spans="3:53"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</row>
    <row r="386" spans="3:53"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</row>
    <row r="387" spans="3:53"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</row>
    <row r="388" spans="3:53"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</row>
    <row r="389" spans="3:53"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</row>
    <row r="390" spans="3:53"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</row>
    <row r="391" spans="3:53"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</row>
    <row r="392" spans="3:53"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</row>
    <row r="393" spans="3:53"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</row>
    <row r="394" spans="3:53"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</row>
    <row r="395" spans="3:53"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</row>
    <row r="396" spans="3:53"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</row>
    <row r="397" spans="3:53"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</row>
    <row r="398" spans="3:53"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</row>
    <row r="399" spans="3:53"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</row>
    <row r="400" spans="3:53"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</row>
    <row r="401" spans="3:53"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</row>
    <row r="402" spans="3:53"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</row>
    <row r="403" spans="3:53"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</row>
    <row r="404" spans="3:53"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</row>
    <row r="405" spans="3:53"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</row>
    <row r="406" spans="3:53"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</row>
    <row r="407" spans="3:53"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</row>
    <row r="408" spans="3:53"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</row>
    <row r="409" spans="3:53"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</row>
    <row r="410" spans="3:53"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</row>
    <row r="411" spans="3:53"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</row>
    <row r="412" spans="3:53"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</row>
    <row r="413" spans="3:53"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</row>
    <row r="414" spans="3:53"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</row>
    <row r="415" spans="3:53"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</row>
    <row r="416" spans="3:53"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</row>
    <row r="417" spans="3:53"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</row>
    <row r="418" spans="3:53"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</row>
    <row r="419" spans="3:53"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</row>
    <row r="420" spans="3:53"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</row>
    <row r="421" spans="3:53"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</row>
    <row r="422" spans="3:53"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</row>
    <row r="423" spans="3:53"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</row>
    <row r="424" spans="3:53"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</row>
    <row r="425" spans="3:53"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</row>
    <row r="426" spans="3:53"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</row>
    <row r="427" spans="3:53"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</row>
    <row r="428" spans="3:53"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</row>
    <row r="429" spans="3:53"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</row>
    <row r="430" spans="3:53"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</row>
    <row r="431" spans="3:53"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</row>
    <row r="432" spans="3:53"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</row>
    <row r="433" spans="3:53"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</row>
    <row r="434" spans="3:53"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</row>
    <row r="435" spans="3:53"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</row>
    <row r="436" spans="3:53"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</row>
    <row r="437" spans="3:53"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</row>
    <row r="438" spans="3:53"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</row>
    <row r="439" spans="3:53"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</row>
    <row r="440" spans="3:53"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</row>
    <row r="441" spans="3:53"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</row>
    <row r="442" spans="3:53"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</row>
    <row r="443" spans="3:53"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</row>
    <row r="444" spans="3:53"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</row>
    <row r="445" spans="3:53"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</row>
    <row r="446" spans="3:53"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</row>
    <row r="447" spans="3:53"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</row>
    <row r="448" spans="3:53"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</row>
    <row r="449" spans="3:53"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</row>
    <row r="450" spans="3:53"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</row>
    <row r="451" spans="3:53"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</row>
    <row r="452" spans="3:53"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</row>
    <row r="453" spans="3:53"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</row>
    <row r="454" spans="3:53"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</row>
    <row r="455" spans="3:53"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</row>
    <row r="456" spans="3:53"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</row>
    <row r="457" spans="3:53"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</row>
    <row r="458" spans="3:53"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</row>
    <row r="459" spans="3:53"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</row>
    <row r="460" spans="3:53"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</row>
    <row r="461" spans="3:53"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</row>
    <row r="462" spans="3:53"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</row>
    <row r="463" spans="3:53"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</row>
    <row r="464" spans="3:53"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</row>
    <row r="465" spans="3:53"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</row>
    <row r="466" spans="3:53"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</row>
    <row r="467" spans="3:53"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</row>
    <row r="468" spans="3:53"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</row>
    <row r="469" spans="3:53"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</row>
    <row r="470" spans="3:53"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</row>
    <row r="471" spans="3:53"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</row>
    <row r="472" spans="3:53"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</row>
    <row r="473" spans="3:53"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</row>
    <row r="474" spans="3:53"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</row>
    <row r="475" spans="3:53"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</row>
    <row r="476" spans="3:53"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</row>
    <row r="477" spans="3:53"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</row>
    <row r="478" spans="3:53"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</row>
    <row r="479" spans="3:53"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</row>
    <row r="480" spans="3:53"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</row>
    <row r="481" spans="3:53"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</row>
    <row r="482" spans="3:53"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</row>
    <row r="483" spans="3:53"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</row>
    <row r="484" spans="3:53"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</row>
    <row r="485" spans="3:53"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</row>
    <row r="486" spans="3:53"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</row>
    <row r="487" spans="3:53"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</row>
    <row r="488" spans="3:53"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</row>
    <row r="489" spans="3:53"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</row>
    <row r="490" spans="3:53"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</row>
    <row r="491" spans="3:53"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</row>
    <row r="492" spans="3:53"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</row>
    <row r="493" spans="3:53"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</row>
    <row r="494" spans="3:53"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</row>
    <row r="495" spans="3:53"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</row>
    <row r="496" spans="3:53"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</row>
    <row r="497" spans="3:53"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</row>
    <row r="498" spans="3:53"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</row>
    <row r="499" spans="3:53"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</row>
    <row r="500" spans="3:53"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</row>
    <row r="501" spans="3:53"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</row>
    <row r="502" spans="3:53"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</row>
    <row r="503" spans="3:53"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</row>
    <row r="504" spans="3:53"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</row>
    <row r="505" spans="3:53"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</row>
    <row r="506" spans="3:53"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</row>
    <row r="507" spans="3:53"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</row>
    <row r="508" spans="3:53"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</row>
    <row r="509" spans="3:53"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</row>
    <row r="510" spans="3:53"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</row>
    <row r="511" spans="3:53"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</row>
    <row r="512" spans="3:53"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</row>
    <row r="513" spans="3:53"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</row>
    <row r="514" spans="3:53"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</row>
    <row r="515" spans="3:53"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</row>
    <row r="516" spans="3:53"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</row>
    <row r="517" spans="3:53"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</row>
    <row r="518" spans="3:53"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</row>
    <row r="519" spans="3:53"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</row>
    <row r="520" spans="3:53"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</row>
    <row r="521" spans="3:53"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</row>
    <row r="522" spans="3:53"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</row>
    <row r="523" spans="3:53"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</row>
    <row r="524" spans="3:53"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</row>
    <row r="525" spans="3:53"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</row>
    <row r="526" spans="3:53"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</row>
    <row r="527" spans="3:53"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</row>
    <row r="528" spans="3:53"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</row>
    <row r="529" spans="3:53"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</row>
    <row r="530" spans="3:53"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</row>
    <row r="531" spans="3:53"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</row>
    <row r="532" spans="3:53"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</row>
    <row r="533" spans="3:53"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</row>
    <row r="534" spans="3:53"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</row>
    <row r="535" spans="3:53"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</row>
    <row r="536" spans="3:53"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</row>
    <row r="537" spans="3:53"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</row>
    <row r="538" spans="3:53"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</row>
    <row r="539" spans="3:53"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</row>
    <row r="540" spans="3:53"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</row>
    <row r="541" spans="3:53"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</row>
    <row r="542" spans="3:53"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</row>
    <row r="543" spans="3:53"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</row>
    <row r="544" spans="3:53"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</row>
    <row r="545" spans="3:53"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</row>
    <row r="546" spans="3:53"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</row>
    <row r="547" spans="3:53"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</row>
    <row r="548" spans="3:53"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</row>
    <row r="549" spans="3:53"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</row>
    <row r="550" spans="3:53"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</row>
    <row r="551" spans="3:53"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</row>
    <row r="552" spans="3:53"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</row>
    <row r="553" spans="3:53"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</row>
    <row r="554" spans="3:53"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</row>
    <row r="555" spans="3:53"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</row>
    <row r="556" spans="3:53"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</row>
    <row r="557" spans="3:53"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</row>
    <row r="558" spans="3:53"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</row>
    <row r="559" spans="3:53"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</row>
    <row r="560" spans="3:53"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</row>
    <row r="561" spans="3:53"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</row>
    <row r="562" spans="3:53"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</row>
    <row r="563" spans="3:53"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</row>
    <row r="564" spans="3:53"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</row>
    <row r="565" spans="3:53"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</row>
    <row r="566" spans="3:53"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</row>
    <row r="567" spans="3:53"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</row>
    <row r="568" spans="3:53"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</row>
    <row r="569" spans="3:53"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</row>
    <row r="570" spans="3:53"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</row>
    <row r="571" spans="3:53"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</row>
    <row r="572" spans="3:53"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</row>
    <row r="573" spans="3:53"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</row>
    <row r="574" spans="3:53"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</row>
    <row r="575" spans="3:53"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</row>
    <row r="576" spans="3:53"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</row>
    <row r="577" spans="3:53"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</row>
    <row r="578" spans="3:53"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</row>
    <row r="579" spans="3:53"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</row>
    <row r="580" spans="3:53"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</row>
    <row r="581" spans="3:53"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</row>
    <row r="582" spans="3:53"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</row>
    <row r="583" spans="3:53"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</row>
    <row r="584" spans="3:53"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</row>
    <row r="585" spans="3:53"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</row>
    <row r="586" spans="3:53"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</row>
    <row r="587" spans="3:53"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</row>
    <row r="588" spans="3:53"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</row>
    <row r="589" spans="3:53"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</row>
    <row r="590" spans="3:53"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</row>
    <row r="591" spans="3:53"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</row>
    <row r="592" spans="3:53"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</row>
    <row r="593" spans="3:53"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</row>
    <row r="594" spans="3:53"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</row>
    <row r="595" spans="3:53"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</row>
    <row r="596" spans="3:53"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</row>
    <row r="597" spans="3:53"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</row>
    <row r="598" spans="3:53"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</row>
    <row r="599" spans="3:53"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</row>
    <row r="600" spans="3:53"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</row>
    <row r="601" spans="3:53"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</row>
    <row r="602" spans="3:53"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</row>
    <row r="603" spans="3:53"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</row>
    <row r="604" spans="3:53"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</row>
    <row r="605" spans="3:53"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</row>
    <row r="606" spans="3:53"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</row>
    <row r="607" spans="3:53"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</row>
    <row r="608" spans="3:53"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</row>
    <row r="609" spans="3:53"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</row>
    <row r="610" spans="3:53"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</row>
    <row r="611" spans="3:53"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</row>
    <row r="612" spans="3:53"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</row>
    <row r="613" spans="3:53"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</row>
    <row r="614" spans="3:53"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</row>
    <row r="615" spans="3:53"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</row>
    <row r="616" spans="3:53"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</row>
    <row r="617" spans="3:53"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</row>
    <row r="618" spans="3:53"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</row>
    <row r="619" spans="3:53"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</row>
    <row r="620" spans="3:53"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</row>
    <row r="621" spans="3:53"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</row>
    <row r="622" spans="3:53"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</row>
    <row r="623" spans="3:53"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</row>
    <row r="624" spans="3:53"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</row>
    <row r="625" spans="3:53"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</row>
    <row r="626" spans="3:53"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</row>
    <row r="627" spans="3:53"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</row>
    <row r="628" spans="3:53"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</row>
    <row r="629" spans="3:53"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</row>
    <row r="630" spans="3:53"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</row>
    <row r="631" spans="3:53"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</row>
    <row r="632" spans="3:53"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</row>
    <row r="633" spans="3:53"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</row>
    <row r="634" spans="3:53"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</row>
    <row r="635" spans="3:53"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</row>
    <row r="636" spans="3:53"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</row>
    <row r="637" spans="3:53"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</row>
    <row r="638" spans="3:53"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</row>
    <row r="639" spans="3:53"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</row>
    <row r="640" spans="3:53"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</row>
    <row r="641" spans="3:53"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</row>
    <row r="642" spans="3:53"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</row>
    <row r="643" spans="3:53"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</row>
    <row r="644" spans="3:53"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</row>
    <row r="645" spans="3:53"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</row>
    <row r="646" spans="3:53"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</row>
    <row r="647" spans="3:53"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</row>
    <row r="648" spans="3:53"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</row>
    <row r="649" spans="3:53"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</row>
    <row r="650" spans="3:53"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</row>
    <row r="651" spans="3:53"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</row>
    <row r="652" spans="3:53"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</row>
    <row r="653" spans="3:53"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</row>
    <row r="654" spans="3:53"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</row>
    <row r="655" spans="3:53"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</row>
    <row r="656" spans="3:53"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</row>
    <row r="657" spans="3:53"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</row>
    <row r="658" spans="3:53"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</row>
    <row r="659" spans="3:53"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</row>
    <row r="660" spans="3:53"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</row>
    <row r="661" spans="3:53"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</row>
    <row r="662" spans="3:53"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</row>
    <row r="663" spans="3:53"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</row>
    <row r="664" spans="3:53"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</row>
    <row r="665" spans="3:53"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</row>
    <row r="666" spans="3:53"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</row>
    <row r="667" spans="3:53"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</row>
    <row r="668" spans="3:53"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</row>
    <row r="669" spans="3:53"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</row>
    <row r="670" spans="3:53"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</row>
    <row r="671" spans="3:53"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</row>
    <row r="672" spans="3:53"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</row>
    <row r="673" spans="3:53"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</row>
    <row r="674" spans="3:53"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</row>
    <row r="675" spans="3:53"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</row>
    <row r="676" spans="3:53"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</row>
    <row r="677" spans="3:53"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</row>
  </sheetData>
  <mergeCells count="2">
    <mergeCell ref="B4:Q4"/>
    <mergeCell ref="B3:Q3"/>
  </mergeCells>
  <phoneticPr fontId="24" type="noConversion"/>
  <printOptions horizontalCentered="1"/>
  <pageMargins left="0.2" right="0.2" top="0.28000000000000003" bottom="0.4" header="0.26" footer="0.22"/>
  <pageSetup scale="86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D35" sqref="D35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5.75">
      <c r="A2" s="34"/>
      <c r="B2" s="329" t="s">
        <v>25</v>
      </c>
      <c r="C2" s="197"/>
      <c r="D2" s="197"/>
      <c r="E2" s="197"/>
      <c r="F2" s="197"/>
    </row>
    <row r="3" spans="1:8" ht="15.75">
      <c r="A3" s="34"/>
      <c r="B3" s="329" t="s">
        <v>37</v>
      </c>
      <c r="C3" s="197"/>
      <c r="D3" s="197"/>
      <c r="E3" s="197"/>
      <c r="F3" s="197"/>
    </row>
    <row r="4" spans="1:8" ht="15.75" customHeight="1">
      <c r="B4" s="330" t="str">
        <f>'New Format'!B5</f>
        <v>For The 12 Months Ending December 31, 2018</v>
      </c>
      <c r="C4" s="198"/>
      <c r="D4" s="198"/>
      <c r="E4" s="198"/>
      <c r="F4" s="198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9" t="s">
        <v>5</v>
      </c>
      <c r="C8" s="69" t="s">
        <v>27</v>
      </c>
      <c r="D8" s="69" t="s">
        <v>52</v>
      </c>
      <c r="E8" s="69" t="s">
        <v>64</v>
      </c>
      <c r="F8" s="69" t="s">
        <v>65</v>
      </c>
      <c r="G8" s="67"/>
    </row>
    <row r="9" spans="1:8">
      <c r="A9" s="3">
        <f t="shared" ref="A9:A28" si="0">A8+1</f>
        <v>2</v>
      </c>
      <c r="B9" s="68"/>
      <c r="C9" s="69"/>
      <c r="D9" s="68"/>
      <c r="E9" s="68"/>
      <c r="F9" s="68"/>
      <c r="G9" s="67"/>
    </row>
    <row r="10" spans="1:8">
      <c r="A10" s="3">
        <f t="shared" si="0"/>
        <v>3</v>
      </c>
      <c r="B10" s="68"/>
      <c r="C10" s="69" t="s">
        <v>53</v>
      </c>
      <c r="D10" s="69" t="s">
        <v>38</v>
      </c>
      <c r="E10" s="69" t="s">
        <v>18</v>
      </c>
      <c r="F10" s="69" t="s">
        <v>11</v>
      </c>
      <c r="G10" s="67"/>
    </row>
    <row r="11" spans="1:8">
      <c r="A11" s="3">
        <f t="shared" si="0"/>
        <v>4</v>
      </c>
      <c r="B11" s="70" t="s">
        <v>9</v>
      </c>
      <c r="C11" s="70" t="s">
        <v>78</v>
      </c>
      <c r="D11" s="70" t="s">
        <v>19</v>
      </c>
      <c r="E11" s="70" t="s">
        <v>20</v>
      </c>
      <c r="F11" s="70" t="s">
        <v>19</v>
      </c>
      <c r="G11" s="67"/>
    </row>
    <row r="12" spans="1:8">
      <c r="A12" s="3">
        <f t="shared" si="0"/>
        <v>5</v>
      </c>
      <c r="B12" s="71"/>
      <c r="C12" s="72"/>
      <c r="D12" s="72"/>
      <c r="E12" s="73"/>
      <c r="F12" s="72"/>
      <c r="G12" s="67"/>
    </row>
    <row r="13" spans="1:8">
      <c r="A13" s="3">
        <f t="shared" si="0"/>
        <v>6</v>
      </c>
      <c r="B13" s="71" t="s">
        <v>36</v>
      </c>
      <c r="C13" s="76">
        <f>'Pg 4 STD OS &amp; Comm Fees'!C11</f>
        <v>208103347.94999999</v>
      </c>
      <c r="D13" s="207">
        <f>IF(E13=0,"NA",(E13/C13))</f>
        <v>2.4064666038930014E-2</v>
      </c>
      <c r="E13" s="76">
        <f>'Pg 4 STD OS &amp; Comm Fees'!D11</f>
        <v>5007937.57</v>
      </c>
      <c r="F13" s="74"/>
      <c r="G13" s="75"/>
    </row>
    <row r="14" spans="1:8">
      <c r="A14" s="3">
        <f t="shared" si="0"/>
        <v>7</v>
      </c>
      <c r="B14" s="67" t="s">
        <v>109</v>
      </c>
      <c r="C14" s="85">
        <f>'Pg 4 STD OS &amp; Comm Fees'!C12</f>
        <v>0</v>
      </c>
      <c r="D14" s="207" t="str">
        <f>IF(E14=0,"NA",(E14/C14))</f>
        <v>NA</v>
      </c>
      <c r="E14" s="76">
        <f>'Pg 4 STD OS &amp; Comm Fees'!D12</f>
        <v>0</v>
      </c>
      <c r="F14" s="74"/>
      <c r="G14" s="75"/>
    </row>
    <row r="15" spans="1:8">
      <c r="A15" s="3">
        <v>10</v>
      </c>
      <c r="B15" s="67" t="s">
        <v>173</v>
      </c>
      <c r="C15" s="85">
        <f>'Pg 4 STD OS &amp; Comm Fees'!C13</f>
        <v>0</v>
      </c>
      <c r="D15" s="207" t="str">
        <f>IF(E15=0,"NA",(E15/C15))</f>
        <v>NA</v>
      </c>
      <c r="E15" s="76">
        <f>'Pg 4 STD OS &amp; Comm Fees'!D13</f>
        <v>0</v>
      </c>
      <c r="F15" s="74"/>
      <c r="G15" s="75"/>
    </row>
    <row r="16" spans="1:8">
      <c r="A16" s="3">
        <f>A15+1</f>
        <v>11</v>
      </c>
      <c r="B16" s="67" t="s">
        <v>198</v>
      </c>
      <c r="C16" s="85">
        <f>'Pg 4 STD OS &amp; Comm Fees'!C14</f>
        <v>767123.29</v>
      </c>
      <c r="D16" s="207">
        <f>IF(E16=0,"NA",(E16/C16))</f>
        <v>3.0435733479034378E-2</v>
      </c>
      <c r="E16" s="76">
        <f>'Pg 4 STD OS &amp; Comm Fees'!D14</f>
        <v>23347.96</v>
      </c>
    </row>
    <row r="17" spans="1:7">
      <c r="A17" s="3">
        <f t="shared" si="0"/>
        <v>12</v>
      </c>
      <c r="B17" s="323" t="s">
        <v>148</v>
      </c>
      <c r="C17" s="325">
        <f>SUM(C13:C16)</f>
        <v>208870471.23999998</v>
      </c>
      <c r="D17" s="326">
        <f>IF(E17=0,"NA",(E17/C17))</f>
        <v>2.4088065201992411E-2</v>
      </c>
      <c r="E17" s="324">
        <f>SUM(E13:E16)</f>
        <v>5031285.53</v>
      </c>
      <c r="F17" s="74">
        <f>E17/C23</f>
        <v>2.4088065201992411E-2</v>
      </c>
      <c r="G17" s="75"/>
    </row>
    <row r="18" spans="1:7">
      <c r="A18" s="3">
        <f t="shared" si="0"/>
        <v>13</v>
      </c>
      <c r="B18" s="67"/>
      <c r="C18" s="86"/>
      <c r="D18" s="208"/>
      <c r="E18" s="77"/>
      <c r="F18" s="67"/>
      <c r="G18" s="75"/>
    </row>
    <row r="19" spans="1:7">
      <c r="A19" s="3">
        <f t="shared" si="0"/>
        <v>14</v>
      </c>
      <c r="B19" s="71" t="s">
        <v>54</v>
      </c>
      <c r="C19" s="87"/>
      <c r="D19" s="88"/>
      <c r="E19" s="343">
        <f>'Pg 4 STD OS &amp; Comm Fees'!F16</f>
        <v>1449002.2664944446</v>
      </c>
      <c r="F19" s="414">
        <f>E19/C23</f>
        <v>6.9373246390079081E-3</v>
      </c>
      <c r="G19" s="187" t="s">
        <v>77</v>
      </c>
    </row>
    <row r="20" spans="1:7">
      <c r="A20" s="3">
        <f t="shared" si="0"/>
        <v>15</v>
      </c>
      <c r="B20" s="71"/>
      <c r="C20" s="78"/>
      <c r="D20" s="79"/>
      <c r="E20" s="83"/>
      <c r="F20" s="74"/>
      <c r="G20" s="75"/>
    </row>
    <row r="21" spans="1:7">
      <c r="A21" s="3">
        <f t="shared" si="0"/>
        <v>16</v>
      </c>
      <c r="B21" s="71" t="s">
        <v>55</v>
      </c>
      <c r="C21" s="78"/>
      <c r="D21" s="79"/>
      <c r="E21" s="343">
        <f>-'Pg 5 STD Amort'!I27</f>
        <v>783628.46</v>
      </c>
      <c r="F21" s="414">
        <f>E21/C23</f>
        <v>3.7517436301447394E-3</v>
      </c>
      <c r="G21" s="187" t="s">
        <v>92</v>
      </c>
    </row>
    <row r="22" spans="1:7" ht="13.5" thickBot="1">
      <c r="A22" s="3">
        <f t="shared" si="0"/>
        <v>17</v>
      </c>
      <c r="B22" s="67"/>
      <c r="C22" s="77"/>
      <c r="D22" s="76"/>
      <c r="E22" s="84"/>
      <c r="G22" s="67"/>
    </row>
    <row r="23" spans="1:7" ht="13.5" thickBot="1">
      <c r="A23" s="3">
        <f t="shared" si="0"/>
        <v>18</v>
      </c>
      <c r="B23" s="80" t="s">
        <v>39</v>
      </c>
      <c r="C23" s="81">
        <f>C17</f>
        <v>208870471.23999998</v>
      </c>
      <c r="D23" s="82"/>
      <c r="E23" s="81">
        <f>SUM(E17:E22)</f>
        <v>7263916.2564944448</v>
      </c>
      <c r="F23" s="212">
        <f>E23/C23</f>
        <v>3.4777133471145062E-2</v>
      </c>
      <c r="G23" s="75"/>
    </row>
    <row r="24" spans="1:7">
      <c r="A24" s="3">
        <f t="shared" si="0"/>
        <v>19</v>
      </c>
      <c r="B24" s="67"/>
      <c r="C24" s="67"/>
      <c r="D24" s="67"/>
      <c r="E24" s="67"/>
      <c r="F24" s="67"/>
      <c r="G24" s="75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31" t="s">
        <v>165</v>
      </c>
      <c r="C26" s="132"/>
      <c r="D26" s="132"/>
      <c r="E26" s="132"/>
      <c r="F26" s="71"/>
      <c r="G26" s="10"/>
    </row>
    <row r="27" spans="1:7">
      <c r="A27" s="3">
        <f t="shared" si="0"/>
        <v>22</v>
      </c>
      <c r="B27" s="131" t="s">
        <v>141</v>
      </c>
      <c r="C27" s="132"/>
      <c r="D27" s="132"/>
      <c r="E27" s="132"/>
      <c r="F27" s="71"/>
      <c r="G27" s="10"/>
    </row>
    <row r="28" spans="1:7">
      <c r="A28" s="3">
        <f t="shared" si="0"/>
        <v>23</v>
      </c>
      <c r="B28" s="131" t="s">
        <v>164</v>
      </c>
      <c r="C28" s="71"/>
      <c r="D28" s="71"/>
      <c r="E28" s="71"/>
      <c r="F28" s="71"/>
      <c r="G28" s="10"/>
    </row>
    <row r="29" spans="1:7">
      <c r="A29" s="3"/>
      <c r="B29" s="131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4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B3" sqref="B3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0" customWidth="1"/>
    <col min="14" max="14" width="11.1640625" customWidth="1"/>
    <col min="15" max="15" width="11.5" customWidth="1"/>
  </cols>
  <sheetData>
    <row r="1" spans="1:15" ht="12">
      <c r="A1" s="35"/>
      <c r="B1" s="36" t="s">
        <v>46</v>
      </c>
      <c r="C1" s="36"/>
      <c r="D1" s="35"/>
      <c r="E1" s="35"/>
      <c r="F1" s="35"/>
      <c r="G1" s="36"/>
      <c r="H1" s="36"/>
      <c r="I1" s="36"/>
      <c r="J1" s="36"/>
      <c r="K1" s="35"/>
      <c r="L1" s="35"/>
      <c r="M1" s="35"/>
      <c r="N1" s="35"/>
      <c r="O1" s="35"/>
    </row>
    <row r="2" spans="1:15" ht="12">
      <c r="A2" s="35"/>
      <c r="B2" s="36" t="s">
        <v>47</v>
      </c>
      <c r="C2" s="36"/>
      <c r="D2" s="35"/>
      <c r="E2" s="35"/>
      <c r="F2" s="35"/>
      <c r="G2" s="36"/>
      <c r="H2" s="36"/>
      <c r="I2" s="36"/>
      <c r="J2" s="36"/>
      <c r="K2" s="37"/>
      <c r="L2" s="35"/>
      <c r="N2" s="35"/>
      <c r="O2" s="35"/>
    </row>
    <row r="3" spans="1:15" ht="12.75">
      <c r="A3" s="35"/>
      <c r="B3" s="261" t="str">
        <f>'New Format'!B5</f>
        <v>For The 12 Months Ending December 31, 2018</v>
      </c>
      <c r="C3" s="252"/>
      <c r="D3" s="253"/>
      <c r="E3" s="253"/>
      <c r="F3" s="253"/>
      <c r="G3" s="254"/>
      <c r="H3" s="254"/>
      <c r="I3" s="254"/>
      <c r="J3" s="254"/>
      <c r="K3" s="35"/>
      <c r="L3" s="35"/>
      <c r="N3" s="35"/>
      <c r="O3" s="35"/>
    </row>
    <row r="4" spans="1:15" ht="12">
      <c r="A4" s="35"/>
      <c r="B4" s="36"/>
      <c r="C4" s="43"/>
      <c r="D4" s="35"/>
      <c r="E4" s="35"/>
      <c r="F4" s="35"/>
      <c r="G4" s="35"/>
      <c r="H4" s="35"/>
      <c r="I4" s="35"/>
      <c r="J4" s="35"/>
      <c r="K4" s="35"/>
      <c r="L4" s="35"/>
      <c r="N4" s="35"/>
      <c r="O4" s="35"/>
    </row>
    <row r="5" spans="1:15" ht="13.5" thickBot="1">
      <c r="A5" s="188">
        <v>1</v>
      </c>
      <c r="B5" s="345" t="s">
        <v>5</v>
      </c>
      <c r="C5" s="345" t="s">
        <v>27</v>
      </c>
      <c r="D5" s="345" t="s">
        <v>52</v>
      </c>
      <c r="E5" s="345" t="s">
        <v>64</v>
      </c>
      <c r="F5" s="345" t="s">
        <v>65</v>
      </c>
      <c r="G5" s="345" t="s">
        <v>66</v>
      </c>
      <c r="H5" s="345" t="s">
        <v>67</v>
      </c>
      <c r="I5" s="345" t="s">
        <v>68</v>
      </c>
      <c r="J5" s="345" t="s">
        <v>69</v>
      </c>
      <c r="K5" s="69"/>
      <c r="L5" s="69"/>
      <c r="N5" s="35"/>
      <c r="O5" s="35"/>
    </row>
    <row r="6" spans="1:15" ht="12">
      <c r="A6" s="188">
        <f>+A5+1</f>
        <v>2</v>
      </c>
      <c r="B6" s="346" t="s">
        <v>115</v>
      </c>
      <c r="C6" s="347"/>
      <c r="D6" s="347"/>
      <c r="E6" s="347"/>
      <c r="F6" s="347"/>
      <c r="G6" s="347"/>
      <c r="H6" s="150"/>
      <c r="I6" s="150"/>
      <c r="J6" s="150"/>
      <c r="K6" s="348"/>
      <c r="M6" s="35"/>
      <c r="N6" s="35"/>
      <c r="O6" s="35"/>
    </row>
    <row r="7" spans="1:15" ht="12">
      <c r="A7" s="188">
        <f>+A6+1</f>
        <v>3</v>
      </c>
      <c r="B7" s="201"/>
      <c r="C7" s="202"/>
      <c r="D7" s="202"/>
      <c r="E7" s="202"/>
      <c r="F7" s="202" t="s">
        <v>2</v>
      </c>
      <c r="G7" s="38" t="s">
        <v>2</v>
      </c>
      <c r="H7" s="38"/>
      <c r="I7" s="38"/>
      <c r="J7" s="38"/>
      <c r="K7" s="349" t="s">
        <v>2</v>
      </c>
      <c r="L7" s="35"/>
      <c r="M7" s="269"/>
      <c r="N7" s="35"/>
      <c r="O7" s="35"/>
    </row>
    <row r="8" spans="1:15" ht="12">
      <c r="A8" s="188">
        <f>A7+1</f>
        <v>4</v>
      </c>
      <c r="B8" s="201"/>
      <c r="C8" s="209" t="s">
        <v>50</v>
      </c>
      <c r="D8" s="209" t="s">
        <v>108</v>
      </c>
      <c r="E8" s="209" t="s">
        <v>50</v>
      </c>
      <c r="F8" s="209" t="s">
        <v>125</v>
      </c>
      <c r="G8" s="38"/>
      <c r="H8" s="38"/>
      <c r="I8" s="38"/>
      <c r="J8" s="38"/>
      <c r="K8" s="349"/>
      <c r="L8" s="200"/>
      <c r="M8" s="35"/>
      <c r="N8" s="35"/>
      <c r="O8" s="35"/>
    </row>
    <row r="9" spans="1:15" ht="12">
      <c r="A9" s="188">
        <f>A8+1</f>
        <v>5</v>
      </c>
      <c r="B9" s="201"/>
      <c r="C9" s="210" t="s">
        <v>143</v>
      </c>
      <c r="D9" s="210" t="s">
        <v>38</v>
      </c>
      <c r="E9" s="210" t="s">
        <v>93</v>
      </c>
      <c r="F9" s="210" t="s">
        <v>144</v>
      </c>
      <c r="G9" s="40"/>
      <c r="H9" s="40"/>
      <c r="I9" s="38"/>
      <c r="J9" s="38"/>
      <c r="K9" s="349"/>
      <c r="L9" s="200"/>
      <c r="M9" s="235"/>
      <c r="N9" s="35"/>
      <c r="O9" s="35"/>
    </row>
    <row r="10" spans="1:15" ht="12">
      <c r="A10" s="188">
        <f>A9+1</f>
        <v>6</v>
      </c>
      <c r="B10" s="201"/>
      <c r="C10" s="89"/>
      <c r="D10" s="89"/>
      <c r="E10" s="89"/>
      <c r="F10" s="322"/>
      <c r="G10" s="38"/>
      <c r="H10" s="38"/>
      <c r="I10" s="38"/>
      <c r="J10" s="38"/>
      <c r="K10" s="349"/>
      <c r="L10" s="35"/>
      <c r="M10" s="35"/>
      <c r="O10" s="35"/>
    </row>
    <row r="11" spans="1:15" ht="12">
      <c r="A11" s="188">
        <f t="shared" ref="A11:A36" si="0">A10+1</f>
        <v>7</v>
      </c>
      <c r="B11" s="201" t="s">
        <v>36</v>
      </c>
      <c r="C11" s="317">
        <v>208103347.94999999</v>
      </c>
      <c r="D11" s="317">
        <v>5007937.57</v>
      </c>
      <c r="E11" s="263">
        <f>IF(C11=0,"NA",(D11/C11))</f>
        <v>2.4064666038930014E-2</v>
      </c>
      <c r="F11" s="372">
        <v>0</v>
      </c>
      <c r="G11" s="340"/>
      <c r="I11" s="38"/>
      <c r="J11" s="38"/>
      <c r="K11" s="349"/>
      <c r="L11" s="35"/>
      <c r="M11" s="361"/>
      <c r="O11" s="35"/>
    </row>
    <row r="12" spans="1:15" ht="12">
      <c r="A12" s="188">
        <f t="shared" si="0"/>
        <v>8</v>
      </c>
      <c r="B12" s="201" t="s">
        <v>109</v>
      </c>
      <c r="C12" s="317">
        <v>0</v>
      </c>
      <c r="D12" s="317">
        <v>0</v>
      </c>
      <c r="E12" s="263" t="str">
        <f>IF(C12=0,"NA",(D12/C12))</f>
        <v>NA</v>
      </c>
      <c r="F12" s="372">
        <v>0</v>
      </c>
      <c r="G12" s="340"/>
      <c r="H12" s="318"/>
      <c r="I12" s="38"/>
      <c r="J12" s="38"/>
      <c r="K12" s="349"/>
      <c r="L12" s="35"/>
      <c r="M12" s="361"/>
      <c r="O12" s="35"/>
    </row>
    <row r="13" spans="1:15" ht="12">
      <c r="A13" s="188">
        <v>9</v>
      </c>
      <c r="B13" s="201" t="s">
        <v>173</v>
      </c>
      <c r="C13" s="317">
        <v>0</v>
      </c>
      <c r="D13" s="317">
        <v>0</v>
      </c>
      <c r="E13" s="263" t="str">
        <f>IF(C13=0,"NA",(D13/C13))</f>
        <v>NA</v>
      </c>
      <c r="F13" s="206">
        <f>J26</f>
        <v>0</v>
      </c>
      <c r="G13" s="340"/>
      <c r="H13" s="360"/>
      <c r="I13" s="38"/>
      <c r="J13" s="38"/>
      <c r="K13" s="349"/>
      <c r="L13" s="35"/>
      <c r="M13" s="361"/>
      <c r="O13" s="35"/>
    </row>
    <row r="14" spans="1:15" ht="12">
      <c r="A14" s="188">
        <f>A13+1</f>
        <v>10</v>
      </c>
      <c r="B14" s="201" t="s">
        <v>198</v>
      </c>
      <c r="C14" s="317">
        <v>767123.29</v>
      </c>
      <c r="D14" s="317">
        <v>23347.96</v>
      </c>
      <c r="E14" s="263">
        <f>IF(C14=0,"NA",(D14/C14))</f>
        <v>3.0435733479034378E-2</v>
      </c>
      <c r="F14" s="206">
        <f>J27</f>
        <v>1418083.3333000001</v>
      </c>
      <c r="G14" s="340"/>
      <c r="H14" s="318"/>
      <c r="I14" s="38"/>
      <c r="J14" s="38"/>
      <c r="K14" s="349"/>
      <c r="L14" s="35"/>
      <c r="M14" s="199"/>
      <c r="N14" s="35"/>
      <c r="O14" s="35"/>
    </row>
    <row r="15" spans="1:15" ht="12">
      <c r="A15" s="188">
        <f t="shared" si="0"/>
        <v>11</v>
      </c>
      <c r="B15" s="201" t="s">
        <v>150</v>
      </c>
      <c r="C15" s="317">
        <v>0</v>
      </c>
      <c r="D15" s="317">
        <v>0</v>
      </c>
      <c r="E15" s="263" t="str">
        <f>IF(C15=0,"NA",(D15/C15))</f>
        <v>NA</v>
      </c>
      <c r="F15" s="206">
        <f>J32</f>
        <v>30918.933194444446</v>
      </c>
      <c r="G15" s="38"/>
      <c r="H15" s="38"/>
      <c r="I15" s="38"/>
      <c r="J15" s="38"/>
      <c r="K15" s="349"/>
      <c r="L15" s="35"/>
      <c r="M15" s="35"/>
      <c r="N15" s="35"/>
      <c r="O15" s="35"/>
    </row>
    <row r="16" spans="1:15" ht="12.75" thickBot="1">
      <c r="A16" s="188">
        <f t="shared" si="0"/>
        <v>12</v>
      </c>
      <c r="B16" s="328" t="s">
        <v>154</v>
      </c>
      <c r="C16" s="364">
        <f>SUM(C10:C15)</f>
        <v>208870471.23999998</v>
      </c>
      <c r="D16" s="366">
        <f>SUM(D10:D15)</f>
        <v>5031285.53</v>
      </c>
      <c r="E16" s="365">
        <f>D16/C16</f>
        <v>2.4088065201992411E-2</v>
      </c>
      <c r="F16" s="366">
        <f>SUM(F10:F15)</f>
        <v>1449002.2664944446</v>
      </c>
      <c r="G16" s="38"/>
      <c r="H16" s="38"/>
      <c r="I16" s="38"/>
      <c r="J16" s="38"/>
      <c r="K16" s="349"/>
      <c r="L16" s="35"/>
      <c r="M16" s="35"/>
      <c r="N16" s="35"/>
      <c r="O16" s="35"/>
    </row>
    <row r="17" spans="1:15" ht="12.75" thickTop="1">
      <c r="A17" s="188"/>
      <c r="B17" s="328"/>
      <c r="C17" s="405"/>
      <c r="D17" s="432"/>
      <c r="E17" s="433"/>
      <c r="F17" s="432"/>
      <c r="G17" s="38"/>
      <c r="H17" s="38"/>
      <c r="I17" s="38"/>
      <c r="J17" s="38"/>
      <c r="K17" s="349"/>
      <c r="L17" s="35"/>
      <c r="M17" s="35"/>
      <c r="N17" s="35"/>
      <c r="O17" s="35"/>
    </row>
    <row r="18" spans="1:15" ht="12">
      <c r="A18" s="188"/>
      <c r="B18" s="424" t="s">
        <v>192</v>
      </c>
      <c r="C18" s="203"/>
      <c r="D18" s="204"/>
      <c r="E18" s="202"/>
      <c r="F18" s="423">
        <f>'New Format'!C30</f>
        <v>7860865544</v>
      </c>
      <c r="G18" s="38"/>
      <c r="H18" s="38"/>
      <c r="I18" s="38"/>
      <c r="J18" s="38"/>
      <c r="K18" s="349"/>
      <c r="L18" s="35"/>
      <c r="M18" s="35"/>
      <c r="N18" s="35"/>
      <c r="O18" s="35"/>
    </row>
    <row r="19" spans="1:15" ht="12">
      <c r="A19" s="188"/>
      <c r="B19" s="201"/>
      <c r="C19" s="203"/>
      <c r="D19" s="204"/>
      <c r="E19" s="202"/>
      <c r="F19" s="203"/>
      <c r="G19" s="38"/>
      <c r="H19" s="38"/>
      <c r="I19" s="38"/>
      <c r="J19" s="38"/>
      <c r="K19" s="349"/>
      <c r="L19" s="35"/>
      <c r="M19" s="35"/>
      <c r="N19" s="35"/>
      <c r="O19" s="35"/>
    </row>
    <row r="20" spans="1:15" ht="12">
      <c r="A20" s="188"/>
      <c r="B20" s="424" t="s">
        <v>194</v>
      </c>
      <c r="C20" s="203"/>
      <c r="D20" s="204"/>
      <c r="E20" s="202"/>
      <c r="F20" s="419">
        <f>ROUND(F16/F18,4)</f>
        <v>2.0000000000000001E-4</v>
      </c>
      <c r="G20" s="38"/>
      <c r="H20" s="38"/>
      <c r="I20" s="38"/>
      <c r="J20" s="38"/>
      <c r="K20" s="349"/>
      <c r="L20" s="35"/>
      <c r="M20" s="35"/>
      <c r="N20" s="35"/>
      <c r="O20" s="35"/>
    </row>
    <row r="21" spans="1:15" ht="12.75" thickBot="1">
      <c r="A21" s="188">
        <f>A16+1</f>
        <v>13</v>
      </c>
      <c r="B21" s="342"/>
      <c r="C21" s="205"/>
      <c r="D21" s="205"/>
      <c r="E21" s="205"/>
      <c r="F21" s="205"/>
      <c r="G21" s="350"/>
      <c r="H21" s="350"/>
      <c r="I21" s="350"/>
      <c r="J21" s="350"/>
      <c r="K21" s="351"/>
      <c r="L21" s="38"/>
      <c r="M21" s="35"/>
      <c r="N21" s="35"/>
      <c r="O21" s="35"/>
    </row>
    <row r="22" spans="1:15" ht="12">
      <c r="A22" s="188">
        <f t="shared" si="0"/>
        <v>14</v>
      </c>
      <c r="B22" s="457" t="s">
        <v>91</v>
      </c>
      <c r="C22" s="458"/>
      <c r="D22" s="150"/>
      <c r="E22" s="150"/>
      <c r="F22" s="150"/>
      <c r="G22" s="150"/>
      <c r="H22" s="180"/>
      <c r="I22" s="180"/>
      <c r="J22" s="180"/>
      <c r="K22" s="147"/>
      <c r="L22" s="38" t="s">
        <v>2</v>
      </c>
      <c r="M22" s="35"/>
      <c r="N22" s="35"/>
      <c r="O22" s="35"/>
    </row>
    <row r="23" spans="1:15" ht="12">
      <c r="A23" s="188">
        <f t="shared" si="0"/>
        <v>15</v>
      </c>
      <c r="B23" s="455" t="s">
        <v>100</v>
      </c>
      <c r="C23" s="456"/>
      <c r="D23" s="38"/>
      <c r="E23" s="38"/>
      <c r="F23" s="38"/>
      <c r="G23" s="215" t="s">
        <v>174</v>
      </c>
      <c r="H23" s="215" t="s">
        <v>174</v>
      </c>
      <c r="I23" s="42"/>
      <c r="J23" s="42"/>
      <c r="K23" s="152"/>
      <c r="L23" s="38"/>
      <c r="M23" s="35"/>
      <c r="N23" s="35"/>
      <c r="O23" s="35"/>
    </row>
    <row r="24" spans="1:15" ht="12">
      <c r="A24" s="188">
        <f t="shared" si="0"/>
        <v>16</v>
      </c>
      <c r="B24" s="181"/>
      <c r="C24" s="179"/>
      <c r="D24" s="38"/>
      <c r="E24" s="38"/>
      <c r="F24" s="38"/>
      <c r="G24" s="215" t="s">
        <v>146</v>
      </c>
      <c r="H24" s="215" t="s">
        <v>147</v>
      </c>
      <c r="I24" s="42"/>
      <c r="J24" s="42"/>
      <c r="K24" s="152"/>
      <c r="L24" s="38"/>
      <c r="M24" s="35"/>
      <c r="N24" s="35"/>
      <c r="O24" s="35"/>
    </row>
    <row r="25" spans="1:15" ht="12">
      <c r="A25" s="188">
        <f t="shared" si="0"/>
        <v>17</v>
      </c>
      <c r="B25" s="151"/>
      <c r="C25" s="39" t="s">
        <v>48</v>
      </c>
      <c r="D25" s="39" t="s">
        <v>49</v>
      </c>
      <c r="E25" s="40" t="s">
        <v>51</v>
      </c>
      <c r="F25" s="40" t="s">
        <v>125</v>
      </c>
      <c r="G25" s="40" t="s">
        <v>145</v>
      </c>
      <c r="H25" s="40" t="s">
        <v>125</v>
      </c>
      <c r="I25" s="40" t="s">
        <v>60</v>
      </c>
      <c r="J25" s="40" t="s">
        <v>61</v>
      </c>
      <c r="K25" s="182"/>
      <c r="L25" s="38"/>
      <c r="M25" s="35"/>
      <c r="N25" s="35"/>
      <c r="O25" s="35"/>
    </row>
    <row r="26" spans="1:15" ht="12">
      <c r="A26" s="188">
        <v>18</v>
      </c>
      <c r="B26" s="201" t="s">
        <v>173</v>
      </c>
      <c r="C26" s="318"/>
      <c r="D26" s="318"/>
      <c r="E26" s="341">
        <f>D26-C26</f>
        <v>0</v>
      </c>
      <c r="F26" s="362">
        <v>650000000</v>
      </c>
      <c r="G26" s="255">
        <f>C13+H32</f>
        <v>0</v>
      </c>
      <c r="H26" s="255">
        <f>F26-G26</f>
        <v>650000000</v>
      </c>
      <c r="I26" s="373">
        <v>1.75E-3</v>
      </c>
      <c r="J26" s="206">
        <f>ROUND(H26*I26*E26/360,4)</f>
        <v>0</v>
      </c>
      <c r="K26" s="152"/>
      <c r="L26" s="38"/>
      <c r="M26" s="35"/>
      <c r="N26" s="35"/>
      <c r="O26" s="35"/>
    </row>
    <row r="27" spans="1:15" ht="12">
      <c r="A27" s="188">
        <f>A26+1</f>
        <v>19</v>
      </c>
      <c r="B27" s="201" t="s">
        <v>198</v>
      </c>
      <c r="C27" s="318">
        <v>43101</v>
      </c>
      <c r="D27" s="318">
        <v>43465</v>
      </c>
      <c r="E27" s="341">
        <f>D27-C27+1</f>
        <v>365</v>
      </c>
      <c r="F27" s="362">
        <v>800000000</v>
      </c>
      <c r="G27" s="255">
        <f>C14+H33</f>
        <v>767123.29</v>
      </c>
      <c r="H27" s="255">
        <f>F27-G27</f>
        <v>799232876.71000004</v>
      </c>
      <c r="I27" s="373">
        <v>1.75E-3</v>
      </c>
      <c r="J27" s="206">
        <f>ROUND(H27*I27*E27/360,4)</f>
        <v>1418083.3333000001</v>
      </c>
      <c r="K27" s="183"/>
      <c r="L27" s="38"/>
      <c r="M27" s="35"/>
      <c r="N27" s="35"/>
      <c r="O27" s="35"/>
    </row>
    <row r="28" spans="1:15" ht="12.75" thickBot="1">
      <c r="A28" s="188">
        <f t="shared" si="0"/>
        <v>20</v>
      </c>
      <c r="B28" s="259" t="s">
        <v>124</v>
      </c>
      <c r="C28" s="41"/>
      <c r="D28" s="271"/>
      <c r="E28" s="321"/>
      <c r="F28" s="272"/>
      <c r="G28" s="428"/>
      <c r="H28" s="428"/>
      <c r="I28" s="273"/>
      <c r="J28" s="431">
        <f>+J26+J27</f>
        <v>1418083.3333000001</v>
      </c>
      <c r="K28" s="183"/>
      <c r="L28" s="38"/>
      <c r="M28" s="35"/>
      <c r="N28" s="35"/>
      <c r="O28" s="35"/>
    </row>
    <row r="29" spans="1:15" ht="12.75" thickTop="1">
      <c r="A29" s="188">
        <f t="shared" si="0"/>
        <v>21</v>
      </c>
      <c r="B29" s="238"/>
      <c r="C29" s="41"/>
      <c r="D29" s="271"/>
      <c r="E29" s="321"/>
      <c r="F29" s="321"/>
      <c r="G29" s="271"/>
      <c r="H29" s="274"/>
      <c r="I29" s="274"/>
      <c r="J29" s="274"/>
      <c r="K29" s="183"/>
      <c r="L29" s="38"/>
      <c r="M29" s="35"/>
      <c r="N29" s="35"/>
      <c r="O29" s="35"/>
    </row>
    <row r="30" spans="1:15" ht="12">
      <c r="A30" s="188">
        <f t="shared" si="0"/>
        <v>22</v>
      </c>
      <c r="B30" s="258" t="s">
        <v>126</v>
      </c>
      <c r="C30" s="275"/>
      <c r="D30" s="89"/>
      <c r="E30" s="89"/>
      <c r="F30" s="40" t="s">
        <v>166</v>
      </c>
      <c r="G30" s="40" t="s">
        <v>51</v>
      </c>
      <c r="H30" s="40" t="s">
        <v>151</v>
      </c>
      <c r="I30" s="271"/>
      <c r="J30" s="274"/>
      <c r="K30" s="183"/>
      <c r="L30" s="38"/>
      <c r="M30" s="35"/>
      <c r="N30" s="35"/>
      <c r="O30" s="35"/>
    </row>
    <row r="31" spans="1:15" ht="12">
      <c r="A31" s="188">
        <f t="shared" si="0"/>
        <v>23</v>
      </c>
      <c r="B31" s="259" t="s">
        <v>152</v>
      </c>
      <c r="C31" s="428"/>
      <c r="D31" s="89"/>
      <c r="E31" s="89"/>
      <c r="F31" s="429" t="s">
        <v>168</v>
      </c>
      <c r="G31" s="398">
        <v>365</v>
      </c>
      <c r="H31" s="317">
        <v>3034247</v>
      </c>
      <c r="I31" s="373">
        <v>0.01</v>
      </c>
      <c r="J31" s="255">
        <f>(I31*H31)*(G31/360)+(12.92*12)</f>
        <v>30918.933194444446</v>
      </c>
      <c r="K31" s="183"/>
      <c r="L31" s="38"/>
      <c r="M31" s="35"/>
      <c r="N31" s="35"/>
      <c r="O31" s="35"/>
    </row>
    <row r="32" spans="1:15" ht="12.75" customHeight="1" thickBot="1">
      <c r="A32" s="188">
        <f>A31+1</f>
        <v>24</v>
      </c>
      <c r="B32" s="259"/>
      <c r="C32" s="428"/>
      <c r="D32" s="89"/>
      <c r="E32" s="89"/>
      <c r="F32" s="429"/>
      <c r="G32" s="398"/>
      <c r="H32" s="317"/>
      <c r="I32" s="373"/>
      <c r="J32" s="363">
        <f>SUM(J31)</f>
        <v>30918.933194444446</v>
      </c>
      <c r="K32" s="152"/>
      <c r="L32" s="38"/>
      <c r="M32" s="35"/>
      <c r="N32" s="35"/>
      <c r="O32" s="35"/>
    </row>
    <row r="33" spans="1:19" ht="12.75" customHeight="1" thickTop="1">
      <c r="A33" s="188">
        <f t="shared" si="0"/>
        <v>25</v>
      </c>
      <c r="B33" s="327" t="s">
        <v>153</v>
      </c>
      <c r="C33" s="428"/>
      <c r="D33" s="428"/>
      <c r="E33" s="430"/>
      <c r="F33" s="362"/>
      <c r="G33" s="341"/>
      <c r="H33" s="42"/>
      <c r="I33" s="42"/>
      <c r="K33" s="152"/>
      <c r="L33" s="38"/>
      <c r="M33" s="35"/>
      <c r="N33" s="35"/>
      <c r="O33" s="35"/>
    </row>
    <row r="34" spans="1:19" ht="12.75" customHeight="1">
      <c r="A34" s="188">
        <f t="shared" si="0"/>
        <v>26</v>
      </c>
      <c r="B34" s="259"/>
      <c r="C34" s="428"/>
      <c r="D34" s="428"/>
      <c r="E34" s="428"/>
      <c r="F34" s="319"/>
      <c r="G34" s="320"/>
      <c r="H34" s="42"/>
      <c r="I34" s="42"/>
      <c r="J34" s="42"/>
      <c r="K34" s="152"/>
      <c r="L34" s="38"/>
      <c r="M34" s="35"/>
      <c r="N34" s="35"/>
      <c r="O34" s="35"/>
    </row>
    <row r="35" spans="1:19" ht="12">
      <c r="A35" s="188">
        <f t="shared" si="0"/>
        <v>27</v>
      </c>
      <c r="B35" s="181"/>
      <c r="C35" s="179"/>
      <c r="D35" s="179"/>
      <c r="E35" s="89"/>
      <c r="F35" s="89"/>
      <c r="G35" s="89"/>
      <c r="H35" s="148"/>
      <c r="I35" s="148"/>
      <c r="J35" s="148"/>
      <c r="K35" s="152"/>
    </row>
    <row r="36" spans="1:19" ht="12.75" thickBot="1">
      <c r="A36" s="188">
        <f t="shared" si="0"/>
        <v>28</v>
      </c>
      <c r="B36" s="126" t="s">
        <v>83</v>
      </c>
      <c r="C36" s="185"/>
      <c r="D36" s="185"/>
      <c r="E36" s="153"/>
      <c r="F36" s="153"/>
      <c r="G36" s="153"/>
      <c r="H36" s="186"/>
      <c r="I36" s="186"/>
      <c r="J36" s="186"/>
      <c r="K36" s="184"/>
      <c r="S36" s="125"/>
    </row>
  </sheetData>
  <mergeCells count="2">
    <mergeCell ref="B23:C23"/>
    <mergeCell ref="B22:C22"/>
  </mergeCells>
  <phoneticPr fontId="24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B3" sqref="B3"/>
    </sheetView>
  </sheetViews>
  <sheetFormatPr defaultRowHeight="11.25"/>
  <cols>
    <col min="1" max="1" width="4.83203125" customWidth="1"/>
    <col min="2" max="2" width="52.6640625" bestFit="1" customWidth="1"/>
    <col min="3" max="8" width="21.6640625" customWidth="1"/>
    <col min="9" max="9" width="15.83203125" customWidth="1"/>
    <col min="10" max="11" width="12" style="125" customWidth="1"/>
  </cols>
  <sheetData>
    <row r="1" spans="1:11" ht="12">
      <c r="B1" s="36" t="s">
        <v>46</v>
      </c>
    </row>
    <row r="2" spans="1:11" ht="12">
      <c r="A2" s="89"/>
      <c r="B2" s="127" t="s">
        <v>99</v>
      </c>
    </row>
    <row r="3" spans="1:11" ht="12">
      <c r="A3" s="89"/>
      <c r="B3" s="410" t="str">
        <f>'New Format'!B5</f>
        <v>For The 12 Months Ending December 31, 2018</v>
      </c>
    </row>
    <row r="4" spans="1:11" ht="12">
      <c r="A4" s="38"/>
      <c r="B4" s="36"/>
      <c r="C4" s="374"/>
      <c r="D4" s="374"/>
      <c r="E4" s="374"/>
      <c r="F4" s="374"/>
      <c r="G4" s="374"/>
      <c r="H4" s="374"/>
      <c r="I4" s="374"/>
    </row>
    <row r="5" spans="1:11" ht="12">
      <c r="A5" s="375" t="s">
        <v>5</v>
      </c>
      <c r="B5" s="375" t="s">
        <v>27</v>
      </c>
      <c r="C5" s="375" t="s">
        <v>52</v>
      </c>
      <c r="D5" s="375" t="s">
        <v>64</v>
      </c>
      <c r="E5" s="375" t="s">
        <v>64</v>
      </c>
      <c r="F5" s="375" t="s">
        <v>65</v>
      </c>
      <c r="G5" s="375" t="s">
        <v>66</v>
      </c>
      <c r="H5" s="375" t="s">
        <v>67</v>
      </c>
      <c r="I5" s="375" t="s">
        <v>68</v>
      </c>
    </row>
    <row r="6" spans="1:11" ht="11.25" customHeight="1">
      <c r="A6" s="374"/>
      <c r="B6" s="376"/>
      <c r="C6" s="376"/>
      <c r="D6" s="376"/>
      <c r="E6" s="376"/>
      <c r="F6" s="376"/>
      <c r="G6" s="376"/>
      <c r="H6" s="376"/>
      <c r="I6" s="376"/>
    </row>
    <row r="7" spans="1:11" ht="11.25" customHeight="1">
      <c r="A7" s="188"/>
      <c r="B7" s="162"/>
      <c r="C7" s="331"/>
      <c r="D7" s="331"/>
      <c r="E7" s="331"/>
      <c r="F7" s="331"/>
      <c r="G7" s="331"/>
      <c r="H7" s="331"/>
    </row>
    <row r="8" spans="1:11" ht="11.25" customHeight="1">
      <c r="A8" s="188">
        <v>1</v>
      </c>
      <c r="B8" s="377" t="s">
        <v>9</v>
      </c>
      <c r="C8" s="378" t="s">
        <v>157</v>
      </c>
      <c r="D8" s="378" t="s">
        <v>157</v>
      </c>
      <c r="E8" s="378" t="s">
        <v>175</v>
      </c>
      <c r="F8" s="378" t="s">
        <v>175</v>
      </c>
      <c r="G8" s="378" t="s">
        <v>197</v>
      </c>
      <c r="H8" s="378" t="s">
        <v>175</v>
      </c>
      <c r="I8" s="374"/>
    </row>
    <row r="9" spans="1:11" ht="11.25" customHeight="1">
      <c r="A9" s="188">
        <f>A8+1</f>
        <v>2</v>
      </c>
      <c r="B9" s="377"/>
      <c r="C9" s="379" t="s">
        <v>158</v>
      </c>
      <c r="D9" s="379" t="s">
        <v>180</v>
      </c>
      <c r="E9" s="379" t="s">
        <v>176</v>
      </c>
      <c r="F9" s="379" t="s">
        <v>182</v>
      </c>
      <c r="G9" s="379" t="s">
        <v>176</v>
      </c>
      <c r="H9" s="379" t="s">
        <v>182</v>
      </c>
      <c r="I9" s="380" t="s">
        <v>159</v>
      </c>
    </row>
    <row r="10" spans="1:11" ht="11.25" customHeight="1">
      <c r="A10" s="188">
        <f t="shared" ref="A10:A35" si="0">A9+1</f>
        <v>3</v>
      </c>
      <c r="B10" s="127" t="s">
        <v>142</v>
      </c>
      <c r="C10" s="381" t="s">
        <v>181</v>
      </c>
      <c r="D10" s="381">
        <v>18900423</v>
      </c>
      <c r="E10" s="381">
        <v>18100673</v>
      </c>
      <c r="F10" s="381">
        <v>18900443</v>
      </c>
      <c r="G10" s="381">
        <v>18100683</v>
      </c>
      <c r="H10" s="381">
        <v>18900473</v>
      </c>
      <c r="I10" s="381" t="s">
        <v>160</v>
      </c>
    </row>
    <row r="11" spans="1:11" ht="11.25" customHeight="1">
      <c r="A11" s="188">
        <f t="shared" si="0"/>
        <v>4</v>
      </c>
      <c r="B11" s="127"/>
      <c r="C11" s="382"/>
      <c r="D11" s="382"/>
      <c r="E11" s="374"/>
      <c r="F11" s="374"/>
      <c r="G11" s="374"/>
      <c r="I11" s="374"/>
    </row>
    <row r="12" spans="1:11" ht="12">
      <c r="A12" s="188">
        <f t="shared" si="0"/>
        <v>5</v>
      </c>
      <c r="B12" s="383" t="s">
        <v>62</v>
      </c>
      <c r="C12" s="374"/>
      <c r="D12" s="374"/>
      <c r="E12" s="374"/>
      <c r="F12" s="374"/>
      <c r="G12" s="374"/>
      <c r="H12" s="374"/>
      <c r="I12" s="384"/>
    </row>
    <row r="13" spans="1:11" ht="12">
      <c r="A13" s="188">
        <f t="shared" si="0"/>
        <v>6</v>
      </c>
      <c r="B13" s="417" t="s">
        <v>200</v>
      </c>
      <c r="C13" s="415">
        <f>22343.27+5275.39</f>
        <v>27618.66</v>
      </c>
      <c r="D13" s="415">
        <v>27619.17</v>
      </c>
      <c r="E13" s="415">
        <v>594685.77</v>
      </c>
      <c r="F13" s="415">
        <v>36561.47</v>
      </c>
      <c r="G13" s="415">
        <v>2672991.2599999998</v>
      </c>
      <c r="H13" s="415">
        <v>91643.5</v>
      </c>
      <c r="I13" s="386"/>
      <c r="K13" s="125" t="s">
        <v>179</v>
      </c>
    </row>
    <row r="14" spans="1:11" ht="12">
      <c r="A14" s="188">
        <f t="shared" si="0"/>
        <v>7</v>
      </c>
      <c r="B14" s="35"/>
      <c r="C14" s="387"/>
      <c r="D14" s="387"/>
      <c r="E14" s="387"/>
      <c r="F14" s="387"/>
      <c r="G14" s="387"/>
      <c r="H14" s="387"/>
      <c r="I14" s="386"/>
    </row>
    <row r="15" spans="1:11" ht="12">
      <c r="A15" s="188">
        <f t="shared" si="0"/>
        <v>8</v>
      </c>
      <c r="B15" s="397">
        <v>43101</v>
      </c>
      <c r="C15" s="387">
        <f>-22343.27-5275.39</f>
        <v>-27618.66</v>
      </c>
      <c r="D15" s="387">
        <v>-27619.17</v>
      </c>
      <c r="E15" s="387">
        <v>-10211.44</v>
      </c>
      <c r="F15" s="387">
        <v>-2285.1</v>
      </c>
      <c r="G15" s="387">
        <v>-46204.63</v>
      </c>
      <c r="H15" s="387">
        <v>-1580.06</v>
      </c>
      <c r="I15" s="386"/>
    </row>
    <row r="16" spans="1:11" ht="12">
      <c r="A16" s="188">
        <f t="shared" si="0"/>
        <v>9</v>
      </c>
      <c r="B16" s="397">
        <v>43132</v>
      </c>
      <c r="C16" s="387">
        <v>0</v>
      </c>
      <c r="D16" s="387">
        <v>0</v>
      </c>
      <c r="E16" s="387">
        <v>-10211.44</v>
      </c>
      <c r="F16" s="387">
        <v>-2285.1</v>
      </c>
      <c r="G16" s="387">
        <v>-46204.63</v>
      </c>
      <c r="H16" s="387">
        <v>-1580.06</v>
      </c>
      <c r="I16" s="386"/>
    </row>
    <row r="17" spans="1:10" ht="12">
      <c r="A17" s="188">
        <f t="shared" si="0"/>
        <v>10</v>
      </c>
      <c r="B17" s="397">
        <v>43160</v>
      </c>
      <c r="C17" s="387">
        <v>0</v>
      </c>
      <c r="D17" s="387">
        <v>0</v>
      </c>
      <c r="E17" s="387">
        <v>-10211.44</v>
      </c>
      <c r="F17" s="387">
        <v>-2285.1</v>
      </c>
      <c r="G17" s="387">
        <v>-46204.63</v>
      </c>
      <c r="H17" s="387">
        <v>-1580.06</v>
      </c>
      <c r="I17" s="386"/>
    </row>
    <row r="18" spans="1:10" ht="12">
      <c r="A18" s="188">
        <f t="shared" si="0"/>
        <v>11</v>
      </c>
      <c r="B18" s="397">
        <v>43191</v>
      </c>
      <c r="C18" s="387">
        <v>0</v>
      </c>
      <c r="D18" s="387">
        <v>0</v>
      </c>
      <c r="E18" s="387">
        <v>-10211.44</v>
      </c>
      <c r="F18" s="387">
        <v>-2285.1</v>
      </c>
      <c r="G18" s="387">
        <v>-46204.62</v>
      </c>
      <c r="H18" s="387">
        <v>-1580.06</v>
      </c>
      <c r="I18" s="386"/>
    </row>
    <row r="19" spans="1:10" ht="12">
      <c r="A19" s="188">
        <f t="shared" si="0"/>
        <v>12</v>
      </c>
      <c r="B19" s="397">
        <v>43221</v>
      </c>
      <c r="C19" s="387">
        <v>0</v>
      </c>
      <c r="D19" s="387">
        <v>0</v>
      </c>
      <c r="E19" s="387">
        <v>-10211.44</v>
      </c>
      <c r="F19" s="387">
        <v>-2285.1</v>
      </c>
      <c r="G19" s="387">
        <v>-46204.63</v>
      </c>
      <c r="H19" s="387">
        <v>-1580.06</v>
      </c>
      <c r="I19" s="385"/>
      <c r="J19" s="359"/>
    </row>
    <row r="20" spans="1:10" ht="12">
      <c r="A20" s="188">
        <f t="shared" si="0"/>
        <v>13</v>
      </c>
      <c r="B20" s="397">
        <v>43252</v>
      </c>
      <c r="C20" s="387">
        <v>0</v>
      </c>
      <c r="D20" s="387">
        <v>0</v>
      </c>
      <c r="E20" s="387">
        <v>-10211.44</v>
      </c>
      <c r="F20" s="387">
        <v>-2285.1</v>
      </c>
      <c r="G20" s="387">
        <v>-46831.96</v>
      </c>
      <c r="H20" s="387">
        <v>-1580.06</v>
      </c>
      <c r="I20" s="386"/>
    </row>
    <row r="21" spans="1:10" ht="12">
      <c r="A21" s="188">
        <f t="shared" si="0"/>
        <v>14</v>
      </c>
      <c r="B21" s="397">
        <v>43282</v>
      </c>
      <c r="C21" s="387">
        <v>0</v>
      </c>
      <c r="D21" s="387">
        <v>0</v>
      </c>
      <c r="E21" s="387">
        <v>-10211.44</v>
      </c>
      <c r="F21" s="387">
        <v>-2285.1</v>
      </c>
      <c r="G21" s="387">
        <v>-46831.96</v>
      </c>
      <c r="H21" s="387">
        <v>-1580.06</v>
      </c>
      <c r="I21" s="386"/>
    </row>
    <row r="22" spans="1:10" ht="12">
      <c r="A22" s="188">
        <f t="shared" si="0"/>
        <v>15</v>
      </c>
      <c r="B22" s="397">
        <v>43313</v>
      </c>
      <c r="C22" s="387">
        <v>0</v>
      </c>
      <c r="D22" s="387">
        <v>0</v>
      </c>
      <c r="E22" s="387">
        <v>-10211.44</v>
      </c>
      <c r="F22" s="387">
        <v>-2285.1</v>
      </c>
      <c r="G22" s="387">
        <v>-46955.48</v>
      </c>
      <c r="H22" s="387">
        <v>-1580.06</v>
      </c>
      <c r="I22" s="386"/>
    </row>
    <row r="23" spans="1:10" ht="12">
      <c r="A23" s="188">
        <f t="shared" si="0"/>
        <v>16</v>
      </c>
      <c r="B23" s="397">
        <v>43344</v>
      </c>
      <c r="C23" s="387">
        <v>0</v>
      </c>
      <c r="D23" s="387">
        <v>0</v>
      </c>
      <c r="E23" s="387">
        <v>-10211.44</v>
      </c>
      <c r="F23" s="387">
        <v>-2285.1</v>
      </c>
      <c r="G23" s="387">
        <v>-46955.48</v>
      </c>
      <c r="H23" s="387">
        <v>-1580.06</v>
      </c>
      <c r="I23" s="386"/>
    </row>
    <row r="24" spans="1:10" ht="12">
      <c r="A24" s="188">
        <f t="shared" si="0"/>
        <v>17</v>
      </c>
      <c r="B24" s="397">
        <v>43374</v>
      </c>
      <c r="C24" s="387">
        <v>0</v>
      </c>
      <c r="D24" s="387">
        <v>0</v>
      </c>
      <c r="E24" s="387">
        <v>-10211.44</v>
      </c>
      <c r="F24" s="387">
        <v>-2285.1</v>
      </c>
      <c r="G24" s="387">
        <v>-46955.48</v>
      </c>
      <c r="H24" s="387">
        <v>-1580.06</v>
      </c>
      <c r="I24" s="386"/>
    </row>
    <row r="25" spans="1:10" ht="12">
      <c r="A25" s="188">
        <v>18</v>
      </c>
      <c r="B25" s="397">
        <v>43405</v>
      </c>
      <c r="C25" s="387">
        <v>0</v>
      </c>
      <c r="D25" s="387">
        <v>0</v>
      </c>
      <c r="E25" s="387">
        <v>-10211.44</v>
      </c>
      <c r="F25" s="387">
        <v>-2285.1</v>
      </c>
      <c r="G25" s="387">
        <v>-46955.48</v>
      </c>
      <c r="H25" s="387">
        <v>-1580.06</v>
      </c>
      <c r="I25" s="386"/>
    </row>
    <row r="26" spans="1:10" ht="12.75" thickBot="1">
      <c r="A26" s="188">
        <v>19</v>
      </c>
      <c r="B26" s="397">
        <v>43435</v>
      </c>
      <c r="C26" s="387">
        <v>0</v>
      </c>
      <c r="D26" s="387">
        <v>0</v>
      </c>
      <c r="E26" s="387">
        <v>-10211.44</v>
      </c>
      <c r="F26" s="387">
        <v>-2285.1</v>
      </c>
      <c r="G26" s="387">
        <v>-46962.45</v>
      </c>
      <c r="H26" s="387">
        <v>-1580.06</v>
      </c>
      <c r="I26" s="386"/>
    </row>
    <row r="27" spans="1:10" ht="12.75" thickBot="1">
      <c r="A27" s="188">
        <f>A26+1</f>
        <v>20</v>
      </c>
      <c r="B27" s="388" t="s">
        <v>201</v>
      </c>
      <c r="C27" s="394">
        <f t="shared" ref="C27:H27" si="1">SUM(C15:C26)</f>
        <v>-27618.66</v>
      </c>
      <c r="D27" s="394">
        <f t="shared" si="1"/>
        <v>-27619.17</v>
      </c>
      <c r="E27" s="394">
        <f t="shared" si="1"/>
        <v>-122537.28000000001</v>
      </c>
      <c r="F27" s="394">
        <f t="shared" si="1"/>
        <v>-27421.199999999993</v>
      </c>
      <c r="G27" s="394">
        <f t="shared" si="1"/>
        <v>-559471.42999999993</v>
      </c>
      <c r="H27" s="394">
        <f t="shared" si="1"/>
        <v>-18960.719999999998</v>
      </c>
      <c r="I27" s="395">
        <f>SUM(C27:H27)</f>
        <v>-783628.46</v>
      </c>
    </row>
    <row r="28" spans="1:10" ht="12">
      <c r="A28" s="188">
        <f t="shared" si="0"/>
        <v>21</v>
      </c>
      <c r="B28" s="383"/>
      <c r="C28" s="389"/>
      <c r="D28" s="389"/>
      <c r="E28" s="389"/>
      <c r="F28" s="389"/>
      <c r="G28" s="389"/>
      <c r="H28" s="389"/>
      <c r="I28" s="384"/>
    </row>
    <row r="29" spans="1:10" ht="12">
      <c r="A29" s="188">
        <f t="shared" si="0"/>
        <v>22</v>
      </c>
      <c r="B29" s="390" t="s">
        <v>155</v>
      </c>
      <c r="C29" s="387"/>
      <c r="D29" s="387"/>
      <c r="E29" s="387"/>
      <c r="F29" s="387"/>
      <c r="G29" s="387">
        <f>6877+33249+6299.37+327.5</f>
        <v>46752.87</v>
      </c>
      <c r="H29" s="387"/>
      <c r="I29" s="386"/>
    </row>
    <row r="30" spans="1:10" ht="12">
      <c r="A30" s="188">
        <f t="shared" si="0"/>
        <v>23</v>
      </c>
      <c r="B30" s="391" t="s">
        <v>156</v>
      </c>
      <c r="C30" s="387"/>
      <c r="D30" s="387"/>
      <c r="F30" s="387"/>
      <c r="G30" s="387"/>
      <c r="H30" s="387"/>
      <c r="I30" s="386"/>
    </row>
    <row r="31" spans="1:10" ht="12.75" thickBot="1">
      <c r="A31" s="188">
        <f t="shared" si="0"/>
        <v>24</v>
      </c>
      <c r="B31" s="202" t="s">
        <v>63</v>
      </c>
      <c r="C31" s="396">
        <f t="shared" ref="C31:H31" si="2">C13+C27+C29+C30</f>
        <v>0</v>
      </c>
      <c r="D31" s="396">
        <f t="shared" si="2"/>
        <v>0</v>
      </c>
      <c r="E31" s="396">
        <f>E13+E27+E29+E30</f>
        <v>472148.49</v>
      </c>
      <c r="F31" s="396">
        <f t="shared" si="2"/>
        <v>9140.2700000000077</v>
      </c>
      <c r="G31" s="396">
        <f t="shared" si="2"/>
        <v>2160272.7000000002</v>
      </c>
      <c r="H31" s="396">
        <f t="shared" si="2"/>
        <v>72682.78</v>
      </c>
      <c r="I31" s="386"/>
    </row>
    <row r="32" spans="1:10" ht="12.75" thickTop="1">
      <c r="A32" s="188">
        <f t="shared" si="0"/>
        <v>25</v>
      </c>
      <c r="B32" s="392"/>
      <c r="C32" s="374"/>
      <c r="D32" s="374"/>
      <c r="E32" s="374"/>
      <c r="F32" s="374"/>
      <c r="G32" s="374"/>
      <c r="H32" s="374"/>
      <c r="I32" s="374"/>
    </row>
    <row r="33" spans="1:10" ht="12">
      <c r="A33" s="188">
        <f t="shared" si="0"/>
        <v>26</v>
      </c>
      <c r="B33" s="36" t="s">
        <v>192</v>
      </c>
      <c r="C33" s="385"/>
      <c r="D33" s="385"/>
      <c r="E33" s="385"/>
      <c r="F33" s="385"/>
      <c r="G33" s="385"/>
      <c r="H33" s="385"/>
      <c r="I33" s="35">
        <f>'New Format'!C30</f>
        <v>7860865544</v>
      </c>
    </row>
    <row r="34" spans="1:10" ht="12">
      <c r="A34" s="188">
        <f t="shared" si="0"/>
        <v>27</v>
      </c>
      <c r="B34" s="35"/>
      <c r="C34" s="393"/>
      <c r="D34" s="393"/>
      <c r="E34" s="393"/>
      <c r="F34" s="393"/>
      <c r="G34" s="393"/>
      <c r="H34" s="393"/>
      <c r="I34" s="35"/>
    </row>
    <row r="35" spans="1:10" ht="12">
      <c r="A35" s="188">
        <f t="shared" si="0"/>
        <v>28</v>
      </c>
      <c r="B35" s="36" t="s">
        <v>193</v>
      </c>
      <c r="C35" s="35"/>
      <c r="D35" s="35"/>
      <c r="E35" s="35"/>
      <c r="F35" s="35"/>
      <c r="G35" s="35"/>
      <c r="H35" s="35"/>
      <c r="I35" s="420">
        <f>ROUND(-I27/I33,4)</f>
        <v>1E-4</v>
      </c>
      <c r="J35" s="435"/>
    </row>
    <row r="36" spans="1:10">
      <c r="A36" s="188"/>
    </row>
    <row r="37" spans="1:10">
      <c r="A37" s="188"/>
    </row>
    <row r="38" spans="1:10">
      <c r="A38" s="188"/>
      <c r="B38" s="217"/>
    </row>
    <row r="39" spans="1:10">
      <c r="A39" s="188"/>
    </row>
    <row r="40" spans="1:10">
      <c r="A40" s="188"/>
    </row>
    <row r="41" spans="1:10">
      <c r="A41" s="188"/>
    </row>
    <row r="42" spans="1:10">
      <c r="A42" s="188"/>
    </row>
    <row r="43" spans="1:10">
      <c r="A43" s="188"/>
      <c r="B43" s="160"/>
    </row>
    <row r="44" spans="1:10">
      <c r="A44" s="188"/>
    </row>
    <row r="45" spans="1:10">
      <c r="A45" s="188"/>
    </row>
    <row r="46" spans="1:10">
      <c r="A46" s="188"/>
      <c r="B46" s="219"/>
    </row>
    <row r="47" spans="1:10">
      <c r="A47" s="188"/>
    </row>
    <row r="48" spans="1:10">
      <c r="A48" s="188"/>
    </row>
    <row r="49" spans="1:2">
      <c r="A49" s="188"/>
    </row>
    <row r="50" spans="1:2">
      <c r="A50" s="188"/>
    </row>
    <row r="51" spans="1:2">
      <c r="A51" s="188"/>
    </row>
    <row r="52" spans="1:2">
      <c r="A52" s="188"/>
    </row>
    <row r="53" spans="1:2">
      <c r="A53" s="188"/>
      <c r="B53" s="161"/>
    </row>
    <row r="54" spans="1:2">
      <c r="A54" s="188"/>
      <c r="B54" s="161"/>
    </row>
    <row r="55" spans="1:2">
      <c r="A55" s="188"/>
      <c r="B55" s="219"/>
    </row>
  </sheetData>
  <phoneticPr fontId="24" type="noConversion"/>
  <pageMargins left="0.79" right="0.67" top="0.44" bottom="0.44" header="0.23" footer="0.17"/>
  <pageSetup scale="67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C166"/>
  <sheetViews>
    <sheetView zoomScaleNormal="100" workbookViewId="0">
      <pane xSplit="5" ySplit="5" topLeftCell="F6" activePane="bottomRight" state="frozen"/>
      <selection activeCell="I9" sqref="I9"/>
      <selection pane="topRight" activeCell="I9" sqref="I9"/>
      <selection pane="bottomLeft" activeCell="I9" sqref="I9"/>
      <selection pane="bottomRight" activeCell="J29" sqref="J29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229" t="s">
        <v>90</v>
      </c>
      <c r="B1" s="155"/>
      <c r="C1" s="155"/>
      <c r="D1" s="154"/>
      <c r="E1" s="156"/>
      <c r="F1" s="154"/>
      <c r="G1" s="155"/>
      <c r="H1" s="155"/>
      <c r="I1" s="155"/>
    </row>
    <row r="2" spans="1:25" s="57" customFormat="1" ht="12.75" customHeight="1">
      <c r="A2" s="262" t="str">
        <f>'New Format'!B5</f>
        <v>For The 12 Months Ending December 31, 2018</v>
      </c>
      <c r="B2" s="157"/>
      <c r="C2" s="157"/>
      <c r="D2" s="157"/>
      <c r="E2" s="158"/>
      <c r="F2" s="157"/>
      <c r="G2" s="159"/>
      <c r="H2" s="158"/>
      <c r="I2" s="157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5" s="57" customFormat="1" ht="12.75" customHeight="1">
      <c r="A3" s="262"/>
      <c r="B3" s="157"/>
      <c r="C3" s="157"/>
      <c r="D3" s="157"/>
      <c r="E3" s="158"/>
      <c r="F3" s="157"/>
      <c r="G3" s="159"/>
      <c r="H3" s="158"/>
      <c r="I3" s="157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5" ht="11.1" customHeight="1">
      <c r="A4" s="175" t="s">
        <v>5</v>
      </c>
      <c r="B4" s="175" t="s">
        <v>27</v>
      </c>
      <c r="C4" s="175" t="s">
        <v>52</v>
      </c>
      <c r="D4" s="175" t="s">
        <v>64</v>
      </c>
      <c r="E4" s="175" t="s">
        <v>65</v>
      </c>
      <c r="F4" s="175" t="s">
        <v>66</v>
      </c>
      <c r="G4" s="175" t="s">
        <v>67</v>
      </c>
      <c r="H4" s="175" t="s">
        <v>68</v>
      </c>
      <c r="I4" s="175" t="s">
        <v>69</v>
      </c>
      <c r="J4" s="175" t="s">
        <v>68</v>
      </c>
      <c r="K4" s="175" t="s">
        <v>69</v>
      </c>
      <c r="L4" s="175" t="s">
        <v>68</v>
      </c>
      <c r="M4" s="175" t="s">
        <v>69</v>
      </c>
      <c r="N4" s="175" t="s">
        <v>68</v>
      </c>
      <c r="O4" s="175" t="s">
        <v>69</v>
      </c>
      <c r="P4" s="175" t="s">
        <v>68</v>
      </c>
      <c r="Q4" s="175" t="s">
        <v>69</v>
      </c>
      <c r="R4" s="175" t="s">
        <v>68</v>
      </c>
      <c r="S4" s="175" t="s">
        <v>69</v>
      </c>
      <c r="T4" s="175" t="s">
        <v>68</v>
      </c>
      <c r="U4" s="175" t="s">
        <v>69</v>
      </c>
      <c r="V4" s="175" t="s">
        <v>68</v>
      </c>
      <c r="W4" s="175"/>
      <c r="X4" s="399" t="s">
        <v>169</v>
      </c>
    </row>
    <row r="5" spans="1:25" ht="33.75">
      <c r="A5" s="354">
        <v>1</v>
      </c>
      <c r="B5" s="355" t="s">
        <v>121</v>
      </c>
      <c r="C5" s="355" t="s">
        <v>94</v>
      </c>
      <c r="D5" s="355" t="s">
        <v>57</v>
      </c>
      <c r="E5" s="355" t="s">
        <v>98</v>
      </c>
      <c r="F5" s="355" t="s">
        <v>111</v>
      </c>
      <c r="G5" s="355" t="s">
        <v>84</v>
      </c>
      <c r="H5" s="355" t="s">
        <v>88</v>
      </c>
      <c r="I5" s="355" t="s">
        <v>80</v>
      </c>
      <c r="J5" s="356">
        <f>'Pg 2 CapStructure'!C6</f>
        <v>43100</v>
      </c>
      <c r="K5" s="356">
        <f>'Pg 2 CapStructure'!D6</f>
        <v>43131</v>
      </c>
      <c r="L5" s="356">
        <f>'Pg 2 CapStructure'!E6</f>
        <v>43159</v>
      </c>
      <c r="M5" s="356">
        <f>'Pg 2 CapStructure'!F6</f>
        <v>43190</v>
      </c>
      <c r="N5" s="356">
        <f>'Pg 2 CapStructure'!G6</f>
        <v>43220</v>
      </c>
      <c r="O5" s="356">
        <f>'Pg 2 CapStructure'!H6</f>
        <v>43251</v>
      </c>
      <c r="P5" s="356">
        <f>'Pg 2 CapStructure'!I6</f>
        <v>43281</v>
      </c>
      <c r="Q5" s="356">
        <f>'Pg 2 CapStructure'!J6</f>
        <v>43312</v>
      </c>
      <c r="R5" s="356">
        <f>'Pg 2 CapStructure'!K6</f>
        <v>43343</v>
      </c>
      <c r="S5" s="356">
        <f>'Pg 2 CapStructure'!L6</f>
        <v>43373</v>
      </c>
      <c r="T5" s="356">
        <f>'Pg 2 CapStructure'!M6</f>
        <v>43404</v>
      </c>
      <c r="U5" s="356">
        <f>'Pg 2 CapStructure'!N6</f>
        <v>43434</v>
      </c>
      <c r="V5" s="356">
        <f>'Pg 2 CapStructure'!O6</f>
        <v>43465</v>
      </c>
      <c r="W5" s="356"/>
      <c r="X5" s="400" t="s">
        <v>38</v>
      </c>
      <c r="Y5" s="400" t="s">
        <v>170</v>
      </c>
    </row>
    <row r="6" spans="1:25" s="27" customFormat="1">
      <c r="A6" s="133">
        <v>6</v>
      </c>
      <c r="B6" s="137" t="s">
        <v>21</v>
      </c>
      <c r="C6" s="276">
        <v>6.7400000000000002E-2</v>
      </c>
      <c r="D6" s="277">
        <v>35961</v>
      </c>
      <c r="E6" s="277">
        <v>43266</v>
      </c>
      <c r="F6" s="267">
        <f>ROUND(((J6+V6)+(SUM(K6:U6)*2))/24,0)</f>
        <v>91666667</v>
      </c>
      <c r="G6" s="278">
        <v>98.98509159000001</v>
      </c>
      <c r="H6" s="178">
        <f t="shared" ref="H6:H10" si="0">ROUND(YIELD(D6,E6,C6,G6,100,2,2),4)</f>
        <v>6.83E-2</v>
      </c>
      <c r="I6" s="267">
        <f>ROUND(+H6*F6,0)</f>
        <v>6260833</v>
      </c>
      <c r="J6" s="267">
        <v>200000000</v>
      </c>
      <c r="K6" s="267">
        <v>200000000</v>
      </c>
      <c r="L6" s="267">
        <v>200000000</v>
      </c>
      <c r="M6" s="267">
        <v>200000000</v>
      </c>
      <c r="N6" s="267">
        <v>200000000</v>
      </c>
      <c r="O6" s="267">
        <v>200000000</v>
      </c>
      <c r="P6" s="267"/>
      <c r="Q6" s="267"/>
      <c r="R6" s="267"/>
      <c r="S6" s="267">
        <v>0</v>
      </c>
      <c r="T6" s="267"/>
      <c r="U6" s="267"/>
      <c r="V6" s="267"/>
      <c r="W6" s="267"/>
      <c r="X6" s="267">
        <f t="shared" ref="X6:X23" si="1">H6*S6</f>
        <v>0</v>
      </c>
    </row>
    <row r="7" spans="1:25" s="28" customFormat="1">
      <c r="A7" s="354">
        <v>7</v>
      </c>
      <c r="B7" s="137" t="s">
        <v>23</v>
      </c>
      <c r="C7" s="276">
        <v>7.1499999999999994E-2</v>
      </c>
      <c r="D7" s="277">
        <v>35053</v>
      </c>
      <c r="E7" s="277">
        <v>46010</v>
      </c>
      <c r="F7" s="267">
        <f t="shared" ref="F7:F23" si="2">ROUND(((J7+V7)+(SUM(K7:U7)*2))/24,0)</f>
        <v>15000000</v>
      </c>
      <c r="G7" s="278">
        <v>99.211911999999998</v>
      </c>
      <c r="H7" s="178">
        <f t="shared" si="0"/>
        <v>7.2099999999999997E-2</v>
      </c>
      <c r="I7" s="267">
        <f t="shared" ref="I7:I10" si="3">ROUND(+H7*F7,0)</f>
        <v>1081500</v>
      </c>
      <c r="J7" s="267">
        <v>15000000</v>
      </c>
      <c r="K7" s="267">
        <v>15000000</v>
      </c>
      <c r="L7" s="267">
        <v>15000000</v>
      </c>
      <c r="M7" s="267">
        <v>15000000</v>
      </c>
      <c r="N7" s="267">
        <v>15000000</v>
      </c>
      <c r="O7" s="267">
        <v>15000000</v>
      </c>
      <c r="P7" s="267">
        <v>15000000</v>
      </c>
      <c r="Q7" s="267">
        <v>15000000</v>
      </c>
      <c r="R7" s="267">
        <v>15000000</v>
      </c>
      <c r="S7" s="267">
        <v>15000000</v>
      </c>
      <c r="T7" s="267">
        <v>15000000</v>
      </c>
      <c r="U7" s="267">
        <v>15000000</v>
      </c>
      <c r="V7" s="267">
        <v>15000000</v>
      </c>
      <c r="W7" s="267"/>
      <c r="X7" s="267">
        <f t="shared" si="1"/>
        <v>1081500</v>
      </c>
      <c r="Y7" s="27"/>
    </row>
    <row r="8" spans="1:25" s="28" customFormat="1">
      <c r="A8" s="133">
        <v>8</v>
      </c>
      <c r="B8" s="137" t="s">
        <v>23</v>
      </c>
      <c r="C8" s="276">
        <v>7.1999999999999995E-2</v>
      </c>
      <c r="D8" s="277">
        <v>35054</v>
      </c>
      <c r="E8" s="277">
        <v>46013</v>
      </c>
      <c r="F8" s="267">
        <f t="shared" si="2"/>
        <v>2000000</v>
      </c>
      <c r="G8" s="278">
        <v>99.211600000000004</v>
      </c>
      <c r="H8" s="178">
        <f t="shared" si="0"/>
        <v>7.2599999999999998E-2</v>
      </c>
      <c r="I8" s="267">
        <f t="shared" si="3"/>
        <v>145200</v>
      </c>
      <c r="J8" s="267">
        <v>2000000</v>
      </c>
      <c r="K8" s="267">
        <v>2000000</v>
      </c>
      <c r="L8" s="267">
        <v>2000000</v>
      </c>
      <c r="M8" s="267">
        <v>2000000</v>
      </c>
      <c r="N8" s="267">
        <v>2000000</v>
      </c>
      <c r="O8" s="267">
        <v>2000000</v>
      </c>
      <c r="P8" s="267">
        <v>2000000</v>
      </c>
      <c r="Q8" s="267">
        <v>2000000</v>
      </c>
      <c r="R8" s="267">
        <v>2000000</v>
      </c>
      <c r="S8" s="267">
        <v>2000000</v>
      </c>
      <c r="T8" s="267">
        <v>2000000</v>
      </c>
      <c r="U8" s="267">
        <v>2000000</v>
      </c>
      <c r="V8" s="267">
        <v>2000000</v>
      </c>
      <c r="W8" s="267"/>
      <c r="X8" s="267">
        <f t="shared" si="1"/>
        <v>145200</v>
      </c>
    </row>
    <row r="9" spans="1:25" s="28" customFormat="1">
      <c r="A9" s="354">
        <v>9</v>
      </c>
      <c r="B9" s="137" t="s">
        <v>21</v>
      </c>
      <c r="C9" s="276">
        <v>7.0199999999999999E-2</v>
      </c>
      <c r="D9" s="277">
        <v>35786</v>
      </c>
      <c r="E9" s="277">
        <v>46722</v>
      </c>
      <c r="F9" s="267">
        <f t="shared" si="2"/>
        <v>300000000</v>
      </c>
      <c r="G9" s="278">
        <v>98.985735776666658</v>
      </c>
      <c r="H9" s="178">
        <f t="shared" si="0"/>
        <v>7.0999999999999994E-2</v>
      </c>
      <c r="I9" s="267">
        <f t="shared" si="3"/>
        <v>21300000</v>
      </c>
      <c r="J9" s="267">
        <v>300000000</v>
      </c>
      <c r="K9" s="267">
        <v>300000000</v>
      </c>
      <c r="L9" s="267">
        <v>300000000</v>
      </c>
      <c r="M9" s="267">
        <v>300000000</v>
      </c>
      <c r="N9" s="267">
        <v>300000000</v>
      </c>
      <c r="O9" s="267">
        <v>300000000</v>
      </c>
      <c r="P9" s="267">
        <v>300000000</v>
      </c>
      <c r="Q9" s="267">
        <v>300000000</v>
      </c>
      <c r="R9" s="267">
        <v>300000000</v>
      </c>
      <c r="S9" s="267">
        <v>300000000</v>
      </c>
      <c r="T9" s="267">
        <v>300000000</v>
      </c>
      <c r="U9" s="267">
        <v>300000000</v>
      </c>
      <c r="V9" s="267">
        <v>300000000</v>
      </c>
      <c r="W9" s="267"/>
      <c r="X9" s="267">
        <f t="shared" si="1"/>
        <v>21299999.999999996</v>
      </c>
    </row>
    <row r="10" spans="1:25">
      <c r="A10" s="133">
        <v>10</v>
      </c>
      <c r="B10" s="137" t="s">
        <v>22</v>
      </c>
      <c r="C10" s="276">
        <v>7.0000000000000007E-2</v>
      </c>
      <c r="D10" s="277">
        <v>36228</v>
      </c>
      <c r="E10" s="277">
        <v>47186</v>
      </c>
      <c r="F10" s="267">
        <f t="shared" si="2"/>
        <v>100000000</v>
      </c>
      <c r="G10" s="278">
        <v>99.042870549999989</v>
      </c>
      <c r="H10" s="178">
        <f t="shared" si="0"/>
        <v>7.0800000000000002E-2</v>
      </c>
      <c r="I10" s="267">
        <f t="shared" si="3"/>
        <v>7080000</v>
      </c>
      <c r="J10" s="267">
        <v>100000000</v>
      </c>
      <c r="K10" s="267">
        <v>100000000</v>
      </c>
      <c r="L10" s="267">
        <v>100000000</v>
      </c>
      <c r="M10" s="267">
        <v>100000000</v>
      </c>
      <c r="N10" s="267">
        <v>100000000</v>
      </c>
      <c r="O10" s="267">
        <v>100000000</v>
      </c>
      <c r="P10" s="267">
        <v>100000000</v>
      </c>
      <c r="Q10" s="267">
        <v>100000000</v>
      </c>
      <c r="R10" s="267">
        <v>100000000</v>
      </c>
      <c r="S10" s="267">
        <v>100000000</v>
      </c>
      <c r="T10" s="267">
        <v>100000000</v>
      </c>
      <c r="U10" s="267">
        <v>100000000</v>
      </c>
      <c r="V10" s="267">
        <v>100000000</v>
      </c>
      <c r="W10" s="267"/>
      <c r="X10" s="267">
        <f t="shared" si="1"/>
        <v>7080000</v>
      </c>
      <c r="Y10" s="28"/>
    </row>
    <row r="11" spans="1:25">
      <c r="A11" s="354">
        <v>11</v>
      </c>
      <c r="B11" s="279" t="s">
        <v>24</v>
      </c>
      <c r="C11" s="276">
        <v>3.9E-2</v>
      </c>
      <c r="D11" s="280">
        <v>41417</v>
      </c>
      <c r="E11" s="281">
        <v>47908</v>
      </c>
      <c r="F11" s="267">
        <f t="shared" si="2"/>
        <v>138460000</v>
      </c>
      <c r="G11" s="278">
        <v>98.939099999999996</v>
      </c>
      <c r="H11" s="178">
        <f t="shared" ref="H11:H24" si="4">ROUND(YIELD(D11,E11,C11,G11,100,2,2),4)</f>
        <v>3.9800000000000002E-2</v>
      </c>
      <c r="I11" s="267">
        <f t="shared" ref="I11:I24" si="5">ROUND(+H11*F11,0)</f>
        <v>5510708</v>
      </c>
      <c r="J11" s="267">
        <v>138460000</v>
      </c>
      <c r="K11" s="267">
        <v>138460000</v>
      </c>
      <c r="L11" s="267">
        <v>138460000</v>
      </c>
      <c r="M11" s="267">
        <v>138460000</v>
      </c>
      <c r="N11" s="267">
        <v>138460000</v>
      </c>
      <c r="O11" s="267">
        <v>138460000</v>
      </c>
      <c r="P11" s="267">
        <v>138460000</v>
      </c>
      <c r="Q11" s="267">
        <v>138460000</v>
      </c>
      <c r="R11" s="267">
        <v>138460000</v>
      </c>
      <c r="S11" s="267">
        <v>138460000</v>
      </c>
      <c r="T11" s="267">
        <v>138460000</v>
      </c>
      <c r="U11" s="267">
        <v>138460000</v>
      </c>
      <c r="V11" s="267">
        <v>138460000</v>
      </c>
      <c r="W11" s="267"/>
      <c r="X11" s="267">
        <f t="shared" si="1"/>
        <v>5510708</v>
      </c>
    </row>
    <row r="12" spans="1:25">
      <c r="A12" s="133">
        <v>12</v>
      </c>
      <c r="B12" s="279" t="s">
        <v>24</v>
      </c>
      <c r="C12" s="276">
        <v>0.04</v>
      </c>
      <c r="D12" s="280">
        <v>41417</v>
      </c>
      <c r="E12" s="281">
        <v>47908</v>
      </c>
      <c r="F12" s="267">
        <f t="shared" si="2"/>
        <v>23400000</v>
      </c>
      <c r="G12" s="278">
        <v>98.939099999999996</v>
      </c>
      <c r="H12" s="178">
        <f t="shared" si="4"/>
        <v>4.0800000000000003E-2</v>
      </c>
      <c r="I12" s="267">
        <f t="shared" si="5"/>
        <v>954720</v>
      </c>
      <c r="J12" s="267">
        <v>23400000</v>
      </c>
      <c r="K12" s="267">
        <v>23400000</v>
      </c>
      <c r="L12" s="267">
        <v>23400000</v>
      </c>
      <c r="M12" s="267">
        <v>23400000</v>
      </c>
      <c r="N12" s="267">
        <v>23400000</v>
      </c>
      <c r="O12" s="267">
        <v>23400000</v>
      </c>
      <c r="P12" s="267">
        <v>23400000</v>
      </c>
      <c r="Q12" s="267">
        <v>23400000</v>
      </c>
      <c r="R12" s="267">
        <v>23400000</v>
      </c>
      <c r="S12" s="267">
        <v>23400000</v>
      </c>
      <c r="T12" s="267">
        <v>23400000</v>
      </c>
      <c r="U12" s="267">
        <v>23400000</v>
      </c>
      <c r="V12" s="267">
        <v>23400000</v>
      </c>
      <c r="W12" s="267"/>
      <c r="X12" s="267">
        <f t="shared" si="1"/>
        <v>954720.00000000012</v>
      </c>
    </row>
    <row r="13" spans="1:25">
      <c r="A13" s="354">
        <v>13</v>
      </c>
      <c r="B13" s="137" t="s">
        <v>89</v>
      </c>
      <c r="C13" s="276">
        <v>5.4829999999999997E-2</v>
      </c>
      <c r="D13" s="277">
        <v>38499</v>
      </c>
      <c r="E13" s="277">
        <v>49461</v>
      </c>
      <c r="F13" s="267">
        <f t="shared" si="2"/>
        <v>250000000</v>
      </c>
      <c r="G13" s="278">
        <v>84.886606835999999</v>
      </c>
      <c r="H13" s="178">
        <f t="shared" si="4"/>
        <v>6.6500000000000004E-2</v>
      </c>
      <c r="I13" s="270">
        <f t="shared" si="5"/>
        <v>16625000</v>
      </c>
      <c r="J13" s="270">
        <v>250000000</v>
      </c>
      <c r="K13" s="270">
        <v>250000000</v>
      </c>
      <c r="L13" s="270">
        <v>250000000</v>
      </c>
      <c r="M13" s="270">
        <v>250000000</v>
      </c>
      <c r="N13" s="270">
        <v>250000000</v>
      </c>
      <c r="O13" s="270">
        <v>250000000</v>
      </c>
      <c r="P13" s="270">
        <v>250000000</v>
      </c>
      <c r="Q13" s="270">
        <v>250000000</v>
      </c>
      <c r="R13" s="270">
        <v>250000000</v>
      </c>
      <c r="S13" s="270">
        <v>250000000</v>
      </c>
      <c r="T13" s="270">
        <v>250000000</v>
      </c>
      <c r="U13" s="270">
        <v>250000000</v>
      </c>
      <c r="V13" s="270">
        <v>250000000</v>
      </c>
      <c r="W13" s="270"/>
      <c r="X13" s="267">
        <f t="shared" si="1"/>
        <v>16625000</v>
      </c>
    </row>
    <row r="14" spans="1:25">
      <c r="A14" s="133">
        <v>14</v>
      </c>
      <c r="B14" s="137" t="s">
        <v>89</v>
      </c>
      <c r="C14" s="276">
        <v>6.7239999999999994E-2</v>
      </c>
      <c r="D14" s="277">
        <v>38898</v>
      </c>
      <c r="E14" s="277">
        <v>49841</v>
      </c>
      <c r="F14" s="267">
        <f t="shared" si="2"/>
        <v>250000000</v>
      </c>
      <c r="G14" s="278">
        <v>107.515271756</v>
      </c>
      <c r="H14" s="178">
        <f t="shared" si="4"/>
        <v>6.1699999999999998E-2</v>
      </c>
      <c r="I14" s="270">
        <f t="shared" si="5"/>
        <v>15425000</v>
      </c>
      <c r="J14" s="270">
        <v>250000000</v>
      </c>
      <c r="K14" s="270">
        <v>250000000</v>
      </c>
      <c r="L14" s="270">
        <v>250000000</v>
      </c>
      <c r="M14" s="270">
        <v>250000000</v>
      </c>
      <c r="N14" s="270">
        <v>250000000</v>
      </c>
      <c r="O14" s="270">
        <v>250000000</v>
      </c>
      <c r="P14" s="270">
        <v>250000000</v>
      </c>
      <c r="Q14" s="270">
        <v>250000000</v>
      </c>
      <c r="R14" s="270">
        <v>250000000</v>
      </c>
      <c r="S14" s="270">
        <v>250000000</v>
      </c>
      <c r="T14" s="270">
        <v>250000000</v>
      </c>
      <c r="U14" s="270">
        <v>250000000</v>
      </c>
      <c r="V14" s="270">
        <v>250000000</v>
      </c>
      <c r="W14" s="270"/>
      <c r="X14" s="267">
        <f t="shared" si="1"/>
        <v>15425000</v>
      </c>
    </row>
    <row r="15" spans="1:25">
      <c r="A15" s="354">
        <v>15</v>
      </c>
      <c r="B15" s="137" t="s">
        <v>89</v>
      </c>
      <c r="C15" s="276">
        <v>6.2740000000000004E-2</v>
      </c>
      <c r="D15" s="277">
        <v>38978</v>
      </c>
      <c r="E15" s="277">
        <v>50114</v>
      </c>
      <c r="F15" s="267">
        <f t="shared" si="2"/>
        <v>300000000</v>
      </c>
      <c r="G15" s="278">
        <v>98.812700000000007</v>
      </c>
      <c r="H15" s="178">
        <f t="shared" si="4"/>
        <v>6.3600000000000004E-2</v>
      </c>
      <c r="I15" s="270">
        <f t="shared" si="5"/>
        <v>19080000</v>
      </c>
      <c r="J15" s="270">
        <v>300000000</v>
      </c>
      <c r="K15" s="270">
        <v>300000000</v>
      </c>
      <c r="L15" s="270">
        <v>300000000</v>
      </c>
      <c r="M15" s="270">
        <v>300000000</v>
      </c>
      <c r="N15" s="270">
        <v>300000000</v>
      </c>
      <c r="O15" s="270">
        <v>300000000</v>
      </c>
      <c r="P15" s="270">
        <v>300000000</v>
      </c>
      <c r="Q15" s="270">
        <v>300000000</v>
      </c>
      <c r="R15" s="270">
        <v>300000000</v>
      </c>
      <c r="S15" s="270">
        <v>300000000</v>
      </c>
      <c r="T15" s="270">
        <v>300000000</v>
      </c>
      <c r="U15" s="270">
        <v>300000000</v>
      </c>
      <c r="V15" s="270">
        <v>300000000</v>
      </c>
      <c r="W15" s="270"/>
      <c r="X15" s="267">
        <f t="shared" si="1"/>
        <v>19080000</v>
      </c>
    </row>
    <row r="16" spans="1:25">
      <c r="A16" s="133">
        <v>16</v>
      </c>
      <c r="B16" s="137" t="s">
        <v>89</v>
      </c>
      <c r="C16" s="276">
        <v>5.7570000000000003E-2</v>
      </c>
      <c r="D16" s="277">
        <v>40067</v>
      </c>
      <c r="E16" s="277">
        <v>51058</v>
      </c>
      <c r="F16" s="267">
        <f t="shared" si="2"/>
        <v>350000000</v>
      </c>
      <c r="G16" s="278">
        <v>98.983599999999996</v>
      </c>
      <c r="H16" s="178">
        <f t="shared" si="4"/>
        <v>5.8299999999999998E-2</v>
      </c>
      <c r="I16" s="270">
        <f t="shared" si="5"/>
        <v>20405000</v>
      </c>
      <c r="J16" s="270">
        <v>350000000</v>
      </c>
      <c r="K16" s="270">
        <v>350000000</v>
      </c>
      <c r="L16" s="270">
        <v>350000000</v>
      </c>
      <c r="M16" s="270">
        <v>350000000</v>
      </c>
      <c r="N16" s="270">
        <v>350000000</v>
      </c>
      <c r="O16" s="270">
        <v>350000000</v>
      </c>
      <c r="P16" s="270">
        <v>350000000</v>
      </c>
      <c r="Q16" s="270">
        <v>350000000</v>
      </c>
      <c r="R16" s="270">
        <v>350000000</v>
      </c>
      <c r="S16" s="270">
        <v>350000000</v>
      </c>
      <c r="T16" s="270">
        <v>350000000</v>
      </c>
      <c r="U16" s="270">
        <v>350000000</v>
      </c>
      <c r="V16" s="270">
        <v>350000000</v>
      </c>
      <c r="W16" s="270"/>
      <c r="X16" s="267">
        <f t="shared" si="1"/>
        <v>20405000</v>
      </c>
    </row>
    <row r="17" spans="1:25">
      <c r="A17" s="354">
        <v>17</v>
      </c>
      <c r="B17" s="137" t="s">
        <v>89</v>
      </c>
      <c r="C17" s="276">
        <v>5.7950000000000002E-2</v>
      </c>
      <c r="D17" s="277">
        <v>40245</v>
      </c>
      <c r="E17" s="277">
        <v>51210</v>
      </c>
      <c r="F17" s="267">
        <f t="shared" si="2"/>
        <v>325000000</v>
      </c>
      <c r="G17" s="278">
        <v>98.958799999999997</v>
      </c>
      <c r="H17" s="178">
        <f t="shared" si="4"/>
        <v>5.8700000000000002E-2</v>
      </c>
      <c r="I17" s="270">
        <f t="shared" si="5"/>
        <v>19077500</v>
      </c>
      <c r="J17" s="270">
        <v>325000000</v>
      </c>
      <c r="K17" s="270">
        <v>325000000</v>
      </c>
      <c r="L17" s="270">
        <v>325000000</v>
      </c>
      <c r="M17" s="270">
        <v>325000000</v>
      </c>
      <c r="N17" s="270">
        <v>325000000</v>
      </c>
      <c r="O17" s="270">
        <v>325000000</v>
      </c>
      <c r="P17" s="270">
        <v>325000000</v>
      </c>
      <c r="Q17" s="270">
        <v>325000000</v>
      </c>
      <c r="R17" s="270">
        <v>325000000</v>
      </c>
      <c r="S17" s="270">
        <v>325000000</v>
      </c>
      <c r="T17" s="270">
        <v>325000000</v>
      </c>
      <c r="U17" s="270">
        <v>325000000</v>
      </c>
      <c r="V17" s="270">
        <v>325000000</v>
      </c>
      <c r="W17" s="270"/>
      <c r="X17" s="267">
        <f t="shared" si="1"/>
        <v>19077500</v>
      </c>
    </row>
    <row r="18" spans="1:25">
      <c r="A18" s="133">
        <v>18</v>
      </c>
      <c r="B18" s="137" t="s">
        <v>89</v>
      </c>
      <c r="C18" s="276">
        <v>5.7639999999999997E-2</v>
      </c>
      <c r="D18" s="277">
        <v>40358</v>
      </c>
      <c r="E18" s="277">
        <v>51332</v>
      </c>
      <c r="F18" s="267">
        <f t="shared" si="2"/>
        <v>250000000</v>
      </c>
      <c r="G18" s="278">
        <v>98.965199999999996</v>
      </c>
      <c r="H18" s="178">
        <f t="shared" si="4"/>
        <v>5.8400000000000001E-2</v>
      </c>
      <c r="I18" s="270">
        <f t="shared" si="5"/>
        <v>14600000</v>
      </c>
      <c r="J18" s="270">
        <v>250000000</v>
      </c>
      <c r="K18" s="270">
        <v>250000000</v>
      </c>
      <c r="L18" s="270">
        <v>250000000</v>
      </c>
      <c r="M18" s="270">
        <v>250000000</v>
      </c>
      <c r="N18" s="270">
        <v>250000000</v>
      </c>
      <c r="O18" s="270">
        <v>250000000</v>
      </c>
      <c r="P18" s="270">
        <v>250000000</v>
      </c>
      <c r="Q18" s="270">
        <v>250000000</v>
      </c>
      <c r="R18" s="270">
        <v>250000000</v>
      </c>
      <c r="S18" s="270">
        <v>250000000</v>
      </c>
      <c r="T18" s="270">
        <v>250000000</v>
      </c>
      <c r="U18" s="270">
        <v>250000000</v>
      </c>
      <c r="V18" s="270">
        <v>250000000</v>
      </c>
      <c r="W18" s="270"/>
      <c r="X18" s="267">
        <f t="shared" si="1"/>
        <v>14600000</v>
      </c>
    </row>
    <row r="19" spans="1:25">
      <c r="A19" s="354">
        <v>19</v>
      </c>
      <c r="B19" s="137" t="s">
        <v>89</v>
      </c>
      <c r="C19" s="276">
        <v>5.638E-2</v>
      </c>
      <c r="D19" s="277">
        <v>40627</v>
      </c>
      <c r="E19" s="277">
        <v>51606</v>
      </c>
      <c r="F19" s="267">
        <f t="shared" si="2"/>
        <v>300000000</v>
      </c>
      <c r="G19" s="278">
        <v>98.971000000000004</v>
      </c>
      <c r="H19" s="178">
        <f t="shared" si="4"/>
        <v>5.7099999999999998E-2</v>
      </c>
      <c r="I19" s="270">
        <f t="shared" si="5"/>
        <v>17130000</v>
      </c>
      <c r="J19" s="270">
        <v>300000000</v>
      </c>
      <c r="K19" s="270">
        <v>300000000</v>
      </c>
      <c r="L19" s="270">
        <v>300000000</v>
      </c>
      <c r="M19" s="270">
        <v>300000000</v>
      </c>
      <c r="N19" s="270">
        <v>300000000</v>
      </c>
      <c r="O19" s="270">
        <v>300000000</v>
      </c>
      <c r="P19" s="270">
        <v>300000000</v>
      </c>
      <c r="Q19" s="270">
        <v>300000000</v>
      </c>
      <c r="R19" s="270">
        <v>300000000</v>
      </c>
      <c r="S19" s="270">
        <v>300000000</v>
      </c>
      <c r="T19" s="270">
        <v>300000000</v>
      </c>
      <c r="U19" s="270">
        <v>300000000</v>
      </c>
      <c r="V19" s="270">
        <v>300000000</v>
      </c>
      <c r="W19" s="270"/>
      <c r="X19" s="267">
        <f t="shared" si="1"/>
        <v>17130000</v>
      </c>
    </row>
    <row r="20" spans="1:25">
      <c r="A20" s="133">
        <v>20</v>
      </c>
      <c r="B20" s="137" t="s">
        <v>89</v>
      </c>
      <c r="C20" s="276">
        <v>4.4339999999999997E-2</v>
      </c>
      <c r="D20" s="277">
        <v>40863</v>
      </c>
      <c r="E20" s="277">
        <v>51820</v>
      </c>
      <c r="F20" s="267">
        <f t="shared" si="2"/>
        <v>250000000</v>
      </c>
      <c r="G20" s="278">
        <v>98.962999999999994</v>
      </c>
      <c r="H20" s="178">
        <f t="shared" si="4"/>
        <v>4.4999999999999998E-2</v>
      </c>
      <c r="I20" s="270">
        <f t="shared" si="5"/>
        <v>11250000</v>
      </c>
      <c r="J20" s="270">
        <v>250000000</v>
      </c>
      <c r="K20" s="270">
        <v>250000000</v>
      </c>
      <c r="L20" s="270">
        <v>250000000</v>
      </c>
      <c r="M20" s="270">
        <v>250000000</v>
      </c>
      <c r="N20" s="270">
        <v>250000000</v>
      </c>
      <c r="O20" s="270">
        <v>250000000</v>
      </c>
      <c r="P20" s="270">
        <v>250000000</v>
      </c>
      <c r="Q20" s="270">
        <v>250000000</v>
      </c>
      <c r="R20" s="270">
        <v>250000000</v>
      </c>
      <c r="S20" s="270">
        <v>250000000</v>
      </c>
      <c r="T20" s="270">
        <v>250000000</v>
      </c>
      <c r="U20" s="270">
        <v>250000000</v>
      </c>
      <c r="V20" s="270">
        <v>250000000</v>
      </c>
      <c r="W20" s="270"/>
      <c r="X20" s="267">
        <f t="shared" si="1"/>
        <v>11250000</v>
      </c>
    </row>
    <row r="21" spans="1:25">
      <c r="A21" s="354">
        <v>21</v>
      </c>
      <c r="B21" s="137" t="s">
        <v>89</v>
      </c>
      <c r="C21" s="276">
        <v>4.7E-2</v>
      </c>
      <c r="D21" s="277">
        <v>40869</v>
      </c>
      <c r="E21" s="277">
        <v>55472</v>
      </c>
      <c r="F21" s="267">
        <f t="shared" si="2"/>
        <v>45000000</v>
      </c>
      <c r="G21" s="278">
        <v>98.863900000000001</v>
      </c>
      <c r="H21" s="178">
        <f t="shared" si="4"/>
        <v>4.7600000000000003E-2</v>
      </c>
      <c r="I21" s="270">
        <f t="shared" si="5"/>
        <v>2142000</v>
      </c>
      <c r="J21" s="270">
        <v>45000000</v>
      </c>
      <c r="K21" s="270">
        <v>45000000</v>
      </c>
      <c r="L21" s="270">
        <v>45000000</v>
      </c>
      <c r="M21" s="270">
        <v>45000000</v>
      </c>
      <c r="N21" s="270">
        <v>45000000</v>
      </c>
      <c r="O21" s="270">
        <v>45000000</v>
      </c>
      <c r="P21" s="270">
        <v>45000000</v>
      </c>
      <c r="Q21" s="270">
        <v>45000000</v>
      </c>
      <c r="R21" s="270">
        <v>45000000</v>
      </c>
      <c r="S21" s="270">
        <v>45000000</v>
      </c>
      <c r="T21" s="270">
        <v>45000000</v>
      </c>
      <c r="U21" s="270">
        <v>45000000</v>
      </c>
      <c r="V21" s="270">
        <v>45000000</v>
      </c>
      <c r="W21" s="270"/>
      <c r="X21" s="267">
        <f t="shared" si="1"/>
        <v>2142000</v>
      </c>
    </row>
    <row r="22" spans="1:25" s="291" customFormat="1">
      <c r="A22" s="438">
        <v>22</v>
      </c>
      <c r="B22" s="292" t="s">
        <v>120</v>
      </c>
      <c r="C22" s="439">
        <v>6.9739999999999996E-2</v>
      </c>
      <c r="D22" s="440">
        <v>39237</v>
      </c>
      <c r="E22" s="440">
        <v>43217</v>
      </c>
      <c r="F22" s="267">
        <f t="shared" si="2"/>
        <v>56796083</v>
      </c>
      <c r="G22" s="278">
        <v>98.226200000000006</v>
      </c>
      <c r="H22" s="441">
        <f>ROUND(YIELD(D22,E22,C22,G22,100,2,2),4)</f>
        <v>7.2099999999999997E-2</v>
      </c>
      <c r="I22" s="270">
        <f>ROUND(((0.0721*250000000/12)*6)+((250000000*0.0401063/360)*90)+((250000000*0.0453625/360)*19)+((56553000*0.0453625/360)*38),0)</f>
        <v>12388467</v>
      </c>
      <c r="J22" s="267">
        <v>250000000</v>
      </c>
      <c r="K22" s="267">
        <v>250000000</v>
      </c>
      <c r="L22" s="267">
        <v>250000000</v>
      </c>
      <c r="M22" s="267">
        <v>56553000</v>
      </c>
      <c r="N22" s="267"/>
      <c r="O22" s="267"/>
      <c r="P22" s="267"/>
      <c r="Q22" s="267">
        <v>0</v>
      </c>
      <c r="R22" s="267">
        <v>0</v>
      </c>
      <c r="S22" s="267">
        <v>0</v>
      </c>
      <c r="T22" s="267"/>
      <c r="U22" s="267">
        <v>0</v>
      </c>
      <c r="V22" s="267">
        <v>0</v>
      </c>
      <c r="W22" s="267"/>
      <c r="X22" s="267">
        <f t="shared" si="1"/>
        <v>0</v>
      </c>
    </row>
    <row r="23" spans="1:25">
      <c r="A23" s="354">
        <v>23</v>
      </c>
      <c r="B23" s="137" t="s">
        <v>89</v>
      </c>
      <c r="C23" s="276">
        <v>4.2999999999999997E-2</v>
      </c>
      <c r="D23" s="277">
        <v>42150</v>
      </c>
      <c r="E23" s="277">
        <v>53102</v>
      </c>
      <c r="F23" s="267">
        <f t="shared" si="2"/>
        <v>425000000</v>
      </c>
      <c r="G23" s="278">
        <v>98.483019762352939</v>
      </c>
      <c r="H23" s="178">
        <f t="shared" si="4"/>
        <v>4.3900000000000002E-2</v>
      </c>
      <c r="I23" s="270">
        <f t="shared" si="5"/>
        <v>18657500</v>
      </c>
      <c r="J23" s="267">
        <v>425000000</v>
      </c>
      <c r="K23" s="267">
        <v>425000000</v>
      </c>
      <c r="L23" s="267">
        <v>425000000</v>
      </c>
      <c r="M23" s="267">
        <v>425000000</v>
      </c>
      <c r="N23" s="267">
        <v>425000000</v>
      </c>
      <c r="O23" s="267">
        <v>425000000</v>
      </c>
      <c r="P23" s="267">
        <v>425000000</v>
      </c>
      <c r="Q23" s="267">
        <v>425000000</v>
      </c>
      <c r="R23" s="267">
        <v>425000000</v>
      </c>
      <c r="S23" s="267">
        <v>425000000</v>
      </c>
      <c r="T23" s="267">
        <v>425000000</v>
      </c>
      <c r="U23" s="267">
        <v>425000000</v>
      </c>
      <c r="V23" s="267">
        <v>425000000</v>
      </c>
      <c r="W23" s="267"/>
      <c r="X23" s="267">
        <f t="shared" si="1"/>
        <v>18657500</v>
      </c>
    </row>
    <row r="24" spans="1:25">
      <c r="A24" s="438">
        <v>24</v>
      </c>
      <c r="B24" s="137" t="s">
        <v>89</v>
      </c>
      <c r="C24" s="276">
        <v>4.2229999999999997E-2</v>
      </c>
      <c r="D24" s="277">
        <v>43265</v>
      </c>
      <c r="E24" s="277">
        <v>54224</v>
      </c>
      <c r="F24" s="267">
        <f t="shared" ref="F24" si="6">ROUND(((J24+V24)+(SUM(K24:U24)*2))/24,0)</f>
        <v>325000000</v>
      </c>
      <c r="G24" s="278">
        <v>98.886799999999994</v>
      </c>
      <c r="H24" s="178">
        <f t="shared" si="4"/>
        <v>4.2900000000000001E-2</v>
      </c>
      <c r="I24" s="270">
        <f t="shared" si="5"/>
        <v>13942500</v>
      </c>
      <c r="J24" s="267"/>
      <c r="K24" s="267"/>
      <c r="L24" s="267"/>
      <c r="M24" s="267"/>
      <c r="N24" s="267"/>
      <c r="O24" s="267"/>
      <c r="P24" s="267">
        <v>600000000</v>
      </c>
      <c r="Q24" s="267">
        <v>600000000</v>
      </c>
      <c r="R24" s="267">
        <v>600000000</v>
      </c>
      <c r="S24" s="267">
        <v>600000000</v>
      </c>
      <c r="T24" s="267">
        <v>600000000</v>
      </c>
      <c r="U24" s="267">
        <v>600000000</v>
      </c>
      <c r="V24" s="267">
        <v>600000000</v>
      </c>
      <c r="W24" s="267"/>
      <c r="X24" s="267">
        <f>H24*V24/360*16</f>
        <v>1144000</v>
      </c>
    </row>
    <row r="25" spans="1:25">
      <c r="A25" s="354">
        <v>25</v>
      </c>
      <c r="B25" s="137"/>
      <c r="C25" s="276"/>
      <c r="D25" s="277"/>
      <c r="E25" s="277"/>
      <c r="F25" s="267"/>
      <c r="G25" s="286"/>
      <c r="H25" s="178"/>
      <c r="I25" s="270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401">
        <f>SUM(X6:X24)</f>
        <v>191608128</v>
      </c>
    </row>
    <row r="26" spans="1:25" ht="13.5" thickBot="1">
      <c r="A26" s="438">
        <v>26</v>
      </c>
      <c r="B26" s="137"/>
      <c r="C26" s="139" t="s">
        <v>110</v>
      </c>
      <c r="D26" s="277"/>
      <c r="E26" s="277"/>
      <c r="F26" s="267"/>
      <c r="G26" s="282"/>
      <c r="H26" s="178"/>
      <c r="I26" s="283">
        <f>'Pg 7 Reacquired Debt'!I31</f>
        <v>2133970.61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70"/>
      <c r="X26" s="401">
        <f>I26</f>
        <v>2133970.61</v>
      </c>
    </row>
    <row r="27" spans="1:25" ht="13.5" thickBot="1">
      <c r="A27" s="354">
        <v>27</v>
      </c>
      <c r="B27" s="139" t="s">
        <v>123</v>
      </c>
      <c r="C27" s="276"/>
      <c r="D27" s="277"/>
      <c r="E27" s="277"/>
      <c r="F27" s="283">
        <f>SUM(F6:F26)</f>
        <v>3797322750</v>
      </c>
      <c r="G27" s="284"/>
      <c r="H27" s="211">
        <f>ROUND(+I27/F27,4)</f>
        <v>5.9299999999999999E-2</v>
      </c>
      <c r="I27" s="287">
        <f t="shared" ref="I27:V27" si="7">SUM(I6:I26)</f>
        <v>225189898.61000001</v>
      </c>
      <c r="J27" s="287">
        <f t="shared" si="7"/>
        <v>3773860000</v>
      </c>
      <c r="K27" s="287">
        <f t="shared" si="7"/>
        <v>3773860000</v>
      </c>
      <c r="L27" s="287">
        <f t="shared" si="7"/>
        <v>3773860000</v>
      </c>
      <c r="M27" s="287">
        <f t="shared" si="7"/>
        <v>3580413000</v>
      </c>
      <c r="N27" s="287">
        <f t="shared" si="7"/>
        <v>3523860000</v>
      </c>
      <c r="O27" s="287">
        <f t="shared" si="7"/>
        <v>3523860000</v>
      </c>
      <c r="P27" s="287">
        <f t="shared" si="7"/>
        <v>3923860000</v>
      </c>
      <c r="Q27" s="287">
        <f t="shared" si="7"/>
        <v>3923860000</v>
      </c>
      <c r="R27" s="287">
        <f t="shared" si="7"/>
        <v>3923860000</v>
      </c>
      <c r="S27" s="287">
        <f t="shared" si="7"/>
        <v>3923860000</v>
      </c>
      <c r="T27" s="287">
        <f t="shared" si="7"/>
        <v>3923860000</v>
      </c>
      <c r="U27" s="287">
        <f t="shared" si="7"/>
        <v>3923860000</v>
      </c>
      <c r="V27" s="287">
        <f t="shared" si="7"/>
        <v>3923860000</v>
      </c>
      <c r="W27" s="285"/>
      <c r="X27" s="287">
        <f>SUM(X25:X26)</f>
        <v>193742098.61000001</v>
      </c>
      <c r="Y27" s="402">
        <f>X27/S27</f>
        <v>4.9375385108031383E-2</v>
      </c>
    </row>
    <row r="28" spans="1:25" ht="13.5" thickBot="1">
      <c r="A28" s="438">
        <v>28</v>
      </c>
      <c r="B28" s="137"/>
      <c r="C28" s="276"/>
      <c r="D28" s="277"/>
      <c r="E28" s="277"/>
      <c r="F28" s="285"/>
      <c r="G28" s="282"/>
      <c r="H28" s="240"/>
      <c r="I28" s="285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268">
        <f>H28*S28</f>
        <v>0</v>
      </c>
    </row>
    <row r="29" spans="1:25" ht="13.5" thickBot="1">
      <c r="A29" s="354">
        <v>29</v>
      </c>
      <c r="B29" s="139" t="s">
        <v>196</v>
      </c>
      <c r="C29" s="276"/>
      <c r="D29" s="277"/>
      <c r="E29" s="277"/>
      <c r="F29" s="285">
        <f>F27</f>
        <v>3797322750</v>
      </c>
      <c r="G29" s="282"/>
      <c r="H29" s="211">
        <f>ROUND(+I29/F29,4)</f>
        <v>5.8700000000000002E-2</v>
      </c>
      <c r="I29" s="285">
        <f>SUM(I6:I24)</f>
        <v>223055928</v>
      </c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268"/>
    </row>
    <row r="30" spans="1:25">
      <c r="A30" s="438">
        <v>30</v>
      </c>
      <c r="B30" s="137"/>
      <c r="C30" s="276"/>
      <c r="D30" s="277"/>
      <c r="E30" s="277"/>
      <c r="F30" s="285"/>
      <c r="G30" s="282"/>
      <c r="H30" s="240"/>
      <c r="I30" s="285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268"/>
    </row>
    <row r="31" spans="1:25">
      <c r="A31" s="354">
        <v>31</v>
      </c>
      <c r="B31" s="418" t="s">
        <v>186</v>
      </c>
      <c r="C31" s="276"/>
      <c r="D31" s="277"/>
      <c r="E31" s="277"/>
      <c r="F31" s="285">
        <f>'Pg 3 STD Cost Rate'!C17</f>
        <v>208870471.23999998</v>
      </c>
      <c r="G31" s="282"/>
      <c r="H31" s="425">
        <f>ROUND(I31/F31,4)</f>
        <v>2.41E-2</v>
      </c>
      <c r="I31" s="285">
        <f>'Pg 3 STD Cost Rate'!E17</f>
        <v>5031285.53</v>
      </c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268"/>
    </row>
    <row r="32" spans="1:25">
      <c r="A32" s="438">
        <v>32</v>
      </c>
      <c r="B32" s="137"/>
      <c r="C32" s="276"/>
      <c r="D32" s="277"/>
      <c r="E32" s="277"/>
      <c r="F32" s="285"/>
      <c r="G32" s="282"/>
      <c r="H32" s="240"/>
      <c r="I32" s="285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268"/>
    </row>
    <row r="33" spans="1:55">
      <c r="A33" s="354">
        <v>33</v>
      </c>
      <c r="B33" s="426" t="s">
        <v>187</v>
      </c>
      <c r="C33" s="276"/>
      <c r="D33" s="277"/>
      <c r="E33" s="277"/>
      <c r="F33" s="285">
        <f>F31+F27</f>
        <v>4006193221.2399998</v>
      </c>
      <c r="G33" s="282"/>
      <c r="H33" s="425">
        <f>ROUND(I33/F33,4)</f>
        <v>5.6899999999999999E-2</v>
      </c>
      <c r="I33" s="285">
        <f>I31+I29</f>
        <v>228087213.53</v>
      </c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268"/>
    </row>
    <row r="34" spans="1:55">
      <c r="A34" s="438">
        <v>34</v>
      </c>
      <c r="B34" s="137"/>
      <c r="C34" s="276"/>
      <c r="D34" s="277"/>
      <c r="E34" s="277"/>
      <c r="F34" s="285"/>
      <c r="G34" s="282"/>
      <c r="H34" s="240"/>
      <c r="I34" s="285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268"/>
    </row>
    <row r="35" spans="1:55">
      <c r="A35" s="354">
        <v>35</v>
      </c>
      <c r="B35" s="135" t="s">
        <v>85</v>
      </c>
      <c r="C35" s="136"/>
      <c r="D35" s="136"/>
      <c r="E35" s="136"/>
      <c r="F35" s="136"/>
      <c r="G35" s="136"/>
      <c r="H35" s="136"/>
      <c r="I35" s="136"/>
      <c r="X35" s="285"/>
      <c r="Y35" s="240"/>
    </row>
    <row r="36" spans="1:55">
      <c r="A36" s="438">
        <v>36</v>
      </c>
      <c r="B36" s="135" t="s">
        <v>87</v>
      </c>
      <c r="C36" s="136"/>
      <c r="D36" s="136"/>
      <c r="E36" s="136"/>
      <c r="F36" s="136"/>
      <c r="G36" s="138"/>
      <c r="H36" s="136"/>
      <c r="I36" s="136"/>
    </row>
    <row r="37" spans="1:55">
      <c r="A37" s="133"/>
      <c r="B37" s="135"/>
      <c r="C37" s="136"/>
      <c r="D37" s="136"/>
      <c r="E37" s="136"/>
      <c r="F37" s="136"/>
      <c r="G37" s="138"/>
      <c r="H37" s="136"/>
      <c r="I37" s="136"/>
    </row>
    <row r="38" spans="1:55">
      <c r="A38" s="133"/>
      <c r="B38" s="135"/>
      <c r="C38" s="136"/>
      <c r="D38" s="136"/>
      <c r="E38" s="136"/>
      <c r="F38" s="136"/>
      <c r="G38" s="138"/>
      <c r="H38" s="136"/>
      <c r="I38" s="136"/>
    </row>
    <row r="39" spans="1:55">
      <c r="A39" s="133"/>
      <c r="B39" s="134"/>
      <c r="C39" s="134"/>
      <c r="D39" s="134"/>
      <c r="E39" s="316"/>
      <c r="G39" s="134"/>
      <c r="H39" s="288"/>
      <c r="I39" s="289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</row>
    <row r="40" spans="1:55">
      <c r="A40" s="44"/>
      <c r="B40" s="291"/>
      <c r="C40" s="291"/>
      <c r="D40" s="291"/>
      <c r="E40" s="291"/>
      <c r="F40" s="266"/>
      <c r="G40" s="291"/>
      <c r="H40" s="136"/>
      <c r="I40" s="174"/>
      <c r="J40" s="292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55">
      <c r="A41" s="44"/>
      <c r="B41" s="291"/>
      <c r="C41" s="291"/>
      <c r="D41" s="291"/>
      <c r="E41" s="291"/>
      <c r="F41" s="265"/>
      <c r="G41" s="291"/>
      <c r="H41" s="134"/>
      <c r="I41" s="289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55">
      <c r="A42" s="44"/>
      <c r="B42" s="28"/>
      <c r="C42" s="28"/>
      <c r="D42" s="28"/>
      <c r="E42" s="28"/>
      <c r="F42" s="266"/>
      <c r="G42" s="28"/>
      <c r="H42" s="28"/>
      <c r="I42" s="45"/>
      <c r="J42" s="216" t="str">
        <f t="shared" ref="J42:S42" si="8">IF(J41&lt;&gt;0,"ERROR","")</f>
        <v/>
      </c>
      <c r="K42" s="216" t="str">
        <f t="shared" si="8"/>
        <v/>
      </c>
      <c r="L42" s="216" t="str">
        <f t="shared" si="8"/>
        <v/>
      </c>
      <c r="M42" s="216" t="str">
        <f t="shared" si="8"/>
        <v/>
      </c>
      <c r="N42" s="216" t="str">
        <f t="shared" si="8"/>
        <v/>
      </c>
      <c r="O42" s="216" t="str">
        <f t="shared" si="8"/>
        <v/>
      </c>
      <c r="P42" s="216" t="str">
        <f t="shared" si="8"/>
        <v/>
      </c>
      <c r="Q42" s="216" t="str">
        <f t="shared" si="8"/>
        <v/>
      </c>
      <c r="R42" s="216" t="str">
        <f t="shared" si="8"/>
        <v/>
      </c>
      <c r="S42" s="44" t="str">
        <f t="shared" si="8"/>
        <v/>
      </c>
      <c r="T42" s="44"/>
      <c r="U42" s="44"/>
      <c r="V42" s="44"/>
      <c r="W42" s="44"/>
    </row>
    <row r="43" spans="1:55">
      <c r="A43" s="44"/>
      <c r="B43" s="28"/>
      <c r="C43" s="28"/>
      <c r="D43" s="28"/>
      <c r="E43" s="28"/>
      <c r="F43" s="45"/>
      <c r="G43" s="28"/>
      <c r="H43" s="178"/>
      <c r="Y43" s="443"/>
    </row>
    <row r="44" spans="1:55">
      <c r="A44" s="46"/>
      <c r="B44" s="47"/>
      <c r="C44" s="48"/>
      <c r="D44" s="49"/>
      <c r="E44" s="49"/>
      <c r="F44" s="256"/>
      <c r="G44" s="51"/>
      <c r="H44" s="178"/>
      <c r="I44" s="97"/>
      <c r="Y44" s="443"/>
    </row>
    <row r="45" spans="1:55">
      <c r="A45" s="46"/>
      <c r="B45" s="47"/>
      <c r="C45" s="48"/>
      <c r="D45" s="49"/>
      <c r="E45" s="49"/>
      <c r="F45" s="50"/>
      <c r="G45" s="51"/>
      <c r="H45" s="52"/>
      <c r="I45" s="53"/>
      <c r="Y45" s="443"/>
    </row>
    <row r="46" spans="1:55">
      <c r="A46" s="46"/>
      <c r="B46" s="47"/>
      <c r="C46" s="48"/>
      <c r="D46" s="49"/>
      <c r="E46" s="49"/>
      <c r="F46" s="50"/>
      <c r="G46" s="51"/>
      <c r="H46" s="52"/>
      <c r="I46" s="53"/>
      <c r="Y46" s="443"/>
    </row>
    <row r="47" spans="1:55" hidden="1">
      <c r="A47" s="54"/>
      <c r="B47" s="28"/>
      <c r="C47" s="28"/>
      <c r="D47" s="28"/>
      <c r="E47" s="28"/>
      <c r="F47" s="45"/>
      <c r="G47" s="28"/>
      <c r="H47" s="55"/>
      <c r="I47" s="45"/>
      <c r="Y47" s="443"/>
    </row>
    <row r="48" spans="1:55" hidden="1">
      <c r="A48" s="54"/>
      <c r="B48" s="28"/>
      <c r="C48" s="28"/>
      <c r="D48" s="28"/>
      <c r="E48" s="28"/>
      <c r="F48" s="45"/>
      <c r="G48" s="28"/>
      <c r="H48" s="56"/>
      <c r="I48" s="45"/>
      <c r="Y48" s="443"/>
    </row>
    <row r="49" spans="1:25" hidden="1">
      <c r="A49" s="54"/>
      <c r="B49" s="28"/>
      <c r="C49" s="28"/>
      <c r="D49" s="28"/>
      <c r="E49" s="28"/>
      <c r="F49" s="45"/>
      <c r="G49" s="28"/>
      <c r="H49" s="28"/>
      <c r="I49" s="45"/>
      <c r="Y49" s="443"/>
    </row>
    <row r="50" spans="1:25">
      <c r="A50" s="46"/>
      <c r="B50" s="47"/>
      <c r="C50" s="48"/>
      <c r="D50" s="49"/>
      <c r="E50" s="49"/>
      <c r="F50" s="50"/>
      <c r="G50" s="51"/>
      <c r="H50" s="52"/>
      <c r="I50" s="53"/>
      <c r="Y50" s="443"/>
    </row>
    <row r="51" spans="1:25">
      <c r="A51" s="46"/>
      <c r="B51" s="47"/>
      <c r="C51" s="48"/>
      <c r="D51" s="49"/>
      <c r="E51" s="49"/>
      <c r="F51" s="50"/>
      <c r="G51" s="51"/>
      <c r="H51" s="52"/>
      <c r="I51" s="53"/>
      <c r="Y51" s="443"/>
    </row>
    <row r="52" spans="1:25">
      <c r="A52" s="54"/>
      <c r="B52" s="28"/>
      <c r="C52" s="28"/>
      <c r="D52" s="28"/>
      <c r="E52" s="28"/>
      <c r="F52" s="45"/>
      <c r="G52" s="28"/>
      <c r="H52" s="28"/>
      <c r="I52" s="45"/>
      <c r="Y52" s="443"/>
    </row>
    <row r="53" spans="1:25">
      <c r="A53" s="54"/>
      <c r="B53" s="28"/>
      <c r="C53" s="28"/>
      <c r="D53" s="28"/>
      <c r="E53" s="28"/>
      <c r="F53" s="45"/>
      <c r="G53" s="28"/>
      <c r="H53" s="28"/>
      <c r="I53" s="45"/>
      <c r="Y53" s="443"/>
    </row>
    <row r="54" spans="1:25">
      <c r="A54" s="54"/>
      <c r="B54" s="28"/>
      <c r="C54" s="28"/>
      <c r="D54" s="28"/>
      <c r="E54" s="28"/>
      <c r="F54" s="45"/>
      <c r="G54" s="28"/>
      <c r="H54" s="28"/>
      <c r="I54" s="45"/>
      <c r="Y54" s="443"/>
    </row>
    <row r="55" spans="1:25">
      <c r="A55" s="54"/>
      <c r="B55" s="28"/>
      <c r="C55" s="28"/>
      <c r="D55" s="28"/>
      <c r="E55" s="28"/>
      <c r="F55" s="45"/>
      <c r="G55" s="28"/>
      <c r="H55" s="28"/>
      <c r="I55" s="45"/>
      <c r="Y55" s="443"/>
    </row>
    <row r="56" spans="1:25">
      <c r="A56" s="54"/>
      <c r="B56" s="28"/>
      <c r="C56" s="28"/>
      <c r="D56" s="28"/>
      <c r="E56" s="28"/>
      <c r="F56" s="45"/>
      <c r="G56" s="28"/>
      <c r="H56" s="28"/>
      <c r="I56" s="45"/>
      <c r="Y56" s="443"/>
    </row>
    <row r="57" spans="1:25">
      <c r="A57" s="54"/>
      <c r="B57" s="28"/>
      <c r="C57" s="28"/>
      <c r="D57" s="28"/>
      <c r="E57" s="28"/>
      <c r="F57" s="45"/>
      <c r="G57" s="28"/>
      <c r="H57" s="28"/>
      <c r="I57" s="45"/>
      <c r="Y57" s="443"/>
    </row>
    <row r="58" spans="1:25">
      <c r="A58" s="54"/>
      <c r="B58" s="28"/>
      <c r="C58" s="28"/>
      <c r="D58" s="28"/>
      <c r="E58" s="28"/>
      <c r="F58" s="45"/>
      <c r="G58" s="28"/>
      <c r="H58" s="28"/>
      <c r="I58" s="45"/>
      <c r="Y58" s="443"/>
    </row>
    <row r="59" spans="1:25">
      <c r="A59" s="54"/>
      <c r="B59" s="28"/>
      <c r="C59" s="28"/>
      <c r="D59" s="28"/>
      <c r="E59" s="28"/>
      <c r="F59" s="45"/>
      <c r="G59" s="28"/>
      <c r="H59" s="28"/>
      <c r="I59" s="45"/>
      <c r="Y59" s="443"/>
    </row>
    <row r="60" spans="1:25">
      <c r="A60" s="54"/>
      <c r="B60" s="28"/>
      <c r="C60" s="28"/>
      <c r="D60" s="28"/>
      <c r="E60" s="28"/>
      <c r="F60" s="45"/>
      <c r="G60" s="28"/>
      <c r="H60" s="28"/>
      <c r="I60" s="45"/>
      <c r="Y60" s="443"/>
    </row>
    <row r="61" spans="1:25">
      <c r="A61" s="44"/>
      <c r="B61" s="28"/>
      <c r="C61" s="47"/>
      <c r="D61" s="28"/>
      <c r="E61" s="28"/>
      <c r="F61" s="45"/>
      <c r="G61" s="28"/>
      <c r="H61" s="28"/>
      <c r="I61" s="45"/>
      <c r="Y61" s="443"/>
    </row>
    <row r="62" spans="1:25">
      <c r="C62" s="24"/>
      <c r="E62" s="30"/>
      <c r="Y62" s="443"/>
    </row>
    <row r="63" spans="1:25">
      <c r="C63" s="29"/>
      <c r="Y63" s="443"/>
    </row>
    <row r="64" spans="1:25">
      <c r="Y64" s="443"/>
    </row>
    <row r="65" spans="25:25">
      <c r="Y65" s="443"/>
    </row>
    <row r="66" spans="25:25">
      <c r="Y66" s="443"/>
    </row>
    <row r="67" spans="25:25">
      <c r="Y67" s="443"/>
    </row>
    <row r="68" spans="25:25">
      <c r="Y68" s="443"/>
    </row>
    <row r="69" spans="25:25">
      <c r="Y69" s="443"/>
    </row>
    <row r="70" spans="25:25">
      <c r="Y70" s="443"/>
    </row>
    <row r="71" spans="25:25">
      <c r="Y71" s="443"/>
    </row>
    <row r="72" spans="25:25">
      <c r="Y72" s="443"/>
    </row>
    <row r="73" spans="25:25">
      <c r="Y73" s="443"/>
    </row>
    <row r="74" spans="25:25">
      <c r="Y74" s="443"/>
    </row>
    <row r="75" spans="25:25">
      <c r="Y75" s="443"/>
    </row>
    <row r="76" spans="25:25">
      <c r="Y76" s="443"/>
    </row>
    <row r="77" spans="25:25">
      <c r="Y77" s="443"/>
    </row>
    <row r="78" spans="25:25">
      <c r="Y78" s="443"/>
    </row>
    <row r="79" spans="25:25">
      <c r="Y79" s="443"/>
    </row>
    <row r="80" spans="25:25">
      <c r="Y80" s="443"/>
    </row>
    <row r="81" spans="25:25">
      <c r="Y81" s="443"/>
    </row>
    <row r="82" spans="25:25">
      <c r="Y82" s="443"/>
    </row>
    <row r="83" spans="25:25">
      <c r="Y83" s="443"/>
    </row>
    <row r="84" spans="25:25">
      <c r="Y84" s="443"/>
    </row>
    <row r="85" spans="25:25">
      <c r="Y85" s="443"/>
    </row>
    <row r="86" spans="25:25">
      <c r="Y86" s="443"/>
    </row>
    <row r="87" spans="25:25">
      <c r="Y87" s="443"/>
    </row>
    <row r="88" spans="25:25">
      <c r="Y88" s="443"/>
    </row>
    <row r="89" spans="25:25">
      <c r="Y89" s="443"/>
    </row>
    <row r="90" spans="25:25">
      <c r="Y90" s="443"/>
    </row>
    <row r="91" spans="25:25">
      <c r="Y91" s="443"/>
    </row>
    <row r="92" spans="25:25">
      <c r="Y92" s="443"/>
    </row>
    <row r="93" spans="25:25">
      <c r="Y93" s="443"/>
    </row>
    <row r="94" spans="25:25">
      <c r="Y94" s="443"/>
    </row>
    <row r="95" spans="25:25">
      <c r="Y95" s="443"/>
    </row>
    <row r="96" spans="25:25">
      <c r="Y96" s="443"/>
    </row>
    <row r="97" spans="25:25">
      <c r="Y97" s="443"/>
    </row>
    <row r="98" spans="25:25">
      <c r="Y98" s="443"/>
    </row>
    <row r="99" spans="25:25">
      <c r="Y99" s="443"/>
    </row>
    <row r="100" spans="25:25">
      <c r="Y100" s="443"/>
    </row>
    <row r="101" spans="25:25">
      <c r="Y101" s="443"/>
    </row>
    <row r="102" spans="25:25">
      <c r="Y102" s="443"/>
    </row>
    <row r="103" spans="25:25">
      <c r="Y103" s="443"/>
    </row>
    <row r="106" spans="25:25">
      <c r="Y106" s="443"/>
    </row>
    <row r="107" spans="25:25">
      <c r="Y107" s="443"/>
    </row>
    <row r="108" spans="25:25">
      <c r="Y108" s="443"/>
    </row>
    <row r="109" spans="25:25">
      <c r="Y109" s="443"/>
    </row>
    <row r="110" spans="25:25">
      <c r="Y110" s="443"/>
    </row>
    <row r="111" spans="25:25">
      <c r="Y111" s="443"/>
    </row>
    <row r="112" spans="25:25">
      <c r="Y112" s="443"/>
    </row>
    <row r="113" spans="25:25">
      <c r="Y113" s="443"/>
    </row>
    <row r="114" spans="25:25">
      <c r="Y114" s="443"/>
    </row>
    <row r="115" spans="25:25">
      <c r="Y115" s="443"/>
    </row>
    <row r="116" spans="25:25">
      <c r="Y116" s="443"/>
    </row>
    <row r="117" spans="25:25">
      <c r="Y117" s="443"/>
    </row>
    <row r="118" spans="25:25">
      <c r="Y118" s="443"/>
    </row>
    <row r="119" spans="25:25">
      <c r="Y119" s="443"/>
    </row>
    <row r="120" spans="25:25">
      <c r="Y120" s="443"/>
    </row>
    <row r="121" spans="25:25">
      <c r="Y121" s="443"/>
    </row>
    <row r="122" spans="25:25">
      <c r="Y122" s="443"/>
    </row>
    <row r="123" spans="25:25">
      <c r="Y123" s="443"/>
    </row>
    <row r="124" spans="25:25">
      <c r="Y124" s="443"/>
    </row>
    <row r="125" spans="25:25">
      <c r="Y125" s="443"/>
    </row>
    <row r="126" spans="25:25">
      <c r="Y126" s="443"/>
    </row>
    <row r="127" spans="25:25">
      <c r="Y127" s="443"/>
    </row>
    <row r="128" spans="25:25">
      <c r="Y128" s="443"/>
    </row>
    <row r="129" spans="25:25">
      <c r="Y129" s="443"/>
    </row>
    <row r="130" spans="25:25">
      <c r="Y130" s="443"/>
    </row>
    <row r="131" spans="25:25">
      <c r="Y131" s="443"/>
    </row>
    <row r="132" spans="25:25">
      <c r="Y132" s="443"/>
    </row>
    <row r="133" spans="25:25">
      <c r="Y133" s="443"/>
    </row>
    <row r="134" spans="25:25">
      <c r="Y134" s="443"/>
    </row>
    <row r="135" spans="25:25">
      <c r="Y135" s="443"/>
    </row>
    <row r="137" spans="25:25">
      <c r="Y137" s="443"/>
    </row>
    <row r="138" spans="25:25">
      <c r="Y138" s="443"/>
    </row>
    <row r="139" spans="25:25">
      <c r="Y139" s="443"/>
    </row>
    <row r="140" spans="25:25">
      <c r="Y140" s="443"/>
    </row>
    <row r="141" spans="25:25">
      <c r="Y141" s="443"/>
    </row>
    <row r="142" spans="25:25">
      <c r="Y142" s="443"/>
    </row>
    <row r="143" spans="25:25">
      <c r="Y143" s="443"/>
    </row>
    <row r="144" spans="25:25">
      <c r="Y144" s="443"/>
    </row>
    <row r="145" spans="25:25">
      <c r="Y145" s="443"/>
    </row>
    <row r="146" spans="25:25">
      <c r="Y146" s="443"/>
    </row>
    <row r="147" spans="25:25">
      <c r="Y147" s="443"/>
    </row>
    <row r="148" spans="25:25">
      <c r="Y148" s="443"/>
    </row>
    <row r="149" spans="25:25">
      <c r="Y149" s="443"/>
    </row>
    <row r="150" spans="25:25">
      <c r="Y150" s="443"/>
    </row>
    <row r="151" spans="25:25">
      <c r="Y151" s="443"/>
    </row>
    <row r="152" spans="25:25">
      <c r="Y152" s="443"/>
    </row>
    <row r="153" spans="25:25">
      <c r="Y153" s="443"/>
    </row>
    <row r="154" spans="25:25">
      <c r="Y154" s="443"/>
    </row>
    <row r="155" spans="25:25">
      <c r="Y155" s="443"/>
    </row>
    <row r="156" spans="25:25">
      <c r="Y156" s="443"/>
    </row>
    <row r="157" spans="25:25">
      <c r="Y157" s="443"/>
    </row>
    <row r="158" spans="25:25">
      <c r="Y158" s="443"/>
    </row>
    <row r="159" spans="25:25">
      <c r="Y159" s="443"/>
    </row>
    <row r="160" spans="25:25">
      <c r="Y160" s="443"/>
    </row>
    <row r="161" spans="25:25">
      <c r="Y161" s="443"/>
    </row>
    <row r="162" spans="25:25">
      <c r="Y162" s="443"/>
    </row>
    <row r="163" spans="25:25">
      <c r="Y163" s="443"/>
    </row>
    <row r="164" spans="25:25">
      <c r="Y164" s="443"/>
    </row>
    <row r="165" spans="25:25">
      <c r="Y165" s="443"/>
    </row>
    <row r="166" spans="25:25">
      <c r="Y166" s="443"/>
    </row>
  </sheetData>
  <phoneticPr fontId="24" type="noConversion"/>
  <printOptions horizontalCentered="1"/>
  <pageMargins left="0.2" right="0.2" top="0.41" bottom="0.35" header="0.17" footer="0.17"/>
  <pageSetup scale="73" orientation="landscape" r:id="rId1"/>
  <headerFooter alignWithMargins="0">
    <oddFooter>&amp;C&amp;A&amp;R&amp;8&amp;F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S83"/>
  <sheetViews>
    <sheetView zoomScaleNormal="100" workbookViewId="0">
      <pane xSplit="2" ySplit="7" topLeftCell="C8" activePane="bottomRight" state="frozen"/>
      <selection activeCell="N27" sqref="N27"/>
      <selection pane="topRight" activeCell="N27" sqref="N27"/>
      <selection pane="bottomLeft" activeCell="N27" sqref="N27"/>
      <selection pane="bottomRight" activeCell="K10" sqref="K10"/>
    </sheetView>
  </sheetViews>
  <sheetFormatPr defaultColWidth="8.83203125" defaultRowHeight="15"/>
  <cols>
    <col min="1" max="1" width="4.6640625" style="31" customWidth="1"/>
    <col min="2" max="2" width="46" style="31" customWidth="1"/>
    <col min="3" max="3" width="10.83203125" style="31" customWidth="1"/>
    <col min="4" max="4" width="11.83203125" style="31" customWidth="1"/>
    <col min="5" max="5" width="12.83203125" style="31" customWidth="1"/>
    <col min="6" max="6" width="15.83203125" style="31" customWidth="1"/>
    <col min="7" max="7" width="13" style="31" customWidth="1"/>
    <col min="8" max="8" width="13.83203125" style="31" customWidth="1"/>
    <col min="9" max="9" width="18" style="31" customWidth="1"/>
    <col min="10" max="10" width="12.1640625" style="31" customWidth="1"/>
    <col min="11" max="11" width="6.33203125" style="31" customWidth="1"/>
    <col min="12" max="12" width="12" customWidth="1"/>
    <col min="13" max="13" width="14.6640625" customWidth="1"/>
    <col min="14" max="14" width="15.1640625" customWidth="1"/>
    <col min="15" max="15" width="12.1640625" customWidth="1"/>
    <col min="16" max="16" width="9.6640625" customWidth="1"/>
    <col min="17" max="17" width="13.5" bestFit="1" customWidth="1"/>
    <col min="18" max="18" width="13.5" style="31" bestFit="1" customWidth="1"/>
    <col min="19" max="19" width="9.1640625" style="31" bestFit="1" customWidth="1"/>
    <col min="20" max="16384" width="8.83203125" style="31"/>
  </cols>
  <sheetData>
    <row r="1" spans="1:19" ht="12.75" customHeight="1">
      <c r="B1" s="66" t="s">
        <v>25</v>
      </c>
      <c r="C1" s="59"/>
      <c r="D1" s="59"/>
      <c r="E1" s="59"/>
      <c r="F1" s="59"/>
      <c r="G1" s="59"/>
      <c r="H1" s="59"/>
      <c r="I1" s="59"/>
      <c r="J1" s="60"/>
      <c r="K1" s="58"/>
    </row>
    <row r="2" spans="1:19" s="32" customFormat="1" ht="12.75" customHeight="1">
      <c r="B2" s="66" t="s">
        <v>26</v>
      </c>
      <c r="C2" s="59"/>
      <c r="D2" s="59"/>
      <c r="E2" s="59"/>
      <c r="F2" s="59"/>
      <c r="G2" s="59"/>
      <c r="H2" s="59"/>
      <c r="I2" s="59"/>
      <c r="J2" s="62"/>
      <c r="K2" s="58"/>
      <c r="L2"/>
      <c r="M2"/>
      <c r="N2"/>
      <c r="O2"/>
      <c r="P2"/>
      <c r="Q2"/>
    </row>
    <row r="3" spans="1:19" s="32" customFormat="1" ht="12.75" customHeight="1">
      <c r="B3" s="459" t="str">
        <f>'New Format'!B5</f>
        <v>For The 12 Months Ending December 31, 2018</v>
      </c>
      <c r="C3" s="459"/>
      <c r="D3" s="459"/>
      <c r="E3" s="59"/>
      <c r="F3" s="59"/>
      <c r="G3" s="59"/>
      <c r="H3" s="59"/>
      <c r="I3" s="59"/>
      <c r="J3" s="60"/>
      <c r="K3" s="58"/>
      <c r="L3"/>
      <c r="M3"/>
      <c r="N3"/>
      <c r="O3"/>
      <c r="P3"/>
      <c r="Q3"/>
    </row>
    <row r="4" spans="1:19" s="32" customFormat="1" ht="12.75" customHeight="1">
      <c r="B4" s="124"/>
      <c r="C4" s="124"/>
      <c r="D4" s="124"/>
      <c r="E4" s="59"/>
      <c r="F4" s="59"/>
      <c r="G4" s="59"/>
      <c r="H4" s="59"/>
      <c r="I4" s="59"/>
      <c r="J4" s="60"/>
      <c r="K4" s="58"/>
      <c r="L4"/>
      <c r="M4"/>
      <c r="N4"/>
      <c r="O4"/>
      <c r="P4"/>
      <c r="Q4"/>
    </row>
    <row r="5" spans="1:19" s="32" customFormat="1" ht="12.75" customHeight="1">
      <c r="A5" s="232">
        <v>1</v>
      </c>
      <c r="B5" s="128" t="s">
        <v>5</v>
      </c>
      <c r="C5" s="128" t="s">
        <v>27</v>
      </c>
      <c r="D5" s="128" t="s">
        <v>52</v>
      </c>
      <c r="E5" s="128" t="s">
        <v>64</v>
      </c>
      <c r="F5" s="128" t="s">
        <v>65</v>
      </c>
      <c r="G5" s="257" t="s">
        <v>66</v>
      </c>
      <c r="H5" s="128" t="s">
        <v>67</v>
      </c>
      <c r="I5" s="128" t="s">
        <v>68</v>
      </c>
      <c r="J5" s="128" t="s">
        <v>69</v>
      </c>
      <c r="K5" s="58"/>
      <c r="L5"/>
      <c r="M5"/>
      <c r="N5"/>
      <c r="O5"/>
      <c r="P5"/>
      <c r="Q5"/>
    </row>
    <row r="6" spans="1:19" s="32" customFormat="1" ht="12.75" customHeight="1">
      <c r="A6" s="232">
        <f t="shared" ref="A6:A40" si="0">A5+1</f>
        <v>2</v>
      </c>
      <c r="B6" s="61" t="s">
        <v>2</v>
      </c>
      <c r="C6" s="243" t="s">
        <v>17</v>
      </c>
      <c r="D6" s="244" t="s">
        <v>101</v>
      </c>
      <c r="E6" s="218" t="s">
        <v>137</v>
      </c>
      <c r="F6" s="218" t="s">
        <v>138</v>
      </c>
      <c r="G6" s="218" t="s">
        <v>138</v>
      </c>
      <c r="H6" s="218" t="s">
        <v>70</v>
      </c>
      <c r="I6" s="244" t="s">
        <v>18</v>
      </c>
      <c r="J6" s="60"/>
      <c r="K6" s="58"/>
      <c r="L6"/>
      <c r="M6"/>
      <c r="N6"/>
      <c r="O6"/>
      <c r="P6"/>
      <c r="Q6"/>
    </row>
    <row r="7" spans="1:19" s="32" customFormat="1" ht="12.75" customHeight="1">
      <c r="A7" s="232">
        <f t="shared" si="0"/>
        <v>3</v>
      </c>
      <c r="B7" s="114" t="s">
        <v>17</v>
      </c>
      <c r="C7" s="63" t="s">
        <v>102</v>
      </c>
      <c r="D7" s="63" t="s">
        <v>102</v>
      </c>
      <c r="E7" s="63" t="s">
        <v>102</v>
      </c>
      <c r="F7" s="63" t="s">
        <v>17</v>
      </c>
      <c r="G7" s="63" t="s">
        <v>102</v>
      </c>
      <c r="H7" s="63" t="s">
        <v>139</v>
      </c>
      <c r="I7" s="63" t="s">
        <v>136</v>
      </c>
      <c r="J7" s="64" t="s">
        <v>56</v>
      </c>
      <c r="K7" s="58"/>
      <c r="L7"/>
      <c r="M7"/>
      <c r="N7"/>
      <c r="O7"/>
      <c r="P7"/>
      <c r="Q7"/>
    </row>
    <row r="8" spans="1:19" s="32" customFormat="1" ht="12.75" customHeight="1">
      <c r="A8" s="232">
        <f t="shared" si="0"/>
        <v>4</v>
      </c>
      <c r="B8" s="115"/>
      <c r="C8" s="116"/>
      <c r="D8" s="116"/>
      <c r="E8" s="116"/>
      <c r="F8" s="116"/>
      <c r="G8" s="116"/>
      <c r="H8" s="293"/>
      <c r="I8" s="65"/>
      <c r="J8" s="117"/>
      <c r="L8"/>
      <c r="M8"/>
      <c r="N8"/>
      <c r="O8"/>
      <c r="P8"/>
      <c r="Q8"/>
    </row>
    <row r="9" spans="1:19" s="32" customFormat="1" ht="12.75" customHeight="1">
      <c r="A9" s="232">
        <f>A8+1</f>
        <v>5</v>
      </c>
      <c r="B9" s="115">
        <v>0.10249999999999999</v>
      </c>
      <c r="C9" s="116">
        <v>32140</v>
      </c>
      <c r="D9" s="116">
        <v>35779</v>
      </c>
      <c r="E9" s="116">
        <v>35048</v>
      </c>
      <c r="F9" s="116"/>
      <c r="G9" s="116"/>
      <c r="H9" s="293">
        <v>42684</v>
      </c>
      <c r="I9" s="294">
        <v>0</v>
      </c>
      <c r="J9" s="117">
        <v>18900013</v>
      </c>
      <c r="L9"/>
      <c r="M9"/>
      <c r="N9"/>
      <c r="O9"/>
      <c r="P9"/>
      <c r="Q9"/>
      <c r="R9" s="294"/>
      <c r="S9" s="411"/>
    </row>
    <row r="10" spans="1:19" s="32" customFormat="1" ht="12.75" customHeight="1">
      <c r="A10" s="232">
        <f t="shared" si="0"/>
        <v>6</v>
      </c>
      <c r="B10" s="115" t="s">
        <v>118</v>
      </c>
      <c r="C10" s="116">
        <v>35587</v>
      </c>
      <c r="D10" s="116">
        <v>46539</v>
      </c>
      <c r="E10" s="116">
        <v>39234</v>
      </c>
      <c r="F10" s="116" t="s">
        <v>127</v>
      </c>
      <c r="G10" s="116">
        <v>39237</v>
      </c>
      <c r="H10" s="293">
        <v>42887</v>
      </c>
      <c r="I10" s="294">
        <v>0</v>
      </c>
      <c r="J10" s="117">
        <v>18900383</v>
      </c>
      <c r="L10"/>
      <c r="M10"/>
      <c r="N10"/>
      <c r="O10"/>
      <c r="P10"/>
      <c r="Q10"/>
      <c r="R10" s="427"/>
      <c r="S10" s="411"/>
    </row>
    <row r="11" spans="1:19" s="32" customFormat="1" ht="12.75" customHeight="1">
      <c r="A11" s="232">
        <f t="shared" si="0"/>
        <v>7</v>
      </c>
      <c r="B11" s="115" t="s">
        <v>132</v>
      </c>
      <c r="C11" s="116">
        <v>33410</v>
      </c>
      <c r="D11" s="116">
        <v>37063</v>
      </c>
      <c r="E11" s="116">
        <v>35961</v>
      </c>
      <c r="F11" s="116" t="s">
        <v>128</v>
      </c>
      <c r="G11" s="116">
        <v>35961</v>
      </c>
      <c r="H11" s="293">
        <v>43266</v>
      </c>
      <c r="I11" s="294">
        <v>1748.99</v>
      </c>
      <c r="J11" s="117">
        <v>18900243</v>
      </c>
      <c r="L11"/>
      <c r="M11"/>
      <c r="N11"/>
      <c r="O11"/>
      <c r="P11"/>
      <c r="Q11"/>
      <c r="R11" s="427"/>
      <c r="S11" s="411"/>
    </row>
    <row r="12" spans="1:19" s="32" customFormat="1" ht="12.75" customHeight="1">
      <c r="A12" s="232">
        <f t="shared" si="0"/>
        <v>8</v>
      </c>
      <c r="B12" s="295" t="s">
        <v>44</v>
      </c>
      <c r="C12" s="116">
        <v>33616</v>
      </c>
      <c r="D12" s="116">
        <f>DATE(2022,1,12)</f>
        <v>44573</v>
      </c>
      <c r="E12" s="296">
        <v>37701</v>
      </c>
      <c r="F12" s="296"/>
      <c r="G12" s="296"/>
      <c r="H12" s="293">
        <f>DATE(2022,1,12)</f>
        <v>44573</v>
      </c>
      <c r="I12" s="294">
        <v>1141.08</v>
      </c>
      <c r="J12" s="117">
        <v>18900293</v>
      </c>
      <c r="L12"/>
      <c r="M12"/>
      <c r="N12"/>
      <c r="O12"/>
      <c r="P12"/>
      <c r="Q12"/>
      <c r="R12" s="427"/>
      <c r="S12" s="411"/>
    </row>
    <row r="13" spans="1:19" s="32" customFormat="1" ht="12.75" customHeight="1">
      <c r="A13" s="232">
        <f t="shared" si="0"/>
        <v>9</v>
      </c>
      <c r="B13" s="295" t="s">
        <v>45</v>
      </c>
      <c r="C13" s="116">
        <v>33616</v>
      </c>
      <c r="D13" s="116">
        <f>DATE(2022,1,13)</f>
        <v>44574</v>
      </c>
      <c r="E13" s="296">
        <v>37701</v>
      </c>
      <c r="F13" s="296"/>
      <c r="G13" s="296"/>
      <c r="H13" s="293">
        <f>DATE(2022,1,13)</f>
        <v>44574</v>
      </c>
      <c r="I13" s="294">
        <v>2662.56</v>
      </c>
      <c r="J13" s="117">
        <v>18900303</v>
      </c>
      <c r="K13" s="404"/>
      <c r="L13"/>
      <c r="M13"/>
      <c r="N13"/>
      <c r="O13"/>
      <c r="P13"/>
      <c r="Q13"/>
      <c r="R13" s="427"/>
    </row>
    <row r="14" spans="1:19" s="32" customFormat="1" ht="12.75" customHeight="1">
      <c r="A14" s="232">
        <f t="shared" si="0"/>
        <v>10</v>
      </c>
      <c r="B14" s="295" t="s">
        <v>119</v>
      </c>
      <c r="C14" s="116">
        <v>33828</v>
      </c>
      <c r="D14" s="116">
        <v>44785</v>
      </c>
      <c r="E14" s="296">
        <v>37770</v>
      </c>
      <c r="F14" s="296"/>
      <c r="G14" s="296"/>
      <c r="H14" s="293">
        <v>44785</v>
      </c>
      <c r="I14" s="294">
        <v>62485.68</v>
      </c>
      <c r="J14" s="117">
        <v>18900323</v>
      </c>
      <c r="L14"/>
      <c r="M14"/>
      <c r="N14"/>
      <c r="O14"/>
      <c r="P14"/>
      <c r="Q14"/>
      <c r="R14" s="427"/>
    </row>
    <row r="15" spans="1:19" s="32" customFormat="1" ht="12.75" customHeight="1">
      <c r="A15" s="232">
        <f t="shared" si="0"/>
        <v>11</v>
      </c>
      <c r="B15" s="295" t="s">
        <v>140</v>
      </c>
      <c r="C15" s="116">
        <v>34199</v>
      </c>
      <c r="D15" s="116">
        <v>45156</v>
      </c>
      <c r="E15" s="296">
        <v>37851</v>
      </c>
      <c r="H15" s="293">
        <v>45156</v>
      </c>
      <c r="I15" s="294">
        <v>10655.88</v>
      </c>
      <c r="J15" s="117">
        <v>18900353</v>
      </c>
      <c r="K15" s="404"/>
      <c r="L15"/>
      <c r="M15"/>
      <c r="N15"/>
      <c r="O15"/>
      <c r="P15"/>
      <c r="Q15"/>
      <c r="R15" s="427"/>
    </row>
    <row r="16" spans="1:19" s="32" customFormat="1" ht="12.75" customHeight="1">
      <c r="A16" s="232">
        <f t="shared" si="0"/>
        <v>12</v>
      </c>
      <c r="B16" s="115" t="s">
        <v>133</v>
      </c>
      <c r="C16" s="116">
        <v>33161</v>
      </c>
      <c r="D16" s="116">
        <v>35718</v>
      </c>
      <c r="E16" s="116">
        <v>34372</v>
      </c>
      <c r="F16" s="116" t="s">
        <v>129</v>
      </c>
      <c r="G16" s="116">
        <v>34366</v>
      </c>
      <c r="H16" s="293">
        <v>45323</v>
      </c>
      <c r="I16" s="294">
        <v>168880.08</v>
      </c>
      <c r="J16" s="117">
        <v>18900173</v>
      </c>
      <c r="L16"/>
      <c r="M16"/>
      <c r="N16"/>
      <c r="O16"/>
      <c r="P16"/>
      <c r="Q16"/>
      <c r="R16" s="427"/>
    </row>
    <row r="17" spans="1:18" s="32" customFormat="1" ht="12.75" customHeight="1">
      <c r="A17" s="232">
        <f t="shared" si="0"/>
        <v>13</v>
      </c>
      <c r="B17" s="115" t="s">
        <v>117</v>
      </c>
      <c r="C17" s="116">
        <v>35587</v>
      </c>
      <c r="D17" s="116">
        <v>46539</v>
      </c>
      <c r="E17" s="116">
        <v>38504</v>
      </c>
      <c r="F17" s="116"/>
      <c r="G17" s="116"/>
      <c r="H17" s="293">
        <v>46539</v>
      </c>
      <c r="I17" s="294">
        <v>229804.2</v>
      </c>
      <c r="J17" s="117">
        <v>18900193</v>
      </c>
      <c r="L17"/>
      <c r="M17"/>
      <c r="N17"/>
      <c r="O17"/>
      <c r="P17"/>
      <c r="Q17"/>
      <c r="R17" s="427"/>
    </row>
    <row r="18" spans="1:18" s="32" customFormat="1" ht="12.75" customHeight="1">
      <c r="A18" s="232">
        <f t="shared" si="0"/>
        <v>14</v>
      </c>
      <c r="B18" s="295" t="s">
        <v>40</v>
      </c>
      <c r="C18" s="116">
        <v>33457</v>
      </c>
      <c r="D18" s="116">
        <f>DATE(2021,8,1)</f>
        <v>44409</v>
      </c>
      <c r="E18" s="296">
        <v>37691</v>
      </c>
      <c r="F18" s="296" t="s">
        <v>130</v>
      </c>
      <c r="G18" s="296">
        <v>37691</v>
      </c>
      <c r="H18" s="293">
        <v>47908</v>
      </c>
      <c r="I18" s="294">
        <v>45480.480000000003</v>
      </c>
      <c r="J18" s="117">
        <v>18900253</v>
      </c>
      <c r="L18"/>
      <c r="M18"/>
      <c r="N18"/>
      <c r="O18"/>
      <c r="P18"/>
      <c r="Q18"/>
      <c r="R18" s="294"/>
    </row>
    <row r="19" spans="1:18" s="32" customFormat="1" ht="12.75" customHeight="1">
      <c r="A19" s="232">
        <f t="shared" si="0"/>
        <v>15</v>
      </c>
      <c r="B19" s="295" t="s">
        <v>41</v>
      </c>
      <c r="C19" s="116">
        <v>33457</v>
      </c>
      <c r="D19" s="116">
        <f>DATE(2021,8,1)</f>
        <v>44409</v>
      </c>
      <c r="E19" s="296">
        <v>37691</v>
      </c>
      <c r="F19" s="296" t="s">
        <v>130</v>
      </c>
      <c r="G19" s="296">
        <v>37691</v>
      </c>
      <c r="H19" s="293">
        <v>47908</v>
      </c>
      <c r="I19" s="294">
        <v>34561.440000000002</v>
      </c>
      <c r="J19" s="117">
        <v>18900263</v>
      </c>
      <c r="L19"/>
      <c r="M19"/>
      <c r="N19"/>
      <c r="O19"/>
      <c r="P19"/>
      <c r="Q19"/>
      <c r="R19" s="294"/>
    </row>
    <row r="20" spans="1:18" s="32" customFormat="1" ht="12.75" customHeight="1">
      <c r="A20" s="232">
        <f t="shared" si="0"/>
        <v>16</v>
      </c>
      <c r="B20" s="295" t="s">
        <v>42</v>
      </c>
      <c r="C20" s="116">
        <v>33664</v>
      </c>
      <c r="D20" s="116">
        <f>DATE(2022,3,1)</f>
        <v>44621</v>
      </c>
      <c r="E20" s="296">
        <v>37691</v>
      </c>
      <c r="F20" s="296" t="s">
        <v>130</v>
      </c>
      <c r="G20" s="296">
        <v>37691</v>
      </c>
      <c r="H20" s="293">
        <v>47908</v>
      </c>
      <c r="I20" s="294">
        <v>105825.48</v>
      </c>
      <c r="J20" s="117">
        <v>18900273</v>
      </c>
      <c r="L20"/>
      <c r="M20"/>
      <c r="N20"/>
      <c r="O20"/>
      <c r="P20"/>
      <c r="Q20"/>
      <c r="R20" s="294"/>
    </row>
    <row r="21" spans="1:18" s="32" customFormat="1" ht="12.75" customHeight="1">
      <c r="A21" s="232">
        <f t="shared" si="0"/>
        <v>17</v>
      </c>
      <c r="B21" s="295" t="s">
        <v>43</v>
      </c>
      <c r="C21" s="116">
        <v>33664</v>
      </c>
      <c r="D21" s="116">
        <f>DATE(2022,3,1)</f>
        <v>44621</v>
      </c>
      <c r="E21" s="296">
        <v>37691</v>
      </c>
      <c r="F21" s="296" t="s">
        <v>130</v>
      </c>
      <c r="G21" s="296">
        <v>37691</v>
      </c>
      <c r="H21" s="293">
        <v>47908</v>
      </c>
      <c r="I21" s="294">
        <v>32297.759999999998</v>
      </c>
      <c r="J21" s="117">
        <v>18900283</v>
      </c>
      <c r="L21"/>
      <c r="M21"/>
      <c r="N21"/>
      <c r="O21"/>
      <c r="P21"/>
      <c r="Q21"/>
      <c r="R21" s="294"/>
    </row>
    <row r="22" spans="1:18" s="32" customFormat="1" ht="12.75" customHeight="1">
      <c r="A22" s="232">
        <f t="shared" si="0"/>
        <v>18</v>
      </c>
      <c r="B22" s="295" t="s">
        <v>177</v>
      </c>
      <c r="C22" s="116">
        <v>37691</v>
      </c>
      <c r="D22" s="116">
        <v>47908</v>
      </c>
      <c r="E22" s="296">
        <v>41449</v>
      </c>
      <c r="F22" s="296" t="s">
        <v>178</v>
      </c>
      <c r="G22" s="296">
        <v>41417</v>
      </c>
      <c r="H22" s="293">
        <v>47908</v>
      </c>
      <c r="I22" s="294">
        <v>299128.68</v>
      </c>
      <c r="J22" s="117">
        <v>18900433</v>
      </c>
      <c r="L22"/>
      <c r="M22"/>
      <c r="N22"/>
      <c r="O22"/>
      <c r="P22"/>
      <c r="Q22"/>
      <c r="R22" s="294"/>
    </row>
    <row r="23" spans="1:18" s="32" customFormat="1" ht="12.75" customHeight="1">
      <c r="A23" s="232">
        <f t="shared" si="0"/>
        <v>19</v>
      </c>
      <c r="B23" s="295" t="s">
        <v>177</v>
      </c>
      <c r="C23" s="116">
        <v>37691</v>
      </c>
      <c r="D23" s="116">
        <v>47908</v>
      </c>
      <c r="E23" s="296">
        <v>41449</v>
      </c>
      <c r="F23" s="296" t="s">
        <v>178</v>
      </c>
      <c r="G23" s="296">
        <v>41417</v>
      </c>
      <c r="H23" s="293">
        <v>47908</v>
      </c>
      <c r="I23" s="294">
        <v>50553.24</v>
      </c>
      <c r="J23" s="117">
        <v>18900533</v>
      </c>
      <c r="L23"/>
      <c r="M23"/>
      <c r="N23"/>
      <c r="O23"/>
      <c r="P23"/>
      <c r="Q23"/>
      <c r="R23" s="294"/>
    </row>
    <row r="24" spans="1:18" s="32" customFormat="1" ht="12.75" customHeight="1">
      <c r="A24" s="232">
        <f>A23+1</f>
        <v>20</v>
      </c>
      <c r="B24" s="115" t="s">
        <v>95</v>
      </c>
      <c r="C24" s="116">
        <v>38183</v>
      </c>
      <c r="D24" s="116">
        <v>38913</v>
      </c>
      <c r="E24" s="116">
        <v>38499</v>
      </c>
      <c r="F24" s="116" t="s">
        <v>96</v>
      </c>
      <c r="G24" s="116">
        <v>38499</v>
      </c>
      <c r="H24" s="293">
        <v>49456</v>
      </c>
      <c r="I24" s="294">
        <f>17086.56</f>
        <v>17086.560000000001</v>
      </c>
      <c r="J24" s="117">
        <v>18900183</v>
      </c>
      <c r="L24"/>
      <c r="M24"/>
      <c r="N24"/>
      <c r="O24"/>
      <c r="P24"/>
      <c r="Q24"/>
      <c r="R24" s="294"/>
    </row>
    <row r="25" spans="1:18" s="32" customFormat="1" ht="12.75" customHeight="1">
      <c r="A25" s="232">
        <f t="shared" si="0"/>
        <v>21</v>
      </c>
      <c r="B25" s="115" t="s">
        <v>29</v>
      </c>
      <c r="C25" s="116">
        <v>37035</v>
      </c>
      <c r="D25" s="116">
        <v>51682</v>
      </c>
      <c r="E25" s="116">
        <v>38898</v>
      </c>
      <c r="F25" s="116" t="s">
        <v>131</v>
      </c>
      <c r="G25" s="116">
        <v>38898</v>
      </c>
      <c r="H25" s="293">
        <v>49841</v>
      </c>
      <c r="I25" s="294">
        <f>(16418.45*12)</f>
        <v>197021.40000000002</v>
      </c>
      <c r="J25" s="117">
        <v>18900373</v>
      </c>
      <c r="L25"/>
      <c r="M25"/>
      <c r="N25"/>
      <c r="O25"/>
      <c r="P25"/>
      <c r="Q25"/>
      <c r="R25" s="294"/>
    </row>
    <row r="26" spans="1:18" s="32" customFormat="1" ht="12.75" customHeight="1">
      <c r="A26" s="232">
        <f t="shared" si="0"/>
        <v>22</v>
      </c>
      <c r="B26" s="115" t="s">
        <v>171</v>
      </c>
      <c r="C26" s="116">
        <v>33117</v>
      </c>
      <c r="D26" s="116">
        <v>44075</v>
      </c>
      <c r="E26" s="116">
        <v>40900</v>
      </c>
      <c r="F26" s="116" t="s">
        <v>172</v>
      </c>
      <c r="G26" s="116">
        <v>40869</v>
      </c>
      <c r="H26" s="293">
        <v>55472</v>
      </c>
      <c r="I26" s="294">
        <v>400518.84</v>
      </c>
      <c r="J26" s="117">
        <v>18900393</v>
      </c>
      <c r="L26"/>
      <c r="M26"/>
      <c r="N26"/>
      <c r="O26"/>
      <c r="P26"/>
      <c r="Q26"/>
      <c r="R26" s="294"/>
    </row>
    <row r="27" spans="1:18" s="32" customFormat="1" ht="12.75" customHeight="1">
      <c r="A27" s="232">
        <f t="shared" si="0"/>
        <v>23</v>
      </c>
      <c r="B27" s="115" t="s">
        <v>183</v>
      </c>
      <c r="C27" s="116">
        <v>38637</v>
      </c>
      <c r="D27" s="116">
        <v>42278</v>
      </c>
      <c r="E27" s="116">
        <v>42160</v>
      </c>
      <c r="F27" s="116" t="s">
        <v>185</v>
      </c>
      <c r="G27" s="116">
        <v>42150</v>
      </c>
      <c r="H27" s="293">
        <v>53102</v>
      </c>
      <c r="I27" s="294">
        <v>82302.48</v>
      </c>
      <c r="J27" s="117">
        <v>18900203</v>
      </c>
      <c r="L27"/>
      <c r="M27"/>
      <c r="N27"/>
      <c r="O27"/>
      <c r="P27"/>
      <c r="Q27"/>
      <c r="R27" s="294"/>
    </row>
    <row r="28" spans="1:18" s="32" customFormat="1" ht="12.75" customHeight="1">
      <c r="A28" s="232">
        <f t="shared" si="0"/>
        <v>24</v>
      </c>
      <c r="B28" s="115" t="s">
        <v>184</v>
      </c>
      <c r="C28" s="116">
        <v>39836</v>
      </c>
      <c r="D28" s="116">
        <v>42384</v>
      </c>
      <c r="E28" s="116">
        <v>42160</v>
      </c>
      <c r="F28" s="116" t="s">
        <v>185</v>
      </c>
      <c r="G28" s="116">
        <v>42150</v>
      </c>
      <c r="H28" s="293">
        <v>53102</v>
      </c>
      <c r="I28" s="294">
        <v>316649.76</v>
      </c>
      <c r="J28" s="117">
        <v>18900213</v>
      </c>
      <c r="L28"/>
      <c r="M28"/>
      <c r="N28"/>
      <c r="O28"/>
      <c r="P28"/>
      <c r="Q28"/>
      <c r="R28" s="294"/>
    </row>
    <row r="29" spans="1:18" s="32" customFormat="1" ht="12.75" customHeight="1">
      <c r="A29" s="232">
        <f t="shared" si="0"/>
        <v>25</v>
      </c>
      <c r="B29" s="115" t="s">
        <v>116</v>
      </c>
      <c r="C29" s="116">
        <v>39237</v>
      </c>
      <c r="D29" s="116">
        <v>24624</v>
      </c>
      <c r="E29" s="116">
        <v>43217</v>
      </c>
      <c r="F29" s="116"/>
      <c r="G29" s="116"/>
      <c r="H29" s="293">
        <v>61149</v>
      </c>
      <c r="I29" s="294">
        <v>75166.02</v>
      </c>
      <c r="J29" s="117">
        <v>18900233</v>
      </c>
      <c r="L29"/>
      <c r="M29"/>
      <c r="N29"/>
      <c r="O29"/>
      <c r="P29"/>
      <c r="Q29"/>
      <c r="R29" s="294"/>
    </row>
    <row r="30" spans="1:18" s="32" customFormat="1" ht="12.75" customHeight="1">
      <c r="A30" s="232">
        <f t="shared" si="0"/>
        <v>26</v>
      </c>
      <c r="B30" s="115"/>
      <c r="C30" s="116"/>
      <c r="D30" s="116"/>
      <c r="E30" s="116"/>
      <c r="F30" s="116"/>
      <c r="G30" s="116"/>
      <c r="H30" s="293"/>
      <c r="I30" s="297"/>
      <c r="J30" s="298"/>
      <c r="L30"/>
      <c r="M30"/>
      <c r="N30"/>
      <c r="O30"/>
      <c r="P30"/>
      <c r="Q30"/>
    </row>
    <row r="31" spans="1:18" s="32" customFormat="1" ht="15" customHeight="1" thickBot="1">
      <c r="A31" s="232">
        <f t="shared" si="0"/>
        <v>27</v>
      </c>
      <c r="B31" s="113" t="s">
        <v>28</v>
      </c>
      <c r="C31" s="118"/>
      <c r="D31" s="118"/>
      <c r="E31" s="118"/>
      <c r="F31" s="118"/>
      <c r="G31" s="118"/>
      <c r="H31" s="118"/>
      <c r="I31" s="299">
        <f>SUM(I8:I30)</f>
        <v>2133970.61</v>
      </c>
      <c r="J31" s="120"/>
      <c r="L31"/>
      <c r="M31"/>
      <c r="N31"/>
      <c r="O31"/>
      <c r="P31"/>
      <c r="Q31"/>
    </row>
    <row r="32" spans="1:18" s="32" customFormat="1" ht="12.75" customHeight="1" thickTop="1">
      <c r="A32" s="232">
        <f t="shared" si="0"/>
        <v>28</v>
      </c>
      <c r="B32" s="121"/>
      <c r="C32" s="122"/>
      <c r="D32" s="122"/>
      <c r="E32" s="122"/>
      <c r="F32" s="122"/>
      <c r="G32" s="122"/>
      <c r="H32" s="122"/>
      <c r="I32" s="65"/>
      <c r="J32" s="119"/>
      <c r="L32"/>
      <c r="M32"/>
      <c r="N32"/>
      <c r="O32"/>
      <c r="P32"/>
      <c r="Q32"/>
    </row>
    <row r="33" spans="1:17" s="32" customFormat="1" ht="12.75" customHeight="1">
      <c r="A33" s="232">
        <f t="shared" si="0"/>
        <v>29</v>
      </c>
      <c r="B33" s="121" t="s">
        <v>192</v>
      </c>
      <c r="C33" s="122"/>
      <c r="D33" s="122"/>
      <c r="E33" s="122"/>
      <c r="F33" s="122"/>
      <c r="G33" s="122"/>
      <c r="H33" s="122"/>
      <c r="I33" s="294">
        <f>'New Format'!C30</f>
        <v>7860865544</v>
      </c>
      <c r="J33" s="119"/>
      <c r="L33"/>
      <c r="M33"/>
      <c r="N33"/>
      <c r="O33"/>
      <c r="P33"/>
      <c r="Q33"/>
    </row>
    <row r="34" spans="1:17" s="32" customFormat="1" ht="12.75" customHeight="1">
      <c r="A34" s="232">
        <f t="shared" si="0"/>
        <v>30</v>
      </c>
      <c r="B34" s="121"/>
      <c r="C34" s="122"/>
      <c r="D34" s="122"/>
      <c r="E34" s="122"/>
      <c r="F34" s="122"/>
      <c r="G34" s="122"/>
      <c r="H34" s="122"/>
      <c r="I34" s="65"/>
      <c r="J34" s="119"/>
      <c r="L34"/>
      <c r="M34"/>
      <c r="N34"/>
      <c r="O34"/>
      <c r="P34"/>
      <c r="Q34"/>
    </row>
    <row r="35" spans="1:17" s="32" customFormat="1" ht="12.75" customHeight="1">
      <c r="A35" s="232">
        <f t="shared" si="0"/>
        <v>31</v>
      </c>
      <c r="B35" s="121" t="s">
        <v>195</v>
      </c>
      <c r="C35" s="122"/>
      <c r="D35" s="122"/>
      <c r="E35" s="122"/>
      <c r="F35" s="122"/>
      <c r="G35" s="122"/>
      <c r="H35" s="122"/>
      <c r="I35" s="421">
        <f>ROUND(I31/I33,4)</f>
        <v>2.9999999999999997E-4</v>
      </c>
      <c r="J35" s="436"/>
      <c r="L35"/>
      <c r="M35"/>
      <c r="N35"/>
      <c r="O35"/>
      <c r="P35"/>
      <c r="Q35"/>
    </row>
    <row r="36" spans="1:17" s="32" customFormat="1" ht="12.75" customHeight="1">
      <c r="A36" s="232">
        <f t="shared" si="0"/>
        <v>32</v>
      </c>
      <c r="B36" s="121"/>
      <c r="C36" s="122"/>
      <c r="D36" s="122"/>
      <c r="E36" s="122"/>
      <c r="F36" s="122"/>
      <c r="G36" s="122"/>
      <c r="H36" s="122"/>
      <c r="I36" s="65"/>
      <c r="J36" s="119"/>
      <c r="L36"/>
      <c r="M36"/>
      <c r="N36"/>
      <c r="O36"/>
      <c r="P36"/>
      <c r="Q36"/>
    </row>
    <row r="37" spans="1:17" s="32" customFormat="1" ht="12.75" customHeight="1">
      <c r="A37" s="232">
        <f t="shared" si="0"/>
        <v>33</v>
      </c>
      <c r="C37" s="58"/>
      <c r="D37" s="58"/>
      <c r="E37" s="58"/>
      <c r="F37" s="58"/>
      <c r="G37" s="58"/>
      <c r="H37" s="149"/>
      <c r="I37" s="65"/>
      <c r="J37" s="119"/>
      <c r="L37"/>
      <c r="M37"/>
      <c r="N37"/>
      <c r="O37"/>
      <c r="P37"/>
      <c r="Q37"/>
    </row>
    <row r="38" spans="1:17" s="32" customFormat="1" ht="12.75" customHeight="1">
      <c r="A38" s="232">
        <f t="shared" si="0"/>
        <v>34</v>
      </c>
      <c r="B38" s="230"/>
      <c r="C38" s="231"/>
      <c r="D38" s="231"/>
      <c r="E38" s="231"/>
      <c r="F38" s="231"/>
      <c r="H38" s="33"/>
      <c r="I38" s="65"/>
      <c r="L38"/>
      <c r="M38"/>
      <c r="N38"/>
      <c r="O38"/>
      <c r="P38"/>
      <c r="Q38"/>
    </row>
    <row r="39" spans="1:17" s="32" customFormat="1" ht="12.75" customHeight="1">
      <c r="A39" s="232">
        <f t="shared" si="0"/>
        <v>35</v>
      </c>
      <c r="B39" s="58" t="s">
        <v>135</v>
      </c>
      <c r="H39" s="33"/>
      <c r="I39" s="65"/>
      <c r="J39" s="117"/>
      <c r="L39"/>
      <c r="M39"/>
      <c r="N39"/>
      <c r="O39"/>
      <c r="P39"/>
      <c r="Q39"/>
    </row>
    <row r="40" spans="1:17" s="32" customFormat="1" ht="12.75" customHeight="1">
      <c r="A40" s="232">
        <f t="shared" si="0"/>
        <v>36</v>
      </c>
      <c r="B40" s="260" t="s">
        <v>134</v>
      </c>
      <c r="H40" s="33"/>
      <c r="I40" s="33"/>
      <c r="L40"/>
      <c r="M40"/>
      <c r="N40"/>
      <c r="O40"/>
      <c r="P40"/>
      <c r="Q40"/>
    </row>
    <row r="41" spans="1:17" s="32" customFormat="1" ht="12.75" customHeight="1">
      <c r="A41" s="233"/>
      <c r="H41" s="33"/>
      <c r="I41" s="33"/>
      <c r="L41"/>
      <c r="M41"/>
      <c r="N41"/>
      <c r="O41"/>
      <c r="P41"/>
      <c r="Q41"/>
    </row>
    <row r="42" spans="1:17" s="32" customFormat="1" ht="12.75" customHeight="1">
      <c r="H42" s="33"/>
      <c r="I42" s="33"/>
      <c r="L42"/>
      <c r="M42"/>
      <c r="N42"/>
      <c r="O42"/>
      <c r="P42"/>
      <c r="Q42"/>
    </row>
    <row r="43" spans="1:17" s="32" customFormat="1" ht="12.75" customHeight="1">
      <c r="H43" s="33"/>
      <c r="I43" s="220"/>
      <c r="L43"/>
      <c r="M43"/>
      <c r="N43"/>
      <c r="O43"/>
      <c r="P43"/>
      <c r="Q43"/>
    </row>
    <row r="44" spans="1:17" s="32" customFormat="1" ht="12.75" customHeight="1">
      <c r="H44" s="33"/>
      <c r="I44" s="33"/>
      <c r="L44"/>
      <c r="M44"/>
      <c r="N44"/>
      <c r="O44"/>
      <c r="P44"/>
      <c r="Q44"/>
    </row>
    <row r="45" spans="1:17" s="32" customFormat="1" ht="12.75" customHeight="1">
      <c r="H45" s="33"/>
      <c r="I45" s="33"/>
      <c r="L45"/>
      <c r="M45"/>
      <c r="N45"/>
      <c r="O45"/>
      <c r="P45"/>
      <c r="Q45"/>
    </row>
    <row r="46" spans="1:17" s="32" customFormat="1" ht="12.75" customHeight="1">
      <c r="H46" s="33"/>
      <c r="I46" s="33"/>
      <c r="L46"/>
      <c r="M46"/>
      <c r="N46"/>
      <c r="O46"/>
      <c r="P46"/>
      <c r="Q46"/>
    </row>
    <row r="47" spans="1:17" s="32" customFormat="1" ht="12.75" customHeight="1">
      <c r="H47" s="33"/>
      <c r="I47" s="33"/>
      <c r="L47"/>
      <c r="M47"/>
      <c r="N47"/>
      <c r="O47"/>
      <c r="P47"/>
      <c r="Q47"/>
    </row>
    <row r="48" spans="1:17" s="32" customFormat="1" ht="12.75" customHeight="1">
      <c r="H48" s="33"/>
      <c r="I48" s="33"/>
      <c r="L48"/>
      <c r="M48"/>
      <c r="N48"/>
      <c r="O48"/>
      <c r="P48"/>
      <c r="Q48"/>
    </row>
    <row r="49" spans="8:17" s="32" customFormat="1" ht="12.75" customHeight="1">
      <c r="H49" s="33"/>
      <c r="I49" s="33"/>
      <c r="L49"/>
      <c r="M49"/>
      <c r="N49"/>
      <c r="O49"/>
      <c r="P49"/>
      <c r="Q49"/>
    </row>
    <row r="50" spans="8:17" s="32" customFormat="1" ht="12.75" customHeight="1">
      <c r="H50" s="33"/>
      <c r="I50" s="33"/>
      <c r="L50"/>
      <c r="M50"/>
      <c r="N50"/>
      <c r="O50"/>
      <c r="P50"/>
      <c r="Q50"/>
    </row>
    <row r="51" spans="8:17" s="32" customFormat="1" ht="12.75" customHeight="1">
      <c r="H51" s="33"/>
      <c r="I51" s="33"/>
      <c r="L51"/>
      <c r="M51"/>
      <c r="N51"/>
      <c r="O51"/>
      <c r="P51"/>
      <c r="Q51"/>
    </row>
    <row r="52" spans="8:17" s="32" customFormat="1" ht="12.75" customHeight="1">
      <c r="L52"/>
      <c r="M52"/>
      <c r="N52"/>
      <c r="O52"/>
      <c r="P52"/>
      <c r="Q52"/>
    </row>
    <row r="53" spans="8:17" s="32" customFormat="1" ht="12.75" customHeight="1">
      <c r="L53"/>
      <c r="M53"/>
      <c r="N53"/>
      <c r="O53"/>
      <c r="P53"/>
      <c r="Q53"/>
    </row>
    <row r="54" spans="8:17" s="32" customFormat="1" ht="12.75" customHeight="1">
      <c r="L54"/>
      <c r="M54"/>
      <c r="N54"/>
      <c r="O54"/>
      <c r="P54"/>
      <c r="Q54"/>
    </row>
    <row r="55" spans="8:17" s="32" customFormat="1" ht="12.75" customHeight="1">
      <c r="L55"/>
      <c r="M55"/>
      <c r="N55"/>
      <c r="O55"/>
      <c r="P55"/>
      <c r="Q55"/>
    </row>
    <row r="56" spans="8:17" s="32" customFormat="1" ht="12.75" customHeight="1">
      <c r="L56"/>
      <c r="M56"/>
      <c r="N56"/>
      <c r="O56"/>
      <c r="P56"/>
      <c r="Q56"/>
    </row>
    <row r="57" spans="8:17" s="32" customFormat="1" ht="12.75" customHeight="1">
      <c r="L57"/>
      <c r="M57"/>
      <c r="N57"/>
      <c r="O57"/>
      <c r="P57"/>
      <c r="Q57"/>
    </row>
    <row r="58" spans="8:17" s="32" customFormat="1" ht="12.75" customHeight="1">
      <c r="L58"/>
      <c r="M58"/>
      <c r="N58"/>
      <c r="O58"/>
      <c r="P58"/>
      <c r="Q58"/>
    </row>
    <row r="59" spans="8:17" s="32" customFormat="1" ht="15.75">
      <c r="L59"/>
      <c r="M59"/>
      <c r="N59"/>
      <c r="O59"/>
      <c r="P59"/>
      <c r="Q59"/>
    </row>
    <row r="60" spans="8:17" s="32" customFormat="1" ht="15.75">
      <c r="L60"/>
      <c r="M60"/>
      <c r="N60"/>
      <c r="O60"/>
      <c r="P60"/>
      <c r="Q60"/>
    </row>
    <row r="61" spans="8:17" s="32" customFormat="1" ht="15.75">
      <c r="L61"/>
      <c r="M61"/>
      <c r="N61"/>
      <c r="O61"/>
      <c r="P61"/>
      <c r="Q61"/>
    </row>
    <row r="62" spans="8:17" s="32" customFormat="1" ht="15.75">
      <c r="L62"/>
      <c r="M62"/>
      <c r="N62"/>
      <c r="O62"/>
      <c r="P62"/>
      <c r="Q62"/>
    </row>
    <row r="63" spans="8:17" s="32" customFormat="1" ht="15.75">
      <c r="L63"/>
      <c r="M63"/>
      <c r="N63"/>
      <c r="O63"/>
      <c r="P63"/>
      <c r="Q63"/>
    </row>
    <row r="64" spans="8:17" s="32" customFormat="1" ht="15.75">
      <c r="L64"/>
      <c r="M64"/>
      <c r="N64"/>
      <c r="O64"/>
      <c r="P64"/>
      <c r="Q64"/>
    </row>
    <row r="65" spans="12:17" s="32" customFormat="1" ht="15.75">
      <c r="L65"/>
      <c r="M65"/>
      <c r="N65"/>
      <c r="O65"/>
      <c r="P65"/>
      <c r="Q65"/>
    </row>
    <row r="66" spans="12:17" s="32" customFormat="1" ht="15.75">
      <c r="L66"/>
      <c r="M66"/>
      <c r="N66"/>
      <c r="O66"/>
      <c r="P66"/>
      <c r="Q66"/>
    </row>
    <row r="67" spans="12:17" s="32" customFormat="1" ht="15.75">
      <c r="L67"/>
      <c r="M67"/>
      <c r="N67"/>
      <c r="O67"/>
      <c r="P67"/>
      <c r="Q67"/>
    </row>
    <row r="68" spans="12:17" s="32" customFormat="1" ht="15.75">
      <c r="L68"/>
      <c r="M68"/>
      <c r="N68"/>
      <c r="O68"/>
      <c r="P68"/>
      <c r="Q68"/>
    </row>
    <row r="69" spans="12:17" s="32" customFormat="1" ht="15.75">
      <c r="L69"/>
      <c r="M69"/>
      <c r="N69"/>
      <c r="O69"/>
      <c r="P69"/>
      <c r="Q69"/>
    </row>
    <row r="70" spans="12:17" s="32" customFormat="1" ht="15.75">
      <c r="L70"/>
      <c r="M70"/>
      <c r="N70"/>
      <c r="O70"/>
      <c r="P70"/>
      <c r="Q70"/>
    </row>
    <row r="71" spans="12:17" s="32" customFormat="1" ht="15.75">
      <c r="L71"/>
      <c r="M71"/>
      <c r="N71"/>
      <c r="O71"/>
      <c r="P71"/>
      <c r="Q71"/>
    </row>
    <row r="72" spans="12:17" s="32" customFormat="1" ht="15.75">
      <c r="L72"/>
      <c r="M72"/>
      <c r="N72"/>
      <c r="O72"/>
      <c r="P72"/>
      <c r="Q72"/>
    </row>
    <row r="73" spans="12:17" s="32" customFormat="1" ht="15.75">
      <c r="L73"/>
      <c r="M73"/>
      <c r="N73"/>
      <c r="O73"/>
      <c r="P73"/>
      <c r="Q73"/>
    </row>
    <row r="74" spans="12:17" s="32" customFormat="1" ht="15.75">
      <c r="L74"/>
      <c r="M74"/>
      <c r="N74"/>
      <c r="O74"/>
      <c r="P74"/>
      <c r="Q74"/>
    </row>
    <row r="75" spans="12:17" s="32" customFormat="1" ht="15.75">
      <c r="L75"/>
      <c r="M75"/>
      <c r="N75"/>
      <c r="O75"/>
      <c r="P75"/>
      <c r="Q75"/>
    </row>
    <row r="76" spans="12:17" s="32" customFormat="1" ht="15.75">
      <c r="L76"/>
      <c r="M76"/>
      <c r="N76"/>
      <c r="O76"/>
      <c r="P76"/>
      <c r="Q76"/>
    </row>
    <row r="77" spans="12:17" s="32" customFormat="1" ht="15.75">
      <c r="L77"/>
      <c r="M77"/>
      <c r="N77"/>
      <c r="O77"/>
      <c r="P77"/>
      <c r="Q77"/>
    </row>
    <row r="78" spans="12:17" s="32" customFormat="1" ht="15.75">
      <c r="L78"/>
      <c r="M78"/>
      <c r="N78"/>
      <c r="O78"/>
      <c r="P78"/>
      <c r="Q78"/>
    </row>
    <row r="79" spans="12:17" s="32" customFormat="1" ht="15.75">
      <c r="L79"/>
      <c r="M79"/>
      <c r="N79"/>
      <c r="O79"/>
      <c r="P79"/>
      <c r="Q79"/>
    </row>
    <row r="80" spans="12:17" s="32" customFormat="1" ht="15.75">
      <c r="L80"/>
      <c r="M80"/>
      <c r="N80"/>
      <c r="O80"/>
      <c r="P80"/>
      <c r="Q80"/>
    </row>
    <row r="81" spans="12:17" s="32" customFormat="1" ht="15.75">
      <c r="L81"/>
      <c r="M81"/>
      <c r="N81"/>
      <c r="O81"/>
      <c r="P81"/>
      <c r="Q81"/>
    </row>
    <row r="82" spans="12:17" s="32" customFormat="1" ht="15.75">
      <c r="L82"/>
      <c r="M82"/>
      <c r="N82"/>
      <c r="O82"/>
      <c r="P82"/>
      <c r="Q82"/>
    </row>
    <row r="83" spans="12:17" s="32" customFormat="1" ht="15.75">
      <c r="L83"/>
      <c r="M83"/>
      <c r="N83"/>
      <c r="O83"/>
      <c r="P83"/>
      <c r="Q83"/>
    </row>
  </sheetData>
  <mergeCells count="1">
    <mergeCell ref="B3:D3"/>
  </mergeCells>
  <phoneticPr fontId="24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41B50D-E7D8-4225-9C35-87B20A9A36A9}"/>
</file>

<file path=customXml/itemProps2.xml><?xml version="1.0" encoding="utf-8"?>
<ds:datastoreItem xmlns:ds="http://schemas.openxmlformats.org/officeDocument/2006/customXml" ds:itemID="{9B8204A7-15CB-4209-9354-10223CE2EC7F}"/>
</file>

<file path=customXml/itemProps3.xml><?xml version="1.0" encoding="utf-8"?>
<ds:datastoreItem xmlns:ds="http://schemas.openxmlformats.org/officeDocument/2006/customXml" ds:itemID="{EED106F6-F59C-47DE-B56A-B05829A190E1}"/>
</file>

<file path=customXml/itemProps4.xml><?xml version="1.0" encoding="utf-8"?>
<ds:datastoreItem xmlns:ds="http://schemas.openxmlformats.org/officeDocument/2006/customXml" ds:itemID="{F93D64B4-5EE6-4FB6-A7D6-F32AD06DD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SFree</cp:lastModifiedBy>
  <cp:lastPrinted>2019-01-23T23:22:54Z</cp:lastPrinted>
  <dcterms:created xsi:type="dcterms:W3CDTF">2001-12-28T16:42:36Z</dcterms:created>
  <dcterms:modified xsi:type="dcterms:W3CDTF">2019-03-29T00:30:29Z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