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omments4.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Decoupling Mechanisms\Tariff Filings\2017 Def WA Sch 75-175\Original work papers\2017 WA Earnings Test\"/>
    </mc:Choice>
  </mc:AlternateContent>
  <bookViews>
    <workbookView xWindow="0" yWindow="0" windowWidth="20160" windowHeight="10008" firstSheet="1" activeTab="1"/>
  </bookViews>
  <sheets>
    <sheet name="Acerno_Cache_XXXXX" sheetId="115" state="veryHidden" r:id="rId1"/>
    <sheet name="ADJ DETAIL-INPUT" sheetId="1" r:id="rId2"/>
    <sheet name="RR SUMMARY" sheetId="51" r:id="rId3"/>
    <sheet name="CF " sheetId="52" r:id="rId4"/>
    <sheet name="LEAD SHEETS-DO NOT ENTER" sheetId="113" r:id="rId5"/>
    <sheet name="ADJ SUMMARY" sheetId="3" r:id="rId6"/>
    <sheet name="ROO INPUT" sheetId="111" r:id="rId7"/>
    <sheet name="DEBT CALC" sheetId="48" r:id="rId8"/>
  </sheets>
  <externalReferences>
    <externalReference r:id="rId9"/>
  </externalReferences>
  <definedNames>
    <definedName name="ID_Elec" localSheetId="6">#REF!</definedName>
    <definedName name="ID_Elec">'DEBT CALC'!$A$71:$F$148</definedName>
    <definedName name="ID_Gas" localSheetId="4">'DEBT CALC'!#REF!</definedName>
    <definedName name="ID_Gas" localSheetId="6">#REF!</definedName>
    <definedName name="ID_Gas">'DEBT CALC'!#REF!</definedName>
    <definedName name="_xlnm.Print_Area" localSheetId="1">'ADJ DETAIL-INPUT'!$A$2:$AI$80</definedName>
    <definedName name="_xlnm.Print_Area" localSheetId="5">'ADJ SUMMARY'!$A$1:$F$53</definedName>
    <definedName name="_xlnm.Print_Area" localSheetId="3">'CF '!$A$1:$E$25</definedName>
    <definedName name="_xlnm.Print_Area" localSheetId="7">'DEBT CALC'!$A$1:$I$50</definedName>
    <definedName name="_xlnm.Print_Area" localSheetId="4">'LEAD SHEETS-DO NOT ENTER'!$A$2:$AA$79</definedName>
    <definedName name="_xlnm.Print_Area" localSheetId="6">'ROO INPUT'!$A$1:$G$80</definedName>
    <definedName name="_xlnm.Print_Area" localSheetId="2">'RR SUMMARY'!$H$1:$N$15</definedName>
    <definedName name="Print_for_CBReport">'ADJ SUMMARY'!$A$1:$F$43</definedName>
    <definedName name="Print_for_Checking" localSheetId="4">'ADJ SUMMARY'!#REF!:'ADJ SUMMARY'!#REF!</definedName>
    <definedName name="Print_for_Checking" localSheetId="6">[1]PFRstmtSheet!$A$1:[1]PFRstmtSheet!#REF!</definedName>
    <definedName name="Print_for_Checking">'ADJ SUMMARY'!#REF!:'ADJ SUMMARY'!#REF!</definedName>
    <definedName name="_xlnm.Print_Titles" localSheetId="1">'ADJ DETAIL-INPUT'!$A:$D,'ADJ DETAIL-INPUT'!$2:$10</definedName>
    <definedName name="_xlnm.Print_Titles" localSheetId="4">'LEAD SHEETS-DO NOT ENTER'!$A:$D,'LEAD SHEETS-DO NOT ENTER'!$2:$10</definedName>
    <definedName name="_xlnm.Print_Titles" localSheetId="6">'ROO INPUT'!$1:$10</definedName>
    <definedName name="RRC_Adjustment_Print">#REF!</definedName>
    <definedName name="RRC_Rate_Print">#REF!</definedName>
    <definedName name="Summary" localSheetId="4">#REF!</definedName>
    <definedName name="Summary" localSheetId="6">#REF!</definedName>
    <definedName name="Summary">#REF!</definedName>
    <definedName name="WA_Elec" localSheetId="6">#REF!</definedName>
    <definedName name="WA_Elec">'DEBT CALC'!$A$1:$F$70</definedName>
    <definedName name="WA_Gas" localSheetId="4">'DEBT CALC'!#REF!</definedName>
    <definedName name="WA_Gas" localSheetId="6">#REF!</definedName>
    <definedName name="WA_Gas">'DEBT CALC'!#REF!</definedName>
    <definedName name="Z_6E1B8C45_B07F_11D2_B0DC_0000832CDFF0_.wvu.Cols" localSheetId="1" hidden="1">'ADJ DETAIL-INPUT'!#REF!,'ADJ DETAIL-INPUT'!$AA:$AC</definedName>
    <definedName name="Z_6E1B8C45_B07F_11D2_B0DC_0000832CDFF0_.wvu.Cols" localSheetId="4" hidden="1">'LEAD SHEETS-DO NOT ENTER'!#REF!,'LEAD SHEETS-DO NOT ENTER'!#REF!</definedName>
    <definedName name="Z_6E1B8C45_B07F_11D2_B0DC_0000832CDFF0_.wvu.PrintArea" localSheetId="1" hidden="1">'ADJ DETAIL-INPUT'!$E:$AC</definedName>
    <definedName name="Z_6E1B8C45_B07F_11D2_B0DC_0000832CDFF0_.wvu.PrintArea" localSheetId="5" hidden="1">'ADJ SUMMARY'!$A$1:$F$43</definedName>
    <definedName name="Z_6E1B8C45_B07F_11D2_B0DC_0000832CDFF0_.wvu.PrintArea" localSheetId="4" hidden="1">'LEAD SHEETS-DO NOT ENTER'!$E:$AA</definedName>
    <definedName name="Z_6E1B8C45_B07F_11D2_B0DC_0000832CDFF0_.wvu.PrintArea" localSheetId="6" hidden="1">'ROO INPUT'!$A$1:$G$79</definedName>
    <definedName name="Z_6E1B8C45_B07F_11D2_B0DC_0000832CDFF0_.wvu.PrintTitles" localSheetId="1" hidden="1">'ADJ DETAIL-INPUT'!$A:$D,'ADJ DETAIL-INPUT'!$2:$10</definedName>
    <definedName name="Z_6E1B8C45_B07F_11D2_B0DC_0000832CDFF0_.wvu.PrintTitles" localSheetId="4" hidden="1">'LEAD SHEETS-DO NOT ENTER'!$A:$D,'LEAD SHEETS-DO NOT ENTER'!$2:$10</definedName>
    <definedName name="Z_6E1B8C45_B07F_11D2_B0DC_0000832CDFF0_.wvu.Rows" localSheetId="5" hidden="1">'ADJ SUMMARY'!#REF!,'ADJ SUMMARY'!$21:$35,'ADJ SUMMARY'!$34:$34,'ADJ SUMMARY'!$41:$43,'ADJ SUMMARY'!#REF!,'ADJ SUMMARY'!#REF!,'ADJ SUMMARY'!#REF!</definedName>
    <definedName name="Z_A15D1962_B049_11D2_8670_0000832CEEE8_.wvu.Cols" localSheetId="1" hidden="1">'ADJ DETAIL-INPUT'!$AA:$AD</definedName>
    <definedName name="Z_A15D1962_B049_11D2_8670_0000832CEEE8_.wvu.Cols" localSheetId="4" hidden="1">'LEAD SHEETS-DO NOT ENTER'!#REF!</definedName>
    <definedName name="Z_A15D1962_B049_11D2_8670_0000832CEEE8_.wvu.Rows" localSheetId="5" hidden="1">'ADJ SUMMARY'!#REF!,'ADJ SUMMARY'!#REF!</definedName>
  </definedNames>
  <calcPr calcId="152511"/>
  <customWorkbookViews>
    <customWorkbookView name="Don Falkner - Personal View" guid="{6E1B8C45-B07F-11D2-B0DC-0000832CDFF0}" mergeInterval="0" personalView="1" maximized="1" windowWidth="1020" windowHeight="604" tabRatio="768" activeSheetId="3"/>
    <customWorkbookView name="Kathy Mitchell - Personal View" guid="{A15D1962-B049-11D2-8670-0000832CEEE8}" mergeInterval="0" personalView="1" maximized="1" windowWidth="796" windowHeight="436" tabRatio="768" activeSheetId="2"/>
  </customWorkbookViews>
</workbook>
</file>

<file path=xl/calcChain.xml><?xml version="1.0" encoding="utf-8"?>
<calcChain xmlns="http://schemas.openxmlformats.org/spreadsheetml/2006/main">
  <c r="E39" i="3" l="1"/>
  <c r="D39" i="3"/>
  <c r="C39" i="3"/>
  <c r="B39" i="3"/>
  <c r="A39" i="3"/>
  <c r="E38" i="3"/>
  <c r="D38" i="3"/>
  <c r="C38" i="3"/>
  <c r="B38" i="3"/>
  <c r="A38" i="3"/>
  <c r="E37" i="3"/>
  <c r="D37" i="3"/>
  <c r="C37" i="3"/>
  <c r="B37" i="3"/>
  <c r="A37" i="3"/>
  <c r="E36" i="3"/>
  <c r="D36" i="3"/>
  <c r="C36" i="3"/>
  <c r="B36" i="3"/>
  <c r="A36" i="3"/>
  <c r="AE43" i="1" l="1"/>
  <c r="AE42" i="1"/>
  <c r="AE38" i="1"/>
  <c r="AE37" i="1"/>
  <c r="AE32" i="1"/>
  <c r="AE31" i="1"/>
  <c r="AE27" i="1"/>
  <c r="AE24" i="1"/>
  <c r="AE25" i="1"/>
  <c r="AE26" i="1"/>
  <c r="AE23" i="1"/>
  <c r="AE18" i="1"/>
  <c r="AE16" i="1"/>
  <c r="AE15" i="1"/>
  <c r="AE14" i="1"/>
  <c r="AH71" i="1"/>
  <c r="AH64" i="1"/>
  <c r="AH44" i="1"/>
  <c r="AH45" i="1" s="1"/>
  <c r="AH34" i="1"/>
  <c r="AH28" i="1"/>
  <c r="AH17" i="1"/>
  <c r="AH19" i="1" s="1"/>
  <c r="AG71" i="1"/>
  <c r="AG64" i="1"/>
  <c r="AG44" i="1"/>
  <c r="AG34" i="1"/>
  <c r="AG28" i="1"/>
  <c r="AG17" i="1"/>
  <c r="AG19" i="1" s="1"/>
  <c r="AF71" i="1"/>
  <c r="AF64" i="1"/>
  <c r="AF44" i="1"/>
  <c r="AF45" i="1" s="1"/>
  <c r="AF34" i="1"/>
  <c r="AF28" i="1"/>
  <c r="AF17" i="1"/>
  <c r="AF19" i="1" s="1"/>
  <c r="AF10" i="1"/>
  <c r="AG10" i="1" s="1"/>
  <c r="AH10" i="1" s="1"/>
  <c r="AE71" i="1"/>
  <c r="AE64" i="1"/>
  <c r="AF47" i="1" l="1"/>
  <c r="AF50" i="1" s="1"/>
  <c r="AF72" i="1"/>
  <c r="AF75" i="1" s="1"/>
  <c r="AF79" i="1" s="1"/>
  <c r="AH72" i="1"/>
  <c r="AH75" i="1" s="1"/>
  <c r="AH79" i="1" s="1"/>
  <c r="AE72" i="1"/>
  <c r="AE75" i="1" s="1"/>
  <c r="AE79" i="1" s="1"/>
  <c r="AG72" i="1"/>
  <c r="AG75" i="1" s="1"/>
  <c r="AG79" i="1" s="1"/>
  <c r="AG45" i="1"/>
  <c r="AG47" i="1"/>
  <c r="AG50" i="1" s="1"/>
  <c r="AE28" i="1"/>
  <c r="AE17" i="1"/>
  <c r="AE19" i="1" s="1"/>
  <c r="AH47" i="1"/>
  <c r="AH50" i="1" s="1"/>
  <c r="AG55" i="1"/>
  <c r="AF55" i="1"/>
  <c r="AF93" i="1" s="1"/>
  <c r="H79" i="113"/>
  <c r="H78" i="113"/>
  <c r="H77" i="113"/>
  <c r="H76" i="113"/>
  <c r="H75" i="113"/>
  <c r="H74" i="113"/>
  <c r="H71" i="113"/>
  <c r="H70" i="113"/>
  <c r="H69" i="113"/>
  <c r="H68" i="113"/>
  <c r="H67" i="113"/>
  <c r="H66" i="113"/>
  <c r="H63" i="113"/>
  <c r="H62" i="113"/>
  <c r="H61" i="113"/>
  <c r="H60" i="113"/>
  <c r="H59" i="113"/>
  <c r="H53" i="113"/>
  <c r="H52" i="113"/>
  <c r="H49" i="113"/>
  <c r="H43" i="113"/>
  <c r="H42" i="113"/>
  <c r="H41" i="113"/>
  <c r="H38" i="113"/>
  <c r="H37" i="113"/>
  <c r="H36" i="113"/>
  <c r="H34" i="113"/>
  <c r="H33" i="113"/>
  <c r="H32" i="113"/>
  <c r="H31" i="113"/>
  <c r="H27" i="113"/>
  <c r="H26" i="113"/>
  <c r="H25" i="113"/>
  <c r="H24" i="113"/>
  <c r="H23" i="113"/>
  <c r="H18" i="113"/>
  <c r="H16" i="113"/>
  <c r="H15" i="113"/>
  <c r="H14" i="113"/>
  <c r="H11" i="113"/>
  <c r="H9" i="113"/>
  <c r="H8" i="113"/>
  <c r="H7" i="113"/>
  <c r="B15" i="48"/>
  <c r="C13" i="3"/>
  <c r="B13" i="3"/>
  <c r="C14" i="3"/>
  <c r="B14" i="3"/>
  <c r="H71" i="1"/>
  <c r="H64" i="1"/>
  <c r="H72" i="1" s="1"/>
  <c r="H75" i="1" s="1"/>
  <c r="H79" i="1" s="1"/>
  <c r="E13" i="3" s="1"/>
  <c r="H44" i="1"/>
  <c r="H44" i="113" s="1"/>
  <c r="H34" i="1"/>
  <c r="H28" i="1"/>
  <c r="H28" i="113" s="1"/>
  <c r="H17" i="1"/>
  <c r="H17" i="113" s="1"/>
  <c r="H19" i="1" l="1"/>
  <c r="H45" i="1"/>
  <c r="H45" i="113" s="1"/>
  <c r="H72" i="113"/>
  <c r="H64" i="113"/>
  <c r="AH55" i="1"/>
  <c r="AH93" i="1"/>
  <c r="AG93" i="1"/>
  <c r="H51" i="1"/>
  <c r="H51" i="113" l="1"/>
  <c r="H47" i="1"/>
  <c r="H19" i="113"/>
  <c r="AA23" i="1"/>
  <c r="AA18" i="1"/>
  <c r="H47" i="113" l="1"/>
  <c r="H50" i="1"/>
  <c r="V36" i="1"/>
  <c r="H50" i="113" l="1"/>
  <c r="H55" i="1"/>
  <c r="U34" i="1"/>
  <c r="D13" i="3" l="1"/>
  <c r="H55" i="113"/>
  <c r="H93" i="1"/>
  <c r="T36" i="1"/>
  <c r="F63" i="111" l="1"/>
  <c r="F324" i="111"/>
  <c r="F325" i="111"/>
  <c r="F37" i="111"/>
  <c r="F18" i="111"/>
  <c r="F297" i="111"/>
  <c r="F298" i="111"/>
  <c r="U44" i="1" l="1"/>
  <c r="L36" i="113" l="1"/>
  <c r="V41" i="1" l="1"/>
  <c r="S41" i="1" l="1"/>
  <c r="AE41" i="1" s="1"/>
  <c r="AE44" i="1" s="1"/>
  <c r="S36" i="1"/>
  <c r="AE36" i="1" s="1"/>
  <c r="S33" i="1"/>
  <c r="AE33" i="1" s="1"/>
  <c r="AE34" i="1" s="1"/>
  <c r="AE45" i="1" l="1"/>
  <c r="AE47" i="1" s="1"/>
  <c r="F326" i="111"/>
  <c r="F59" i="111" s="1"/>
  <c r="F359" i="111"/>
  <c r="F60" i="111"/>
  <c r="E60" i="1" s="1"/>
  <c r="F372" i="111"/>
  <c r="F61" i="111" s="1"/>
  <c r="F390" i="111"/>
  <c r="F62" i="111"/>
  <c r="E62" i="1" s="1"/>
  <c r="F404" i="111"/>
  <c r="F419" i="111"/>
  <c r="F66" i="111" s="1"/>
  <c r="E66" i="111" s="1"/>
  <c r="F420" i="111"/>
  <c r="F421" i="111"/>
  <c r="F422" i="111"/>
  <c r="F410" i="111"/>
  <c r="F411" i="111"/>
  <c r="F412" i="111"/>
  <c r="F413" i="111"/>
  <c r="F68" i="111" s="1"/>
  <c r="E68" i="111" s="1"/>
  <c r="F414" i="111"/>
  <c r="F69" i="111"/>
  <c r="E69" i="1"/>
  <c r="E69" i="113" s="1"/>
  <c r="F415" i="111"/>
  <c r="F423" i="111"/>
  <c r="F70" i="111"/>
  <c r="E70" i="111" s="1"/>
  <c r="E70" i="1"/>
  <c r="E70" i="113" s="1"/>
  <c r="F441" i="111"/>
  <c r="F74" i="111" s="1"/>
  <c r="E74" i="1"/>
  <c r="F477" i="111"/>
  <c r="F475" i="111"/>
  <c r="F77" i="111" s="1"/>
  <c r="M10" i="51"/>
  <c r="N11" i="51" s="1"/>
  <c r="T36" i="113"/>
  <c r="T41" i="1"/>
  <c r="T44" i="1" s="1"/>
  <c r="F323" i="111"/>
  <c r="F399" i="111"/>
  <c r="F377" i="111"/>
  <c r="F85" i="111"/>
  <c r="F86" i="111"/>
  <c r="F87" i="111"/>
  <c r="F88" i="111"/>
  <c r="F15" i="111" s="1"/>
  <c r="F89" i="111"/>
  <c r="F90" i="111"/>
  <c r="F91" i="111"/>
  <c r="F92" i="111"/>
  <c r="F16" i="111" s="1"/>
  <c r="F93" i="111"/>
  <c r="F94" i="111"/>
  <c r="F95" i="111"/>
  <c r="F96" i="111"/>
  <c r="F97" i="111"/>
  <c r="F98" i="111"/>
  <c r="F99" i="111"/>
  <c r="F100" i="111"/>
  <c r="F101" i="111"/>
  <c r="F102" i="111"/>
  <c r="F103" i="111"/>
  <c r="F104" i="111"/>
  <c r="F105" i="111"/>
  <c r="F106" i="111"/>
  <c r="F107" i="111"/>
  <c r="F108" i="111"/>
  <c r="F109" i="111"/>
  <c r="F110" i="111"/>
  <c r="F111" i="111"/>
  <c r="F112" i="111"/>
  <c r="F113" i="111"/>
  <c r="F114" i="111"/>
  <c r="F115" i="111"/>
  <c r="F116" i="111"/>
  <c r="F117" i="111"/>
  <c r="F118" i="111"/>
  <c r="F119" i="111"/>
  <c r="F120" i="111"/>
  <c r="F121" i="111"/>
  <c r="F122" i="111"/>
  <c r="F123" i="111"/>
  <c r="F124" i="111"/>
  <c r="F125" i="111"/>
  <c r="F126" i="111"/>
  <c r="F127" i="111"/>
  <c r="F128" i="111"/>
  <c r="F129" i="111"/>
  <c r="F130" i="111"/>
  <c r="F131" i="111"/>
  <c r="F132" i="111"/>
  <c r="F133" i="111"/>
  <c r="F134" i="111"/>
  <c r="F135" i="111"/>
  <c r="F136" i="111"/>
  <c r="F137" i="111"/>
  <c r="F138" i="111"/>
  <c r="F139" i="111"/>
  <c r="F140" i="111"/>
  <c r="F141" i="111"/>
  <c r="F142" i="111"/>
  <c r="F143" i="111"/>
  <c r="F144" i="111"/>
  <c r="F145" i="111"/>
  <c r="F146" i="111"/>
  <c r="F147" i="111"/>
  <c r="F148" i="111"/>
  <c r="F149" i="111"/>
  <c r="F150" i="111"/>
  <c r="F151" i="111"/>
  <c r="F152" i="111"/>
  <c r="F153" i="111"/>
  <c r="F154" i="111"/>
  <c r="F155" i="111"/>
  <c r="F156" i="111"/>
  <c r="F24" i="111" s="1"/>
  <c r="F157" i="111"/>
  <c r="F158" i="111"/>
  <c r="F159" i="111"/>
  <c r="F160" i="111"/>
  <c r="F161" i="111"/>
  <c r="F162" i="111"/>
  <c r="F163" i="111"/>
  <c r="F164" i="111"/>
  <c r="F165" i="111"/>
  <c r="F166" i="111"/>
  <c r="F167" i="111"/>
  <c r="F168" i="111"/>
  <c r="F169" i="111"/>
  <c r="F170" i="111"/>
  <c r="F171" i="111"/>
  <c r="F172" i="111"/>
  <c r="F173" i="111"/>
  <c r="F174" i="111"/>
  <c r="F175" i="111"/>
  <c r="F176" i="111"/>
  <c r="F177" i="111"/>
  <c r="F178" i="111"/>
  <c r="F179" i="111"/>
  <c r="F180" i="111"/>
  <c r="F181" i="111"/>
  <c r="F182" i="111"/>
  <c r="F183" i="111"/>
  <c r="F184" i="111"/>
  <c r="F185" i="111"/>
  <c r="F186" i="111"/>
  <c r="F187" i="111"/>
  <c r="F188" i="111"/>
  <c r="F189" i="111"/>
  <c r="F190" i="111"/>
  <c r="F191" i="111"/>
  <c r="F192" i="111"/>
  <c r="F194" i="111"/>
  <c r="F195" i="111"/>
  <c r="F196" i="111"/>
  <c r="F197" i="111"/>
  <c r="F198" i="111"/>
  <c r="F199" i="111"/>
  <c r="F200" i="111"/>
  <c r="F201" i="111"/>
  <c r="F203" i="111"/>
  <c r="F204" i="111"/>
  <c r="F205" i="111"/>
  <c r="F206" i="111"/>
  <c r="F207" i="111"/>
  <c r="F208" i="111"/>
  <c r="F209" i="111"/>
  <c r="F210" i="111"/>
  <c r="F211" i="111"/>
  <c r="F213" i="111"/>
  <c r="F214" i="111"/>
  <c r="F215" i="111"/>
  <c r="F216" i="111"/>
  <c r="F217" i="111"/>
  <c r="F218" i="111"/>
  <c r="F219" i="111"/>
  <c r="F220" i="111"/>
  <c r="F221" i="111"/>
  <c r="F222" i="111"/>
  <c r="F223" i="111"/>
  <c r="F224" i="111"/>
  <c r="F225" i="111"/>
  <c r="F226" i="111"/>
  <c r="F227" i="111"/>
  <c r="F228" i="111"/>
  <c r="F229" i="111"/>
  <c r="F230" i="111"/>
  <c r="F231" i="111"/>
  <c r="F232" i="111"/>
  <c r="F233" i="111"/>
  <c r="F234" i="111"/>
  <c r="F235" i="111"/>
  <c r="F236" i="111"/>
  <c r="F237" i="111"/>
  <c r="F238" i="111"/>
  <c r="F239" i="111"/>
  <c r="F240" i="111"/>
  <c r="F241" i="111"/>
  <c r="F242" i="111"/>
  <c r="F243" i="111"/>
  <c r="F244" i="111"/>
  <c r="F245" i="111"/>
  <c r="F246" i="111"/>
  <c r="F247" i="111"/>
  <c r="F248" i="111"/>
  <c r="F249" i="111"/>
  <c r="F250" i="111"/>
  <c r="F251" i="111"/>
  <c r="F32" i="111" s="1"/>
  <c r="F252" i="111"/>
  <c r="F253" i="111"/>
  <c r="F254" i="111"/>
  <c r="F255" i="111"/>
  <c r="F256" i="111"/>
  <c r="F257" i="111"/>
  <c r="F258" i="111"/>
  <c r="F259" i="111"/>
  <c r="F260" i="111"/>
  <c r="F261" i="111"/>
  <c r="F262" i="111"/>
  <c r="F263" i="111"/>
  <c r="F264" i="111"/>
  <c r="F265" i="111"/>
  <c r="F266" i="111"/>
  <c r="F267" i="111"/>
  <c r="F268" i="111"/>
  <c r="F269" i="111"/>
  <c r="F270" i="111"/>
  <c r="F271" i="111"/>
  <c r="F272" i="111"/>
  <c r="F273" i="111"/>
  <c r="F274" i="111"/>
  <c r="F275" i="111"/>
  <c r="F276" i="111"/>
  <c r="F277" i="111"/>
  <c r="F278" i="111"/>
  <c r="F279" i="111"/>
  <c r="F280" i="111"/>
  <c r="F281" i="111"/>
  <c r="F282" i="111"/>
  <c r="F283" i="111"/>
  <c r="F284" i="111"/>
  <c r="F285" i="111"/>
  <c r="F286" i="111"/>
  <c r="F287" i="111"/>
  <c r="F288" i="111"/>
  <c r="F289" i="111"/>
  <c r="F290" i="111"/>
  <c r="F41" i="111" s="1"/>
  <c r="F291" i="111"/>
  <c r="F292" i="111"/>
  <c r="F293" i="111"/>
  <c r="F294" i="111"/>
  <c r="F295" i="111"/>
  <c r="F296" i="111"/>
  <c r="F299" i="111"/>
  <c r="F300" i="111"/>
  <c r="F42" i="111" s="1"/>
  <c r="F301" i="111"/>
  <c r="F302" i="111"/>
  <c r="F303" i="111"/>
  <c r="F304" i="111"/>
  <c r="F305" i="111"/>
  <c r="F306" i="111"/>
  <c r="F307" i="111"/>
  <c r="F308" i="111"/>
  <c r="F309" i="111"/>
  <c r="F310" i="111"/>
  <c r="F311" i="111"/>
  <c r="F84" i="111"/>
  <c r="F315" i="111"/>
  <c r="F316" i="111"/>
  <c r="F317" i="111"/>
  <c r="F318" i="111"/>
  <c r="F319" i="111"/>
  <c r="F320" i="111"/>
  <c r="F321" i="111"/>
  <c r="F322" i="111"/>
  <c r="F327" i="111"/>
  <c r="F328" i="111"/>
  <c r="F329" i="111"/>
  <c r="F330" i="111"/>
  <c r="F331" i="111"/>
  <c r="F332" i="111"/>
  <c r="F333" i="111"/>
  <c r="F334" i="111"/>
  <c r="F335" i="111"/>
  <c r="F336" i="111"/>
  <c r="F337" i="111"/>
  <c r="F338" i="111"/>
  <c r="F339" i="111"/>
  <c r="F340" i="111"/>
  <c r="F341" i="111"/>
  <c r="F342" i="111"/>
  <c r="F343" i="111"/>
  <c r="F344" i="111"/>
  <c r="F345" i="111"/>
  <c r="F346" i="111"/>
  <c r="F347" i="111"/>
  <c r="F348" i="111"/>
  <c r="F349" i="111"/>
  <c r="F350" i="111"/>
  <c r="F351" i="111"/>
  <c r="F352" i="111"/>
  <c r="F353" i="111"/>
  <c r="F354" i="111"/>
  <c r="F355" i="111"/>
  <c r="F356" i="111"/>
  <c r="F357" i="111"/>
  <c r="F358" i="111"/>
  <c r="F360" i="111"/>
  <c r="F361" i="111"/>
  <c r="F362" i="111"/>
  <c r="F364" i="111"/>
  <c r="F365" i="111"/>
  <c r="F366" i="111"/>
  <c r="F367" i="111"/>
  <c r="F368" i="111"/>
  <c r="F369" i="111"/>
  <c r="F370" i="111"/>
  <c r="F371" i="111"/>
  <c r="F373" i="111"/>
  <c r="F374" i="111"/>
  <c r="F375" i="111"/>
  <c r="F376" i="111"/>
  <c r="F378" i="111"/>
  <c r="F379" i="111"/>
  <c r="F380" i="111"/>
  <c r="F381" i="111"/>
  <c r="F382" i="111"/>
  <c r="F383" i="111"/>
  <c r="F384" i="111"/>
  <c r="F385" i="111"/>
  <c r="F386" i="111"/>
  <c r="F388" i="111"/>
  <c r="F389" i="111"/>
  <c r="F391" i="111"/>
  <c r="F392" i="111"/>
  <c r="F393" i="111"/>
  <c r="F394" i="111"/>
  <c r="F396" i="111"/>
  <c r="F397" i="111"/>
  <c r="F398" i="111"/>
  <c r="F400" i="111"/>
  <c r="F401" i="111"/>
  <c r="F402" i="111"/>
  <c r="F403" i="111"/>
  <c r="F405" i="111"/>
  <c r="F407" i="111"/>
  <c r="F408" i="111"/>
  <c r="F409" i="111"/>
  <c r="F416" i="111"/>
  <c r="F417" i="111"/>
  <c r="F418" i="111"/>
  <c r="F424" i="111"/>
  <c r="F425" i="111"/>
  <c r="F426" i="111"/>
  <c r="F427" i="111"/>
  <c r="F428" i="111"/>
  <c r="F429" i="111"/>
  <c r="F430" i="111"/>
  <c r="F431" i="111"/>
  <c r="F432" i="111"/>
  <c r="F433" i="111"/>
  <c r="F434" i="111"/>
  <c r="F436" i="111"/>
  <c r="F437" i="111"/>
  <c r="F438" i="111"/>
  <c r="F439" i="111"/>
  <c r="F440" i="111"/>
  <c r="F442" i="111"/>
  <c r="F444" i="111"/>
  <c r="F445" i="111"/>
  <c r="F446" i="111"/>
  <c r="F447" i="111"/>
  <c r="F448" i="111"/>
  <c r="F449" i="111"/>
  <c r="F450" i="111"/>
  <c r="F451" i="111"/>
  <c r="F452" i="111"/>
  <c r="F453" i="111"/>
  <c r="F454" i="111"/>
  <c r="F455" i="111"/>
  <c r="F456" i="111"/>
  <c r="F457" i="111"/>
  <c r="F458" i="111"/>
  <c r="F459" i="111"/>
  <c r="F460" i="111"/>
  <c r="F461" i="111"/>
  <c r="F462" i="111"/>
  <c r="F463" i="111"/>
  <c r="F464" i="111"/>
  <c r="F465" i="111"/>
  <c r="F466" i="111"/>
  <c r="F467" i="111"/>
  <c r="F468" i="111"/>
  <c r="F469" i="111"/>
  <c r="F470" i="111"/>
  <c r="F471" i="111"/>
  <c r="F472" i="111"/>
  <c r="F473" i="111"/>
  <c r="F474" i="111"/>
  <c r="F476" i="111"/>
  <c r="F478" i="111"/>
  <c r="X7" i="113"/>
  <c r="Y7" i="113"/>
  <c r="X8" i="113"/>
  <c r="Y8" i="113"/>
  <c r="X9" i="113"/>
  <c r="Y9" i="113"/>
  <c r="X11" i="113"/>
  <c r="Y11" i="113"/>
  <c r="X14" i="113"/>
  <c r="Y14" i="113"/>
  <c r="X15" i="113"/>
  <c r="Y15" i="113"/>
  <c r="X16" i="113"/>
  <c r="Y16" i="113"/>
  <c r="X18" i="113"/>
  <c r="Y18" i="113"/>
  <c r="X23" i="113"/>
  <c r="Y23" i="113"/>
  <c r="X24" i="113"/>
  <c r="Y24" i="113"/>
  <c r="X25" i="113"/>
  <c r="Y25" i="113"/>
  <c r="X26" i="113"/>
  <c r="Y26" i="113"/>
  <c r="X27" i="113"/>
  <c r="Y27" i="113"/>
  <c r="X31" i="113"/>
  <c r="Y31" i="113"/>
  <c r="X32" i="113"/>
  <c r="Y32" i="113"/>
  <c r="X33" i="113"/>
  <c r="Y33" i="113"/>
  <c r="X36" i="113"/>
  <c r="Y36" i="113"/>
  <c r="X37" i="113"/>
  <c r="Y37" i="113"/>
  <c r="X38" i="113"/>
  <c r="Y38" i="113"/>
  <c r="X41" i="113"/>
  <c r="Y41" i="113"/>
  <c r="X42" i="113"/>
  <c r="Y42" i="113"/>
  <c r="X43" i="113"/>
  <c r="Y43" i="113"/>
  <c r="X49" i="113"/>
  <c r="Y49" i="113"/>
  <c r="X51" i="113"/>
  <c r="Y51" i="113"/>
  <c r="X52" i="113"/>
  <c r="Y52" i="113"/>
  <c r="X53" i="113"/>
  <c r="Y53" i="113"/>
  <c r="X59" i="113"/>
  <c r="Y59" i="113"/>
  <c r="X60" i="113"/>
  <c r="Y60" i="113"/>
  <c r="X61" i="113"/>
  <c r="Y61" i="113"/>
  <c r="X62" i="113"/>
  <c r="Y62" i="113"/>
  <c r="X63" i="113"/>
  <c r="Y63" i="113"/>
  <c r="X66" i="113"/>
  <c r="Y66" i="113"/>
  <c r="X67" i="113"/>
  <c r="Y67" i="113"/>
  <c r="X68" i="113"/>
  <c r="Y68" i="113"/>
  <c r="X69" i="113"/>
  <c r="Y69" i="113"/>
  <c r="X70" i="113"/>
  <c r="Y70" i="113"/>
  <c r="X74" i="113"/>
  <c r="Y74" i="113"/>
  <c r="X76" i="113"/>
  <c r="Y76" i="113"/>
  <c r="X77" i="113"/>
  <c r="Y77" i="113"/>
  <c r="X78" i="113"/>
  <c r="Y78" i="113"/>
  <c r="C30" i="3"/>
  <c r="B31" i="48" s="1"/>
  <c r="B30" i="3"/>
  <c r="C29" i="3"/>
  <c r="B30" i="48" s="1"/>
  <c r="B29" i="3"/>
  <c r="Y71" i="1"/>
  <c r="Y71" i="113" s="1"/>
  <c r="Y64" i="1"/>
  <c r="Y72" i="1" s="1"/>
  <c r="Y44" i="1"/>
  <c r="Y44" i="113" s="1"/>
  <c r="Y34" i="1"/>
  <c r="Y28" i="1"/>
  <c r="Y28" i="113"/>
  <c r="Y17" i="1"/>
  <c r="Y17" i="113" s="1"/>
  <c r="X71" i="1"/>
  <c r="X71" i="113" s="1"/>
  <c r="X64" i="1"/>
  <c r="X64" i="113" s="1"/>
  <c r="X44" i="1"/>
  <c r="X44" i="113" s="1"/>
  <c r="X34" i="1"/>
  <c r="X34" i="113" s="1"/>
  <c r="X28" i="1"/>
  <c r="X28" i="113" s="1"/>
  <c r="X17" i="1"/>
  <c r="X19" i="1" s="1"/>
  <c r="X19" i="113" s="1"/>
  <c r="V36" i="113"/>
  <c r="V41" i="113"/>
  <c r="V33" i="1"/>
  <c r="V34" i="1" s="1"/>
  <c r="F479" i="111"/>
  <c r="F443" i="111"/>
  <c r="F435" i="111"/>
  <c r="F406" i="111"/>
  <c r="F395" i="111"/>
  <c r="L17" i="1"/>
  <c r="L17" i="113" s="1"/>
  <c r="L19" i="1"/>
  <c r="L19" i="113" s="1"/>
  <c r="L28" i="1"/>
  <c r="L28" i="113" s="1"/>
  <c r="L34" i="1"/>
  <c r="L34" i="113" s="1"/>
  <c r="L44" i="1"/>
  <c r="L44" i="113" s="1"/>
  <c r="L64" i="1"/>
  <c r="L71" i="1"/>
  <c r="L71" i="113" s="1"/>
  <c r="J28" i="1"/>
  <c r="J17" i="1"/>
  <c r="J19" i="1" s="1"/>
  <c r="T33" i="1"/>
  <c r="T33" i="113" s="1"/>
  <c r="C26" i="3"/>
  <c r="B27" i="48" s="1"/>
  <c r="B26" i="3"/>
  <c r="W7" i="113"/>
  <c r="Z7" i="113"/>
  <c r="AA7" i="113"/>
  <c r="W8" i="113"/>
  <c r="Z8" i="113"/>
  <c r="AA8" i="113"/>
  <c r="W9" i="113"/>
  <c r="Z9" i="113"/>
  <c r="AA9" i="113"/>
  <c r="W11" i="113"/>
  <c r="Z11" i="113"/>
  <c r="AA11" i="113"/>
  <c r="W14" i="113"/>
  <c r="Z14" i="113"/>
  <c r="AA14" i="113"/>
  <c r="W15" i="113"/>
  <c r="Z15" i="113"/>
  <c r="AA15" i="113"/>
  <c r="W16" i="113"/>
  <c r="Z16" i="113"/>
  <c r="AA16" i="113"/>
  <c r="W18" i="113"/>
  <c r="Z18" i="113"/>
  <c r="W23" i="113"/>
  <c r="Z23" i="113"/>
  <c r="W24" i="113"/>
  <c r="Z24" i="113"/>
  <c r="AA24" i="113"/>
  <c r="W25" i="113"/>
  <c r="Z25" i="113"/>
  <c r="AA25" i="113"/>
  <c r="W26" i="113"/>
  <c r="Z26" i="113"/>
  <c r="AA26" i="113"/>
  <c r="W27" i="113"/>
  <c r="Z27" i="113"/>
  <c r="AA27" i="113"/>
  <c r="W31" i="113"/>
  <c r="Z31" i="113"/>
  <c r="AA31" i="113"/>
  <c r="W32" i="113"/>
  <c r="Z32" i="113"/>
  <c r="AA32" i="113"/>
  <c r="W33" i="113"/>
  <c r="Z33" i="113"/>
  <c r="AA33" i="113"/>
  <c r="W36" i="113"/>
  <c r="Z36" i="113"/>
  <c r="AA36" i="113"/>
  <c r="W37" i="113"/>
  <c r="Z37" i="113"/>
  <c r="AA37" i="113"/>
  <c r="W38" i="113"/>
  <c r="Z38" i="113"/>
  <c r="AA38" i="113"/>
  <c r="W41" i="113"/>
  <c r="Z41" i="113"/>
  <c r="AA41" i="113"/>
  <c r="W42" i="113"/>
  <c r="Z42" i="113"/>
  <c r="AA42" i="113"/>
  <c r="W43" i="113"/>
  <c r="Z43" i="113"/>
  <c r="AA43" i="113"/>
  <c r="W49" i="113"/>
  <c r="Z49" i="113"/>
  <c r="AA49" i="113"/>
  <c r="Z51" i="113"/>
  <c r="W52" i="113"/>
  <c r="Z52" i="113"/>
  <c r="AA52" i="113"/>
  <c r="W53" i="113"/>
  <c r="Z53" i="113"/>
  <c r="AA53" i="113"/>
  <c r="W59" i="113"/>
  <c r="Z59" i="113"/>
  <c r="AA59" i="113"/>
  <c r="W60" i="113"/>
  <c r="Z60" i="113"/>
  <c r="AA60" i="113"/>
  <c r="W61" i="113"/>
  <c r="Z61" i="113"/>
  <c r="AA61" i="113"/>
  <c r="W62" i="113"/>
  <c r="Z62" i="113"/>
  <c r="AA62" i="113"/>
  <c r="W63" i="113"/>
  <c r="Z63" i="113"/>
  <c r="AA63" i="113"/>
  <c r="W66" i="113"/>
  <c r="Z66" i="113"/>
  <c r="AA66" i="113"/>
  <c r="W67" i="113"/>
  <c r="Z67" i="113"/>
  <c r="AA67" i="113"/>
  <c r="W68" i="113"/>
  <c r="Z68" i="113"/>
  <c r="AA68" i="113"/>
  <c r="W69" i="113"/>
  <c r="Z69" i="113"/>
  <c r="AA69" i="113"/>
  <c r="W70" i="113"/>
  <c r="Z70" i="113"/>
  <c r="AA70" i="113"/>
  <c r="W74" i="113"/>
  <c r="Z74" i="113"/>
  <c r="AA74" i="113"/>
  <c r="W76" i="113"/>
  <c r="Z76" i="113"/>
  <c r="AA76" i="113"/>
  <c r="W77" i="113"/>
  <c r="Z77" i="113"/>
  <c r="AA77" i="113"/>
  <c r="W78" i="113"/>
  <c r="Z78" i="113"/>
  <c r="AA78" i="113"/>
  <c r="U78" i="113"/>
  <c r="U77" i="113"/>
  <c r="U76" i="113"/>
  <c r="U74" i="113"/>
  <c r="U70" i="113"/>
  <c r="U69" i="113"/>
  <c r="U68" i="113"/>
  <c r="U67" i="113"/>
  <c r="U66" i="113"/>
  <c r="U63" i="113"/>
  <c r="U62" i="113"/>
  <c r="U61" i="113"/>
  <c r="U60" i="113"/>
  <c r="U59" i="113"/>
  <c r="U53" i="113"/>
  <c r="U52" i="113"/>
  <c r="U49" i="113"/>
  <c r="U43" i="113"/>
  <c r="U42" i="113"/>
  <c r="U41" i="113"/>
  <c r="U38" i="113"/>
  <c r="U37" i="113"/>
  <c r="U36" i="113"/>
  <c r="U33" i="113"/>
  <c r="U32" i="113"/>
  <c r="U31" i="113"/>
  <c r="U27" i="113"/>
  <c r="U26" i="113"/>
  <c r="U25" i="113"/>
  <c r="U24" i="113"/>
  <c r="U23" i="113"/>
  <c r="U18" i="113"/>
  <c r="U16" i="113"/>
  <c r="U15" i="113"/>
  <c r="U14" i="113"/>
  <c r="U11" i="113"/>
  <c r="U9" i="113"/>
  <c r="U8" i="113"/>
  <c r="U7" i="113"/>
  <c r="T78" i="113"/>
  <c r="T77" i="113"/>
  <c r="T76" i="113"/>
  <c r="T74" i="113"/>
  <c r="T70" i="113"/>
  <c r="T69" i="113"/>
  <c r="T68" i="113"/>
  <c r="T67" i="113"/>
  <c r="T66" i="113"/>
  <c r="T63" i="113"/>
  <c r="T62" i="113"/>
  <c r="T61" i="113"/>
  <c r="T60" i="113"/>
  <c r="T59" i="113"/>
  <c r="T53" i="113"/>
  <c r="T52" i="113"/>
  <c r="T49" i="113"/>
  <c r="T43" i="113"/>
  <c r="T42" i="113"/>
  <c r="T38" i="113"/>
  <c r="T37" i="113"/>
  <c r="T32" i="113"/>
  <c r="T31" i="113"/>
  <c r="T27" i="113"/>
  <c r="T26" i="113"/>
  <c r="T25" i="113"/>
  <c r="T24" i="113"/>
  <c r="T23" i="113"/>
  <c r="T18" i="113"/>
  <c r="T16" i="113"/>
  <c r="T15" i="113"/>
  <c r="T14" i="113"/>
  <c r="T11" i="113"/>
  <c r="T9" i="113"/>
  <c r="T8" i="113"/>
  <c r="T7" i="113"/>
  <c r="F7" i="113"/>
  <c r="G7" i="113"/>
  <c r="I7" i="113"/>
  <c r="J7" i="113"/>
  <c r="K7" i="113"/>
  <c r="L7" i="113"/>
  <c r="M7" i="113"/>
  <c r="N7" i="113"/>
  <c r="O7" i="113"/>
  <c r="P7" i="113"/>
  <c r="Q7" i="113"/>
  <c r="R7" i="113"/>
  <c r="S7" i="113"/>
  <c r="V7" i="113"/>
  <c r="F8" i="113"/>
  <c r="G8" i="113"/>
  <c r="I8" i="113"/>
  <c r="J8" i="113"/>
  <c r="K8" i="113"/>
  <c r="L8" i="113"/>
  <c r="M8" i="113"/>
  <c r="N8" i="113"/>
  <c r="O8" i="113"/>
  <c r="P8" i="113"/>
  <c r="Q8" i="113"/>
  <c r="R8" i="113"/>
  <c r="S8" i="113"/>
  <c r="V8" i="113"/>
  <c r="F9" i="113"/>
  <c r="G9" i="113"/>
  <c r="I9" i="113"/>
  <c r="J9" i="113"/>
  <c r="K9" i="113"/>
  <c r="L9" i="113"/>
  <c r="M9" i="113"/>
  <c r="N9" i="113"/>
  <c r="O9" i="113"/>
  <c r="P9" i="113"/>
  <c r="Q9" i="113"/>
  <c r="R9" i="113"/>
  <c r="V9" i="113"/>
  <c r="J10" i="113"/>
  <c r="F11" i="113"/>
  <c r="G11" i="113"/>
  <c r="I11" i="113"/>
  <c r="J11" i="113"/>
  <c r="K11" i="113"/>
  <c r="L11" i="113"/>
  <c r="M11" i="113"/>
  <c r="N11" i="113"/>
  <c r="O11" i="113"/>
  <c r="P11" i="113"/>
  <c r="Q11" i="113"/>
  <c r="R11" i="113"/>
  <c r="S11" i="113"/>
  <c r="V11" i="113"/>
  <c r="F14" i="113"/>
  <c r="G14" i="113"/>
  <c r="I14" i="113"/>
  <c r="J14" i="113"/>
  <c r="K14" i="113"/>
  <c r="L14" i="113"/>
  <c r="M14" i="113"/>
  <c r="N14" i="113"/>
  <c r="O14" i="113"/>
  <c r="P14" i="113"/>
  <c r="Q14" i="113"/>
  <c r="R14" i="113"/>
  <c r="S14" i="113"/>
  <c r="V14" i="113"/>
  <c r="F15" i="113"/>
  <c r="G15" i="113"/>
  <c r="I15" i="113"/>
  <c r="J15" i="113"/>
  <c r="K15" i="113"/>
  <c r="L15" i="113"/>
  <c r="M15" i="113"/>
  <c r="N15" i="113"/>
  <c r="O15" i="113"/>
  <c r="P15" i="113"/>
  <c r="Q15" i="113"/>
  <c r="R15" i="113"/>
  <c r="S15" i="113"/>
  <c r="V15" i="113"/>
  <c r="F16" i="113"/>
  <c r="G16" i="113"/>
  <c r="I16" i="113"/>
  <c r="J16" i="113"/>
  <c r="K16" i="113"/>
  <c r="L16" i="113"/>
  <c r="M16" i="113"/>
  <c r="N16" i="113"/>
  <c r="O16" i="113"/>
  <c r="P16" i="113"/>
  <c r="Q16" i="113"/>
  <c r="R16" i="113"/>
  <c r="S16" i="113"/>
  <c r="V16" i="113"/>
  <c r="F18" i="113"/>
  <c r="G18" i="113"/>
  <c r="I18" i="113"/>
  <c r="J18" i="113"/>
  <c r="K18" i="113"/>
  <c r="L18" i="113"/>
  <c r="M18" i="113"/>
  <c r="N18" i="113"/>
  <c r="O18" i="113"/>
  <c r="P18" i="113"/>
  <c r="Q18" i="113"/>
  <c r="R18" i="113"/>
  <c r="S18" i="113"/>
  <c r="V18" i="113"/>
  <c r="F23" i="113"/>
  <c r="G23" i="113"/>
  <c r="I23" i="113"/>
  <c r="J23" i="113"/>
  <c r="K23" i="113"/>
  <c r="L23" i="113"/>
  <c r="M23" i="113"/>
  <c r="N23" i="113"/>
  <c r="O23" i="113"/>
  <c r="P23" i="113"/>
  <c r="Q23" i="113"/>
  <c r="R23" i="113"/>
  <c r="S23" i="113"/>
  <c r="V23" i="113"/>
  <c r="F24" i="113"/>
  <c r="G24" i="113"/>
  <c r="I24" i="113"/>
  <c r="J24" i="113"/>
  <c r="K24" i="113"/>
  <c r="L24" i="113"/>
  <c r="M24" i="113"/>
  <c r="N24" i="113"/>
  <c r="O24" i="113"/>
  <c r="P24" i="113"/>
  <c r="Q24" i="113"/>
  <c r="R24" i="113"/>
  <c r="S24" i="113"/>
  <c r="V24" i="113"/>
  <c r="F25" i="113"/>
  <c r="G25" i="113"/>
  <c r="I25" i="113"/>
  <c r="J25" i="113"/>
  <c r="K25" i="113"/>
  <c r="L25" i="113"/>
  <c r="M25" i="113"/>
  <c r="N25" i="113"/>
  <c r="O25" i="113"/>
  <c r="P25" i="113"/>
  <c r="Q25" i="113"/>
  <c r="R25" i="113"/>
  <c r="S25" i="113"/>
  <c r="V25" i="113"/>
  <c r="F26" i="113"/>
  <c r="G26" i="113"/>
  <c r="I26" i="113"/>
  <c r="J26" i="113"/>
  <c r="K26" i="113"/>
  <c r="L26" i="113"/>
  <c r="M26" i="113"/>
  <c r="N26" i="113"/>
  <c r="O26" i="113"/>
  <c r="P26" i="113"/>
  <c r="Q26" i="113"/>
  <c r="R26" i="113"/>
  <c r="S26" i="113"/>
  <c r="V26" i="113"/>
  <c r="F27" i="113"/>
  <c r="G27" i="113"/>
  <c r="I27" i="113"/>
  <c r="J27" i="113"/>
  <c r="K27" i="113"/>
  <c r="L27" i="113"/>
  <c r="M27" i="113"/>
  <c r="N27" i="113"/>
  <c r="O27" i="113"/>
  <c r="P27" i="113"/>
  <c r="Q27" i="113"/>
  <c r="R27" i="113"/>
  <c r="S27" i="113"/>
  <c r="V27" i="113"/>
  <c r="F31" i="113"/>
  <c r="G31" i="113"/>
  <c r="I31" i="113"/>
  <c r="J31" i="113"/>
  <c r="K31" i="113"/>
  <c r="L31" i="113"/>
  <c r="M31" i="113"/>
  <c r="N31" i="113"/>
  <c r="O31" i="113"/>
  <c r="P31" i="113"/>
  <c r="Q31" i="113"/>
  <c r="R31" i="113"/>
  <c r="S31" i="113"/>
  <c r="V31" i="113"/>
  <c r="F32" i="113"/>
  <c r="G32" i="113"/>
  <c r="I32" i="113"/>
  <c r="J32" i="113"/>
  <c r="K32" i="113"/>
  <c r="L32" i="113"/>
  <c r="M32" i="113"/>
  <c r="N32" i="113"/>
  <c r="O32" i="113"/>
  <c r="P32" i="113"/>
  <c r="Q32" i="113"/>
  <c r="R32" i="113"/>
  <c r="S32" i="113"/>
  <c r="V32" i="113"/>
  <c r="F33" i="113"/>
  <c r="G33" i="113"/>
  <c r="I33" i="113"/>
  <c r="J33" i="113"/>
  <c r="K33" i="113"/>
  <c r="L33" i="113"/>
  <c r="M33" i="113"/>
  <c r="N33" i="113"/>
  <c r="O33" i="113"/>
  <c r="P33" i="113"/>
  <c r="Q33" i="113"/>
  <c r="R33" i="113"/>
  <c r="F36" i="113"/>
  <c r="G36" i="113"/>
  <c r="I36" i="113"/>
  <c r="J36" i="113"/>
  <c r="K36" i="113"/>
  <c r="M36" i="113"/>
  <c r="N36" i="113"/>
  <c r="O36" i="113"/>
  <c r="P36" i="113"/>
  <c r="Q36" i="113"/>
  <c r="R36" i="113"/>
  <c r="F37" i="113"/>
  <c r="G37" i="113"/>
  <c r="I37" i="113"/>
  <c r="J37" i="113"/>
  <c r="K37" i="113"/>
  <c r="L37" i="113"/>
  <c r="M37" i="113"/>
  <c r="N37" i="113"/>
  <c r="O37" i="113"/>
  <c r="P37" i="113"/>
  <c r="Q37" i="113"/>
  <c r="R37" i="113"/>
  <c r="S37" i="113"/>
  <c r="V37" i="113"/>
  <c r="F38" i="113"/>
  <c r="G38" i="113"/>
  <c r="I38" i="113"/>
  <c r="J38" i="113"/>
  <c r="K38" i="113"/>
  <c r="L38" i="113"/>
  <c r="M38" i="113"/>
  <c r="N38" i="113"/>
  <c r="O38" i="113"/>
  <c r="P38" i="113"/>
  <c r="Q38" i="113"/>
  <c r="R38" i="113"/>
  <c r="S38" i="113"/>
  <c r="V38" i="113"/>
  <c r="F41" i="113"/>
  <c r="G41" i="113"/>
  <c r="I41" i="113"/>
  <c r="J41" i="113"/>
  <c r="K41" i="113"/>
  <c r="L41" i="113"/>
  <c r="M41" i="113"/>
  <c r="N41" i="113"/>
  <c r="O41" i="113"/>
  <c r="P41" i="113"/>
  <c r="Q41" i="113"/>
  <c r="R41" i="113"/>
  <c r="F42" i="113"/>
  <c r="G42" i="113"/>
  <c r="I42" i="113"/>
  <c r="J42" i="113"/>
  <c r="K42" i="113"/>
  <c r="L42" i="113"/>
  <c r="M42" i="113"/>
  <c r="N42" i="113"/>
  <c r="O42" i="113"/>
  <c r="P42" i="113"/>
  <c r="Q42" i="113"/>
  <c r="R42" i="113"/>
  <c r="S42" i="113"/>
  <c r="V42" i="113"/>
  <c r="F43" i="113"/>
  <c r="G43" i="113"/>
  <c r="I43" i="113"/>
  <c r="J43" i="113"/>
  <c r="K43" i="113"/>
  <c r="L43" i="113"/>
  <c r="M43" i="113"/>
  <c r="N43" i="113"/>
  <c r="O43" i="113"/>
  <c r="P43" i="113"/>
  <c r="Q43" i="113"/>
  <c r="R43" i="113"/>
  <c r="S43" i="113"/>
  <c r="V43" i="113"/>
  <c r="F49" i="113"/>
  <c r="G49" i="113"/>
  <c r="I49" i="113"/>
  <c r="J49" i="113"/>
  <c r="K49" i="113"/>
  <c r="L49" i="113"/>
  <c r="M49" i="113"/>
  <c r="N49" i="113"/>
  <c r="O49" i="113"/>
  <c r="P49" i="113"/>
  <c r="Q49" i="113"/>
  <c r="R49" i="113"/>
  <c r="S49" i="113"/>
  <c r="V49" i="113"/>
  <c r="O50" i="113"/>
  <c r="V50" i="113"/>
  <c r="O51" i="113"/>
  <c r="F52" i="113"/>
  <c r="G52" i="113"/>
  <c r="I52" i="113"/>
  <c r="J52" i="113"/>
  <c r="K52" i="113"/>
  <c r="L52" i="113"/>
  <c r="M52" i="113"/>
  <c r="N52" i="113"/>
  <c r="O52" i="113"/>
  <c r="P52" i="113"/>
  <c r="Q52" i="113"/>
  <c r="R52" i="113"/>
  <c r="S52" i="113"/>
  <c r="V52" i="113"/>
  <c r="F53" i="113"/>
  <c r="G53" i="113"/>
  <c r="I53" i="113"/>
  <c r="J53" i="113"/>
  <c r="K53" i="113"/>
  <c r="L53" i="113"/>
  <c r="M53" i="113"/>
  <c r="N53" i="113"/>
  <c r="O53" i="113"/>
  <c r="P53" i="113"/>
  <c r="Q53" i="113"/>
  <c r="R53" i="113"/>
  <c r="S53" i="113"/>
  <c r="V53" i="113"/>
  <c r="F59" i="113"/>
  <c r="G59" i="113"/>
  <c r="I59" i="113"/>
  <c r="J59" i="113"/>
  <c r="K59" i="113"/>
  <c r="L59" i="113"/>
  <c r="M59" i="113"/>
  <c r="N59" i="113"/>
  <c r="O59" i="113"/>
  <c r="P59" i="113"/>
  <c r="Q59" i="113"/>
  <c r="R59" i="113"/>
  <c r="S59" i="113"/>
  <c r="V59" i="113"/>
  <c r="F60" i="113"/>
  <c r="G60" i="113"/>
  <c r="I60" i="113"/>
  <c r="J60" i="113"/>
  <c r="K60" i="113"/>
  <c r="L60" i="113"/>
  <c r="M60" i="113"/>
  <c r="N60" i="113"/>
  <c r="O60" i="113"/>
  <c r="P60" i="113"/>
  <c r="Q60" i="113"/>
  <c r="R60" i="113"/>
  <c r="S60" i="113"/>
  <c r="V60" i="113"/>
  <c r="F61" i="113"/>
  <c r="G61" i="113"/>
  <c r="I61" i="113"/>
  <c r="J61" i="113"/>
  <c r="K61" i="113"/>
  <c r="L61" i="113"/>
  <c r="M61" i="113"/>
  <c r="N61" i="113"/>
  <c r="O61" i="113"/>
  <c r="P61" i="113"/>
  <c r="Q61" i="113"/>
  <c r="R61" i="113"/>
  <c r="S61" i="113"/>
  <c r="V61" i="113"/>
  <c r="F62" i="113"/>
  <c r="G62" i="113"/>
  <c r="I62" i="113"/>
  <c r="J62" i="113"/>
  <c r="K62" i="113"/>
  <c r="L62" i="113"/>
  <c r="M62" i="113"/>
  <c r="N62" i="113"/>
  <c r="O62" i="113"/>
  <c r="P62" i="113"/>
  <c r="Q62" i="113"/>
  <c r="R62" i="113"/>
  <c r="S62" i="113"/>
  <c r="V62" i="113"/>
  <c r="F63" i="113"/>
  <c r="G63" i="113"/>
  <c r="I63" i="113"/>
  <c r="J63" i="113"/>
  <c r="K63" i="113"/>
  <c r="L63" i="113"/>
  <c r="M63" i="113"/>
  <c r="N63" i="113"/>
  <c r="O63" i="113"/>
  <c r="P63" i="113"/>
  <c r="Q63" i="113"/>
  <c r="R63" i="113"/>
  <c r="S63" i="113"/>
  <c r="V63" i="113"/>
  <c r="F66" i="113"/>
  <c r="G66" i="113"/>
  <c r="I66" i="113"/>
  <c r="J66" i="113"/>
  <c r="K66" i="113"/>
  <c r="L66" i="113"/>
  <c r="M66" i="113"/>
  <c r="N66" i="113"/>
  <c r="O66" i="113"/>
  <c r="P66" i="113"/>
  <c r="Q66" i="113"/>
  <c r="R66" i="113"/>
  <c r="S66" i="113"/>
  <c r="V66" i="113"/>
  <c r="F67" i="113"/>
  <c r="G67" i="113"/>
  <c r="I67" i="113"/>
  <c r="J67" i="113"/>
  <c r="K67" i="113"/>
  <c r="L67" i="113"/>
  <c r="M67" i="113"/>
  <c r="N67" i="113"/>
  <c r="O67" i="113"/>
  <c r="P67" i="113"/>
  <c r="Q67" i="113"/>
  <c r="R67" i="113"/>
  <c r="S67" i="113"/>
  <c r="V67" i="113"/>
  <c r="F68" i="113"/>
  <c r="G68" i="113"/>
  <c r="I68" i="113"/>
  <c r="J68" i="113"/>
  <c r="K68" i="113"/>
  <c r="L68" i="113"/>
  <c r="M68" i="113"/>
  <c r="N68" i="113"/>
  <c r="O68" i="113"/>
  <c r="P68" i="113"/>
  <c r="Q68" i="113"/>
  <c r="R68" i="113"/>
  <c r="S68" i="113"/>
  <c r="V68" i="113"/>
  <c r="F69" i="113"/>
  <c r="G69" i="113"/>
  <c r="I69" i="113"/>
  <c r="J69" i="113"/>
  <c r="K69" i="113"/>
  <c r="L69" i="113"/>
  <c r="M69" i="113"/>
  <c r="N69" i="113"/>
  <c r="O69" i="113"/>
  <c r="P69" i="113"/>
  <c r="Q69" i="113"/>
  <c r="R69" i="113"/>
  <c r="S69" i="113"/>
  <c r="V69" i="113"/>
  <c r="F70" i="113"/>
  <c r="G70" i="113"/>
  <c r="I70" i="113"/>
  <c r="J70" i="113"/>
  <c r="K70" i="113"/>
  <c r="L70" i="113"/>
  <c r="M70" i="113"/>
  <c r="N70" i="113"/>
  <c r="O70" i="113"/>
  <c r="P70" i="113"/>
  <c r="Q70" i="113"/>
  <c r="R70" i="113"/>
  <c r="S70" i="113"/>
  <c r="V70" i="113"/>
  <c r="F74" i="113"/>
  <c r="G74" i="113"/>
  <c r="I74" i="113"/>
  <c r="J74" i="113"/>
  <c r="K74" i="113"/>
  <c r="L74" i="113"/>
  <c r="M74" i="113"/>
  <c r="N74" i="113"/>
  <c r="O74" i="113"/>
  <c r="P74" i="113"/>
  <c r="Q74" i="113"/>
  <c r="R74" i="113"/>
  <c r="S74" i="113"/>
  <c r="V74" i="113"/>
  <c r="F76" i="113"/>
  <c r="G76" i="113"/>
  <c r="I76" i="113"/>
  <c r="J76" i="113"/>
  <c r="K76" i="113"/>
  <c r="L76" i="113"/>
  <c r="M76" i="113"/>
  <c r="N76" i="113"/>
  <c r="O76" i="113"/>
  <c r="P76" i="113"/>
  <c r="Q76" i="113"/>
  <c r="R76" i="113"/>
  <c r="S76" i="113"/>
  <c r="V76" i="113"/>
  <c r="F77" i="113"/>
  <c r="G77" i="113"/>
  <c r="I77" i="113"/>
  <c r="J77" i="113"/>
  <c r="K77" i="113"/>
  <c r="L77" i="113"/>
  <c r="M77" i="113"/>
  <c r="N77" i="113"/>
  <c r="O77" i="113"/>
  <c r="P77" i="113"/>
  <c r="Q77" i="113"/>
  <c r="R77" i="113"/>
  <c r="S77" i="113"/>
  <c r="V77" i="113"/>
  <c r="F78" i="113"/>
  <c r="G78" i="113"/>
  <c r="I78" i="113"/>
  <c r="J78" i="113"/>
  <c r="K78" i="113"/>
  <c r="L78" i="113"/>
  <c r="M78" i="113"/>
  <c r="N78" i="113"/>
  <c r="O78" i="113"/>
  <c r="P78" i="113"/>
  <c r="Q78" i="113"/>
  <c r="R78" i="113"/>
  <c r="S78" i="113"/>
  <c r="V78" i="113"/>
  <c r="U71" i="1"/>
  <c r="U72" i="1" s="1"/>
  <c r="U71" i="113"/>
  <c r="U64" i="1"/>
  <c r="U64" i="113" s="1"/>
  <c r="U44" i="113"/>
  <c r="U34" i="113"/>
  <c r="U28" i="1"/>
  <c r="U28" i="113" s="1"/>
  <c r="U17" i="1"/>
  <c r="U19" i="1" s="1"/>
  <c r="U19" i="113" s="1"/>
  <c r="U17" i="113"/>
  <c r="AA23" i="113"/>
  <c r="AA18" i="113"/>
  <c r="K12" i="51"/>
  <c r="C25" i="3"/>
  <c r="B26" i="48" s="1"/>
  <c r="B25" i="3"/>
  <c r="T17" i="1"/>
  <c r="T17" i="113" s="1"/>
  <c r="T28" i="1"/>
  <c r="T28" i="113" s="1"/>
  <c r="T64" i="1"/>
  <c r="T64" i="113" s="1"/>
  <c r="T71" i="1"/>
  <c r="J28" i="113"/>
  <c r="J34" i="1"/>
  <c r="J34" i="113" s="1"/>
  <c r="J17" i="113"/>
  <c r="C20" i="3"/>
  <c r="B21" i="48" s="1"/>
  <c r="G77" i="111"/>
  <c r="G76" i="111"/>
  <c r="K10" i="1"/>
  <c r="C16" i="3"/>
  <c r="B17" i="48" s="1"/>
  <c r="B16" i="3"/>
  <c r="K71" i="1"/>
  <c r="K71" i="113" s="1"/>
  <c r="K64" i="1"/>
  <c r="K64" i="113" s="1"/>
  <c r="K44" i="1"/>
  <c r="K44" i="113" s="1"/>
  <c r="K34" i="1"/>
  <c r="K34" i="113" s="1"/>
  <c r="K28" i="1"/>
  <c r="K28" i="113" s="1"/>
  <c r="K17" i="1"/>
  <c r="E35" i="51"/>
  <c r="E36" i="51" s="1"/>
  <c r="L10" i="1"/>
  <c r="K72" i="1"/>
  <c r="E11" i="113"/>
  <c r="C10" i="3"/>
  <c r="B11" i="48" s="1"/>
  <c r="B10" i="3"/>
  <c r="A10" i="3"/>
  <c r="A79" i="113"/>
  <c r="A77" i="113"/>
  <c r="A76" i="113"/>
  <c r="A75" i="113"/>
  <c r="A74" i="113"/>
  <c r="A72" i="113"/>
  <c r="A71" i="113"/>
  <c r="A70" i="113"/>
  <c r="A69" i="113"/>
  <c r="A68" i="113"/>
  <c r="A67" i="113"/>
  <c r="A66" i="113"/>
  <c r="A64" i="113"/>
  <c r="A63" i="113"/>
  <c r="A62" i="113"/>
  <c r="A61" i="113"/>
  <c r="A60" i="113"/>
  <c r="A59" i="113"/>
  <c r="A55" i="113"/>
  <c r="A53" i="113"/>
  <c r="A52" i="113"/>
  <c r="A51" i="113"/>
  <c r="A50" i="113"/>
  <c r="A47" i="113"/>
  <c r="A45" i="113"/>
  <c r="A44" i="113"/>
  <c r="A43" i="113"/>
  <c r="A42" i="113"/>
  <c r="A41" i="113"/>
  <c r="A38" i="113"/>
  <c r="A37" i="113"/>
  <c r="A36" i="113"/>
  <c r="A34" i="113"/>
  <c r="A33" i="113"/>
  <c r="A32" i="113"/>
  <c r="A31" i="113"/>
  <c r="A28" i="113"/>
  <c r="A27" i="113"/>
  <c r="A26" i="113"/>
  <c r="A25" i="113"/>
  <c r="A24" i="113"/>
  <c r="A23" i="113"/>
  <c r="A19" i="113"/>
  <c r="A18" i="113"/>
  <c r="A17" i="113"/>
  <c r="A16" i="113"/>
  <c r="A15" i="113"/>
  <c r="A14" i="113"/>
  <c r="C24" i="113"/>
  <c r="C25" i="113"/>
  <c r="C26" i="113"/>
  <c r="C27" i="113"/>
  <c r="C31" i="113"/>
  <c r="C32" i="113"/>
  <c r="C33" i="113"/>
  <c r="C41" i="113"/>
  <c r="C42" i="113"/>
  <c r="C43" i="113"/>
  <c r="C59" i="113"/>
  <c r="C60" i="113"/>
  <c r="C61" i="113"/>
  <c r="C62" i="113"/>
  <c r="C63" i="113"/>
  <c r="C66" i="113"/>
  <c r="C67" i="113"/>
  <c r="C68" i="113"/>
  <c r="C69" i="113"/>
  <c r="C70" i="113"/>
  <c r="C75" i="113"/>
  <c r="C23" i="113"/>
  <c r="B14" i="113"/>
  <c r="B15" i="113"/>
  <c r="B16" i="113"/>
  <c r="B17" i="113"/>
  <c r="B18" i="113"/>
  <c r="B19" i="113"/>
  <c r="B21" i="113"/>
  <c r="B22" i="113"/>
  <c r="B28" i="113"/>
  <c r="B30" i="113"/>
  <c r="B34" i="113"/>
  <c r="B36" i="113"/>
  <c r="B37" i="113"/>
  <c r="B38" i="113"/>
  <c r="B40" i="113"/>
  <c r="B44" i="113"/>
  <c r="B45" i="113"/>
  <c r="B47" i="113"/>
  <c r="B49" i="113"/>
  <c r="B50" i="113"/>
  <c r="B51" i="113"/>
  <c r="B52" i="113"/>
  <c r="B53" i="113"/>
  <c r="B55" i="113"/>
  <c r="B57" i="113"/>
  <c r="B58" i="113"/>
  <c r="B64" i="113"/>
  <c r="B65" i="113"/>
  <c r="B71" i="113"/>
  <c r="B72" i="113"/>
  <c r="B74" i="113"/>
  <c r="B76" i="113"/>
  <c r="B77" i="113"/>
  <c r="B79" i="113"/>
  <c r="B13" i="113"/>
  <c r="E49" i="113"/>
  <c r="E78" i="113"/>
  <c r="A9" i="113"/>
  <c r="A8" i="113"/>
  <c r="A4" i="113"/>
  <c r="A5" i="113"/>
  <c r="A6" i="113"/>
  <c r="A3" i="113"/>
  <c r="F10" i="1"/>
  <c r="F17" i="1"/>
  <c r="G17" i="1"/>
  <c r="G19" i="1" s="1"/>
  <c r="G19" i="113" s="1"/>
  <c r="I17" i="1"/>
  <c r="I17" i="113" s="1"/>
  <c r="M17" i="1"/>
  <c r="N17" i="1"/>
  <c r="N17" i="113" s="1"/>
  <c r="O17" i="1"/>
  <c r="V17" i="1"/>
  <c r="V17" i="113" s="1"/>
  <c r="W17" i="1"/>
  <c r="W17" i="113" s="1"/>
  <c r="AB17" i="1"/>
  <c r="AB19" i="1" s="1"/>
  <c r="P17" i="1"/>
  <c r="Q17" i="1"/>
  <c r="R17" i="1"/>
  <c r="S17" i="1"/>
  <c r="S17" i="113" s="1"/>
  <c r="Z17" i="1"/>
  <c r="AA17" i="1"/>
  <c r="F28" i="1"/>
  <c r="F28" i="113"/>
  <c r="G28" i="1"/>
  <c r="G28" i="113" s="1"/>
  <c r="I28" i="1"/>
  <c r="I28" i="113" s="1"/>
  <c r="M28" i="1"/>
  <c r="M28" i="113"/>
  <c r="N28" i="1"/>
  <c r="N28" i="113" s="1"/>
  <c r="O28" i="1"/>
  <c r="O28" i="113"/>
  <c r="V28" i="1"/>
  <c r="V28" i="113" s="1"/>
  <c r="W28" i="1"/>
  <c r="W28" i="113" s="1"/>
  <c r="AB28" i="1"/>
  <c r="P28" i="1"/>
  <c r="P28" i="113" s="1"/>
  <c r="Q28" i="1"/>
  <c r="Q28" i="113" s="1"/>
  <c r="R28" i="1"/>
  <c r="R28" i="113" s="1"/>
  <c r="S28" i="1"/>
  <c r="S28" i="113" s="1"/>
  <c r="Z28" i="1"/>
  <c r="AA28" i="1"/>
  <c r="F34" i="1"/>
  <c r="F34" i="113" s="1"/>
  <c r="G34" i="1"/>
  <c r="G34" i="113"/>
  <c r="I34" i="1"/>
  <c r="I34" i="113" s="1"/>
  <c r="M34" i="1"/>
  <c r="M34" i="113" s="1"/>
  <c r="N34" i="1"/>
  <c r="N34" i="113" s="1"/>
  <c r="O34" i="1"/>
  <c r="O34" i="113" s="1"/>
  <c r="W34" i="1"/>
  <c r="W34" i="113"/>
  <c r="AB34" i="1"/>
  <c r="P34" i="1"/>
  <c r="P34" i="113" s="1"/>
  <c r="Q34" i="1"/>
  <c r="R34" i="1"/>
  <c r="R34" i="113" s="1"/>
  <c r="Z34" i="1"/>
  <c r="Z34" i="113"/>
  <c r="AA34" i="1"/>
  <c r="AA34" i="113" s="1"/>
  <c r="E43" i="1"/>
  <c r="AC43" i="1" s="1"/>
  <c r="AI43" i="1" s="1"/>
  <c r="F44" i="1"/>
  <c r="G44" i="1"/>
  <c r="I44" i="1"/>
  <c r="I44" i="113" s="1"/>
  <c r="J44" i="1"/>
  <c r="M44" i="1"/>
  <c r="M44" i="113" s="1"/>
  <c r="N44" i="1"/>
  <c r="N44" i="113" s="1"/>
  <c r="O44" i="1"/>
  <c r="O44" i="113" s="1"/>
  <c r="V44" i="1"/>
  <c r="V44" i="113" s="1"/>
  <c r="W44" i="1"/>
  <c r="W44" i="113" s="1"/>
  <c r="AB44" i="1"/>
  <c r="AB45" i="1" s="1"/>
  <c r="P44" i="1"/>
  <c r="Q44" i="1"/>
  <c r="Q44" i="113" s="1"/>
  <c r="R44" i="1"/>
  <c r="R44" i="113" s="1"/>
  <c r="Z44" i="1"/>
  <c r="Z44" i="113" s="1"/>
  <c r="AA44" i="1"/>
  <c r="AA44" i="113"/>
  <c r="E51" i="1"/>
  <c r="E51" i="113" s="1"/>
  <c r="F64" i="1"/>
  <c r="G64" i="1"/>
  <c r="I64" i="1"/>
  <c r="J64" i="1"/>
  <c r="M64" i="1"/>
  <c r="M64" i="113" s="1"/>
  <c r="N64" i="1"/>
  <c r="N64" i="113"/>
  <c r="O64" i="1"/>
  <c r="O64" i="113" s="1"/>
  <c r="V64" i="1"/>
  <c r="W64" i="1"/>
  <c r="AB64" i="1"/>
  <c r="P64" i="1"/>
  <c r="P64" i="113" s="1"/>
  <c r="Q64" i="1"/>
  <c r="Q72" i="1" s="1"/>
  <c r="Q72" i="113" s="1"/>
  <c r="R64" i="1"/>
  <c r="R64" i="113" s="1"/>
  <c r="S64" i="1"/>
  <c r="S64" i="113"/>
  <c r="Z64" i="1"/>
  <c r="Z64" i="113" s="1"/>
  <c r="AA64" i="1"/>
  <c r="AA64" i="113"/>
  <c r="F71" i="1"/>
  <c r="F71" i="113" s="1"/>
  <c r="G71" i="1"/>
  <c r="G71" i="113"/>
  <c r="I71" i="1"/>
  <c r="I71" i="113" s="1"/>
  <c r="J71" i="1"/>
  <c r="J71" i="113" s="1"/>
  <c r="M71" i="1"/>
  <c r="M71" i="113" s="1"/>
  <c r="N71" i="1"/>
  <c r="N71" i="113" s="1"/>
  <c r="O71" i="1"/>
  <c r="O71" i="113" s="1"/>
  <c r="V71" i="1"/>
  <c r="V71" i="113" s="1"/>
  <c r="W71" i="1"/>
  <c r="W71" i="113" s="1"/>
  <c r="AB71" i="1"/>
  <c r="P71" i="1"/>
  <c r="P71" i="113" s="1"/>
  <c r="Q71" i="1"/>
  <c r="Q71" i="113"/>
  <c r="R71" i="1"/>
  <c r="R71" i="113" s="1"/>
  <c r="S71" i="1"/>
  <c r="S71" i="113" s="1"/>
  <c r="Z71" i="1"/>
  <c r="Z71" i="113" s="1"/>
  <c r="AA71" i="1"/>
  <c r="AA71" i="113"/>
  <c r="B32" i="3"/>
  <c r="B31" i="3"/>
  <c r="B24" i="3"/>
  <c r="B23" i="3"/>
  <c r="B22" i="3"/>
  <c r="B21" i="3"/>
  <c r="B33" i="3"/>
  <c r="B28" i="3"/>
  <c r="B27" i="3"/>
  <c r="B20" i="3"/>
  <c r="B19" i="3"/>
  <c r="B18" i="3"/>
  <c r="B17" i="3"/>
  <c r="B15" i="3"/>
  <c r="B12" i="3"/>
  <c r="B11" i="3"/>
  <c r="I45" i="1"/>
  <c r="I45" i="113" s="1"/>
  <c r="A11" i="3"/>
  <c r="A12" i="48" s="1"/>
  <c r="I10" i="48"/>
  <c r="G43" i="48"/>
  <c r="A3" i="111"/>
  <c r="F27" i="111"/>
  <c r="E27" i="1"/>
  <c r="AC27" i="1" s="1"/>
  <c r="AI27" i="1" s="1"/>
  <c r="F31" i="111"/>
  <c r="E31" i="1"/>
  <c r="AC31" i="1" s="1"/>
  <c r="AI31" i="1" s="1"/>
  <c r="F33" i="111"/>
  <c r="E33" i="1" s="1"/>
  <c r="E33" i="113" s="1"/>
  <c r="F36" i="111"/>
  <c r="E36" i="1"/>
  <c r="E36" i="113" s="1"/>
  <c r="E37" i="1"/>
  <c r="E37" i="113" s="1"/>
  <c r="F38" i="111"/>
  <c r="E38" i="1" s="1"/>
  <c r="F50" i="111"/>
  <c r="E50" i="1" s="1"/>
  <c r="E50" i="113" s="1"/>
  <c r="F52" i="111"/>
  <c r="E52" i="1" s="1"/>
  <c r="F53" i="111"/>
  <c r="E53" i="1" s="1"/>
  <c r="G14" i="111"/>
  <c r="G15" i="111"/>
  <c r="G16" i="111"/>
  <c r="G18" i="111"/>
  <c r="G23" i="111"/>
  <c r="G24" i="111"/>
  <c r="G25" i="111"/>
  <c r="G26" i="111"/>
  <c r="G27" i="111"/>
  <c r="G31" i="111"/>
  <c r="G32" i="111"/>
  <c r="G33" i="111"/>
  <c r="G36" i="111"/>
  <c r="G37" i="111"/>
  <c r="G38" i="111"/>
  <c r="G41" i="111"/>
  <c r="G42" i="111"/>
  <c r="G50" i="111"/>
  <c r="G52" i="111"/>
  <c r="G53" i="111"/>
  <c r="G59" i="111"/>
  <c r="G60" i="111"/>
  <c r="G61" i="111"/>
  <c r="G62" i="111"/>
  <c r="G63" i="111"/>
  <c r="G66" i="111"/>
  <c r="G67" i="111"/>
  <c r="G68" i="111"/>
  <c r="G69" i="111"/>
  <c r="G70" i="111"/>
  <c r="G74" i="111"/>
  <c r="G44" i="111"/>
  <c r="G17" i="111"/>
  <c r="G19" i="111"/>
  <c r="G28" i="111"/>
  <c r="G71" i="111"/>
  <c r="G34" i="111"/>
  <c r="G64" i="111"/>
  <c r="A1" i="3"/>
  <c r="A4" i="51"/>
  <c r="A4" i="3"/>
  <c r="A4" i="48" s="1"/>
  <c r="A74" i="48" s="1"/>
  <c r="G72" i="111"/>
  <c r="G75" i="111"/>
  <c r="G79" i="111"/>
  <c r="G45" i="111"/>
  <c r="G47" i="111"/>
  <c r="G55" i="111"/>
  <c r="J14" i="111"/>
  <c r="I14" i="111"/>
  <c r="J15" i="111"/>
  <c r="I15" i="111"/>
  <c r="J16" i="111"/>
  <c r="I16" i="111"/>
  <c r="J18" i="111"/>
  <c r="I18" i="111"/>
  <c r="J23" i="111"/>
  <c r="I23" i="111"/>
  <c r="J24" i="111"/>
  <c r="I24" i="111"/>
  <c r="E27" i="111"/>
  <c r="H27" i="111"/>
  <c r="J31" i="111"/>
  <c r="I31" i="111"/>
  <c r="J32" i="111"/>
  <c r="I32" i="111"/>
  <c r="J36" i="111"/>
  <c r="I36" i="111"/>
  <c r="J37" i="111"/>
  <c r="I37" i="111"/>
  <c r="J38" i="111"/>
  <c r="I38" i="111"/>
  <c r="J41" i="111"/>
  <c r="I41" i="111"/>
  <c r="J42" i="111"/>
  <c r="I42" i="111"/>
  <c r="J43" i="111"/>
  <c r="I43" i="111"/>
  <c r="J52" i="111"/>
  <c r="I52" i="111"/>
  <c r="J53" i="111"/>
  <c r="I53" i="111"/>
  <c r="J59" i="111"/>
  <c r="I59" i="111"/>
  <c r="J61" i="111"/>
  <c r="I61" i="111"/>
  <c r="J62" i="111"/>
  <c r="I62" i="111"/>
  <c r="J63" i="111"/>
  <c r="I63" i="111"/>
  <c r="H65" i="111"/>
  <c r="J65" i="111"/>
  <c r="I65" i="111"/>
  <c r="J74" i="111"/>
  <c r="I74" i="111"/>
  <c r="J25" i="111"/>
  <c r="J27" i="111"/>
  <c r="I27" i="111"/>
  <c r="J33" i="111"/>
  <c r="J60" i="111"/>
  <c r="E36" i="111"/>
  <c r="H36" i="111"/>
  <c r="E37" i="111"/>
  <c r="H37" i="111"/>
  <c r="E43" i="111"/>
  <c r="H43" i="111"/>
  <c r="E33" i="111"/>
  <c r="H33" i="111" s="1"/>
  <c r="E31" i="111"/>
  <c r="H31" i="111" s="1"/>
  <c r="E69" i="111"/>
  <c r="E38" i="111"/>
  <c r="H38" i="111" s="1"/>
  <c r="E74" i="111"/>
  <c r="H74" i="111" s="1"/>
  <c r="J17" i="111"/>
  <c r="J19" i="111"/>
  <c r="J44" i="111"/>
  <c r="I25" i="111"/>
  <c r="I28" i="111"/>
  <c r="J28" i="111"/>
  <c r="I33" i="111"/>
  <c r="I34" i="111"/>
  <c r="J34" i="111"/>
  <c r="I44" i="111"/>
  <c r="I17" i="111"/>
  <c r="I19" i="111"/>
  <c r="E62" i="111"/>
  <c r="H62" i="111" s="1"/>
  <c r="J64" i="111"/>
  <c r="J79" i="111"/>
  <c r="I79" i="111"/>
  <c r="I60" i="111"/>
  <c r="I64" i="111"/>
  <c r="J50" i="111"/>
  <c r="I50" i="111"/>
  <c r="J45" i="111"/>
  <c r="J47" i="111"/>
  <c r="J55" i="111"/>
  <c r="J80" i="111"/>
  <c r="I45" i="111"/>
  <c r="I47" i="111"/>
  <c r="I55" i="111"/>
  <c r="I80" i="111"/>
  <c r="E34" i="51"/>
  <c r="B14" i="48"/>
  <c r="C55" i="48"/>
  <c r="E62" i="48"/>
  <c r="A71" i="48"/>
  <c r="A72" i="48"/>
  <c r="A115" i="48"/>
  <c r="B115" i="48"/>
  <c r="F115" i="48"/>
  <c r="B118" i="48"/>
  <c r="F118" i="48"/>
  <c r="C131" i="48"/>
  <c r="C132" i="48"/>
  <c r="C11" i="3"/>
  <c r="B12" i="48" s="1"/>
  <c r="C12" i="3"/>
  <c r="B13" i="48" s="1"/>
  <c r="A15" i="3"/>
  <c r="A16" i="48" s="1"/>
  <c r="C15" i="3"/>
  <c r="B16" i="48" s="1"/>
  <c r="C17" i="3"/>
  <c r="B18" i="48" s="1"/>
  <c r="C18" i="3"/>
  <c r="B19" i="48" s="1"/>
  <c r="C19" i="3"/>
  <c r="B20" i="48" s="1"/>
  <c r="C27" i="3"/>
  <c r="B28" i="48" s="1"/>
  <c r="C28" i="3"/>
  <c r="B29" i="48" s="1"/>
  <c r="C33" i="3"/>
  <c r="C21" i="3"/>
  <c r="B22" i="48" s="1"/>
  <c r="C22" i="3"/>
  <c r="B23" i="48" s="1"/>
  <c r="C23" i="3"/>
  <c r="B24" i="48" s="1"/>
  <c r="C24" i="3"/>
  <c r="B25" i="48" s="1"/>
  <c r="C31" i="3"/>
  <c r="B32" i="48" s="1"/>
  <c r="A33" i="48"/>
  <c r="C32" i="3"/>
  <c r="B33" i="48" s="1"/>
  <c r="A78" i="48"/>
  <c r="B78" i="48"/>
  <c r="A79" i="48"/>
  <c r="B79" i="48"/>
  <c r="A80" i="48"/>
  <c r="B80" i="48"/>
  <c r="A81" i="48"/>
  <c r="B81" i="48"/>
  <c r="A82" i="48"/>
  <c r="B82" i="48"/>
  <c r="A83" i="48"/>
  <c r="B83" i="48"/>
  <c r="A84" i="48"/>
  <c r="B84" i="48"/>
  <c r="A85" i="48"/>
  <c r="B85" i="48"/>
  <c r="A86" i="48"/>
  <c r="B86" i="48"/>
  <c r="A87" i="48"/>
  <c r="B87" i="48"/>
  <c r="A88" i="48"/>
  <c r="B88" i="48"/>
  <c r="A89" i="48"/>
  <c r="B89" i="48"/>
  <c r="A90" i="48"/>
  <c r="B90" i="48"/>
  <c r="A91" i="48"/>
  <c r="B91" i="48"/>
  <c r="A92" i="48"/>
  <c r="B92" i="48"/>
  <c r="A93" i="48"/>
  <c r="B93" i="48"/>
  <c r="A94" i="48"/>
  <c r="B94" i="48"/>
  <c r="A95" i="48"/>
  <c r="B95" i="48"/>
  <c r="A96" i="48"/>
  <c r="B96" i="48"/>
  <c r="A97" i="48"/>
  <c r="B97" i="48"/>
  <c r="A98" i="48"/>
  <c r="B98" i="48"/>
  <c r="A100" i="48"/>
  <c r="B100" i="48"/>
  <c r="A101" i="48"/>
  <c r="B101" i="48"/>
  <c r="A102" i="48"/>
  <c r="B102" i="48"/>
  <c r="A103" i="48"/>
  <c r="B103" i="48"/>
  <c r="A104" i="48"/>
  <c r="B104" i="48"/>
  <c r="A105" i="48"/>
  <c r="B105" i="48"/>
  <c r="A106" i="48"/>
  <c r="B106" i="48"/>
  <c r="A107" i="48"/>
  <c r="B107" i="48"/>
  <c r="A108" i="48"/>
  <c r="B108" i="48"/>
  <c r="A109" i="48"/>
  <c r="B109" i="48"/>
  <c r="A110" i="48"/>
  <c r="B110" i="48"/>
  <c r="A111" i="48"/>
  <c r="B111" i="48"/>
  <c r="A112" i="48"/>
  <c r="B112" i="48"/>
  <c r="A113" i="48"/>
  <c r="B113" i="48"/>
  <c r="A114" i="48"/>
  <c r="B114" i="48"/>
  <c r="E18" i="52"/>
  <c r="E20" i="52" s="1"/>
  <c r="T12" i="51"/>
  <c r="T14" i="51"/>
  <c r="R16" i="51"/>
  <c r="S16" i="51"/>
  <c r="S20" i="51"/>
  <c r="F114" i="48"/>
  <c r="F113" i="48"/>
  <c r="C69" i="48"/>
  <c r="C147" i="48"/>
  <c r="C61" i="48"/>
  <c r="C139" i="48"/>
  <c r="C65" i="48"/>
  <c r="C143" i="48"/>
  <c r="C64" i="48"/>
  <c r="C142" i="48"/>
  <c r="C60" i="48"/>
  <c r="C138" i="48"/>
  <c r="C68" i="48"/>
  <c r="C146" i="48"/>
  <c r="C59" i="48"/>
  <c r="C137" i="48"/>
  <c r="F96" i="48"/>
  <c r="F110" i="48"/>
  <c r="F112" i="48"/>
  <c r="F102" i="48"/>
  <c r="F86" i="48"/>
  <c r="F94" i="48"/>
  <c r="F108" i="48"/>
  <c r="F106" i="48"/>
  <c r="F109" i="48"/>
  <c r="F81" i="48"/>
  <c r="F90" i="48"/>
  <c r="F88" i="48"/>
  <c r="F92" i="48"/>
  <c r="F103" i="48"/>
  <c r="F111" i="48"/>
  <c r="F91" i="48"/>
  <c r="F107" i="48"/>
  <c r="F82" i="48"/>
  <c r="F85" i="48"/>
  <c r="F89" i="48"/>
  <c r="F87" i="48"/>
  <c r="F93" i="48"/>
  <c r="F104" i="48"/>
  <c r="F84" i="48"/>
  <c r="F97" i="48"/>
  <c r="F105" i="48"/>
  <c r="F98" i="48"/>
  <c r="F78" i="48"/>
  <c r="F116" i="48" s="1"/>
  <c r="F120" i="48" s="1"/>
  <c r="F124" i="48" s="1"/>
  <c r="F127" i="48" s="1"/>
  <c r="F79" i="48"/>
  <c r="F83" i="48"/>
  <c r="F100" i="48"/>
  <c r="F80" i="48"/>
  <c r="F95" i="48"/>
  <c r="F101" i="48"/>
  <c r="T16" i="51"/>
  <c r="V16" i="51"/>
  <c r="C66" i="48"/>
  <c r="D65" i="48"/>
  <c r="C140" i="48"/>
  <c r="D137" i="48"/>
  <c r="C70" i="48"/>
  <c r="D68" i="48"/>
  <c r="D70" i="48"/>
  <c r="A4" i="52"/>
  <c r="D64" i="48"/>
  <c r="D66" i="48"/>
  <c r="C144" i="48"/>
  <c r="D142" i="48"/>
  <c r="C133" i="48"/>
  <c r="E140" i="48"/>
  <c r="C148" i="48"/>
  <c r="D146" i="48"/>
  <c r="C62" i="48"/>
  <c r="D59" i="48"/>
  <c r="U16" i="51"/>
  <c r="D143" i="48"/>
  <c r="D144" i="48"/>
  <c r="A33" i="3"/>
  <c r="D138" i="48"/>
  <c r="E138" i="48"/>
  <c r="E148" i="48"/>
  <c r="E146" i="48"/>
  <c r="D139" i="48"/>
  <c r="E139" i="48"/>
  <c r="D69" i="48"/>
  <c r="D148" i="48"/>
  <c r="E59" i="48"/>
  <c r="E66" i="48"/>
  <c r="D147" i="48"/>
  <c r="D61" i="48"/>
  <c r="E61" i="48"/>
  <c r="D60" i="48"/>
  <c r="E60" i="48"/>
  <c r="E70" i="48"/>
  <c r="E137" i="48"/>
  <c r="E144" i="48"/>
  <c r="D140" i="48"/>
  <c r="E147" i="48"/>
  <c r="E68" i="48"/>
  <c r="E69" i="48"/>
  <c r="E65" i="48"/>
  <c r="E64" i="48"/>
  <c r="D62" i="48"/>
  <c r="E142" i="48"/>
  <c r="E143" i="48"/>
  <c r="M12" i="51"/>
  <c r="R20" i="51"/>
  <c r="K14" i="51"/>
  <c r="F23" i="111"/>
  <c r="E23" i="1" s="1"/>
  <c r="S72" i="1" l="1"/>
  <c r="S72" i="113" s="1"/>
  <c r="U45" i="1"/>
  <c r="U45" i="113" s="1"/>
  <c r="AE50" i="1"/>
  <c r="AE55" i="1"/>
  <c r="AE93" i="1" s="1"/>
  <c r="S19" i="1"/>
  <c r="S19" i="113" s="1"/>
  <c r="AA72" i="1"/>
  <c r="Q64" i="113"/>
  <c r="S75" i="1"/>
  <c r="AA45" i="1"/>
  <c r="AA45" i="113" s="1"/>
  <c r="X17" i="113"/>
  <c r="W19" i="1"/>
  <c r="W19" i="113" s="1"/>
  <c r="P72" i="1"/>
  <c r="X72" i="1"/>
  <c r="X75" i="1" s="1"/>
  <c r="M45" i="1"/>
  <c r="G17" i="113"/>
  <c r="L72" i="1"/>
  <c r="L75" i="1" s="1"/>
  <c r="I19" i="1"/>
  <c r="I19" i="113" s="1"/>
  <c r="Z72" i="1"/>
  <c r="Z75" i="1" s="1"/>
  <c r="R72" i="1"/>
  <c r="R75" i="1" s="1"/>
  <c r="R79" i="1" s="1"/>
  <c r="R51" i="1" s="1"/>
  <c r="R51" i="113" s="1"/>
  <c r="AB47" i="1"/>
  <c r="AB50" i="1" s="1"/>
  <c r="O45" i="1"/>
  <c r="O45" i="113" s="1"/>
  <c r="Y19" i="1"/>
  <c r="Y19" i="113" s="1"/>
  <c r="Y45" i="1"/>
  <c r="Y47" i="1" s="1"/>
  <c r="Y47" i="113" s="1"/>
  <c r="J72" i="1"/>
  <c r="J64" i="113"/>
  <c r="R19" i="1"/>
  <c r="R19" i="113" s="1"/>
  <c r="R17" i="113"/>
  <c r="K17" i="113"/>
  <c r="K19" i="1"/>
  <c r="K19" i="113" s="1"/>
  <c r="T71" i="113"/>
  <c r="T72" i="1"/>
  <c r="Y45" i="113"/>
  <c r="N19" i="1"/>
  <c r="N19" i="113" s="1"/>
  <c r="AB72" i="1"/>
  <c r="AB75" i="1" s="1"/>
  <c r="AB79" i="1" s="1"/>
  <c r="E33" i="3" s="1"/>
  <c r="I64" i="113"/>
  <c r="I72" i="1"/>
  <c r="G45" i="1"/>
  <c r="G47" i="1" s="1"/>
  <c r="G50" i="1" s="1"/>
  <c r="G50" i="113" s="1"/>
  <c r="G44" i="113"/>
  <c r="AA17" i="113"/>
  <c r="AA19" i="1"/>
  <c r="AA19" i="113" s="1"/>
  <c r="Q17" i="113"/>
  <c r="Q19" i="1"/>
  <c r="Q19" i="113" s="1"/>
  <c r="M19" i="1"/>
  <c r="M19" i="113" s="1"/>
  <c r="M17" i="113"/>
  <c r="F17" i="113"/>
  <c r="F19" i="1"/>
  <c r="F19" i="113" s="1"/>
  <c r="K72" i="113"/>
  <c r="K75" i="1"/>
  <c r="K10" i="113"/>
  <c r="A16" i="3"/>
  <c r="A17" i="48" s="1"/>
  <c r="W64" i="113"/>
  <c r="W72" i="1"/>
  <c r="G64" i="113"/>
  <c r="G72" i="1"/>
  <c r="F44" i="113"/>
  <c r="F45" i="1"/>
  <c r="F45" i="113" s="1"/>
  <c r="Z45" i="1"/>
  <c r="Z45" i="113" s="1"/>
  <c r="Z28" i="113"/>
  <c r="Z17" i="113"/>
  <c r="Z19" i="1"/>
  <c r="P19" i="1"/>
  <c r="P19" i="113" s="1"/>
  <c r="P17" i="113"/>
  <c r="G10" i="1"/>
  <c r="H10" i="1" s="1"/>
  <c r="F10" i="113"/>
  <c r="M10" i="1"/>
  <c r="A17" i="3"/>
  <c r="A18" i="48" s="1"/>
  <c r="L10" i="113"/>
  <c r="U75" i="1"/>
  <c r="U72" i="113"/>
  <c r="X79" i="1"/>
  <c r="X75" i="113"/>
  <c r="Y72" i="113"/>
  <c r="Y75" i="1"/>
  <c r="W45" i="1"/>
  <c r="N72" i="1"/>
  <c r="N75" i="1" s="1"/>
  <c r="N79" i="1" s="1"/>
  <c r="AA72" i="113"/>
  <c r="AA75" i="1"/>
  <c r="V64" i="113"/>
  <c r="V72" i="1"/>
  <c r="F64" i="113"/>
  <c r="F72" i="1"/>
  <c r="F75" i="1" s="1"/>
  <c r="F79" i="1" s="1"/>
  <c r="J45" i="1"/>
  <c r="J45" i="113" s="1"/>
  <c r="J44" i="113"/>
  <c r="O19" i="1"/>
  <c r="O17" i="113"/>
  <c r="X72" i="113"/>
  <c r="P45" i="1"/>
  <c r="P45" i="113" s="1"/>
  <c r="Y64" i="113"/>
  <c r="Y34" i="113"/>
  <c r="L45" i="1"/>
  <c r="L47" i="1" s="1"/>
  <c r="L50" i="1" s="1"/>
  <c r="L50" i="113" s="1"/>
  <c r="O19" i="113"/>
  <c r="M47" i="1"/>
  <c r="M47" i="113" s="1"/>
  <c r="Q75" i="1"/>
  <c r="L64" i="113"/>
  <c r="M45" i="113"/>
  <c r="N45" i="1"/>
  <c r="N45" i="113" s="1"/>
  <c r="O72" i="1"/>
  <c r="M72" i="1"/>
  <c r="P44" i="113"/>
  <c r="Q45" i="1"/>
  <c r="Q45" i="113" s="1"/>
  <c r="R45" i="1"/>
  <c r="R45" i="113" s="1"/>
  <c r="AA28" i="113"/>
  <c r="K45" i="1"/>
  <c r="J19" i="113"/>
  <c r="F67" i="111"/>
  <c r="AC62" i="1"/>
  <c r="AI62" i="1" s="1"/>
  <c r="E62" i="113"/>
  <c r="E61" i="1"/>
  <c r="E61" i="113" s="1"/>
  <c r="E61" i="111"/>
  <c r="H61" i="111" s="1"/>
  <c r="E53" i="111"/>
  <c r="H53" i="111" s="1"/>
  <c r="E43" i="113"/>
  <c r="E27" i="113"/>
  <c r="E42" i="111"/>
  <c r="H42" i="111" s="1"/>
  <c r="E42" i="1"/>
  <c r="AC42" i="1" s="1"/>
  <c r="AI42" i="1" s="1"/>
  <c r="E50" i="111"/>
  <c r="H50" i="111" s="1"/>
  <c r="E52" i="111"/>
  <c r="H52" i="111" s="1"/>
  <c r="F44" i="111"/>
  <c r="E41" i="1"/>
  <c r="AC41" i="1" s="1"/>
  <c r="E41" i="111"/>
  <c r="H41" i="111" s="1"/>
  <c r="E31" i="113"/>
  <c r="AC70" i="1"/>
  <c r="AI70" i="1" s="1"/>
  <c r="E32" i="1"/>
  <c r="AC32" i="1" s="1"/>
  <c r="AI32" i="1" s="1"/>
  <c r="AI34" i="1" s="1"/>
  <c r="F34" i="111"/>
  <c r="E32" i="111"/>
  <c r="H32" i="111" s="1"/>
  <c r="AC37" i="1"/>
  <c r="AI37" i="1" s="1"/>
  <c r="F26" i="111"/>
  <c r="E24" i="1"/>
  <c r="AC24" i="1" s="1"/>
  <c r="AI24" i="1" s="1"/>
  <c r="E24" i="111"/>
  <c r="H24" i="111" s="1"/>
  <c r="E26" i="1"/>
  <c r="AC26" i="1" s="1"/>
  <c r="AI26" i="1" s="1"/>
  <c r="E26" i="111"/>
  <c r="F25" i="111"/>
  <c r="E25" i="111"/>
  <c r="H25" i="111" s="1"/>
  <c r="E23" i="111"/>
  <c r="F14" i="111"/>
  <c r="E14" i="111" s="1"/>
  <c r="X45" i="1"/>
  <c r="X47" i="1" s="1"/>
  <c r="X47" i="113" s="1"/>
  <c r="T20" i="51"/>
  <c r="M14" i="51"/>
  <c r="E11" i="51" s="1"/>
  <c r="E85" i="1" s="1"/>
  <c r="AB51" i="1"/>
  <c r="AB55" i="1" s="1"/>
  <c r="E39" i="48"/>
  <c r="F39" i="48" s="1"/>
  <c r="U47" i="1"/>
  <c r="G45" i="113"/>
  <c r="E22" i="52"/>
  <c r="E24" i="52" s="1"/>
  <c r="V34" i="113"/>
  <c r="V45" i="1"/>
  <c r="V45" i="113" s="1"/>
  <c r="V33" i="113"/>
  <c r="V19" i="1"/>
  <c r="S41" i="113"/>
  <c r="S36" i="113"/>
  <c r="AC33" i="1"/>
  <c r="AI33" i="1" s="1"/>
  <c r="Q34" i="113"/>
  <c r="E77" i="1"/>
  <c r="F76" i="111"/>
  <c r="E77" i="111"/>
  <c r="E67" i="111"/>
  <c r="E67" i="1"/>
  <c r="F71" i="111"/>
  <c r="E60" i="113"/>
  <c r="AC60" i="1"/>
  <c r="AI60" i="1" s="1"/>
  <c r="F64" i="111"/>
  <c r="E59" i="111"/>
  <c r="E59" i="1"/>
  <c r="E63" i="111"/>
  <c r="H63" i="111" s="1"/>
  <c r="E63" i="1"/>
  <c r="E71" i="111"/>
  <c r="AC74" i="1"/>
  <c r="AI74" i="1" s="1"/>
  <c r="E74" i="113"/>
  <c r="E60" i="111"/>
  <c r="H60" i="111" s="1"/>
  <c r="AC69" i="1"/>
  <c r="AI69" i="1" s="1"/>
  <c r="E68" i="1"/>
  <c r="E66" i="1"/>
  <c r="E53" i="113"/>
  <c r="AC53" i="1"/>
  <c r="AI53" i="1" s="1"/>
  <c r="AC52" i="1"/>
  <c r="AI52" i="1" s="1"/>
  <c r="E52" i="113"/>
  <c r="AC23" i="1"/>
  <c r="AI23" i="1" s="1"/>
  <c r="E23" i="113"/>
  <c r="E38" i="113"/>
  <c r="AC38" i="1"/>
  <c r="AI38" i="1" s="1"/>
  <c r="E44" i="111"/>
  <c r="H44" i="111" s="1"/>
  <c r="E34" i="111"/>
  <c r="E18" i="1"/>
  <c r="E18" i="111"/>
  <c r="H18" i="111" s="1"/>
  <c r="E16" i="111"/>
  <c r="H16" i="111" s="1"/>
  <c r="E16" i="1"/>
  <c r="E15" i="1"/>
  <c r="E15" i="111"/>
  <c r="H15" i="111" s="1"/>
  <c r="E14" i="1"/>
  <c r="F17" i="111"/>
  <c r="F19" i="111" s="1"/>
  <c r="T34" i="1"/>
  <c r="T34" i="113" s="1"/>
  <c r="T44" i="113"/>
  <c r="T19" i="1"/>
  <c r="T41" i="113"/>
  <c r="AC44" i="1" l="1"/>
  <c r="AI41" i="1"/>
  <c r="AI44" i="1" s="1"/>
  <c r="I10" i="1"/>
  <c r="A14" i="3" s="1"/>
  <c r="A15" i="48" s="1"/>
  <c r="A13" i="3"/>
  <c r="H10" i="113"/>
  <c r="AH89" i="1"/>
  <c r="AG89" i="1"/>
  <c r="AF89" i="1"/>
  <c r="H89" i="1"/>
  <c r="AE89" i="1"/>
  <c r="L47" i="113"/>
  <c r="R75" i="113"/>
  <c r="R72" i="113"/>
  <c r="R47" i="1"/>
  <c r="R50" i="1" s="1"/>
  <c r="R50" i="113" s="1"/>
  <c r="Z72" i="113"/>
  <c r="F79" i="113"/>
  <c r="F51" i="1"/>
  <c r="X55" i="1"/>
  <c r="X93" i="1" s="1"/>
  <c r="J47" i="1"/>
  <c r="J50" i="1" s="1"/>
  <c r="J50" i="113" s="1"/>
  <c r="X50" i="1"/>
  <c r="X50" i="113" s="1"/>
  <c r="AA47" i="1"/>
  <c r="N47" i="1"/>
  <c r="N50" i="1" s="1"/>
  <c r="N50" i="113" s="1"/>
  <c r="N72" i="113"/>
  <c r="I47" i="1"/>
  <c r="L72" i="113"/>
  <c r="N75" i="113"/>
  <c r="F75" i="113"/>
  <c r="O47" i="1"/>
  <c r="P75" i="1"/>
  <c r="P72" i="113"/>
  <c r="S79" i="1"/>
  <c r="S75" i="113"/>
  <c r="L45" i="113"/>
  <c r="F72" i="113"/>
  <c r="Z75" i="113"/>
  <c r="Z79" i="1"/>
  <c r="V72" i="113"/>
  <c r="V75" i="1"/>
  <c r="U79" i="1"/>
  <c r="U75" i="113"/>
  <c r="Z19" i="113"/>
  <c r="Z47" i="1"/>
  <c r="Z47" i="113" s="1"/>
  <c r="J75" i="1"/>
  <c r="J72" i="113"/>
  <c r="G47" i="113"/>
  <c r="Y50" i="1"/>
  <c r="A12" i="3"/>
  <c r="A13" i="48" s="1"/>
  <c r="G10" i="113"/>
  <c r="T72" i="113"/>
  <c r="T75" i="1"/>
  <c r="Y75" i="113"/>
  <c r="Y79" i="1"/>
  <c r="N10" i="1"/>
  <c r="A18" i="3"/>
  <c r="A19" i="48" s="1"/>
  <c r="M10" i="113"/>
  <c r="P47" i="1"/>
  <c r="W72" i="113"/>
  <c r="W75" i="1"/>
  <c r="F47" i="1"/>
  <c r="M50" i="1"/>
  <c r="M50" i="113" s="1"/>
  <c r="Q47" i="1"/>
  <c r="Q47" i="113" s="1"/>
  <c r="AA79" i="1"/>
  <c r="AA75" i="113"/>
  <c r="W47" i="1"/>
  <c r="W45" i="113"/>
  <c r="E29" i="3"/>
  <c r="F30" i="48" s="1"/>
  <c r="G30" i="48" s="1"/>
  <c r="X79" i="113"/>
  <c r="G75" i="1"/>
  <c r="G72" i="113"/>
  <c r="K79" i="1"/>
  <c r="K75" i="113"/>
  <c r="I75" i="1"/>
  <c r="I72" i="113"/>
  <c r="E11" i="3"/>
  <c r="F12" i="48" s="1"/>
  <c r="I12" i="48" s="1"/>
  <c r="O72" i="113"/>
  <c r="O75" i="1"/>
  <c r="L75" i="113"/>
  <c r="L79" i="1"/>
  <c r="O55" i="1"/>
  <c r="O47" i="113"/>
  <c r="Q79" i="1"/>
  <c r="Q75" i="113"/>
  <c r="E19" i="3"/>
  <c r="F20" i="48" s="1"/>
  <c r="G20" i="48" s="1"/>
  <c r="N79" i="113"/>
  <c r="N51" i="1"/>
  <c r="N51" i="113" s="1"/>
  <c r="P47" i="113"/>
  <c r="M72" i="113"/>
  <c r="M75" i="1"/>
  <c r="I47" i="113"/>
  <c r="I50" i="1"/>
  <c r="I50" i="113" s="1"/>
  <c r="R79" i="113"/>
  <c r="E23" i="3"/>
  <c r="F24" i="48" s="1"/>
  <c r="G24" i="48" s="1"/>
  <c r="K47" i="1"/>
  <c r="K45" i="113"/>
  <c r="J47" i="113"/>
  <c r="P50" i="1"/>
  <c r="P50" i="113" s="1"/>
  <c r="N47" i="113"/>
  <c r="AC61" i="1"/>
  <c r="AI61" i="1" s="1"/>
  <c r="E42" i="113"/>
  <c r="E41" i="113"/>
  <c r="E44" i="1"/>
  <c r="E44" i="113" s="1"/>
  <c r="E32" i="113"/>
  <c r="E34" i="1"/>
  <c r="E34" i="113" s="1"/>
  <c r="AC34" i="1"/>
  <c r="E26" i="113"/>
  <c r="F28" i="111"/>
  <c r="F45" i="111" s="1"/>
  <c r="F47" i="111" s="1"/>
  <c r="F55" i="111" s="1"/>
  <c r="E25" i="1"/>
  <c r="E28" i="1" s="1"/>
  <c r="E24" i="113"/>
  <c r="E28" i="111"/>
  <c r="H28" i="111" s="1"/>
  <c r="H23" i="111"/>
  <c r="X45" i="113"/>
  <c r="E13" i="51"/>
  <c r="E17" i="51" s="1"/>
  <c r="AB93" i="1"/>
  <c r="D33" i="3"/>
  <c r="F51" i="113"/>
  <c r="AA47" i="113"/>
  <c r="AA50" i="1"/>
  <c r="U47" i="113"/>
  <c r="U50" i="1"/>
  <c r="U50" i="113" s="1"/>
  <c r="E19" i="51"/>
  <c r="E87" i="1"/>
  <c r="V47" i="1"/>
  <c r="V19" i="113"/>
  <c r="X55" i="113"/>
  <c r="D29" i="3"/>
  <c r="S33" i="113"/>
  <c r="S34" i="1"/>
  <c r="S34" i="113" s="1"/>
  <c r="AC36" i="1"/>
  <c r="AI36" i="1" s="1"/>
  <c r="S44" i="1"/>
  <c r="S44" i="113" s="1"/>
  <c r="E76" i="111"/>
  <c r="E76" i="1"/>
  <c r="AC77" i="1"/>
  <c r="AI77" i="1" s="1"/>
  <c r="E77" i="113"/>
  <c r="AC68" i="1"/>
  <c r="AI68" i="1" s="1"/>
  <c r="E68" i="113"/>
  <c r="E64" i="1"/>
  <c r="AC59" i="1"/>
  <c r="AI59" i="1" s="1"/>
  <c r="AI64" i="1" s="1"/>
  <c r="E59" i="113"/>
  <c r="E64" i="111"/>
  <c r="H59" i="111"/>
  <c r="E63" i="113"/>
  <c r="AC63" i="1"/>
  <c r="AI63" i="1" s="1"/>
  <c r="F72" i="111"/>
  <c r="F75" i="111" s="1"/>
  <c r="F79" i="111" s="1"/>
  <c r="AC67" i="1"/>
  <c r="AI67" i="1" s="1"/>
  <c r="AI71" i="1" s="1"/>
  <c r="E67" i="113"/>
  <c r="E71" i="1"/>
  <c r="E71" i="113" s="1"/>
  <c r="AC66" i="1"/>
  <c r="AI66" i="1" s="1"/>
  <c r="E66" i="113"/>
  <c r="H34" i="111"/>
  <c r="E45" i="111"/>
  <c r="H14" i="111"/>
  <c r="E17" i="111"/>
  <c r="AC16" i="1"/>
  <c r="AI16" i="1" s="1"/>
  <c r="E16" i="113"/>
  <c r="E14" i="113"/>
  <c r="E17" i="1"/>
  <c r="AC14" i="1"/>
  <c r="AI14" i="1" s="1"/>
  <c r="AI17" i="1" s="1"/>
  <c r="AC15" i="1"/>
  <c r="AI15" i="1" s="1"/>
  <c r="E15" i="113"/>
  <c r="E18" i="113"/>
  <c r="AC18" i="1"/>
  <c r="AI18" i="1" s="1"/>
  <c r="AB89" i="1"/>
  <c r="T45" i="1"/>
  <c r="T45" i="113" s="1"/>
  <c r="T19" i="113"/>
  <c r="AI19" i="1" l="1"/>
  <c r="AI72" i="1"/>
  <c r="AI75" i="1" s="1"/>
  <c r="AI79" i="1" s="1"/>
  <c r="AF94" i="1"/>
  <c r="AG94" i="1"/>
  <c r="AH94" i="1"/>
  <c r="H94" i="1"/>
  <c r="AF90" i="1"/>
  <c r="AE94" i="1"/>
  <c r="AG90" i="1"/>
  <c r="AG82" i="1" s="1"/>
  <c r="R47" i="113"/>
  <c r="AE90" i="1"/>
  <c r="AH90" i="1"/>
  <c r="H90" i="1"/>
  <c r="E24" i="3"/>
  <c r="F25" i="48" s="1"/>
  <c r="S79" i="113"/>
  <c r="S51" i="1"/>
  <c r="S51" i="113" s="1"/>
  <c r="X89" i="1"/>
  <c r="X90" i="1" s="1"/>
  <c r="X82" i="1" s="1"/>
  <c r="P79" i="1"/>
  <c r="P75" i="113"/>
  <c r="E31" i="3"/>
  <c r="F32" i="48" s="1"/>
  <c r="Z79" i="113"/>
  <c r="AA79" i="113"/>
  <c r="E32" i="3"/>
  <c r="F33" i="48" s="1"/>
  <c r="AA51" i="1"/>
  <c r="AA51" i="113" s="1"/>
  <c r="J75" i="113"/>
  <c r="J79" i="1"/>
  <c r="O10" i="1"/>
  <c r="A19" i="3"/>
  <c r="A20" i="48" s="1"/>
  <c r="N10" i="113"/>
  <c r="Y50" i="113"/>
  <c r="Y55" i="1"/>
  <c r="V75" i="113"/>
  <c r="V79" i="1"/>
  <c r="Q50" i="1"/>
  <c r="Q50" i="113" s="1"/>
  <c r="I30" i="48"/>
  <c r="I20" i="48"/>
  <c r="F50" i="1"/>
  <c r="F47" i="113"/>
  <c r="E16" i="3"/>
  <c r="F17" i="48" s="1"/>
  <c r="K79" i="113"/>
  <c r="K51" i="1"/>
  <c r="K51" i="113" s="1"/>
  <c r="W79" i="1"/>
  <c r="W75" i="113"/>
  <c r="T79" i="1"/>
  <c r="T75" i="113"/>
  <c r="E26" i="3"/>
  <c r="F27" i="48" s="1"/>
  <c r="U79" i="113"/>
  <c r="U51" i="1"/>
  <c r="U51" i="113" s="1"/>
  <c r="R55" i="1"/>
  <c r="R93" i="1" s="1"/>
  <c r="R94" i="1" s="1"/>
  <c r="I79" i="1"/>
  <c r="I75" i="113"/>
  <c r="G79" i="1"/>
  <c r="G75" i="113"/>
  <c r="W47" i="113"/>
  <c r="W50" i="1"/>
  <c r="Y79" i="113"/>
  <c r="E30" i="3"/>
  <c r="F31" i="48" s="1"/>
  <c r="I10" i="113"/>
  <c r="A14" i="48"/>
  <c r="O75" i="113"/>
  <c r="O79" i="1"/>
  <c r="M79" i="1"/>
  <c r="M75" i="113"/>
  <c r="N55" i="1"/>
  <c r="N89" i="1" s="1"/>
  <c r="N90" i="1" s="1"/>
  <c r="N82" i="1" s="1"/>
  <c r="E17" i="3"/>
  <c r="F18" i="48" s="1"/>
  <c r="L79" i="113"/>
  <c r="L51" i="1"/>
  <c r="G12" i="48"/>
  <c r="Q79" i="113"/>
  <c r="E22" i="3"/>
  <c r="F23" i="48" s="1"/>
  <c r="Q51" i="1"/>
  <c r="Q51" i="113" s="1"/>
  <c r="I24" i="48"/>
  <c r="O55" i="113"/>
  <c r="D20" i="3"/>
  <c r="E21" i="51"/>
  <c r="E25" i="51" s="1"/>
  <c r="K47" i="113"/>
  <c r="K50" i="1"/>
  <c r="K50" i="113" s="1"/>
  <c r="F80" i="111"/>
  <c r="H45" i="111"/>
  <c r="AC64" i="1"/>
  <c r="E28" i="113"/>
  <c r="E45" i="1"/>
  <c r="E45" i="113" s="1"/>
  <c r="AC25" i="1"/>
  <c r="E25" i="113"/>
  <c r="AC17" i="1"/>
  <c r="AC19" i="1" s="1"/>
  <c r="E38" i="51"/>
  <c r="D19" i="3"/>
  <c r="AA50" i="113"/>
  <c r="X94" i="1"/>
  <c r="AB90" i="1"/>
  <c r="AB82" i="1" s="1"/>
  <c r="AB94" i="1"/>
  <c r="V47" i="113"/>
  <c r="S45" i="1"/>
  <c r="S47" i="1" s="1"/>
  <c r="Q55" i="1"/>
  <c r="AC76" i="1"/>
  <c r="AI76" i="1" s="1"/>
  <c r="E76" i="113"/>
  <c r="AC71" i="1"/>
  <c r="E72" i="1"/>
  <c r="E64" i="113"/>
  <c r="H64" i="111"/>
  <c r="E72" i="111"/>
  <c r="E75" i="111" s="1"/>
  <c r="E79" i="111" s="1"/>
  <c r="H79" i="111" s="1"/>
  <c r="E17" i="113"/>
  <c r="E19" i="1"/>
  <c r="H17" i="111"/>
  <c r="E19" i="111"/>
  <c r="T47" i="1"/>
  <c r="T47" i="113" s="1"/>
  <c r="H95" i="1" l="1"/>
  <c r="H82" i="1"/>
  <c r="R89" i="1"/>
  <c r="R90" i="1" s="1"/>
  <c r="R82" i="1" s="1"/>
  <c r="AC28" i="1"/>
  <c r="AC45" i="1" s="1"/>
  <c r="AC47" i="1" s="1"/>
  <c r="AI25" i="1"/>
  <c r="AI28" i="1" s="1"/>
  <c r="AI45" i="1" s="1"/>
  <c r="AI47" i="1" s="1"/>
  <c r="AH95" i="1"/>
  <c r="AH82" i="1"/>
  <c r="AG95" i="1"/>
  <c r="E14" i="3"/>
  <c r="F15" i="48" s="1"/>
  <c r="I15" i="48" s="1"/>
  <c r="AE82" i="1"/>
  <c r="AE95" i="1"/>
  <c r="AF95" i="1"/>
  <c r="AF82" i="1"/>
  <c r="G32" i="48"/>
  <c r="I32" i="48"/>
  <c r="N55" i="113"/>
  <c r="R55" i="113"/>
  <c r="AA55" i="1"/>
  <c r="AA89" i="1" s="1"/>
  <c r="AA90" i="1" s="1"/>
  <c r="AA82" i="1" s="1"/>
  <c r="D23" i="3"/>
  <c r="P51" i="1"/>
  <c r="P79" i="113"/>
  <c r="E21" i="3"/>
  <c r="F22" i="48" s="1"/>
  <c r="G25" i="48"/>
  <c r="I25" i="48"/>
  <c r="W50" i="113"/>
  <c r="U55" i="1"/>
  <c r="U89" i="1" s="1"/>
  <c r="U90" i="1" s="1"/>
  <c r="U82" i="1" s="1"/>
  <c r="F14" i="48"/>
  <c r="I79" i="113"/>
  <c r="I51" i="1"/>
  <c r="G27" i="48"/>
  <c r="I27" i="48"/>
  <c r="W79" i="113"/>
  <c r="E28" i="3"/>
  <c r="F29" i="48" s="1"/>
  <c r="W51" i="1"/>
  <c r="W51" i="113" s="1"/>
  <c r="Y55" i="113"/>
  <c r="Y89" i="1"/>
  <c r="Y90" i="1" s="1"/>
  <c r="Y82" i="1" s="1"/>
  <c r="Y93" i="1"/>
  <c r="Y94" i="1" s="1"/>
  <c r="Y95" i="1" s="1"/>
  <c r="D30" i="3"/>
  <c r="A20" i="3"/>
  <c r="A21" i="48" s="1"/>
  <c r="O10" i="113"/>
  <c r="P10" i="1"/>
  <c r="G33" i="48"/>
  <c r="I33" i="48"/>
  <c r="G51" i="1"/>
  <c r="G79" i="113"/>
  <c r="E12" i="3"/>
  <c r="F13" i="48" s="1"/>
  <c r="T79" i="113"/>
  <c r="E25" i="3"/>
  <c r="F26" i="48" s="1"/>
  <c r="T51" i="1"/>
  <c r="T51" i="113" s="1"/>
  <c r="E27" i="3"/>
  <c r="F28" i="48" s="1"/>
  <c r="V79" i="113"/>
  <c r="V51" i="1"/>
  <c r="G17" i="48"/>
  <c r="I17" i="48"/>
  <c r="N93" i="1"/>
  <c r="N94" i="1" s="1"/>
  <c r="N95" i="1" s="1"/>
  <c r="G31" i="48"/>
  <c r="I31" i="48"/>
  <c r="F50" i="113"/>
  <c r="F55" i="1"/>
  <c r="J79" i="113"/>
  <c r="J51" i="1"/>
  <c r="E15" i="3"/>
  <c r="F16" i="48" s="1"/>
  <c r="M79" i="113"/>
  <c r="E18" i="3"/>
  <c r="F19" i="48" s="1"/>
  <c r="M51" i="1"/>
  <c r="O79" i="113"/>
  <c r="E20" i="3"/>
  <c r="F21" i="48" s="1"/>
  <c r="O93" i="1"/>
  <c r="O94" i="1" s="1"/>
  <c r="O89" i="1"/>
  <c r="O90" i="1" s="1"/>
  <c r="O82" i="1" s="1"/>
  <c r="G18" i="48"/>
  <c r="I18" i="48"/>
  <c r="G23" i="48"/>
  <c r="I23" i="48"/>
  <c r="L51" i="113"/>
  <c r="L55" i="1"/>
  <c r="J9" i="52"/>
  <c r="J16" i="52" s="1"/>
  <c r="K55" i="1"/>
  <c r="D26" i="3"/>
  <c r="AC72" i="1"/>
  <c r="AC75" i="1" s="1"/>
  <c r="AC79" i="1" s="1"/>
  <c r="AB95" i="1"/>
  <c r="AA93" i="1"/>
  <c r="AA94" i="1" s="1"/>
  <c r="AA55" i="113"/>
  <c r="R95" i="1"/>
  <c r="X95" i="1"/>
  <c r="S45" i="113"/>
  <c r="S50" i="1"/>
  <c r="S50" i="113" s="1"/>
  <c r="S47" i="113"/>
  <c r="Q55" i="113"/>
  <c r="D22" i="3"/>
  <c r="Q93" i="1"/>
  <c r="Q94" i="1" s="1"/>
  <c r="Q89" i="1"/>
  <c r="Q90" i="1" s="1"/>
  <c r="E72" i="113"/>
  <c r="E75" i="1"/>
  <c r="E47" i="1"/>
  <c r="E19" i="113"/>
  <c r="H19" i="111"/>
  <c r="E47" i="111"/>
  <c r="J12" i="52"/>
  <c r="J14" i="52"/>
  <c r="T50" i="1"/>
  <c r="T50" i="113" s="1"/>
  <c r="D32" i="3" l="1"/>
  <c r="G15" i="48"/>
  <c r="O95" i="1"/>
  <c r="P51" i="113"/>
  <c r="P55" i="1"/>
  <c r="G22" i="48"/>
  <c r="I22" i="48"/>
  <c r="G13" i="48"/>
  <c r="I13" i="48"/>
  <c r="AC51" i="1"/>
  <c r="AI51" i="1" s="1"/>
  <c r="G29" i="48"/>
  <c r="I29" i="48"/>
  <c r="W55" i="1"/>
  <c r="U93" i="1"/>
  <c r="U94" i="1" s="1"/>
  <c r="U95" i="1" s="1"/>
  <c r="F55" i="113"/>
  <c r="D11" i="3"/>
  <c r="F89" i="1"/>
  <c r="F90" i="1" s="1"/>
  <c r="F93" i="1"/>
  <c r="F94" i="1" s="1"/>
  <c r="G14" i="48"/>
  <c r="I14" i="48"/>
  <c r="G16" i="48"/>
  <c r="I16" i="48"/>
  <c r="G28" i="48"/>
  <c r="I28" i="48"/>
  <c r="U55" i="113"/>
  <c r="J51" i="113"/>
  <c r="J55" i="1"/>
  <c r="P10" i="113"/>
  <c r="A21" i="3"/>
  <c r="A22" i="48" s="1"/>
  <c r="Q10" i="1"/>
  <c r="I51" i="113"/>
  <c r="I55" i="1"/>
  <c r="V51" i="113"/>
  <c r="V55" i="1"/>
  <c r="G26" i="48"/>
  <c r="I26" i="48"/>
  <c r="G55" i="1"/>
  <c r="G51" i="113"/>
  <c r="D17" i="3"/>
  <c r="L55" i="113"/>
  <c r="L89" i="1"/>
  <c r="L90" i="1" s="1"/>
  <c r="L93" i="1"/>
  <c r="L94" i="1" s="1"/>
  <c r="G19" i="48"/>
  <c r="I19" i="48"/>
  <c r="M51" i="113"/>
  <c r="M55" i="1"/>
  <c r="G21" i="48"/>
  <c r="I21" i="48"/>
  <c r="F35" i="48"/>
  <c r="F41" i="48" s="1"/>
  <c r="F45" i="48" s="1"/>
  <c r="F48" i="48" s="1"/>
  <c r="K89" i="1"/>
  <c r="K90" i="1" s="1"/>
  <c r="D16" i="3"/>
  <c r="K93" i="1"/>
  <c r="K94" i="1" s="1"/>
  <c r="K55" i="113"/>
  <c r="AA95" i="1"/>
  <c r="S55" i="1"/>
  <c r="Q95" i="1"/>
  <c r="Q82" i="1"/>
  <c r="E75" i="113"/>
  <c r="E79" i="1"/>
  <c r="H47" i="111"/>
  <c r="E55" i="111"/>
  <c r="E47" i="113"/>
  <c r="E55" i="1"/>
  <c r="J18" i="52"/>
  <c r="J20" i="52" s="1"/>
  <c r="T55" i="1"/>
  <c r="D25" i="3" s="1"/>
  <c r="D14" i="3" l="1"/>
  <c r="I89" i="1"/>
  <c r="P89" i="1"/>
  <c r="P90" i="1" s="1"/>
  <c r="P55" i="113"/>
  <c r="P93" i="1"/>
  <c r="P94" i="1" s="1"/>
  <c r="D21" i="3"/>
  <c r="Q10" i="113"/>
  <c r="R10" i="1"/>
  <c r="A22" i="3"/>
  <c r="A23" i="48" s="1"/>
  <c r="G93" i="1"/>
  <c r="G94" i="1" s="1"/>
  <c r="G55" i="113"/>
  <c r="D12" i="3"/>
  <c r="G89" i="1"/>
  <c r="G90" i="1" s="1"/>
  <c r="F82" i="1"/>
  <c r="F95" i="1"/>
  <c r="J89" i="1"/>
  <c r="J90" i="1" s="1"/>
  <c r="J55" i="113"/>
  <c r="J93" i="1"/>
  <c r="J94" i="1" s="1"/>
  <c r="D15" i="3"/>
  <c r="D27" i="3"/>
  <c r="V55" i="113"/>
  <c r="V89" i="1"/>
  <c r="V90" i="1" s="1"/>
  <c r="V93" i="1"/>
  <c r="V94" i="1" s="1"/>
  <c r="W55" i="113"/>
  <c r="W93" i="1"/>
  <c r="W94" i="1" s="1"/>
  <c r="D28" i="3"/>
  <c r="W89" i="1"/>
  <c r="W90" i="1" s="1"/>
  <c r="I93" i="1"/>
  <c r="I94" i="1" s="1"/>
  <c r="I55" i="113"/>
  <c r="I90" i="1"/>
  <c r="D18" i="3"/>
  <c r="M55" i="113"/>
  <c r="M89" i="1"/>
  <c r="M90" i="1" s="1"/>
  <c r="M93" i="1"/>
  <c r="M94" i="1" s="1"/>
  <c r="L82" i="1"/>
  <c r="L95" i="1"/>
  <c r="K82" i="1"/>
  <c r="K95" i="1"/>
  <c r="S55" i="113"/>
  <c r="S89" i="1"/>
  <c r="S90" i="1" s="1"/>
  <c r="D24" i="3"/>
  <c r="S93" i="1"/>
  <c r="S94" i="1" s="1"/>
  <c r="E79" i="113"/>
  <c r="E10" i="3"/>
  <c r="E35" i="3" s="1"/>
  <c r="E40" i="3" s="1"/>
  <c r="E80" i="111"/>
  <c r="H55" i="111"/>
  <c r="D10" i="3"/>
  <c r="E55" i="113"/>
  <c r="E80" i="1"/>
  <c r="E93" i="1"/>
  <c r="E94" i="1" s="1"/>
  <c r="E89" i="1"/>
  <c r="E90" i="1" s="1"/>
  <c r="J22" i="52"/>
  <c r="J24" i="52" s="1"/>
  <c r="J26" i="52" s="1"/>
  <c r="T55" i="113"/>
  <c r="P82" i="1" l="1"/>
  <c r="P95" i="1"/>
  <c r="G82" i="1"/>
  <c r="G95" i="1"/>
  <c r="J82" i="1"/>
  <c r="J95" i="1"/>
  <c r="S10" i="1"/>
  <c r="A23" i="3"/>
  <c r="A24" i="48" s="1"/>
  <c r="R10" i="113"/>
  <c r="I82" i="1"/>
  <c r="I95" i="1"/>
  <c r="V82" i="1"/>
  <c r="V95" i="1"/>
  <c r="W95" i="1"/>
  <c r="W82" i="1"/>
  <c r="M95" i="1"/>
  <c r="M82" i="1"/>
  <c r="S95" i="1"/>
  <c r="S82" i="1"/>
  <c r="E11" i="48"/>
  <c r="F10" i="3"/>
  <c r="E82" i="1"/>
  <c r="E95" i="1"/>
  <c r="A24" i="3" l="1"/>
  <c r="A25" i="48" s="1"/>
  <c r="S10" i="113"/>
  <c r="T10" i="1"/>
  <c r="G11" i="48"/>
  <c r="G35" i="48" s="1"/>
  <c r="K35" i="48" s="1"/>
  <c r="I11" i="48"/>
  <c r="I41" i="48" s="1"/>
  <c r="I48" i="48" s="1"/>
  <c r="E35" i="48"/>
  <c r="E41" i="48" s="1"/>
  <c r="T10" i="113" l="1"/>
  <c r="A25" i="3"/>
  <c r="A26" i="48" s="1"/>
  <c r="U10" i="1"/>
  <c r="G41" i="48"/>
  <c r="E45" i="48"/>
  <c r="V10" i="1" l="1"/>
  <c r="A26" i="3"/>
  <c r="A27" i="48" s="1"/>
  <c r="U10" i="113"/>
  <c r="E48" i="48"/>
  <c r="G45" i="48"/>
  <c r="E39" i="51"/>
  <c r="E40" i="51" s="1"/>
  <c r="E41" i="51" s="1"/>
  <c r="W10" i="1" l="1"/>
  <c r="V10" i="113"/>
  <c r="A27" i="3"/>
  <c r="A28" i="48" s="1"/>
  <c r="Z50" i="1"/>
  <c r="G48" i="48"/>
  <c r="W10" i="113" l="1"/>
  <c r="X10" i="1"/>
  <c r="A28" i="3"/>
  <c r="A29" i="48" s="1"/>
  <c r="Z50" i="113"/>
  <c r="Z55" i="1"/>
  <c r="AC50" i="1"/>
  <c r="AC55" i="1" l="1"/>
  <c r="AC89" i="1" s="1"/>
  <c r="AC90" i="1" s="1"/>
  <c r="AI50" i="1"/>
  <c r="AI55" i="1" s="1"/>
  <c r="A29" i="3"/>
  <c r="A30" i="48" s="1"/>
  <c r="X10" i="113"/>
  <c r="Y10" i="1"/>
  <c r="AC93" i="1"/>
  <c r="AC94" i="1" s="1"/>
  <c r="Z55" i="113"/>
  <c r="Z93" i="1"/>
  <c r="Z94" i="1" s="1"/>
  <c r="D31" i="3"/>
  <c r="D35" i="3" s="1"/>
  <c r="D40" i="3" s="1"/>
  <c r="F40" i="3" s="1"/>
  <c r="Z89" i="1"/>
  <c r="Z90" i="1" s="1"/>
  <c r="AC80" i="1" l="1"/>
  <c r="AI89" i="1"/>
  <c r="AI90" i="1" s="1"/>
  <c r="AI93" i="1"/>
  <c r="AI94" i="1" s="1"/>
  <c r="AI80" i="1"/>
  <c r="Z10" i="1"/>
  <c r="Y10" i="113"/>
  <c r="A30" i="3"/>
  <c r="A31" i="48" s="1"/>
  <c r="F35" i="3"/>
  <c r="AC95" i="1"/>
  <c r="AC82" i="1"/>
  <c r="Z82" i="1"/>
  <c r="Z95" i="1"/>
  <c r="AI82" i="1" l="1"/>
  <c r="AI95" i="1"/>
  <c r="A31" i="3"/>
  <c r="A32" i="48" s="1"/>
  <c r="Z10" i="113"/>
  <c r="E8" i="48"/>
  <c r="E49" i="48" s="1"/>
  <c r="AA10" i="1"/>
  <c r="AA10" i="113" s="1"/>
</calcChain>
</file>

<file path=xl/comments1.xml><?xml version="1.0" encoding="utf-8"?>
<comments xmlns="http://schemas.openxmlformats.org/spreadsheetml/2006/main">
  <authors>
    <author>Liz Andrews</author>
    <author>annette brandon</author>
  </authors>
  <commentList>
    <comment ref="G50" authorId="0" shapeId="0">
      <text>
        <r>
          <rPr>
            <b/>
            <sz val="8"/>
            <color indexed="81"/>
            <rFont val="Tahoma"/>
            <family val="2"/>
          </rPr>
          <t>Liz Andrews:</t>
        </r>
        <r>
          <rPr>
            <sz val="8"/>
            <color indexed="81"/>
            <rFont val="Tahoma"/>
            <family val="2"/>
          </rPr>
          <t xml:space="preserve">
No tax on Colstrip elimination ($67k). Historical treatment of this adjustment.</t>
        </r>
      </text>
    </comment>
    <comment ref="O50" authorId="0" shapeId="0">
      <text>
        <r>
          <rPr>
            <b/>
            <sz val="8"/>
            <color indexed="81"/>
            <rFont val="Tahoma"/>
            <family val="2"/>
          </rPr>
          <t>Liz Andrews:</t>
        </r>
        <r>
          <rPr>
            <sz val="8"/>
            <color indexed="81"/>
            <rFont val="Tahoma"/>
            <family val="2"/>
          </rPr>
          <t xml:space="preserve">
Per adjustment, no formula in this column.</t>
        </r>
      </text>
    </comment>
    <comment ref="V50" authorId="0" shapeId="0">
      <text>
        <r>
          <rPr>
            <b/>
            <sz val="8"/>
            <color indexed="81"/>
            <rFont val="Tahoma"/>
            <family val="2"/>
          </rPr>
          <t>Liz Andrews:</t>
        </r>
        <r>
          <rPr>
            <sz val="8"/>
            <color indexed="81"/>
            <rFont val="Tahoma"/>
            <family val="2"/>
          </rPr>
          <t xml:space="preserve">
adjustment to DFIT - no current tax formula in this column. Check annually to adjustment.
</t>
        </r>
        <r>
          <rPr>
            <b/>
            <sz val="8"/>
            <color indexed="81"/>
            <rFont val="Tahoma"/>
            <family val="2"/>
          </rPr>
          <t>Annette Brandon:</t>
        </r>
        <r>
          <rPr>
            <sz val="8"/>
            <color indexed="81"/>
            <rFont val="Tahoma"/>
            <family val="2"/>
          </rPr>
          <t xml:space="preserve">
Use ERM elimination worksheet (Revenue)
</t>
        </r>
      </text>
    </comment>
    <comment ref="Z50" authorId="0" shapeId="0">
      <text>
        <r>
          <rPr>
            <b/>
            <sz val="8"/>
            <color indexed="81"/>
            <rFont val="Tahoma"/>
            <family val="2"/>
          </rPr>
          <t>Liz Andrews:</t>
        </r>
        <r>
          <rPr>
            <sz val="8"/>
            <color indexed="81"/>
            <rFont val="Tahoma"/>
            <family val="2"/>
          </rPr>
          <t xml:space="preserve">
per Debt calc.</t>
        </r>
      </text>
    </comment>
    <comment ref="V52" authorId="1" shapeId="0">
      <text>
        <r>
          <rPr>
            <b/>
            <sz val="9"/>
            <color indexed="81"/>
            <rFont val="Tahoma"/>
            <family val="2"/>
          </rPr>
          <t>annette brandon:</t>
        </r>
        <r>
          <rPr>
            <sz val="9"/>
            <color indexed="81"/>
            <rFont val="Tahoma"/>
            <family val="2"/>
          </rPr>
          <t xml:space="preserve">
use ERM worksheet to input( Deferral and Amort)</t>
        </r>
      </text>
    </comment>
  </commentList>
</comments>
</file>

<file path=xl/comments2.xml><?xml version="1.0" encoding="utf-8"?>
<comments xmlns="http://schemas.openxmlformats.org/spreadsheetml/2006/main">
  <authors>
    <author>kznwdg</author>
  </authors>
  <commentList>
    <comment ref="C37" authorId="0" shapeId="0">
      <text>
        <r>
          <rPr>
            <b/>
            <sz val="8"/>
            <color indexed="81"/>
            <rFont val="Tahoma"/>
            <family val="2"/>
          </rPr>
          <t>kznwdg:</t>
        </r>
        <r>
          <rPr>
            <sz val="8"/>
            <color indexed="81"/>
            <rFont val="Tahoma"/>
            <family val="2"/>
          </rPr>
          <t xml:space="preserve">
After Taxes (FIT Calc = Taxable Income x .35)</t>
        </r>
      </text>
    </comment>
  </commentList>
</comments>
</file>

<file path=xl/comments3.xml><?xml version="1.0" encoding="utf-8"?>
<comments xmlns="http://schemas.openxmlformats.org/spreadsheetml/2006/main">
  <authors>
    <author>Avista Corp Employee</author>
    <author>rzs589</author>
    <author>A satisfied Microsoft Office user</author>
  </authors>
  <commentList>
    <comment ref="B84" authorId="0" shapeId="0">
      <text>
        <r>
          <rPr>
            <b/>
            <sz val="10"/>
            <color indexed="81"/>
            <rFont val="Tahoma"/>
            <family val="2"/>
          </rPr>
          <t>revenue from Montana Noxon customers is included in Idaho.  Is reversed out for Commission Basis reports</t>
        </r>
      </text>
    </comment>
    <comment ref="B100" authorId="0" shapeId="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M428" authorId="1" shapeId="0">
      <text>
        <r>
          <rPr>
            <b/>
            <sz val="8"/>
            <color indexed="81"/>
            <rFont val="Tahoma"/>
            <family val="2"/>
          </rPr>
          <t>2/6/04 Account 182.31 is fully offset by 283.17</t>
        </r>
        <r>
          <rPr>
            <sz val="8"/>
            <color indexed="81"/>
            <rFont val="Tahoma"/>
            <family val="2"/>
          </rPr>
          <t xml:space="preserve">
</t>
        </r>
      </text>
    </comment>
    <comment ref="B431" authorId="1" shapeId="0">
      <text>
        <r>
          <rPr>
            <b/>
            <sz val="8"/>
            <color indexed="81"/>
            <rFont val="Tahoma"/>
            <family val="2"/>
          </rPr>
          <t>2/6/04 Account 182.31 is fully offset by 283.17</t>
        </r>
        <r>
          <rPr>
            <sz val="8"/>
            <color indexed="81"/>
            <rFont val="Tahoma"/>
            <family val="2"/>
          </rPr>
          <t xml:space="preserve">
</t>
        </r>
      </text>
    </comment>
    <comment ref="A451" authorId="2" shapeId="0">
      <text>
        <r>
          <rPr>
            <sz val="9"/>
            <color indexed="81"/>
            <rFont val="Tahoma"/>
            <family val="2"/>
          </rPr>
          <t>Acct 0108.02  System amount is from input matrix.  WA and ID amounts are hard coded, and do not change.</t>
        </r>
      </text>
    </comment>
    <comment ref="B454" authorId="1" shapeId="0">
      <text>
        <r>
          <rPr>
            <sz val="8"/>
            <color indexed="81"/>
            <rFont val="Tahoma"/>
            <family val="2"/>
          </rPr>
          <t xml:space="preserve">Write-off recorded 9/04 as the results of the Idaho General Rate Case
</t>
        </r>
      </text>
    </comment>
    <comment ref="M454" authorId="1" shapeId="0">
      <text>
        <r>
          <rPr>
            <sz val="8"/>
            <color indexed="81"/>
            <rFont val="Tahoma"/>
            <family val="2"/>
          </rPr>
          <t xml:space="preserve">Write-off recorded 9/04 as the results of the Idaho General Rate Case
</t>
        </r>
      </text>
    </comment>
    <comment ref="B455" authorId="1" shapeId="0">
      <text>
        <r>
          <rPr>
            <sz val="8"/>
            <color indexed="81"/>
            <rFont val="Tahoma"/>
            <family val="2"/>
          </rPr>
          <t xml:space="preserve">Write-off recorded 9/04 as the results of the Idaho General Rate Case
</t>
        </r>
      </text>
    </comment>
    <comment ref="M455" authorId="1" shapeId="0">
      <text>
        <r>
          <rPr>
            <sz val="8"/>
            <color indexed="81"/>
            <rFont val="Tahoma"/>
            <family val="2"/>
          </rPr>
          <t xml:space="preserve">Write-off recorded 9/04 as the results of the Idaho General Rate Case
</t>
        </r>
      </text>
    </comment>
    <comment ref="B456" authorId="1" shapeId="0">
      <text>
        <r>
          <rPr>
            <sz val="8"/>
            <color indexed="81"/>
            <rFont val="Tahoma"/>
            <family val="2"/>
          </rPr>
          <t xml:space="preserve">Write-off recorded 9/04 as the results of the Idaho General Rate Case
</t>
        </r>
      </text>
    </comment>
    <comment ref="M456" authorId="1" shapeId="0">
      <text>
        <r>
          <rPr>
            <sz val="8"/>
            <color indexed="81"/>
            <rFont val="Tahoma"/>
            <family val="2"/>
          </rPr>
          <t xml:space="preserve">Write-off recorded 9/04 as the results of the Idaho General Rate Case
</t>
        </r>
      </text>
    </comment>
  </commentList>
</comments>
</file>

<file path=xl/comments4.xml><?xml version="1.0" encoding="utf-8"?>
<comments xmlns="http://schemas.openxmlformats.org/spreadsheetml/2006/main">
  <authors>
    <author>rzk7kq</author>
  </authors>
  <commentList>
    <comment ref="B52"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18"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sharedStrings.xml><?xml version="1.0" encoding="utf-8"?>
<sst xmlns="http://schemas.openxmlformats.org/spreadsheetml/2006/main" count="918" uniqueCount="654">
  <si>
    <t>(000'S OF DOLLARS)</t>
  </si>
  <si>
    <t xml:space="preserve">Deferred </t>
  </si>
  <si>
    <t>Settlement</t>
  </si>
  <si>
    <t>Eliminate</t>
  </si>
  <si>
    <t>Injuries</t>
  </si>
  <si>
    <t>Restate</t>
  </si>
  <si>
    <t>Office Space</t>
  </si>
  <si>
    <t>Line</t>
  </si>
  <si>
    <t>FIT</t>
  </si>
  <si>
    <t>Common</t>
  </si>
  <si>
    <t>Power</t>
  </si>
  <si>
    <t>B &amp; O</t>
  </si>
  <si>
    <t>Property</t>
  </si>
  <si>
    <t>Regulatory</t>
  </si>
  <si>
    <t xml:space="preserve">and </t>
  </si>
  <si>
    <t>Debt</t>
  </si>
  <si>
    <t>Charges to</t>
  </si>
  <si>
    <t>Restated</t>
  </si>
  <si>
    <t>No.</t>
  </si>
  <si>
    <t>DESCRIPTION</t>
  </si>
  <si>
    <t>Rate Base</t>
  </si>
  <si>
    <t>Adjustment</t>
  </si>
  <si>
    <t>Supply</t>
  </si>
  <si>
    <t>Taxes</t>
  </si>
  <si>
    <t>Tax</t>
  </si>
  <si>
    <t>Expense</t>
  </si>
  <si>
    <t>Damages</t>
  </si>
  <si>
    <t>Interest</t>
  </si>
  <si>
    <t>Revenues</t>
  </si>
  <si>
    <t>TOTAL</t>
  </si>
  <si>
    <t>REVENUES</t>
  </si>
  <si>
    <t>Total General Business</t>
  </si>
  <si>
    <t>Interdepartmental Sales</t>
  </si>
  <si>
    <t>Sales for Resale</t>
  </si>
  <si>
    <t>Other Revenue</t>
  </si>
  <si>
    <t>EXPENSES</t>
  </si>
  <si>
    <t>Production and Transmission</t>
  </si>
  <si>
    <t>Purchased Power</t>
  </si>
  <si>
    <t>Distribution</t>
  </si>
  <si>
    <t>Customer Accounting</t>
  </si>
  <si>
    <t>Customer Service &amp; Information</t>
  </si>
  <si>
    <t>Sales Expenses</t>
  </si>
  <si>
    <t>Administrative &amp; General</t>
  </si>
  <si>
    <t>Total Electric Expenses</t>
  </si>
  <si>
    <t>NET OPERATING INCOME</t>
  </si>
  <si>
    <t>RATE BASE</t>
  </si>
  <si>
    <t>PLANT IN SERVICE</t>
  </si>
  <si>
    <t>ACCUMULATED DEPRECIATION</t>
  </si>
  <si>
    <t>TOTAL RATE BASE</t>
  </si>
  <si>
    <t>Idaho</t>
  </si>
  <si>
    <t>Restatement Summary</t>
  </si>
  <si>
    <t>Washington Electric</t>
  </si>
  <si>
    <t>Column</t>
  </si>
  <si>
    <t>Description</t>
  </si>
  <si>
    <t xml:space="preserve">NOI   </t>
  </si>
  <si>
    <t>ROR</t>
  </si>
  <si>
    <t>ELECTRIC ADJUSTMENT SUMMARY</t>
  </si>
  <si>
    <t>PER RESULTS OF</t>
  </si>
  <si>
    <t>OPERATIONS REPORTS</t>
  </si>
  <si>
    <t>ELECTRIC</t>
  </si>
  <si>
    <t xml:space="preserve"> No.</t>
  </si>
  <si>
    <t>System</t>
  </si>
  <si>
    <t>Washington</t>
  </si>
  <si>
    <t>Check</t>
  </si>
  <si>
    <t>Sales For Resale</t>
  </si>
  <si>
    <t xml:space="preserve">   Total Sales of Electricity</t>
  </si>
  <si>
    <t xml:space="preserve">   Total Electric Revenue</t>
  </si>
  <si>
    <t xml:space="preserve">   Operating Expenses</t>
  </si>
  <si>
    <t xml:space="preserve">   Purchased Power</t>
  </si>
  <si>
    <t xml:space="preserve">   Taxes</t>
  </si>
  <si>
    <t xml:space="preserve">      Total Production &amp; Transmission</t>
  </si>
  <si>
    <t xml:space="preserve">      Total Distribution</t>
  </si>
  <si>
    <t xml:space="preserve">      Total Admin. &amp; General</t>
  </si>
  <si>
    <t>Operating Income before FIT</t>
  </si>
  <si>
    <t>Federal Income Taxes</t>
  </si>
  <si>
    <t xml:space="preserve">   Current Accrual </t>
  </si>
  <si>
    <t xml:space="preserve">   Deferred Income Taxes</t>
  </si>
  <si>
    <t xml:space="preserve">   Amortized ITC</t>
  </si>
  <si>
    <t xml:space="preserve">   Intangible</t>
  </si>
  <si>
    <t xml:space="preserve">   Production</t>
  </si>
  <si>
    <t xml:space="preserve">   Transmission</t>
  </si>
  <si>
    <t xml:space="preserve">   Distribution</t>
  </si>
  <si>
    <t xml:space="preserve">   General</t>
  </si>
  <si>
    <t xml:space="preserve">      Total Plant in Service</t>
  </si>
  <si>
    <t>INPUTS</t>
  </si>
  <si>
    <t>ACCUMULATED AMORTIZATION</t>
  </si>
  <si>
    <t>AVISTA UTILITIES</t>
  </si>
  <si>
    <t>WA Power</t>
  </si>
  <si>
    <t>Cost Defer</t>
  </si>
  <si>
    <t>Nez Perce</t>
  </si>
  <si>
    <t xml:space="preserve">Line </t>
  </si>
  <si>
    <t>(000's of</t>
  </si>
  <si>
    <t>Capital</t>
  </si>
  <si>
    <t>Weighted</t>
  </si>
  <si>
    <t>Dollars)</t>
  </si>
  <si>
    <t>Component</t>
  </si>
  <si>
    <t>Amount</t>
  </si>
  <si>
    <t>Structure</t>
  </si>
  <si>
    <t>Cost</t>
  </si>
  <si>
    <t>L/T Debt</t>
  </si>
  <si>
    <t>Proposed Rate of Return</t>
  </si>
  <si>
    <t>Net Operating Income Requirement</t>
  </si>
  <si>
    <t>S/T Debt</t>
  </si>
  <si>
    <t>Pref Trust</t>
  </si>
  <si>
    <t>Pref Stock</t>
  </si>
  <si>
    <t>Pro Forma Net Operating Income</t>
  </si>
  <si>
    <t>Net Operating Income Deficiency</t>
  </si>
  <si>
    <t>Total</t>
  </si>
  <si>
    <t>Conversion Factor</t>
  </si>
  <si>
    <t>Revenue Requirement</t>
  </si>
  <si>
    <t>Total General Business Revenues</t>
  </si>
  <si>
    <t>Percentage Revenue Increase</t>
  </si>
  <si>
    <t>AUTHORIZED 1998 TEST YEAR</t>
  </si>
  <si>
    <t>RESULTS OF OPERATIONS</t>
  </si>
  <si>
    <t>Description of Adjustment</t>
  </si>
  <si>
    <t>ProForma</t>
  </si>
  <si>
    <t>Theoretical</t>
  </si>
  <si>
    <t>(000's)</t>
  </si>
  <si>
    <t>Adjustment Description</t>
  </si>
  <si>
    <t>Adjustments</t>
  </si>
  <si>
    <t>Restated Debt Interest</t>
  </si>
  <si>
    <t>Capitalized Interest</t>
  </si>
  <si>
    <t>Increase (Decrease) in Interest Expense</t>
  </si>
  <si>
    <t>FIT Rate</t>
  </si>
  <si>
    <t>Increase (Decrease) in FIT</t>
  </si>
  <si>
    <t>Equity AFUDC</t>
  </si>
  <si>
    <t>Borrowed AFUDC</t>
  </si>
  <si>
    <t xml:space="preserve">   Capitalized Interest</t>
  </si>
  <si>
    <t>Allocated</t>
  </si>
  <si>
    <t>Percentage</t>
  </si>
  <si>
    <t>Electric CWIP</t>
  </si>
  <si>
    <t>Gas CWIP</t>
  </si>
  <si>
    <t>WPNG CWIP</t>
  </si>
  <si>
    <t xml:space="preserve">   Total</t>
  </si>
  <si>
    <t>WA Electric CWIP</t>
  </si>
  <si>
    <t>ID Electric CWIP</t>
  </si>
  <si>
    <t>WA Gas CWIP</t>
  </si>
  <si>
    <t>ID Gas CWIP</t>
  </si>
  <si>
    <t>Washington - Electric</t>
  </si>
  <si>
    <t>Weighted Average Cost of Debt</t>
  </si>
  <si>
    <t>Idaho - Electric</t>
  </si>
  <si>
    <t>Related Exp</t>
  </si>
  <si>
    <t>Washington - Electric System</t>
  </si>
  <si>
    <t>Revenue Conversion Factor</t>
  </si>
  <si>
    <t>Factor</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</si>
  <si>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</si>
  <si>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</si>
  <si>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</si>
  <si>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</si>
  <si>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</si>
  <si>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</si>
  <si>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</si>
  <si>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</si>
  <si>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Pro Forma Rate Base</t>
  </si>
  <si>
    <t>Rev and</t>
  </si>
  <si>
    <t>Normalization</t>
  </si>
  <si>
    <t>Restated Rate Base</t>
  </si>
  <si>
    <t xml:space="preserve">AVISTA UTILITIES  </t>
  </si>
  <si>
    <t xml:space="preserve">(000'S OF DOLLARS)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</si>
  <si>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</si>
  <si>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</si>
  <si>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</si>
  <si>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</si>
  <si>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</si>
  <si>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</si>
  <si>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</si>
  <si>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</si>
  <si>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</si>
  <si>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</si>
  <si>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</si>
  <si>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Taxes  </t>
  </si>
  <si>
    <t xml:space="preserve">Total Production &amp; Transmission  </t>
  </si>
  <si>
    <t xml:space="preserve">Distribution  </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</si>
  <si>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</si>
  <si>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</si>
  <si>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</si>
  <si>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</si>
  <si>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</si>
  <si>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</si>
  <si>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</si>
  <si>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</si>
  <si>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</si>
  <si>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Deferred Income Taxes  </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</si>
  <si>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</si>
  <si>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</si>
  <si>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</si>
  <si>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</si>
  <si>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</si>
  <si>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</si>
  <si>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</si>
  <si>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</si>
  <si>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 xml:space="preserve">DEFERRED TAXES  </t>
  </si>
  <si>
    <t xml:space="preserve">TOTAL RATE BASE  </t>
  </si>
  <si>
    <t>Net</t>
  </si>
  <si>
    <t>Excise</t>
  </si>
  <si>
    <t>updated for 2006</t>
  </si>
  <si>
    <t>NOI Requirement</t>
  </si>
  <si>
    <t>WA wtd debt</t>
  </si>
  <si>
    <t>ID wtd debt</t>
  </si>
  <si>
    <t>ID excludes STD</t>
  </si>
  <si>
    <t>Not Necessary - this calcuation should not be removed from above to determine adj. - LMA</t>
  </si>
  <si>
    <t>Below</t>
  </si>
  <si>
    <t xml:space="preserve"> Interest Per Results (E-FIT-12A)</t>
  </si>
  <si>
    <t xml:space="preserve">(Breakdown </t>
  </si>
  <si>
    <t>b/w LTD &amp; STD)</t>
  </si>
  <si>
    <t>Restating</t>
  </si>
  <si>
    <t>updated for 2007 LMA</t>
  </si>
  <si>
    <t>REVENUE REQUIREMENT</t>
  </si>
  <si>
    <t>Done</t>
  </si>
  <si>
    <t>Not Done</t>
  </si>
  <si>
    <t>Jeanne</t>
  </si>
  <si>
    <t>Amortized ITC - Noxon</t>
  </si>
  <si>
    <t xml:space="preserve">WORKING CAPITAL </t>
  </si>
  <si>
    <t>Working</t>
  </si>
  <si>
    <t>Calculation of General Revenue Requirement</t>
  </si>
  <si>
    <t>Revised Allowed Rate of Return - agreed to</t>
  </si>
  <si>
    <t xml:space="preserve">Gains / </t>
  </si>
  <si>
    <t>Losses</t>
  </si>
  <si>
    <t xml:space="preserve">Debits and </t>
  </si>
  <si>
    <t>Credits</t>
  </si>
  <si>
    <t xml:space="preserve">Results of </t>
  </si>
  <si>
    <t xml:space="preserve">Operations </t>
  </si>
  <si>
    <t>Restating adjustments</t>
  </si>
  <si>
    <t>Debt Interest</t>
  </si>
  <si>
    <t>ROO</t>
  </si>
  <si>
    <t xml:space="preserve">Blue = Input </t>
  </si>
  <si>
    <t>Total Accumulated Depreciation</t>
  </si>
  <si>
    <t xml:space="preserve">NET PLANT </t>
  </si>
  <si>
    <t xml:space="preserve">DEFERRED DEBITS AND CREDITS </t>
  </si>
  <si>
    <t>DEFERRED DEBITS AND CREDITS</t>
  </si>
  <si>
    <t xml:space="preserve">      Total Accumulated Depreciation</t>
  </si>
  <si>
    <t>Black = Formula/Text</t>
  </si>
  <si>
    <t>REVENUE</t>
  </si>
  <si>
    <t>SALES OF ELECTRICITY:</t>
  </si>
  <si>
    <t>Residential</t>
  </si>
  <si>
    <t>Commercial - Firm &amp; Int.</t>
  </si>
  <si>
    <t>Industrial</t>
  </si>
  <si>
    <t>Public Street &amp; Highway Lighting</t>
  </si>
  <si>
    <t>499XXX</t>
  </si>
  <si>
    <t>Unbilled Revenue</t>
  </si>
  <si>
    <t>Interdepartmental Revenue</t>
  </si>
  <si>
    <t>TOTAL SALES TO ULTIMATE CUSTOMERS</t>
  </si>
  <si>
    <t>447XXX</t>
  </si>
  <si>
    <t>TOTAL SALES OF ELECTRICITY</t>
  </si>
  <si>
    <t>OTHER OPERATING REVENUE:</t>
  </si>
  <si>
    <t>Miscellaneous Service Revenue</t>
  </si>
  <si>
    <t>Sales of Water &amp; Water Power</t>
  </si>
  <si>
    <t>Rent from Electric Property</t>
  </si>
  <si>
    <t>456XXX</t>
  </si>
  <si>
    <t>Other Electric Revenues</t>
  </si>
  <si>
    <t>TOTAL OTHER OPERATING REVENUE</t>
  </si>
  <si>
    <t>TOTAL ELECTRIC REVENUE</t>
  </si>
  <si>
    <t>EXPENSE</t>
  </si>
  <si>
    <t>STEAM POWER GENERATION EXPENSE:</t>
  </si>
  <si>
    <t xml:space="preserve">  OPERATION</t>
  </si>
  <si>
    <t>Supervision &amp; Engineering</t>
  </si>
  <si>
    <t>Fuel</t>
  </si>
  <si>
    <t>Steam Expense</t>
  </si>
  <si>
    <t>Electric Expense</t>
  </si>
  <si>
    <t>Miscellaneous Steam Power Generation Expense</t>
  </si>
  <si>
    <t>Rent</t>
  </si>
  <si>
    <t xml:space="preserve">  MAINTENANCE</t>
  </si>
  <si>
    <t>Structures</t>
  </si>
  <si>
    <t>Boiler Plant</t>
  </si>
  <si>
    <t>Electric Plant</t>
  </si>
  <si>
    <t>Miscellaneous Steam Plant</t>
  </si>
  <si>
    <t>TOTAL STEAM POWER GENERATION EXP</t>
  </si>
  <si>
    <t>HYDRAULIC POWER GENERATION EXP:</t>
  </si>
  <si>
    <t>Water for Power</t>
  </si>
  <si>
    <t>Hydraulic Expense</t>
  </si>
  <si>
    <t>Miscellaneous Hydraulic Power Generation Exp</t>
  </si>
  <si>
    <t>MT Trust Funds Land Settlement Rents</t>
  </si>
  <si>
    <t>Reservoirs, Dams, &amp; Waterways</t>
  </si>
  <si>
    <t>Miscellaneous Hydraulic Plant</t>
  </si>
  <si>
    <t>TOTAL HYDRO POWER GENERATION EXP</t>
  </si>
  <si>
    <t>OTHER POWER GENERATION EXPENSE:</t>
  </si>
  <si>
    <t>Generation Expense</t>
  </si>
  <si>
    <t>Miscellaneous Other Power Generation Expense</t>
  </si>
  <si>
    <t>Generating &amp; Electric Equipment</t>
  </si>
  <si>
    <t>Miscellaneous Other Power Generation Plant</t>
  </si>
  <si>
    <t>TOTAL OTHER POWER GENERATION EXP</t>
  </si>
  <si>
    <t>OTHER POWER SUPPLY EXPENSE:</t>
  </si>
  <si>
    <t>555XXX</t>
  </si>
  <si>
    <t>System Control &amp; Load Dispatching</t>
  </si>
  <si>
    <t>557XXX</t>
  </si>
  <si>
    <t>Other Expense</t>
  </si>
  <si>
    <t>TOTAL OTHER POWER SUPPLY EXPENSE</t>
  </si>
  <si>
    <t>TOTAL PRODUCTION OPERATING EXP</t>
  </si>
  <si>
    <t>TRANSMISSION OPERATING EXPENSE:</t>
  </si>
  <si>
    <t>Load Dispatching</t>
  </si>
  <si>
    <t>Station Expense</t>
  </si>
  <si>
    <t>Overhead Line Expense</t>
  </si>
  <si>
    <t>Transmission of Electricity by Others</t>
  </si>
  <si>
    <t>Miscellaneous Transmission Expense</t>
  </si>
  <si>
    <t>Station Equipment</t>
  </si>
  <si>
    <t>Overhead Lines</t>
  </si>
  <si>
    <t>Underground Lines</t>
  </si>
  <si>
    <t>Service Miscellaneous</t>
  </si>
  <si>
    <t>TOTAL TRANSMISSION OPERATING EXP</t>
  </si>
  <si>
    <t>Depreciation Expense-Production</t>
  </si>
  <si>
    <t>Depreciation Expense-Transmission</t>
  </si>
  <si>
    <t>Amortization Expense-Franchises/Misc Intangibles</t>
  </si>
  <si>
    <t>Amortization of Investment in WNP3 Exch Power</t>
  </si>
  <si>
    <t>Amort of Acq Adj--Colstrip Common AFUDC</t>
  </si>
  <si>
    <t>Amortization of Lancaster Generation</t>
  </si>
  <si>
    <t>Amortization of Spokane River Relicense</t>
  </si>
  <si>
    <t>Amortization of CDA CDR Fund</t>
  </si>
  <si>
    <t>Amortization of ID DSIT</t>
  </si>
  <si>
    <t>Amortization of CNC Transmission</t>
  </si>
  <si>
    <t>Amortization of Wartsila Generators</t>
  </si>
  <si>
    <t>Amortization of CDA Settlement - Allocated</t>
  </si>
  <si>
    <t>Amortization of CDA Settlement - Direct</t>
  </si>
  <si>
    <t>Optional Renewable Power Revenue Offset</t>
  </si>
  <si>
    <t>Amortization of Dissallowed K.F. Plant</t>
  </si>
  <si>
    <t>Amortization of Boulder Park Write Off - Idaho</t>
  </si>
  <si>
    <t>Amortization of CS2 Levelized Return</t>
  </si>
  <si>
    <t>407450/407499</t>
  </si>
  <si>
    <t>Amortization of BPA Residential Exchange Credit</t>
  </si>
  <si>
    <t>Amortization of Deferred CS2 &amp; COLSTRIP O&amp;M</t>
  </si>
  <si>
    <t>Taxes Other Than FIT--Prod &amp; Trans</t>
  </si>
  <si>
    <t>TOTAL P/T DEPR/AMRT/NON-FIT TAXES</t>
  </si>
  <si>
    <t>TOTAL PRODUCTION &amp; TRANSMISSION EXPENSE</t>
  </si>
  <si>
    <t>DISTRIBUTION EXPENSES:</t>
  </si>
  <si>
    <t>OPERATION:</t>
  </si>
  <si>
    <t>Underground Line Expense</t>
  </si>
  <si>
    <t>Street Light &amp; Signal System Operation Expense</t>
  </si>
  <si>
    <t>Meter Expense</t>
  </si>
  <si>
    <t>Customer Installations Expense</t>
  </si>
  <si>
    <t>Miscellaneous Distribution Expense</t>
  </si>
  <si>
    <t>MAINTENANCE:</t>
  </si>
  <si>
    <t>Line Transformers</t>
  </si>
  <si>
    <t>Street Light &amp; Signal System Maintenance Exp</t>
  </si>
  <si>
    <t>Meters</t>
  </si>
  <si>
    <t>TOTAL DISTRIBUTION OPERATING EXP</t>
  </si>
  <si>
    <t>Depreciation Expense-Distribution</t>
  </si>
  <si>
    <t>Taxes Other Than FIT--Distribution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</si>
  <si>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</si>
  <si>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</si>
  <si>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</si>
  <si>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</si>
  <si>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</si>
  <si>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</si>
  <si>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</si>
  <si>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</si>
  <si>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</si>
  <si>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</si>
  <si>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</si>
  <si>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</si>
  <si>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</si>
  <si>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</si>
  <si>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</si>
  <si>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</si>
  <si>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</si>
  <si>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</si>
  <si>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</si>
  <si>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</si>
  <si>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</si>
  <si>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</si>
  <si>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</si>
  <si>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 Transferred--Credit</t>
  </si>
  <si>
    <t>Outside Services Employed</t>
  </si>
  <si>
    <t>Property Insurance Premium</t>
  </si>
  <si>
    <t>925XXX</t>
  </si>
  <si>
    <t>Injuries and Damages</t>
  </si>
  <si>
    <t>926XXX</t>
  </si>
  <si>
    <t>Employee Pensions and Benefits</t>
  </si>
  <si>
    <t>Franchise Requirements</t>
  </si>
  <si>
    <t>Regulatory Commission Expenses</t>
  </si>
  <si>
    <t>Miscellaneous General Expenses</t>
  </si>
  <si>
    <t>Rents</t>
  </si>
  <si>
    <t>Maintenance of General Plant</t>
  </si>
  <si>
    <t>TOTAL ADMIN &amp; GEN OPERATING EXP</t>
  </si>
  <si>
    <t>Depreciation Expense-General</t>
  </si>
  <si>
    <t>Amortization Expense-General Plant - 303000</t>
  </si>
  <si>
    <t>Amortization Expense-Miscellaneous IT Intangible</t>
  </si>
  <si>
    <t>Amortization Expense-General Plant - 390200, 396200</t>
  </si>
  <si>
    <t>TOTAL A&amp;G DEPR/AMRT/NON-FIT TAXES</t>
  </si>
  <si>
    <t>TOTAL ADMIN &amp; GENERAL EXPENSES</t>
  </si>
  <si>
    <t>TOTAL EXPENSES BEFORE FIT</t>
  </si>
  <si>
    <t>NET OPERATING INCOME BEFORE FIT</t>
  </si>
  <si>
    <t>FEDERAL INCOME TAX--Normal Accrual</t>
  </si>
  <si>
    <t>DEFERRED FEDERAL INCOME TAX</t>
  </si>
  <si>
    <t>AMORTIZED ITC - NOXON</t>
  </si>
  <si>
    <t>ELECTRIC NET OPERATING INCOME</t>
  </si>
  <si>
    <t>INTANGIBLE PLANT:</t>
  </si>
  <si>
    <t>Franchises &amp; Consents</t>
  </si>
  <si>
    <t>Misc Intangible Plt- (303000)</t>
  </si>
  <si>
    <t>Misc Intangible Plt-Mainframe Software (303100)</t>
  </si>
  <si>
    <t xml:space="preserve">  TOTAL INTANGIBLE PLANT</t>
  </si>
  <si>
    <t>STEAM PRODUCTION PLANT:</t>
  </si>
  <si>
    <t>310XXX</t>
  </si>
  <si>
    <t>Land &amp; Land Rights</t>
  </si>
  <si>
    <t>311XXX</t>
  </si>
  <si>
    <t>Structures &amp; Improvements</t>
  </si>
  <si>
    <t>Generators</t>
  </si>
  <si>
    <t>Turbogenerator Units</t>
  </si>
  <si>
    <t>Accessory Electric Equipment</t>
  </si>
  <si>
    <t>Miscellaneous Power Plant Equipment</t>
  </si>
  <si>
    <t>TOTAL STEAM PRODUCTION PLANT</t>
  </si>
  <si>
    <t>HYDRAULIC PRODUCTION PLANT:</t>
  </si>
  <si>
    <t>330XXX</t>
  </si>
  <si>
    <t>331XXX</t>
  </si>
  <si>
    <t>332XXX</t>
  </si>
  <si>
    <t>Waterwheels, Turbines, &amp; Generators</t>
  </si>
  <si>
    <t>335XXX</t>
  </si>
  <si>
    <t>Roads, Railroads, &amp; Bridges</t>
  </si>
  <si>
    <t>TOTAL HYDRAULIC PRODUCTION PLANT</t>
  </si>
  <si>
    <t>OTHER PRODUCTION PLANT:</t>
  </si>
  <si>
    <t>Fuel Holders, Producers, &amp; Accessories</t>
  </si>
  <si>
    <t>Prime Movers</t>
  </si>
  <si>
    <t>TOTAL OTHER PRODUCTION PLANT</t>
  </si>
  <si>
    <t>TOTAL PRODUCTION PLANT</t>
  </si>
  <si>
    <t>TRANSMISSION PLANT:</t>
  </si>
  <si>
    <t>350XXX</t>
  </si>
  <si>
    <t>352XXX</t>
  </si>
  <si>
    <t>Towers &amp; Fixtures</t>
  </si>
  <si>
    <t>Poles &amp; Fixtures</t>
  </si>
  <si>
    <t>Overhead Conductors &amp; Devices</t>
  </si>
  <si>
    <t>Underground Conduit</t>
  </si>
  <si>
    <t>Underground Conductors &amp; Devices</t>
  </si>
  <si>
    <t>Roads &amp; Trails</t>
  </si>
  <si>
    <t>TOTAL TRANSMISSION PLANT</t>
  </si>
  <si>
    <t>DISTRIBUTION PLANT:</t>
  </si>
  <si>
    <t>Land Easements</t>
  </si>
  <si>
    <t>Poles, Towers, &amp; Fixtures</t>
  </si>
  <si>
    <t>369XXX</t>
  </si>
  <si>
    <t>Services</t>
  </si>
  <si>
    <t>373XXX</t>
  </si>
  <si>
    <t>Street Light &amp; Signal Systems</t>
  </si>
  <si>
    <t>TOTAL DISTRIBUTION PLANT</t>
  </si>
  <si>
    <t>GENERAL PLANT: (From Report C-GPL)</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</si>
  <si>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</si>
  <si>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</si>
  <si>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</si>
  <si>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</si>
  <si>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</si>
  <si>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</si>
  <si>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</si>
  <si>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</si>
  <si>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</si>
  <si>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</si>
  <si>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</si>
  <si>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</si>
  <si>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</si>
  <si>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</si>
  <si>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</si>
  <si>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TOTAL PLANT IN SERVICE</t>
  </si>
  <si>
    <t>Steam Production Plant</t>
  </si>
  <si>
    <t>Hydro Production Plant</t>
  </si>
  <si>
    <t>Other Production Plant</t>
  </si>
  <si>
    <t>Transmission Plant</t>
  </si>
  <si>
    <t>Distribution Plant</t>
  </si>
  <si>
    <t>General Plant</t>
  </si>
  <si>
    <t xml:space="preserve">  TOTAL ACCUMULATED DEPRECIATION</t>
  </si>
  <si>
    <t>Production/Transmission-Franchises/Misc Intangibles</t>
  </si>
  <si>
    <t>Distribution-Franchises/Misc Intangibles</t>
  </si>
  <si>
    <t>General Plant - 303000</t>
  </si>
  <si>
    <t>Miscellaneous IT Intangible Plant -3031XX</t>
  </si>
  <si>
    <t>General Plant - 390200, 396200</t>
  </si>
  <si>
    <t xml:space="preserve">  TOTAL ACCUMULATED AMORTIZATION</t>
  </si>
  <si>
    <t>TOTAL ACCUMULATED DEPR/AMORT</t>
  </si>
  <si>
    <t>NET ELECTRIC UTILITY PLANT before DFIT</t>
  </si>
  <si>
    <t>ACCUMULATED DFIT</t>
  </si>
  <si>
    <t>ADFIT - FAS 109 Electric Plant (182310, 283170)</t>
  </si>
  <si>
    <t>ADFIT - Colstrip PCB  (283200)</t>
  </si>
  <si>
    <t>ADFIT - Electric Plant In Service  (282900)</t>
  </si>
  <si>
    <t>ADFIT - Common Plant (282900 from C-DTX)</t>
  </si>
  <si>
    <t>ADFIT - Lake CDA CDR Fund - Allocated (283324)</t>
  </si>
  <si>
    <t>ADFIT - CDA IPA Fund Deposit (283325)</t>
  </si>
  <si>
    <t>ADFIT - CDA Lake Settlement - Allocated (283382)</t>
  </si>
  <si>
    <t>ADFIT - Electric portion of Bond Redemptions (283850)</t>
  </si>
  <si>
    <t xml:space="preserve">  TOTAL ACCUMULATED DFIT</t>
  </si>
  <si>
    <t>NET ELECTRIC UTILITY PLANT</t>
  </si>
  <si>
    <t>OTHER ADJUSTMENTS</t>
  </si>
  <si>
    <t>Gain on Sale of General Office Bldg  (253850)</t>
  </si>
  <si>
    <t>ADFIT - Gain on Sale of General Office Bldg  (190850)</t>
  </si>
  <si>
    <t>Colstrip 3 AFUDC Reallocation</t>
  </si>
  <si>
    <t>Colstrip Common AFUDC  (186100)</t>
  </si>
  <si>
    <t>Colstrip Disallowed AFUDC  (111100)</t>
  </si>
  <si>
    <t>Kettle Falls Disallowed Accumulated Depr  (108030)</t>
  </si>
  <si>
    <t>ADFIT - Kettle Falls Disallowed (190420)</t>
  </si>
  <si>
    <t>Boulder Park Disallowed Plant (101050)</t>
  </si>
  <si>
    <t>Boulder Park Disallowed Accumulated Depr (108050)</t>
  </si>
  <si>
    <t>ADFIT - Boulder Park Disallowed (190040)</t>
  </si>
  <si>
    <t>Investment in WNP3 Exchange Power  (124900, 124930)</t>
  </si>
  <si>
    <t>ADFIT - WNP3 Exchange Power (283120)</t>
  </si>
  <si>
    <t>CDA Lake Settlement - WA (182382)</t>
  </si>
  <si>
    <t>CDA Lake Settlement - ID (186382)</t>
  </si>
  <si>
    <t>ADFIT - CDA Lake Settlement - Direct (283382)</t>
  </si>
  <si>
    <t>ADFIT - CDA CDR Fund - Direct (283324)</t>
  </si>
  <si>
    <t>Spokane River Relicensing (182322)</t>
  </si>
  <si>
    <t>ADFIT - Spokane River Relicensing (283322)</t>
  </si>
  <si>
    <t>Spokane River PM&amp;Es (182323)</t>
  </si>
  <si>
    <t>ADFIT - Spokane River PM&amp;Es (283323)</t>
  </si>
  <si>
    <t>Montana Riverbed Settlement (186360)</t>
  </si>
  <si>
    <t>ADFIT - Montana Riverbed Settlement (283365)</t>
  </si>
  <si>
    <t>Lancaster Generation (182312)</t>
  </si>
  <si>
    <t>ADFIT - Lancaster Generation (283312)</t>
  </si>
  <si>
    <t>Weatherization Loans - Sandpoint (124350)</t>
  </si>
  <si>
    <t>Customer Advances (252000)</t>
  </si>
  <si>
    <t>Customer Deposits (235199)</t>
  </si>
  <si>
    <t>Working Capital</t>
  </si>
  <si>
    <t>DSM Programs (186710)</t>
  </si>
  <si>
    <t>TOTAL OTHER ADJUSTMENTS</t>
  </si>
  <si>
    <t>NET RATE BASE</t>
  </si>
  <si>
    <t>Regulatory Amortization</t>
  </si>
  <si>
    <t xml:space="preserve">   Regulatory Amortization</t>
  </si>
  <si>
    <t xml:space="preserve">   Depreciation/Amortization</t>
  </si>
  <si>
    <t>Depreciation/Amortization</t>
  </si>
  <si>
    <t xml:space="preserve">Depreciation/Amortization  </t>
  </si>
  <si>
    <t>ACCUMULATED DEPRECIATION/AMORTIZATION</t>
  </si>
  <si>
    <t>DFIT</t>
  </si>
  <si>
    <t>NET PLANT AFTER DFIT</t>
  </si>
  <si>
    <t>NET PLANT BEFORE DFIT</t>
  </si>
  <si>
    <t>ACCUMULATED DEPRECIATION/AMORT</t>
  </si>
  <si>
    <t>Net Plant After DFIT</t>
  </si>
  <si>
    <t xml:space="preserve">    Debt Interest</t>
  </si>
  <si>
    <t>Interest Per Results (E-FIT-12A)</t>
  </si>
  <si>
    <t>Restate Debt Interest</t>
  </si>
  <si>
    <t>Reconciliation</t>
  </si>
  <si>
    <t>FIT Expense</t>
  </si>
  <si>
    <t>Line No. 27</t>
  </si>
  <si>
    <t>WP Ref</t>
  </si>
  <si>
    <t xml:space="preserve">Adjustment Number </t>
  </si>
  <si>
    <t>Workpaper Reference</t>
  </si>
  <si>
    <t>E-ROO</t>
  </si>
  <si>
    <t>E-DFIT</t>
  </si>
  <si>
    <t>E-DDC</t>
  </si>
  <si>
    <t xml:space="preserve">E-WC </t>
  </si>
  <si>
    <t>E-EBO</t>
  </si>
  <si>
    <t>E-ID</t>
  </si>
  <si>
    <t xml:space="preserve">E-FIT </t>
  </si>
  <si>
    <t>E-EWPC</t>
  </si>
  <si>
    <t>E-NPS</t>
  </si>
  <si>
    <t>E-RET</t>
  </si>
  <si>
    <t>E-NGL</t>
  </si>
  <si>
    <t>E-MR</t>
  </si>
  <si>
    <t>E-RDI</t>
  </si>
  <si>
    <t xml:space="preserve">Current Accrual </t>
  </si>
  <si>
    <t>Reviewed</t>
  </si>
  <si>
    <t>Other</t>
  </si>
  <si>
    <t>CF WA Elec</t>
  </si>
  <si>
    <t xml:space="preserve">All other </t>
  </si>
  <si>
    <t>R-Ttl</t>
  </si>
  <si>
    <t>Total Debt</t>
  </si>
  <si>
    <t>`</t>
  </si>
  <si>
    <t>Totals</t>
  </si>
  <si>
    <t>FINAL</t>
  </si>
  <si>
    <t>Electric</t>
  </si>
  <si>
    <t xml:space="preserve">Adj. Net Op. Income </t>
  </si>
  <si>
    <t>Less: Interest Charges (X-FIT-12A)</t>
  </si>
  <si>
    <t>Avista Utilities</t>
  </si>
  <si>
    <t>Return on Equity</t>
  </si>
  <si>
    <t>For Rate Period 2013</t>
  </si>
  <si>
    <t>Net Utility Ratebase (AMA Basis)</t>
  </si>
  <si>
    <t>Equity Percentage</t>
  </si>
  <si>
    <t>Equity Portion of Net Ratebase</t>
  </si>
  <si>
    <t>Utility Earnings</t>
  </si>
  <si>
    <t>Utility Earnings Available for Common</t>
  </si>
  <si>
    <t>OPEN</t>
  </si>
  <si>
    <t>E-OSC</t>
  </si>
  <si>
    <t>Colstrip 3 AFUDC Reallocation Adj</t>
  </si>
  <si>
    <t>Amortization of BPA Parallel Capacity Support</t>
  </si>
  <si>
    <t>Amortization of CDA Settlement Costs</t>
  </si>
  <si>
    <t>Amortization of WA Renewable Energy Credits</t>
  </si>
  <si>
    <t>Amortization of CS2 &amp; COLSTRIP O&amp;M</t>
  </si>
  <si>
    <t>Amortization of LiDAR O&amp;M</t>
  </si>
  <si>
    <t>Amortization of Wind Generation</t>
  </si>
  <si>
    <t>Amortization of Deferred LiDAR O&amp;M</t>
  </si>
  <si>
    <t>Optional Renew Solar Project Offset</t>
  </si>
  <si>
    <t>Def Palouse Wind &amp; Thornton Sw St</t>
  </si>
  <si>
    <t>CDA Lake CDR Fund - Allocated</t>
  </si>
  <si>
    <t>CDA Lake IPA Fund</t>
  </si>
  <si>
    <t>CDA Settlement Costs</t>
  </si>
  <si>
    <t>CDA Settlement Past Storage</t>
  </si>
  <si>
    <t>Generators - Solar</t>
  </si>
  <si>
    <t>Accessory Electric Equipment - Solar</t>
  </si>
  <si>
    <t>ADFIT - Common Plant (283750 from C-DTX)</t>
  </si>
  <si>
    <t>ADFIT - CDA Settlement Costs (283333)</t>
  </si>
  <si>
    <t>Kettle Falls Disallowed Plant  (101030)</t>
  </si>
  <si>
    <t>CDA CDR Fund - Direct (182324)</t>
  </si>
  <si>
    <t>CB</t>
  </si>
  <si>
    <t>FIT/DFIT</t>
  </si>
  <si>
    <t xml:space="preserve">Weather </t>
  </si>
  <si>
    <t>E-CBPS</t>
  </si>
  <si>
    <t xml:space="preserve">    CB Restated Total</t>
  </si>
  <si>
    <t>Cap Structure</t>
  </si>
  <si>
    <t>WASHINGTON ELECTRIC RESULTS  -CBR</t>
  </si>
  <si>
    <t>Uncollectible</t>
  </si>
  <si>
    <t>Miscellaneous</t>
  </si>
  <si>
    <t>Amortization of Colstrip Outage Return</t>
  </si>
  <si>
    <t>E-UE</t>
  </si>
  <si>
    <t>E-RE</t>
  </si>
  <si>
    <t>Tara</t>
  </si>
  <si>
    <t>Adder</t>
  </si>
  <si>
    <t>Schedules</t>
  </si>
  <si>
    <t>E-EAS</t>
  </si>
  <si>
    <t>E-WN</t>
  </si>
  <si>
    <t>(Total Restate Debt)</t>
  </si>
  <si>
    <t xml:space="preserve">RATE OF RETURN </t>
  </si>
  <si>
    <t>E-PT</t>
  </si>
  <si>
    <t>Provision for Rate Refund</t>
  </si>
  <si>
    <t>Energy Storage Equipment</t>
  </si>
  <si>
    <t>Amortization of BPA Settlement</t>
  </si>
  <si>
    <t>Idaho Earnings Test Amortization</t>
  </si>
  <si>
    <t>Misc Intangible Plant-PC Software (C-IPL)</t>
  </si>
  <si>
    <t>Energy Storage Eq/Computer Software</t>
  </si>
  <si>
    <t xml:space="preserve"> </t>
  </si>
  <si>
    <t>Annette</t>
  </si>
  <si>
    <t>Amortization of Spokane River TDG</t>
  </si>
  <si>
    <t>Amortization of Schedule 98 REC Rev</t>
  </si>
  <si>
    <t>Project Compass Deferral - ID</t>
  </si>
  <si>
    <t>351XXX</t>
  </si>
  <si>
    <t>Non-Utility</t>
  </si>
  <si>
    <t>Incentives</t>
  </si>
  <si>
    <t>Normalize</t>
  </si>
  <si>
    <t>CS2/Colstrip</t>
  </si>
  <si>
    <t>Major Maint</t>
  </si>
  <si>
    <t>Joel</t>
  </si>
  <si>
    <t>Land Ease Perpetual</t>
  </si>
  <si>
    <t>Electric Charging Stations</t>
  </si>
  <si>
    <t>-AMA for 12ME each year, using approved Commission method.</t>
  </si>
  <si>
    <t>Note: ROO actual varies slightly, not based on approved Commission method.</t>
  </si>
  <si>
    <t>Amortization of Project Compass</t>
  </si>
  <si>
    <t>Amortization of Colstrip Refund</t>
  </si>
  <si>
    <t>371XXX</t>
  </si>
  <si>
    <t>Installations on Customers' Premises</t>
  </si>
  <si>
    <t>2.18 (1)</t>
  </si>
  <si>
    <t>E-RI</t>
  </si>
  <si>
    <t>TWELVE MONTHS ENDED DECEMBER 31, 2017</t>
  </si>
  <si>
    <t>Actual Cost of Capital AMA 12/31/2017</t>
  </si>
  <si>
    <t>Regulatory Credit - Deferral - FISERVE</t>
  </si>
  <si>
    <t>Regulatory Credit - MDM System</t>
  </si>
  <si>
    <t>Misc Intangible Plant-Software 12.5 YR (C-IPL)</t>
  </si>
  <si>
    <t xml:space="preserve">Misc Intangible Plant-AMI Software </t>
  </si>
  <si>
    <t>CB AMA 12/2017</t>
  </si>
  <si>
    <t>($000s)</t>
  </si>
  <si>
    <t xml:space="preserve">(1)  Adjustment 2.18 “CB Power Supply” normalizes power supply costs to reflect the authorized level of net power supply costs for the twelve month period.  The Energy Recovery Mechanism (ERM), approved by the Commission, is designed to share all differences in actual vs authorized net power supply costs within the ERM between customers and the Company based on the pre-determined deadband and sharing bands embedded within the ERM.  The customer portion of the difference between actual vs authorized net power supply costs (higher or lower) is deferred and set aside for future rebate or surcharge to customers.  The Company portion of the deadband and sharing bands (higher or lower) is absorbed by the Company.  By normalizing power supply costs to reflect the authorized level, the Commission Basis Report reflects Company results after removing the agreed-upon treatment of differences in actual vs authorized net power supply costs. </t>
  </si>
  <si>
    <t>AMI</t>
  </si>
  <si>
    <t>Base</t>
  </si>
  <si>
    <t>Rate</t>
  </si>
  <si>
    <t xml:space="preserve">E-AMI </t>
  </si>
  <si>
    <t>Weather</t>
  </si>
  <si>
    <t>ET-Ttl</t>
  </si>
  <si>
    <t>Provision for</t>
  </si>
  <si>
    <t>Earnings Test Refund</t>
  </si>
  <si>
    <t>Decoupling</t>
  </si>
  <si>
    <t>Normalized</t>
  </si>
  <si>
    <t>Power Cost</t>
  </si>
  <si>
    <t>Allowed</t>
  </si>
  <si>
    <t>Capital Structure</t>
  </si>
  <si>
    <t>Debt Cost</t>
  </si>
  <si>
    <t>Earnings Test</t>
  </si>
  <si>
    <t xml:space="preserve">     Earnings Test Restated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</si>
</sst>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numFmt numFmtId="167" formatCode="_(&quot;$&quot;#,###_);_(&quot;$&quot;\ \(#,###\);_(* _);_(@_)"/>
    <numFmt numFmtId="168" formatCode="0.000000"/>
    <numFmt numFmtId="169" formatCode="0.000%"/>
    <numFmt numFmtId="170" formatCode="_(* #,##0_);_(* \(#,##0\);_(* &quot;-&quot;??_);_(@_)"/>
    <numFmt numFmtId="171" formatCode="&quot;x &quot;0.00"/>
    <numFmt numFmtId="172" formatCode="&quot;x &quot;0.000"/>
    <numFmt numFmtId="173" formatCode="0.00000"/>
    <numFmt numFmtId="174" formatCode="#,###.0_);\(#,###.0\)"/>
    <numFmt numFmtId="175" formatCode="0000.00"/>
    <numFmt numFmtId="176" formatCode="0000"/>
    <numFmt numFmtId="177" formatCode="_(* #,##0.0_);_(* \(#,##0.0\);_(* &quot;-&quot;_);_(@_)"/>
    <numFmt numFmtId="178" formatCode="_(&quot;$&quot;* #,##0_);_(&quot;$&quot;* \(#,##0\);_(&quot;$&quot;* &quot;-&quot;??_);_(@_)"/>
  </numFmts>
  <fonts count="52">
    <font>
      <sz val="10"/>
      <name val="Arial"/>
    </font>
    <font>
      <sz val="10"/>
      <name val="Arial"/>
      <family val="2"/>
    </font>
    <font>
      <sz val="10"/>
      <name val="Geneva"/>
      <family val="2"/>
    </font>
    <font>
      <sz val="9"/>
      <name val="Times New Roman"/>
      <family val="1"/>
    </font>
    <font>
      <b/>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b/>
      <sz val="9"/>
      <color indexed="20"/>
      <name val="Times New Roman"/>
      <family val="1"/>
    </font>
    <font>
      <sz val="9"/>
      <color indexed="20"/>
      <name val="Times New Roman"/>
      <family val="1"/>
    </font>
    <font>
      <i/>
      <sz val="10"/>
      <name val="Times New Roman"/>
      <family val="1"/>
    </font>
    <font>
      <b/>
      <sz val="10"/>
      <color indexed="12"/>
      <name val="Times New Roman"/>
      <family val="1"/>
    </font>
    <font>
      <sz val="10"/>
      <color indexed="57"/>
      <name val="Times New Roman"/>
      <family val="1"/>
    </font>
    <font>
      <sz val="10"/>
      <color indexed="12"/>
      <name val="Times New Roman"/>
      <family val="1"/>
    </font>
    <font>
      <sz val="10"/>
      <color indexed="21"/>
      <name val="Times New Roman"/>
      <family val="1"/>
    </font>
    <font>
      <sz val="10"/>
      <color indexed="10"/>
      <name val="Times New Roman"/>
      <family val="1"/>
    </font>
    <font>
      <b/>
      <u/>
      <sz val="10"/>
      <name val="Times New Roman"/>
      <family val="1"/>
    </font>
    <font>
      <b/>
      <i/>
      <sz val="10"/>
      <name val="Times New Roman"/>
      <family val="1"/>
    </font>
    <font>
      <sz val="10"/>
      <color indexed="48"/>
      <name val="Times New Roman"/>
      <family val="1"/>
    </font>
    <font>
      <sz val="10"/>
      <color indexed="17"/>
      <name val="Times New Roman"/>
      <family val="1"/>
    </font>
    <font>
      <sz val="8"/>
      <color indexed="81"/>
      <name val="Tahoma"/>
      <family val="2"/>
    </font>
    <font>
      <b/>
      <sz val="8"/>
      <color indexed="81"/>
      <name val="Tahoma"/>
      <family val="2"/>
    </font>
    <font>
      <b/>
      <sz val="8"/>
      <color indexed="10"/>
      <name val="Times New Roman"/>
      <family val="1"/>
    </font>
    <font>
      <b/>
      <sz val="10"/>
      <color indexed="10"/>
      <name val="Times New Roman"/>
      <family val="1"/>
    </font>
    <font>
      <u/>
      <sz val="10"/>
      <color indexed="12"/>
      <name val="Times New Roman"/>
      <family val="1"/>
    </font>
    <font>
      <sz val="12"/>
      <name val="Times New Roman"/>
      <family val="1"/>
    </font>
    <font>
      <b/>
      <sz val="10"/>
      <color indexed="81"/>
      <name val="Tahoma"/>
      <family val="2"/>
    </font>
    <font>
      <i/>
      <sz val="10"/>
      <color indexed="10"/>
      <name val="Times New Roman"/>
      <family val="1"/>
    </font>
    <font>
      <u/>
      <sz val="7.5"/>
      <color theme="0"/>
      <name val="Arial"/>
      <family val="2"/>
    </font>
    <font>
      <sz val="10"/>
      <color rgb="FFFF0000"/>
      <name val="Times New Roman"/>
      <family val="1"/>
    </font>
    <font>
      <b/>
      <sz val="9"/>
      <color rgb="FFC00000"/>
      <name val="Times New Roman"/>
      <family val="1"/>
    </font>
    <font>
      <sz val="12"/>
      <color indexed="10"/>
      <name val="Times New Roman"/>
      <family val="1"/>
    </font>
    <font>
      <b/>
      <sz val="9"/>
      <color rgb="FF0033CC"/>
      <name val="Times New Roman"/>
      <family val="1"/>
    </font>
    <font>
      <sz val="9"/>
      <color rgb="FF0033CC"/>
      <name val="Times New Roman"/>
      <family val="1"/>
    </font>
    <font>
      <sz val="11"/>
      <name val="Tms Rmn"/>
    </font>
    <font>
      <sz val="9"/>
      <color indexed="81"/>
      <name val="Tahoma"/>
      <family val="2"/>
    </font>
    <font>
      <i/>
      <sz val="10"/>
      <color rgb="FFFF0000"/>
      <name val="Times New Roman"/>
      <family val="1"/>
    </font>
    <font>
      <sz val="10"/>
      <color rgb="FFC00000"/>
      <name val="Times New Roman"/>
      <family val="1"/>
    </font>
    <font>
      <i/>
      <sz val="8"/>
      <name val="Times New Roman"/>
      <family val="1"/>
    </font>
    <font>
      <b/>
      <sz val="14"/>
      <name val="Times New Roman"/>
      <family val="1"/>
    </font>
    <font>
      <sz val="10"/>
      <color indexed="12"/>
      <name val="Arial"/>
      <family val="2"/>
    </font>
    <font>
      <sz val="9"/>
      <color rgb="FFC00000"/>
      <name val="Times New Roman"/>
      <family val="1"/>
    </font>
    <font>
      <sz val="10"/>
      <name val="Tahoma"/>
      <family val="2"/>
    </font>
    <font>
      <b/>
      <i/>
      <sz val="10"/>
      <color rgb="FFFF0000"/>
      <name val="Times New Roman"/>
      <family val="1"/>
    </font>
    <font>
      <u/>
      <sz val="10"/>
      <color rgb="FFFF0000"/>
      <name val="Times New Roman"/>
      <family val="1"/>
    </font>
    <font>
      <b/>
      <sz val="11"/>
      <name val="Times New Roman"/>
      <family val="1"/>
    </font>
    <font>
      <sz val="9"/>
      <color rgb="FFFF0000"/>
      <name val="Times New Roman"/>
      <family val="1"/>
    </font>
    <font>
      <sz val="12"/>
      <name val="Tms Rmn"/>
    </font>
    <font>
      <b/>
      <u/>
      <sz val="10"/>
      <color indexed="62"/>
      <name val="Times New Roman"/>
      <family val="1"/>
    </font>
    <font>
      <b/>
      <sz val="9"/>
      <color indexed="81"/>
      <name val="Tahoma"/>
      <family val="2"/>
    </font>
    <font>
      <b/>
      <sz val="10"/>
      <color rgb="FF0070C0"/>
      <name val="Times New Roman"/>
      <family val="1"/>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0" fontId="26" fillId="0" borderId="0"/>
    <xf numFmtId="0" fontId="32" fillId="4" borderId="0"/>
    <xf numFmtId="37" fontId="26" fillId="0" borderId="0"/>
    <xf numFmtId="43" fontId="43" fillId="0" borderId="0" applyFont="0" applyFill="0" applyBorder="0" applyAlignment="0" applyProtection="0"/>
  </cellStyleXfs>
  <cellXfs count="496">
    <xf numFmtId="0" fontId="0" fillId="0" borderId="0" xfId="0"/>
    <xf numFmtId="0" fontId="3" fillId="0" borderId="0" xfId="12" applyNumberFormat="1" applyFont="1" applyAlignment="1">
      <alignment horizontal="left"/>
    </xf>
    <xf numFmtId="0" fontId="3" fillId="0" borderId="0" xfId="12" applyFont="1"/>
    <xf numFmtId="0" fontId="3" fillId="0" borderId="0" xfId="12" applyNumberFormat="1" applyFont="1" applyAlignment="1">
      <alignment horizontal="center"/>
    </xf>
    <xf numFmtId="0" fontId="4" fillId="0" borderId="0" xfId="12" applyNumberFormat="1" applyFont="1" applyAlignment="1">
      <alignment horizontal="center"/>
    </xf>
    <xf numFmtId="0" fontId="4" fillId="0" borderId="0" xfId="12" applyFont="1" applyAlignment="1">
      <alignment horizontal="center"/>
    </xf>
    <xf numFmtId="3" fontId="4" fillId="0" borderId="0" xfId="12" applyNumberFormat="1" applyFont="1" applyFill="1" applyBorder="1" applyAlignment="1">
      <alignment horizontal="center"/>
    </xf>
    <xf numFmtId="0" fontId="4" fillId="0" borderId="1" xfId="12" applyNumberFormat="1" applyFont="1" applyBorder="1" applyAlignment="1">
      <alignment horizontal="center"/>
    </xf>
    <xf numFmtId="0" fontId="4" fillId="0" borderId="2" xfId="12" applyFont="1" applyBorder="1" applyAlignment="1">
      <alignment horizontal="center"/>
    </xf>
    <xf numFmtId="0" fontId="4" fillId="0" borderId="3" xfId="12" applyFont="1" applyBorder="1" applyAlignment="1">
      <alignment horizontal="center"/>
    </xf>
    <xf numFmtId="0" fontId="4" fillId="0" borderId="5" xfId="12" applyNumberFormat="1" applyFont="1" applyBorder="1" applyAlignment="1">
      <alignment horizontal="center"/>
    </xf>
    <xf numFmtId="0" fontId="4" fillId="0" borderId="6" xfId="12" applyFont="1" applyBorder="1" applyAlignment="1">
      <alignment horizontal="center"/>
    </xf>
    <xf numFmtId="0" fontId="4" fillId="0" borderId="0" xfId="12" applyFont="1" applyBorder="1" applyAlignment="1">
      <alignment horizontal="center"/>
    </xf>
    <xf numFmtId="0" fontId="4" fillId="0" borderId="8" xfId="12" applyNumberFormat="1" applyFont="1" applyBorder="1" applyAlignment="1">
      <alignment horizontal="center"/>
    </xf>
    <xf numFmtId="0" fontId="4" fillId="0" borderId="9" xfId="12" applyFont="1" applyBorder="1" applyAlignment="1">
      <alignment horizontal="center"/>
    </xf>
    <xf numFmtId="0" fontId="4" fillId="0" borderId="10" xfId="12" applyFont="1" applyBorder="1" applyAlignment="1">
      <alignment horizontal="center"/>
    </xf>
    <xf numFmtId="37" fontId="3" fillId="0" borderId="0" xfId="12" applyNumberFormat="1" applyFont="1" applyAlignment="1">
      <alignment horizontal="center"/>
    </xf>
    <xf numFmtId="5" fontId="3" fillId="0" borderId="0" xfId="12" applyNumberFormat="1" applyFont="1"/>
    <xf numFmtId="37" fontId="3" fillId="0" borderId="0" xfId="12" applyNumberFormat="1" applyFont="1"/>
    <xf numFmtId="167" fontId="3" fillId="0" borderId="0" xfId="10" applyNumberFormat="1" applyFont="1" applyFill="1" applyBorder="1"/>
    <xf numFmtId="3" fontId="3" fillId="0" borderId="0" xfId="9" applyNumberFormat="1" applyFont="1" applyAlignment="1">
      <alignment horizontal="center"/>
    </xf>
    <xf numFmtId="1" fontId="3" fillId="0" borderId="0" xfId="9" applyNumberFormat="1" applyFont="1" applyAlignment="1">
      <alignment horizontal="center"/>
    </xf>
    <xf numFmtId="0" fontId="6" fillId="0" borderId="0" xfId="0" applyFont="1"/>
    <xf numFmtId="0" fontId="7" fillId="0" borderId="0" xfId="0" applyFont="1" applyAlignment="1">
      <alignment horizontal="center"/>
    </xf>
    <xf numFmtId="0" fontId="6" fillId="0" borderId="0" xfId="0" applyFont="1" applyBorder="1"/>
    <xf numFmtId="0" fontId="7" fillId="0" borderId="0"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5" fontId="6" fillId="0" borderId="0" xfId="0" applyNumberFormat="1" applyFont="1" applyBorder="1"/>
    <xf numFmtId="3" fontId="6" fillId="0" borderId="0" xfId="0" applyNumberFormat="1" applyFont="1"/>
    <xf numFmtId="5" fontId="6" fillId="0" borderId="0" xfId="0" applyNumberFormat="1" applyFont="1"/>
    <xf numFmtId="0" fontId="6" fillId="0" borderId="0" xfId="0" applyFont="1" applyFill="1" applyAlignment="1">
      <alignment horizontal="center"/>
    </xf>
    <xf numFmtId="0" fontId="8" fillId="0" borderId="0" xfId="0" applyFont="1" applyAlignment="1">
      <alignment horizontal="center"/>
    </xf>
    <xf numFmtId="0" fontId="13" fillId="0" borderId="0" xfId="0" applyFont="1"/>
    <xf numFmtId="0" fontId="14" fillId="0" borderId="0" xfId="0" applyFont="1"/>
    <xf numFmtId="0" fontId="6" fillId="0" borderId="0" xfId="0" applyFont="1" applyAlignment="1">
      <alignment horizontal="left"/>
    </xf>
    <xf numFmtId="0" fontId="6" fillId="0" borderId="10" xfId="0" applyFont="1" applyBorder="1" applyAlignment="1">
      <alignment horizontal="left"/>
    </xf>
    <xf numFmtId="9" fontId="6" fillId="0" borderId="0" xfId="0" applyNumberFormat="1" applyFont="1" applyAlignment="1">
      <alignment horizontal="left"/>
    </xf>
    <xf numFmtId="0" fontId="6" fillId="0" borderId="0" xfId="0" applyFont="1" applyBorder="1" applyAlignment="1">
      <alignment horizontal="left"/>
    </xf>
    <xf numFmtId="3" fontId="6" fillId="0" borderId="0" xfId="11" applyNumberFormat="1" applyFont="1" applyAlignment="1">
      <alignment horizontal="centerContinuous"/>
    </xf>
    <xf numFmtId="0" fontId="6" fillId="0" borderId="0" xfId="11" applyFont="1" applyAlignment="1">
      <alignment horizontal="centerContinuous"/>
    </xf>
    <xf numFmtId="3" fontId="6" fillId="0" borderId="0" xfId="11" applyNumberFormat="1" applyFont="1"/>
    <xf numFmtId="3" fontId="6" fillId="0" borderId="0" xfId="11" applyNumberFormat="1" applyFont="1" applyBorder="1" applyAlignment="1">
      <alignment horizontal="centerContinuous"/>
    </xf>
    <xf numFmtId="0" fontId="6" fillId="0" borderId="0" xfId="11" applyFont="1" applyBorder="1" applyAlignment="1">
      <alignment horizontal="centerContinuous"/>
    </xf>
    <xf numFmtId="0" fontId="6" fillId="0" borderId="0" xfId="11" applyFont="1"/>
    <xf numFmtId="3" fontId="6" fillId="0" borderId="0" xfId="11" applyNumberFormat="1" applyFont="1" applyAlignment="1">
      <alignment horizontal="center"/>
    </xf>
    <xf numFmtId="0" fontId="6" fillId="0" borderId="0" xfId="11" applyFont="1" applyAlignment="1">
      <alignment horizontal="center"/>
    </xf>
    <xf numFmtId="3" fontId="6" fillId="0" borderId="10" xfId="11" applyNumberFormat="1" applyFont="1" applyBorder="1" applyAlignment="1">
      <alignment horizontal="center"/>
    </xf>
    <xf numFmtId="164" fontId="6" fillId="0" borderId="0" xfId="11" applyNumberFormat="1" applyFont="1"/>
    <xf numFmtId="164" fontId="6" fillId="0" borderId="3" xfId="11" applyNumberFormat="1" applyFont="1" applyBorder="1"/>
    <xf numFmtId="10" fontId="6" fillId="0" borderId="0" xfId="11" applyNumberFormat="1" applyFont="1"/>
    <xf numFmtId="171" fontId="6" fillId="0" borderId="0" xfId="11" applyNumberFormat="1" applyFont="1"/>
    <xf numFmtId="172" fontId="6" fillId="0" borderId="10" xfId="11" applyNumberFormat="1" applyFont="1" applyBorder="1"/>
    <xf numFmtId="164" fontId="6" fillId="0" borderId="0" xfId="11" applyNumberFormat="1" applyFont="1" applyAlignment="1">
      <alignment horizontal="center"/>
    </xf>
    <xf numFmtId="3" fontId="6" fillId="0" borderId="0" xfId="11" applyNumberFormat="1" applyFont="1" applyBorder="1"/>
    <xf numFmtId="10" fontId="6" fillId="0" borderId="3" xfId="11" applyNumberFormat="1" applyFont="1" applyBorder="1"/>
    <xf numFmtId="169" fontId="6" fillId="0" borderId="0" xfId="14" applyNumberFormat="1" applyFont="1"/>
    <xf numFmtId="169" fontId="6" fillId="0" borderId="0" xfId="11" applyNumberFormat="1" applyFont="1"/>
    <xf numFmtId="169" fontId="6" fillId="0" borderId="3" xfId="11" applyNumberFormat="1" applyFont="1" applyBorder="1"/>
    <xf numFmtId="10" fontId="6" fillId="0" borderId="0" xfId="11" applyNumberFormat="1" applyFont="1" applyBorder="1"/>
    <xf numFmtId="3" fontId="16" fillId="0" borderId="0" xfId="11" applyNumberFormat="1" applyFont="1"/>
    <xf numFmtId="0" fontId="11" fillId="0" borderId="0" xfId="11" applyFont="1"/>
    <xf numFmtId="10" fontId="11" fillId="0" borderId="0" xfId="11" applyNumberFormat="1" applyFont="1"/>
    <xf numFmtId="164" fontId="6" fillId="0" borderId="17" xfId="11" applyNumberFormat="1" applyFont="1" applyBorder="1"/>
    <xf numFmtId="3" fontId="6" fillId="0" borderId="0" xfId="11" applyNumberFormat="1" applyFont="1" applyAlignment="1">
      <alignment horizontal="left"/>
    </xf>
    <xf numFmtId="164" fontId="6" fillId="0" borderId="0" xfId="11" applyNumberFormat="1" applyFont="1" applyFill="1"/>
    <xf numFmtId="10" fontId="6" fillId="0" borderId="0" xfId="11" applyNumberFormat="1" applyFont="1" applyFill="1"/>
    <xf numFmtId="3" fontId="6" fillId="0" borderId="0" xfId="11" applyNumberFormat="1" applyFont="1" applyFill="1" applyBorder="1"/>
    <xf numFmtId="164" fontId="6" fillId="0" borderId="3" xfId="11" applyNumberFormat="1" applyFont="1" applyFill="1" applyBorder="1"/>
    <xf numFmtId="10" fontId="6" fillId="0" borderId="3" xfId="11" applyNumberFormat="1" applyFont="1" applyFill="1" applyBorder="1"/>
    <xf numFmtId="3" fontId="6" fillId="0" borderId="0" xfId="11" applyNumberFormat="1" applyFont="1" applyFill="1"/>
    <xf numFmtId="169" fontId="6" fillId="0" borderId="0" xfId="14" applyNumberFormat="1" applyFont="1" applyFill="1"/>
    <xf numFmtId="169" fontId="6" fillId="0" borderId="0" xfId="11" applyNumberFormat="1" applyFont="1" applyFill="1"/>
    <xf numFmtId="169" fontId="6" fillId="0" borderId="3" xfId="11" applyNumberFormat="1" applyFont="1" applyFill="1" applyBorder="1"/>
    <xf numFmtId="0" fontId="11" fillId="0" borderId="0" xfId="0" applyFont="1"/>
    <xf numFmtId="168" fontId="7" fillId="0" borderId="0" xfId="0" applyNumberFormat="1" applyFont="1"/>
    <xf numFmtId="168" fontId="6" fillId="0" borderId="0" xfId="0" applyNumberFormat="1" applyFont="1"/>
    <xf numFmtId="10" fontId="19" fillId="0" borderId="0" xfId="0" applyNumberFormat="1" applyFont="1"/>
    <xf numFmtId="0" fontId="7" fillId="0" borderId="0" xfId="0" applyFont="1" applyAlignment="1">
      <alignment horizontal="centerContinuous"/>
    </xf>
    <xf numFmtId="170" fontId="6" fillId="0" borderId="0" xfId="1" applyNumberFormat="1" applyFont="1"/>
    <xf numFmtId="170" fontId="7" fillId="0" borderId="0" xfId="1" applyNumberFormat="1" applyFont="1" applyAlignment="1">
      <alignment horizontal="center"/>
    </xf>
    <xf numFmtId="0" fontId="7" fillId="0" borderId="10" xfId="0" applyFont="1" applyBorder="1" applyAlignment="1">
      <alignment horizontal="center"/>
    </xf>
    <xf numFmtId="0" fontId="7" fillId="0" borderId="0" xfId="0" applyFont="1"/>
    <xf numFmtId="5" fontId="6" fillId="0" borderId="0" xfId="1" applyNumberFormat="1" applyFont="1"/>
    <xf numFmtId="170" fontId="6" fillId="0" borderId="12" xfId="1" applyNumberFormat="1" applyFont="1" applyBorder="1"/>
    <xf numFmtId="170" fontId="6" fillId="0" borderId="0" xfId="1" applyNumberFormat="1" applyFont="1" applyBorder="1"/>
    <xf numFmtId="170" fontId="6" fillId="0" borderId="10" xfId="1" applyNumberFormat="1" applyFont="1" applyBorder="1"/>
    <xf numFmtId="0" fontId="7" fillId="0" borderId="1" xfId="0" applyFont="1" applyBorder="1" applyAlignment="1">
      <alignment horizontal="center"/>
    </xf>
    <xf numFmtId="0" fontId="7" fillId="0" borderId="8" xfId="0" applyFont="1" applyBorder="1" applyAlignment="1">
      <alignment horizontal="center"/>
    </xf>
    <xf numFmtId="0" fontId="20" fillId="0" borderId="0" xfId="0" applyFont="1"/>
    <xf numFmtId="0" fontId="18" fillId="0" borderId="0" xfId="0" applyFont="1" applyAlignment="1">
      <alignment horizontal="centerContinuous"/>
    </xf>
    <xf numFmtId="0" fontId="18" fillId="0" borderId="0" xfId="0" applyFont="1" applyBorder="1" applyAlignment="1">
      <alignment horizontal="center"/>
    </xf>
    <xf numFmtId="0" fontId="18" fillId="0" borderId="10" xfId="0" applyFont="1" applyBorder="1" applyAlignment="1">
      <alignment horizontal="center"/>
    </xf>
    <xf numFmtId="168" fontId="11" fillId="0" borderId="0" xfId="0" applyNumberFormat="1" applyFont="1"/>
    <xf numFmtId="168" fontId="11" fillId="0" borderId="0" xfId="0" applyNumberFormat="1" applyFont="1" applyBorder="1"/>
    <xf numFmtId="168" fontId="11" fillId="0" borderId="12" xfId="0" applyNumberFormat="1" applyFont="1" applyBorder="1"/>
    <xf numFmtId="168" fontId="11" fillId="0" borderId="10" xfId="0" applyNumberFormat="1" applyFont="1" applyBorder="1"/>
    <xf numFmtId="3" fontId="14" fillId="0" borderId="0" xfId="11" applyNumberFormat="1" applyFont="1"/>
    <xf numFmtId="164" fontId="14" fillId="0" borderId="0" xfId="11" applyNumberFormat="1" applyFont="1"/>
    <xf numFmtId="10" fontId="7" fillId="0" borderId="0" xfId="0" applyNumberFormat="1" applyFont="1" applyBorder="1" applyAlignment="1">
      <alignment horizontal="left"/>
    </xf>
    <xf numFmtId="37" fontId="6" fillId="0" borderId="0" xfId="11" applyNumberFormat="1" applyFont="1" applyAlignment="1">
      <alignment horizontal="right"/>
    </xf>
    <xf numFmtId="37" fontId="3" fillId="0" borderId="0" xfId="12" applyNumberFormat="1" applyFont="1" applyFill="1"/>
    <xf numFmtId="10" fontId="3" fillId="0" borderId="0" xfId="14" applyNumberFormat="1" applyFont="1" applyFill="1"/>
    <xf numFmtId="3" fontId="3" fillId="0" borderId="0" xfId="12" applyNumberFormat="1" applyFont="1" applyFill="1" applyBorder="1"/>
    <xf numFmtId="0" fontId="24" fillId="0" borderId="0" xfId="11" applyFont="1"/>
    <xf numFmtId="0" fontId="16" fillId="0" borderId="0" xfId="0" applyFont="1"/>
    <xf numFmtId="0" fontId="16" fillId="0" borderId="0" xfId="0" applyFont="1" applyAlignment="1">
      <alignment horizontal="left"/>
    </xf>
    <xf numFmtId="0" fontId="14" fillId="0" borderId="0" xfId="0" applyFont="1" applyAlignment="1">
      <alignment horizontal="left"/>
    </xf>
    <xf numFmtId="0" fontId="14" fillId="0" borderId="0" xfId="0" applyFont="1" applyBorder="1"/>
    <xf numFmtId="0" fontId="12" fillId="0" borderId="0" xfId="0" applyFont="1" applyAlignment="1">
      <alignment horizontal="center"/>
    </xf>
    <xf numFmtId="170" fontId="6" fillId="0" borderId="13" xfId="1" applyNumberFormat="1" applyFont="1" applyBorder="1"/>
    <xf numFmtId="3" fontId="23" fillId="0" borderId="0" xfId="11" applyNumberFormat="1" applyFont="1"/>
    <xf numFmtId="0" fontId="6" fillId="0" borderId="0" xfId="0" applyFont="1" applyFill="1" applyBorder="1"/>
    <xf numFmtId="3" fontId="14" fillId="0" borderId="10" xfId="11" applyNumberFormat="1" applyFont="1" applyBorder="1"/>
    <xf numFmtId="0" fontId="7" fillId="0" borderId="0" xfId="0" applyFont="1" applyFill="1"/>
    <xf numFmtId="10" fontId="16" fillId="0" borderId="0" xfId="0" applyNumberFormat="1" applyFont="1" applyFill="1"/>
    <xf numFmtId="10" fontId="6" fillId="0" borderId="0" xfId="0" applyNumberFormat="1" applyFont="1"/>
    <xf numFmtId="3" fontId="7" fillId="0" borderId="0" xfId="11" applyNumberFormat="1" applyFont="1"/>
    <xf numFmtId="0" fontId="6" fillId="0" borderId="0" xfId="0" applyFont="1" applyFill="1"/>
    <xf numFmtId="10" fontId="6" fillId="0" borderId="0" xfId="14" applyNumberFormat="1" applyFont="1"/>
    <xf numFmtId="3" fontId="14" fillId="0" borderId="0" xfId="0" applyNumberFormat="1" applyFont="1" applyFill="1"/>
    <xf numFmtId="0" fontId="16" fillId="0" borderId="0" xfId="0" applyFont="1" applyFill="1"/>
    <xf numFmtId="0" fontId="16" fillId="0" borderId="0" xfId="0" applyFont="1" applyFill="1" applyAlignment="1">
      <alignment horizontal="left"/>
    </xf>
    <xf numFmtId="0" fontId="6" fillId="0" borderId="0" xfId="0" applyFont="1" applyFill="1" applyAlignment="1">
      <alignment horizontal="left"/>
    </xf>
    <xf numFmtId="10" fontId="24" fillId="0" borderId="10" xfId="11" applyNumberFormat="1" applyFont="1" applyFill="1" applyBorder="1"/>
    <xf numFmtId="3" fontId="23" fillId="0" borderId="0" xfId="11" applyNumberFormat="1" applyFont="1" applyFill="1"/>
    <xf numFmtId="0" fontId="13" fillId="0" borderId="0" xfId="0" applyFont="1" applyFill="1"/>
    <xf numFmtId="170" fontId="6" fillId="0" borderId="0" xfId="1" applyNumberFormat="1" applyFont="1" applyFill="1" applyBorder="1"/>
    <xf numFmtId="7" fontId="6" fillId="0" borderId="0" xfId="0" applyNumberFormat="1" applyFont="1"/>
    <xf numFmtId="0" fontId="3" fillId="0" borderId="0" xfId="12" applyFont="1" applyBorder="1"/>
    <xf numFmtId="5" fontId="6" fillId="0" borderId="18" xfId="0" applyNumberFormat="1" applyFont="1" applyBorder="1"/>
    <xf numFmtId="0" fontId="11" fillId="0" borderId="0" xfId="0" applyFont="1" applyBorder="1"/>
    <xf numFmtId="5" fontId="6" fillId="0" borderId="0" xfId="1" applyNumberFormat="1" applyFont="1" applyBorder="1"/>
    <xf numFmtId="168" fontId="6" fillId="0" borderId="0" xfId="0" applyNumberFormat="1" applyFont="1" applyBorder="1"/>
    <xf numFmtId="1" fontId="6" fillId="0" borderId="0" xfId="0" applyNumberFormat="1" applyFont="1" applyBorder="1"/>
    <xf numFmtId="0" fontId="14" fillId="0" borderId="0" xfId="0" applyFont="1" applyFill="1" applyBorder="1"/>
    <xf numFmtId="169" fontId="6" fillId="0" borderId="0" xfId="14" applyNumberFormat="1" applyFont="1" applyBorder="1"/>
    <xf numFmtId="37" fontId="3" fillId="0" borderId="0" xfId="12" applyNumberFormat="1" applyFont="1" applyFill="1" applyBorder="1"/>
    <xf numFmtId="5" fontId="6" fillId="0" borderId="0" xfId="0" applyNumberFormat="1" applyFont="1" applyFill="1"/>
    <xf numFmtId="37" fontId="6" fillId="0" borderId="0" xfId="12" applyNumberFormat="1" applyFont="1" applyFill="1"/>
    <xf numFmtId="0" fontId="7" fillId="0" borderId="0" xfId="0" applyFont="1" applyBorder="1" applyAlignment="1">
      <alignment horizontal="left"/>
    </xf>
    <xf numFmtId="0" fontId="7" fillId="0" borderId="0" xfId="0" applyFont="1" applyFill="1" applyAlignment="1">
      <alignment horizontal="left"/>
    </xf>
    <xf numFmtId="0" fontId="28" fillId="0" borderId="0" xfId="0" applyFont="1" applyAlignment="1">
      <alignment horizontal="left"/>
    </xf>
    <xf numFmtId="0" fontId="30" fillId="0" borderId="0" xfId="0" applyFont="1" applyAlignment="1">
      <alignment horizontal="center"/>
    </xf>
    <xf numFmtId="3" fontId="6" fillId="0" borderId="0" xfId="0" applyNumberFormat="1" applyFont="1" applyFill="1"/>
    <xf numFmtId="3" fontId="15" fillId="0" borderId="0" xfId="0" applyNumberFormat="1" applyFont="1" applyFill="1" applyAlignment="1">
      <alignment horizontal="center"/>
    </xf>
    <xf numFmtId="5" fontId="6" fillId="0" borderId="0" xfId="0" applyNumberFormat="1" applyFont="1" applyFill="1" applyBorder="1"/>
    <xf numFmtId="174" fontId="6" fillId="0" borderId="0" xfId="0" applyNumberFormat="1" applyFont="1"/>
    <xf numFmtId="166" fontId="6" fillId="0" borderId="0" xfId="0" applyNumberFormat="1" applyFont="1"/>
    <xf numFmtId="166" fontId="6" fillId="0" borderId="0" xfId="0" applyNumberFormat="1" applyFont="1" applyBorder="1"/>
    <xf numFmtId="170" fontId="16" fillId="0" borderId="0" xfId="1" applyNumberFormat="1" applyFont="1"/>
    <xf numFmtId="170" fontId="6" fillId="0" borderId="0" xfId="0" applyNumberFormat="1" applyFont="1" applyFill="1" applyBorder="1"/>
    <xf numFmtId="10" fontId="6" fillId="0" borderId="0" xfId="0" applyNumberFormat="1" applyFont="1" applyFill="1" applyBorder="1"/>
    <xf numFmtId="167" fontId="4" fillId="0" borderId="0" xfId="10" applyNumberFormat="1" applyFont="1" applyFill="1" applyBorder="1" applyAlignment="1">
      <alignment horizontal="center"/>
    </xf>
    <xf numFmtId="166" fontId="3" fillId="0" borderId="0" xfId="12" applyNumberFormat="1" applyFont="1" applyFill="1" applyBorder="1"/>
    <xf numFmtId="5" fontId="3" fillId="0" borderId="0" xfId="12" applyNumberFormat="1" applyFont="1" applyFill="1" applyBorder="1"/>
    <xf numFmtId="167" fontId="3" fillId="0" borderId="0" xfId="12" applyNumberFormat="1" applyFont="1" applyFill="1" applyBorder="1"/>
    <xf numFmtId="0" fontId="3" fillId="0" borderId="0" xfId="12" applyNumberFormat="1" applyFont="1" applyBorder="1" applyAlignment="1">
      <alignment horizontal="center"/>
    </xf>
    <xf numFmtId="41" fontId="4" fillId="0" borderId="0" xfId="12" applyNumberFormat="1" applyFont="1" applyFill="1"/>
    <xf numFmtId="41" fontId="3" fillId="0" borderId="0" xfId="12" applyNumberFormat="1" applyFont="1"/>
    <xf numFmtId="41" fontId="3" fillId="0" borderId="0" xfId="12" applyNumberFormat="1" applyFont="1" applyFill="1"/>
    <xf numFmtId="41" fontId="4" fillId="0" borderId="0" xfId="12" applyNumberFormat="1" applyFont="1"/>
    <xf numFmtId="41" fontId="31" fillId="0" borderId="0" xfId="12" applyNumberFormat="1" applyFont="1"/>
    <xf numFmtId="41" fontId="4" fillId="0" borderId="0" xfId="12" applyNumberFormat="1" applyFont="1" applyFill="1" applyAlignment="1">
      <alignment horizontal="center"/>
    </xf>
    <xf numFmtId="41" fontId="3" fillId="0" borderId="0" xfId="13" applyNumberFormat="1" applyFont="1" applyAlignment="1">
      <alignment horizontal="center"/>
    </xf>
    <xf numFmtId="41" fontId="4" fillId="0" borderId="1" xfId="12" applyNumberFormat="1" applyFont="1" applyBorder="1" applyAlignment="1">
      <alignment horizontal="center"/>
    </xf>
    <xf numFmtId="41" fontId="4" fillId="0" borderId="1" xfId="10" applyNumberFormat="1" applyFont="1" applyFill="1" applyBorder="1" applyAlignment="1">
      <alignment horizontal="center"/>
    </xf>
    <xf numFmtId="41" fontId="4" fillId="0" borderId="5" xfId="12" applyNumberFormat="1" applyFont="1" applyBorder="1" applyAlignment="1">
      <alignment horizontal="center"/>
    </xf>
    <xf numFmtId="41" fontId="4" fillId="0" borderId="5" xfId="10" applyNumberFormat="1" applyFont="1" applyFill="1" applyBorder="1" applyAlignment="1">
      <alignment horizontal="center"/>
    </xf>
    <xf numFmtId="41" fontId="4" fillId="0" borderId="8" xfId="12" applyNumberFormat="1" applyFont="1" applyFill="1" applyBorder="1" applyAlignment="1">
      <alignment horizontal="center"/>
    </xf>
    <xf numFmtId="41" fontId="4" fillId="0" borderId="8" xfId="12" applyNumberFormat="1" applyFont="1" applyBorder="1" applyAlignment="1">
      <alignment horizontal="center"/>
    </xf>
    <xf numFmtId="41" fontId="3" fillId="0" borderId="0" xfId="12" applyNumberFormat="1" applyFont="1" applyFill="1" applyBorder="1"/>
    <xf numFmtId="41" fontId="3" fillId="0" borderId="10" xfId="12" applyNumberFormat="1" applyFont="1" applyFill="1" applyBorder="1"/>
    <xf numFmtId="41" fontId="3" fillId="0" borderId="10" xfId="12" applyNumberFormat="1" applyFont="1" applyBorder="1"/>
    <xf numFmtId="41" fontId="3" fillId="0" borderId="0" xfId="14" applyNumberFormat="1" applyFont="1" applyFill="1"/>
    <xf numFmtId="41" fontId="4" fillId="0" borderId="0" xfId="12" applyNumberFormat="1" applyFont="1" applyBorder="1"/>
    <xf numFmtId="37" fontId="3" fillId="0" borderId="0" xfId="12" applyNumberFormat="1" applyFont="1" applyFill="1" applyAlignment="1">
      <alignment horizontal="center"/>
    </xf>
    <xf numFmtId="5" fontId="3" fillId="0" borderId="0" xfId="12" applyNumberFormat="1" applyFont="1" applyFill="1"/>
    <xf numFmtId="4" fontId="6" fillId="0" borderId="0" xfId="0" applyNumberFormat="1" applyFont="1" applyAlignment="1">
      <alignment horizontal="center"/>
    </xf>
    <xf numFmtId="4" fontId="6" fillId="0" borderId="0" xfId="0" applyNumberFormat="1" applyFont="1" applyFill="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0" xfId="0" applyFont="1" applyAlignment="1">
      <alignment horizontal="center"/>
    </xf>
    <xf numFmtId="41" fontId="3" fillId="0" borderId="12" xfId="12" applyNumberFormat="1" applyFont="1" applyFill="1" applyBorder="1"/>
    <xf numFmtId="41" fontId="6" fillId="0" borderId="0" xfId="0" applyNumberFormat="1" applyFont="1"/>
    <xf numFmtId="41" fontId="6" fillId="0" borderId="10" xfId="0" applyNumberFormat="1" applyFont="1" applyBorder="1"/>
    <xf numFmtId="41" fontId="6" fillId="0" borderId="10" xfId="0" applyNumberFormat="1" applyFont="1" applyBorder="1" applyAlignment="1">
      <alignment horizontal="center"/>
    </xf>
    <xf numFmtId="41" fontId="6" fillId="0" borderId="0" xfId="0" applyNumberFormat="1" applyFont="1" applyBorder="1" applyAlignment="1">
      <alignment horizontal="center"/>
    </xf>
    <xf numFmtId="41" fontId="6" fillId="0" borderId="0" xfId="0" applyNumberFormat="1" applyFont="1" applyFill="1" applyBorder="1"/>
    <xf numFmtId="41" fontId="6" fillId="0" borderId="0" xfId="2" applyNumberFormat="1" applyFont="1" applyBorder="1"/>
    <xf numFmtId="37" fontId="24" fillId="0" borderId="0" xfId="12" applyNumberFormat="1" applyFont="1" applyAlignment="1">
      <alignment horizontal="left"/>
    </xf>
    <xf numFmtId="37" fontId="6" fillId="0" borderId="0" xfId="12" applyNumberFormat="1" applyFont="1" applyBorder="1"/>
    <xf numFmtId="37" fontId="7" fillId="0" borderId="0" xfId="12" applyNumberFormat="1" applyFont="1"/>
    <xf numFmtId="37" fontId="6" fillId="0" borderId="0" xfId="12" applyNumberFormat="1" applyFont="1"/>
    <xf numFmtId="10" fontId="6" fillId="0" borderId="10" xfId="14" applyNumberFormat="1" applyFont="1" applyBorder="1"/>
    <xf numFmtId="37" fontId="7" fillId="2" borderId="0" xfId="12" applyNumberFormat="1" applyFont="1" applyFill="1"/>
    <xf numFmtId="10" fontId="24" fillId="2" borderId="0" xfId="14" applyNumberFormat="1" applyFont="1" applyFill="1"/>
    <xf numFmtId="173" fontId="6" fillId="0" borderId="0" xfId="0" applyNumberFormat="1" applyFont="1"/>
    <xf numFmtId="10" fontId="6" fillId="0" borderId="16" xfId="14" applyNumberFormat="1" applyFont="1" applyBorder="1"/>
    <xf numFmtId="10" fontId="6" fillId="0" borderId="0" xfId="14" applyNumberFormat="1" applyFont="1" applyBorder="1"/>
    <xf numFmtId="0" fontId="6" fillId="0" borderId="0" xfId="12" applyFont="1"/>
    <xf numFmtId="0" fontId="6" fillId="0" borderId="0" xfId="12" applyFont="1" applyBorder="1"/>
    <xf numFmtId="5" fontId="6" fillId="0" borderId="0" xfId="12" applyNumberFormat="1" applyFont="1" applyBorder="1"/>
    <xf numFmtId="0" fontId="24" fillId="0" borderId="0" xfId="0" applyFont="1" applyAlignment="1">
      <alignment horizontal="left"/>
    </xf>
    <xf numFmtId="0" fontId="24" fillId="0" borderId="0" xfId="0" applyFont="1"/>
    <xf numFmtId="170" fontId="24" fillId="0" borderId="0" xfId="1" applyNumberFormat="1" applyFont="1" applyBorder="1"/>
    <xf numFmtId="10" fontId="24" fillId="0" borderId="0" xfId="14" applyNumberFormat="1" applyFont="1"/>
    <xf numFmtId="10" fontId="3" fillId="0" borderId="0" xfId="14" applyNumberFormat="1" applyFont="1"/>
    <xf numFmtId="41" fontId="34" fillId="0" borderId="0" xfId="12" applyNumberFormat="1" applyFont="1"/>
    <xf numFmtId="41" fontId="34" fillId="0" borderId="0" xfId="12" applyNumberFormat="1" applyFont="1" applyFill="1"/>
    <xf numFmtId="41" fontId="34" fillId="0" borderId="10" xfId="12" applyNumberFormat="1" applyFont="1" applyBorder="1"/>
    <xf numFmtId="3" fontId="3" fillId="0" borderId="0" xfId="6" applyNumberFormat="1" applyFont="1"/>
    <xf numFmtId="3" fontId="3" fillId="0" borderId="0" xfId="6" applyNumberFormat="1" applyFont="1" applyAlignment="1">
      <alignment horizontal="center"/>
    </xf>
    <xf numFmtId="0" fontId="3" fillId="0" borderId="0" xfId="6" applyFont="1"/>
    <xf numFmtId="3" fontId="3" fillId="0" borderId="0" xfId="6" applyNumberFormat="1" applyFont="1" applyAlignment="1">
      <alignment horizontal="left"/>
    </xf>
    <xf numFmtId="3" fontId="10" fillId="0" borderId="15" xfId="6" applyNumberFormat="1" applyFont="1" applyBorder="1" applyAlignment="1">
      <alignment horizontal="centerContinuous"/>
    </xf>
    <xf numFmtId="3" fontId="10" fillId="0" borderId="12" xfId="6" applyNumberFormat="1" applyFont="1" applyBorder="1" applyAlignment="1">
      <alignment horizontal="centerContinuous"/>
    </xf>
    <xf numFmtId="3" fontId="9" fillId="0" borderId="14" xfId="6" applyNumberFormat="1" applyFont="1" applyBorder="1" applyAlignment="1">
      <alignment horizontal="centerContinuous"/>
    </xf>
    <xf numFmtId="164" fontId="3" fillId="0" borderId="0" xfId="6" applyNumberFormat="1" applyFont="1"/>
    <xf numFmtId="5" fontId="3" fillId="0" borderId="13" xfId="6" applyNumberFormat="1" applyFont="1" applyBorder="1"/>
    <xf numFmtId="164" fontId="3" fillId="0" borderId="0" xfId="6" applyNumberFormat="1" applyFont="1" applyAlignment="1">
      <alignment horizontal="left"/>
    </xf>
    <xf numFmtId="1" fontId="3" fillId="0" borderId="0" xfId="6" applyNumberFormat="1" applyFont="1" applyAlignment="1">
      <alignment horizontal="center"/>
    </xf>
    <xf numFmtId="37" fontId="3" fillId="0" borderId="10" xfId="6" applyNumberFormat="1" applyFont="1" applyBorder="1" applyProtection="1">
      <protection locked="0"/>
    </xf>
    <xf numFmtId="37" fontId="3" fillId="0" borderId="0" xfId="6" applyNumberFormat="1" applyFont="1" applyProtection="1">
      <protection locked="0"/>
    </xf>
    <xf numFmtId="37" fontId="3" fillId="0" borderId="0" xfId="6" applyNumberFormat="1" applyFont="1" applyBorder="1" applyProtection="1">
      <protection locked="0"/>
    </xf>
    <xf numFmtId="37" fontId="3" fillId="0" borderId="0" xfId="6" applyNumberFormat="1" applyFont="1"/>
    <xf numFmtId="5" fontId="3" fillId="0" borderId="10" xfId="6" applyNumberFormat="1" applyFont="1" applyBorder="1" applyProtection="1">
      <protection locked="0"/>
    </xf>
    <xf numFmtId="5" fontId="3" fillId="0" borderId="0" xfId="6" applyNumberFormat="1" applyFont="1" applyProtection="1">
      <protection locked="0"/>
    </xf>
    <xf numFmtId="165" fontId="3" fillId="0" borderId="0" xfId="6" applyNumberFormat="1" applyFont="1"/>
    <xf numFmtId="37" fontId="3" fillId="0" borderId="10" xfId="6" applyNumberFormat="1" applyFont="1" applyBorder="1"/>
    <xf numFmtId="37" fontId="3" fillId="0" borderId="12" xfId="6" applyNumberFormat="1" applyFont="1" applyBorder="1"/>
    <xf numFmtId="37" fontId="3" fillId="0" borderId="3" xfId="6" applyNumberFormat="1" applyFont="1" applyBorder="1"/>
    <xf numFmtId="37" fontId="3" fillId="0" borderId="0" xfId="6" applyNumberFormat="1" applyFont="1" applyBorder="1"/>
    <xf numFmtId="3" fontId="5" fillId="0" borderId="0" xfId="6" applyNumberFormat="1" applyFont="1" applyAlignment="1">
      <alignment horizontal="center"/>
    </xf>
    <xf numFmtId="3" fontId="3" fillId="0" borderId="10" xfId="6" applyNumberFormat="1" applyFont="1" applyBorder="1" applyAlignment="1">
      <alignment horizontal="center"/>
    </xf>
    <xf numFmtId="3" fontId="3" fillId="0" borderId="0" xfId="6" applyNumberFormat="1" applyFont="1" applyBorder="1" applyAlignment="1">
      <alignment horizontal="centerContinuous"/>
    </xf>
    <xf numFmtId="3" fontId="4" fillId="0" borderId="0" xfId="6" applyNumberFormat="1" applyFont="1" applyBorder="1" applyAlignment="1">
      <alignment horizontal="centerContinuous"/>
    </xf>
    <xf numFmtId="3" fontId="3" fillId="0" borderId="10" xfId="6" applyNumberFormat="1" applyFont="1" applyBorder="1" applyAlignment="1">
      <alignment horizontal="centerContinuous"/>
    </xf>
    <xf numFmtId="3" fontId="4" fillId="0" borderId="10" xfId="6" applyNumberFormat="1" applyFont="1" applyBorder="1" applyAlignment="1">
      <alignment horizontal="centerContinuous"/>
    </xf>
    <xf numFmtId="3" fontId="3" fillId="0" borderId="0" xfId="6" applyNumberFormat="1" applyFont="1" applyAlignment="1">
      <alignment horizontal="centerContinuous"/>
    </xf>
    <xf numFmtId="0" fontId="3" fillId="0" borderId="0" xfId="6" applyFont="1" applyAlignment="1">
      <alignment horizontal="centerContinuous"/>
    </xf>
    <xf numFmtId="3" fontId="3" fillId="0" borderId="0" xfId="9" applyNumberFormat="1" applyFont="1" applyFill="1" applyAlignment="1">
      <alignment horizontal="center"/>
    </xf>
    <xf numFmtId="175" fontId="35" fillId="0" borderId="0" xfId="0" applyNumberFormat="1" applyFont="1" applyAlignment="1">
      <alignment horizontal="left"/>
    </xf>
    <xf numFmtId="0" fontId="35" fillId="0" borderId="0" xfId="0" applyFont="1"/>
    <xf numFmtId="3" fontId="35" fillId="0" borderId="0" xfId="0" applyNumberFormat="1" applyFont="1"/>
    <xf numFmtId="176" fontId="35" fillId="0" borderId="0" xfId="0" applyNumberFormat="1" applyFont="1" applyAlignment="1">
      <alignment horizontal="left"/>
    </xf>
    <xf numFmtId="176" fontId="35" fillId="0" borderId="0" xfId="0" applyNumberFormat="1" applyFont="1" applyFill="1" applyAlignment="1">
      <alignment horizontal="left"/>
    </xf>
    <xf numFmtId="3" fontId="35" fillId="0" borderId="0" xfId="0" applyNumberFormat="1" applyFont="1" applyFill="1"/>
    <xf numFmtId="0" fontId="35" fillId="0" borderId="0" xfId="0" applyFont="1" applyFill="1"/>
    <xf numFmtId="175" fontId="35" fillId="0" borderId="0" xfId="0" applyNumberFormat="1" applyFont="1" applyFill="1" applyAlignment="1">
      <alignment horizontal="left"/>
    </xf>
    <xf numFmtId="3" fontId="35" fillId="0" borderId="0" xfId="0" applyNumberFormat="1" applyFont="1" applyAlignment="1">
      <alignment horizontal="left"/>
    </xf>
    <xf numFmtId="175" fontId="35" fillId="0" borderId="0" xfId="0" applyNumberFormat="1" applyFont="1"/>
    <xf numFmtId="176" fontId="35" fillId="0" borderId="0" xfId="0" applyNumberFormat="1" applyFont="1" applyFill="1" applyAlignment="1">
      <alignment horizontal="center"/>
    </xf>
    <xf numFmtId="176" fontId="35" fillId="0" borderId="0" xfId="0" applyNumberFormat="1" applyFont="1" applyAlignment="1">
      <alignment horizontal="center"/>
    </xf>
    <xf numFmtId="0" fontId="35" fillId="0" borderId="0" xfId="0" applyNumberFormat="1" applyFont="1" applyAlignment="1">
      <alignment horizontal="center"/>
    </xf>
    <xf numFmtId="175" fontId="35" fillId="0" borderId="0" xfId="0" applyNumberFormat="1" applyFont="1" applyAlignment="1">
      <alignment horizontal="center"/>
    </xf>
    <xf numFmtId="176" fontId="35" fillId="0" borderId="0" xfId="0" applyNumberFormat="1" applyFont="1"/>
    <xf numFmtId="175" fontId="35" fillId="5" borderId="0" xfId="0" applyNumberFormat="1" applyFont="1" applyFill="1"/>
    <xf numFmtId="3" fontId="35" fillId="5" borderId="0" xfId="0" applyNumberFormat="1" applyFont="1" applyFill="1"/>
    <xf numFmtId="0" fontId="35" fillId="5" borderId="0" xfId="0" applyFont="1" applyFill="1"/>
    <xf numFmtId="3" fontId="35" fillId="0" borderId="0" xfId="0" applyNumberFormat="1" applyFont="1" applyAlignment="1">
      <alignment horizontal="center"/>
    </xf>
    <xf numFmtId="3" fontId="35" fillId="0" borderId="0" xfId="0" applyNumberFormat="1" applyFont="1" applyFill="1" applyAlignment="1">
      <alignment horizontal="center"/>
    </xf>
    <xf numFmtId="3" fontId="35" fillId="5" borderId="0" xfId="0" applyNumberFormat="1" applyFont="1" applyFill="1" applyAlignment="1">
      <alignment horizontal="center"/>
    </xf>
    <xf numFmtId="175" fontId="35" fillId="0" borderId="0" xfId="0" applyNumberFormat="1" applyFont="1" applyFill="1"/>
    <xf numFmtId="3" fontId="3" fillId="0" borderId="0" xfId="6" applyNumberFormat="1" applyFont="1" applyFill="1" applyAlignment="1">
      <alignment horizontal="center"/>
    </xf>
    <xf numFmtId="41" fontId="3" fillId="0" borderId="3" xfId="12" applyNumberFormat="1" applyFont="1" applyFill="1" applyBorder="1"/>
    <xf numFmtId="3" fontId="3" fillId="0" borderId="3" xfId="6" applyNumberFormat="1" applyFont="1" applyBorder="1"/>
    <xf numFmtId="37" fontId="3" fillId="0" borderId="10" xfId="12" applyNumberFormat="1" applyFont="1" applyFill="1" applyBorder="1"/>
    <xf numFmtId="5" fontId="3" fillId="0" borderId="13" xfId="12" applyNumberFormat="1" applyFont="1" applyFill="1" applyBorder="1"/>
    <xf numFmtId="5" fontId="34" fillId="0" borderId="0" xfId="12" applyNumberFormat="1" applyFont="1"/>
    <xf numFmtId="5" fontId="3" fillId="0" borderId="13" xfId="12" applyNumberFormat="1" applyFont="1" applyBorder="1"/>
    <xf numFmtId="5" fontId="34" fillId="0" borderId="0" xfId="10" applyNumberFormat="1" applyFont="1" applyFill="1" applyBorder="1"/>
    <xf numFmtId="2" fontId="4" fillId="0" borderId="0" xfId="12" applyNumberFormat="1" applyFont="1" applyAlignment="1">
      <alignment horizontal="center"/>
    </xf>
    <xf numFmtId="2" fontId="4" fillId="0" borderId="0" xfId="4" applyNumberFormat="1" applyFont="1" applyAlignment="1" applyProtection="1">
      <alignment horizontal="center"/>
    </xf>
    <xf numFmtId="2" fontId="33" fillId="0" borderId="0" xfId="4" applyNumberFormat="1" applyFont="1" applyAlignment="1" applyProtection="1">
      <alignment horizontal="center"/>
    </xf>
    <xf numFmtId="2" fontId="4" fillId="0" borderId="0" xfId="4" applyNumberFormat="1" applyFont="1" applyFill="1" applyAlignment="1" applyProtection="1">
      <alignment horizontal="center"/>
    </xf>
    <xf numFmtId="2" fontId="4" fillId="0" borderId="0" xfId="12" applyNumberFormat="1" applyFont="1" applyFill="1" applyBorder="1" applyAlignment="1">
      <alignment horizontal="center"/>
    </xf>
    <xf numFmtId="5" fontId="6" fillId="0" borderId="0" xfId="11" applyNumberFormat="1" applyFont="1" applyAlignment="1">
      <alignment horizontal="right"/>
    </xf>
    <xf numFmtId="4" fontId="6" fillId="0" borderId="0" xfId="11" applyNumberFormat="1" applyFont="1" applyBorder="1" applyAlignment="1">
      <alignment horizontal="centerContinuous"/>
    </xf>
    <xf numFmtId="4" fontId="6" fillId="0" borderId="0" xfId="11" applyNumberFormat="1" applyFont="1" applyAlignment="1">
      <alignment horizontal="center"/>
    </xf>
    <xf numFmtId="4" fontId="24" fillId="0" borderId="0" xfId="11" applyNumberFormat="1" applyFont="1" applyAlignment="1">
      <alignment horizontal="center"/>
    </xf>
    <xf numFmtId="4" fontId="7" fillId="0" borderId="0" xfId="11" applyNumberFormat="1" applyFont="1" applyAlignment="1">
      <alignment horizontal="centerContinuous"/>
    </xf>
    <xf numFmtId="4" fontId="17" fillId="0" borderId="0" xfId="11" applyNumberFormat="1" applyFont="1" applyBorder="1" applyAlignment="1">
      <alignment horizontal="centerContinuous"/>
    </xf>
    <xf numFmtId="4" fontId="6" fillId="0" borderId="0" xfId="11" applyNumberFormat="1" applyFont="1" applyAlignment="1">
      <alignment horizontal="centerContinuous"/>
    </xf>
    <xf numFmtId="4" fontId="6" fillId="0" borderId="0" xfId="11" applyNumberFormat="1" applyFont="1"/>
    <xf numFmtId="3" fontId="6" fillId="0" borderId="0" xfId="11" applyNumberFormat="1" applyFont="1" applyBorder="1" applyAlignment="1">
      <alignment horizontal="left"/>
    </xf>
    <xf numFmtId="3" fontId="6" fillId="0" borderId="10" xfId="11" applyNumberFormat="1" applyFont="1" applyBorder="1" applyAlignment="1">
      <alignment horizontal="left"/>
    </xf>
    <xf numFmtId="4" fontId="6" fillId="0" borderId="0" xfId="11" applyNumberFormat="1" applyFont="1" applyAlignment="1">
      <alignment horizontal="left"/>
    </xf>
    <xf numFmtId="3" fontId="24" fillId="0" borderId="0" xfId="11" applyNumberFormat="1" applyFont="1" applyAlignment="1">
      <alignment horizontal="left"/>
    </xf>
    <xf numFmtId="41" fontId="6" fillId="0" borderId="0" xfId="11" applyNumberFormat="1" applyFont="1" applyAlignment="1">
      <alignment horizontal="right"/>
    </xf>
    <xf numFmtId="0" fontId="6" fillId="0" borderId="10" xfId="11" applyFont="1" applyBorder="1" applyAlignment="1">
      <alignment horizontal="center"/>
    </xf>
    <xf numFmtId="170" fontId="6" fillId="0" borderId="0" xfId="1" applyNumberFormat="1" applyFont="1" applyAlignment="1">
      <alignment horizontal="right"/>
    </xf>
    <xf numFmtId="170" fontId="14" fillId="0" borderId="10" xfId="1" applyNumberFormat="1" applyFont="1" applyFill="1" applyBorder="1"/>
    <xf numFmtId="0" fontId="6" fillId="0" borderId="0" xfId="11" applyFont="1" applyBorder="1"/>
    <xf numFmtId="43" fontId="6" fillId="0" borderId="10" xfId="1" applyNumberFormat="1" applyFont="1" applyBorder="1"/>
    <xf numFmtId="0" fontId="6" fillId="0" borderId="10" xfId="0" applyFont="1" applyBorder="1" applyAlignment="1">
      <alignment horizontal="center"/>
    </xf>
    <xf numFmtId="0" fontId="6" fillId="0" borderId="0" xfId="0" applyFont="1" applyAlignment="1">
      <alignment horizontal="center"/>
    </xf>
    <xf numFmtId="3" fontId="3" fillId="0" borderId="0" xfId="6" applyNumberFormat="1" applyFont="1" applyBorder="1" applyAlignment="1">
      <alignment horizontal="center"/>
    </xf>
    <xf numFmtId="2" fontId="3" fillId="0" borderId="0" xfId="12" applyNumberFormat="1" applyFont="1" applyAlignment="1">
      <alignment horizontal="left"/>
    </xf>
    <xf numFmtId="0" fontId="4" fillId="0" borderId="0" xfId="12" applyNumberFormat="1" applyFont="1" applyBorder="1" applyAlignment="1">
      <alignment horizontal="center"/>
    </xf>
    <xf numFmtId="41" fontId="4" fillId="0" borderId="0" xfId="12" applyNumberFormat="1" applyFont="1" applyFill="1" applyBorder="1" applyAlignment="1">
      <alignment horizontal="center"/>
    </xf>
    <xf numFmtId="41" fontId="4" fillId="0" borderId="0" xfId="12" applyNumberFormat="1" applyFont="1" applyBorder="1" applyAlignment="1">
      <alignment horizontal="center"/>
    </xf>
    <xf numFmtId="41" fontId="4" fillId="0" borderId="10" xfId="12" applyNumberFormat="1" applyFont="1" applyFill="1" applyBorder="1" applyAlignment="1">
      <alignment horizontal="center"/>
    </xf>
    <xf numFmtId="41" fontId="4" fillId="0" borderId="10" xfId="12" applyNumberFormat="1" applyFont="1" applyBorder="1" applyAlignment="1">
      <alignment horizontal="center"/>
    </xf>
    <xf numFmtId="2" fontId="4" fillId="0" borderId="10" xfId="12" applyNumberFormat="1" applyFont="1" applyBorder="1" applyAlignment="1">
      <alignment horizontal="center"/>
    </xf>
    <xf numFmtId="2" fontId="3" fillId="0" borderId="10" xfId="12" applyNumberFormat="1" applyFont="1" applyBorder="1" applyAlignment="1">
      <alignment horizontal="left"/>
    </xf>
    <xf numFmtId="2" fontId="4" fillId="0" borderId="10" xfId="4" applyNumberFormat="1" applyFont="1" applyBorder="1" applyAlignment="1" applyProtection="1">
      <alignment horizontal="center"/>
    </xf>
    <xf numFmtId="0" fontId="4" fillId="0" borderId="10" xfId="12" applyNumberFormat="1" applyFont="1" applyBorder="1" applyAlignment="1">
      <alignment horizontal="center"/>
    </xf>
    <xf numFmtId="0" fontId="4" fillId="0" borderId="10" xfId="12" applyFont="1" applyBorder="1" applyAlignment="1">
      <alignment horizontal="left"/>
    </xf>
    <xf numFmtId="4" fontId="6" fillId="0" borderId="0" xfId="0" applyNumberFormat="1" applyFont="1" applyAlignment="1">
      <alignment horizontal="left"/>
    </xf>
    <xf numFmtId="9" fontId="3" fillId="0" borderId="0" xfId="14" applyFont="1"/>
    <xf numFmtId="0" fontId="6" fillId="0" borderId="0" xfId="0" applyFont="1" applyAlignment="1">
      <alignment horizontal="center"/>
    </xf>
    <xf numFmtId="0" fontId="8" fillId="0" borderId="0" xfId="0" applyFont="1" applyAlignment="1">
      <alignment horizontal="center"/>
    </xf>
    <xf numFmtId="43" fontId="37" fillId="6" borderId="0" xfId="1" applyNumberFormat="1" applyFont="1" applyFill="1"/>
    <xf numFmtId="0" fontId="6" fillId="0" borderId="0" xfId="0" applyFont="1" applyAlignment="1">
      <alignment horizontal="right"/>
    </xf>
    <xf numFmtId="41" fontId="3" fillId="0" borderId="13" xfId="12" applyNumberFormat="1" applyFont="1" applyFill="1" applyBorder="1"/>
    <xf numFmtId="0" fontId="6" fillId="0" borderId="0" xfId="11" applyFont="1" applyBorder="1" applyAlignment="1">
      <alignment horizontal="center"/>
    </xf>
    <xf numFmtId="41" fontId="38" fillId="0" borderId="0" xfId="11" applyNumberFormat="1" applyFont="1" applyAlignment="1">
      <alignment horizontal="right"/>
    </xf>
    <xf numFmtId="3" fontId="39" fillId="0" borderId="0" xfId="11" applyNumberFormat="1" applyFont="1"/>
    <xf numFmtId="170" fontId="6" fillId="3" borderId="30" xfId="1" applyNumberFormat="1" applyFont="1" applyFill="1" applyBorder="1"/>
    <xf numFmtId="4" fontId="6" fillId="3" borderId="31" xfId="11" applyNumberFormat="1" applyFont="1" applyFill="1" applyBorder="1" applyAlignment="1">
      <alignment horizontal="center"/>
    </xf>
    <xf numFmtId="0" fontId="6" fillId="3" borderId="32" xfId="11" applyFont="1" applyFill="1" applyBorder="1" applyAlignment="1">
      <alignment horizontal="center"/>
    </xf>
    <xf numFmtId="0" fontId="7" fillId="7" borderId="19" xfId="0" applyFont="1" applyFill="1" applyBorder="1" applyAlignment="1">
      <alignment horizontal="left"/>
    </xf>
    <xf numFmtId="0" fontId="7" fillId="7" borderId="20" xfId="0" applyFont="1" applyFill="1" applyBorder="1" applyAlignment="1">
      <alignment horizontal="center"/>
    </xf>
    <xf numFmtId="0" fontId="7" fillId="7" borderId="21" xfId="0" applyFont="1" applyFill="1" applyBorder="1" applyAlignment="1">
      <alignment horizontal="center"/>
    </xf>
    <xf numFmtId="37" fontId="6" fillId="7" borderId="22" xfId="12" applyNumberFormat="1" applyFont="1" applyFill="1" applyBorder="1"/>
    <xf numFmtId="37" fontId="6" fillId="7" borderId="0" xfId="12" applyNumberFormat="1" applyFont="1" applyFill="1" applyBorder="1"/>
    <xf numFmtId="0" fontId="7" fillId="7" borderId="0" xfId="0" applyFont="1" applyFill="1" applyBorder="1" applyAlignment="1">
      <alignment horizontal="center"/>
    </xf>
    <xf numFmtId="37" fontId="14" fillId="7" borderId="0" xfId="12" applyNumberFormat="1" applyFont="1" applyFill="1" applyBorder="1"/>
    <xf numFmtId="37" fontId="6" fillId="7" borderId="23" xfId="12" applyNumberFormat="1" applyFont="1" applyFill="1" applyBorder="1"/>
    <xf numFmtId="0" fontId="6" fillId="7" borderId="0" xfId="0" applyFont="1" applyFill="1" applyBorder="1"/>
    <xf numFmtId="0" fontId="7" fillId="7" borderId="10" xfId="0" applyFont="1" applyFill="1" applyBorder="1" applyAlignment="1">
      <alignment horizontal="center"/>
    </xf>
    <xf numFmtId="0" fontId="6" fillId="7" borderId="23" xfId="0" applyFont="1" applyFill="1" applyBorder="1"/>
    <xf numFmtId="5" fontId="6" fillId="7" borderId="0" xfId="0" applyNumberFormat="1" applyFont="1" applyFill="1" applyBorder="1"/>
    <xf numFmtId="10" fontId="6" fillId="7" borderId="0" xfId="14" applyNumberFormat="1" applyFont="1" applyFill="1" applyBorder="1"/>
    <xf numFmtId="10" fontId="14" fillId="7" borderId="0" xfId="14" applyNumberFormat="1" applyFont="1" applyFill="1" applyBorder="1"/>
    <xf numFmtId="37" fontId="7" fillId="7" borderId="23" xfId="12" applyNumberFormat="1" applyFont="1" applyFill="1" applyBorder="1"/>
    <xf numFmtId="170" fontId="6" fillId="7" borderId="0" xfId="1" applyNumberFormat="1" applyFont="1" applyFill="1" applyBorder="1"/>
    <xf numFmtId="169" fontId="6" fillId="7" borderId="0" xfId="14" applyNumberFormat="1" applyFont="1" applyFill="1" applyBorder="1"/>
    <xf numFmtId="169" fontId="14" fillId="7" borderId="0" xfId="14" applyNumberFormat="1" applyFont="1" applyFill="1" applyBorder="1"/>
    <xf numFmtId="10" fontId="6" fillId="7" borderId="16" xfId="14" applyNumberFormat="1" applyFont="1" applyFill="1" applyBorder="1"/>
    <xf numFmtId="37" fontId="6" fillId="7" borderId="24" xfId="12" applyNumberFormat="1" applyFont="1" applyFill="1" applyBorder="1"/>
    <xf numFmtId="0" fontId="6" fillId="7" borderId="25" xfId="0" applyFont="1" applyFill="1" applyBorder="1"/>
    <xf numFmtId="170" fontId="6" fillId="7" borderId="25" xfId="1" applyNumberFormat="1" applyFont="1" applyFill="1" applyBorder="1"/>
    <xf numFmtId="10" fontId="6" fillId="7" borderId="25" xfId="14" applyNumberFormat="1" applyFont="1" applyFill="1" applyBorder="1"/>
    <xf numFmtId="10" fontId="14" fillId="7" borderId="25" xfId="14" applyNumberFormat="1" applyFont="1" applyFill="1" applyBorder="1"/>
    <xf numFmtId="37" fontId="6" fillId="7" borderId="26" xfId="12" applyNumberFormat="1" applyFont="1" applyFill="1" applyBorder="1"/>
    <xf numFmtId="41" fontId="4" fillId="0" borderId="0" xfId="12" applyNumberFormat="1" applyFont="1" applyFill="1" applyBorder="1" applyAlignment="1"/>
    <xf numFmtId="0" fontId="3" fillId="3" borderId="0" xfId="12" applyFont="1" applyFill="1"/>
    <xf numFmtId="41" fontId="3" fillId="3" borderId="10" xfId="12" applyNumberFormat="1" applyFont="1" applyFill="1" applyBorder="1"/>
    <xf numFmtId="177" fontId="3" fillId="0" borderId="0" xfId="12" applyNumberFormat="1" applyFont="1" applyFill="1" applyBorder="1"/>
    <xf numFmtId="169" fontId="6" fillId="0" borderId="0" xfId="14" applyNumberFormat="1" applyFont="1" applyFill="1" applyBorder="1"/>
    <xf numFmtId="10" fontId="6" fillId="0" borderId="0" xfId="14" applyNumberFormat="1" applyFont="1" applyFill="1" applyBorder="1"/>
    <xf numFmtId="0" fontId="40" fillId="0" borderId="0" xfId="0" applyFont="1" applyFill="1" applyBorder="1"/>
    <xf numFmtId="178" fontId="6" fillId="0" borderId="0" xfId="2" applyNumberFormat="1" applyFont="1" applyFill="1" applyBorder="1"/>
    <xf numFmtId="173" fontId="6" fillId="0" borderId="0" xfId="0" applyNumberFormat="1" applyFont="1" applyFill="1" applyBorder="1"/>
    <xf numFmtId="178" fontId="6" fillId="0" borderId="0" xfId="0" applyNumberFormat="1" applyFont="1" applyFill="1" applyBorder="1"/>
    <xf numFmtId="3" fontId="6" fillId="0" borderId="0" xfId="11" applyNumberFormat="1" applyFont="1" applyFill="1" applyBorder="1" applyAlignment="1">
      <alignment horizontal="left"/>
    </xf>
    <xf numFmtId="1" fontId="6" fillId="0" borderId="0" xfId="0" applyNumberFormat="1" applyFont="1" applyFill="1" applyBorder="1"/>
    <xf numFmtId="43" fontId="6" fillId="0" borderId="0" xfId="0" applyNumberFormat="1" applyFont="1"/>
    <xf numFmtId="0" fontId="6" fillId="0" borderId="33" xfId="0" applyFont="1" applyBorder="1"/>
    <xf numFmtId="0" fontId="6" fillId="0" borderId="34" xfId="0" applyFont="1" applyBorder="1"/>
    <xf numFmtId="0" fontId="6" fillId="0" borderId="35" xfId="0" applyFont="1" applyBorder="1"/>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11" fillId="0" borderId="0" xfId="0" applyFont="1" applyFill="1"/>
    <xf numFmtId="0" fontId="6" fillId="0" borderId="0" xfId="12" applyFont="1" applyFill="1"/>
    <xf numFmtId="0" fontId="1" fillId="0" borderId="0" xfId="0" applyFont="1"/>
    <xf numFmtId="0" fontId="1" fillId="0" borderId="0" xfId="0" applyFont="1" applyFill="1" applyBorder="1" applyAlignment="1">
      <alignment horizontal="center"/>
    </xf>
    <xf numFmtId="37" fontId="1" fillId="0" borderId="0" xfId="18" applyFont="1" applyFill="1"/>
    <xf numFmtId="37" fontId="1" fillId="0" borderId="0" xfId="0" applyNumberFormat="1" applyFont="1" applyFill="1" applyBorder="1" applyAlignment="1">
      <alignment horizontal="right"/>
    </xf>
    <xf numFmtId="10" fontId="1" fillId="0" borderId="0" xfId="0" applyNumberFormat="1" applyFont="1" applyFill="1" applyBorder="1" applyAlignment="1">
      <alignment horizontal="right"/>
    </xf>
    <xf numFmtId="37" fontId="1" fillId="0" borderId="3" xfId="0" applyNumberFormat="1" applyFont="1" applyFill="1" applyBorder="1" applyAlignment="1">
      <alignment horizontal="right"/>
    </xf>
    <xf numFmtId="0" fontId="1" fillId="0" borderId="0" xfId="0" applyFont="1" applyFill="1" applyBorder="1"/>
    <xf numFmtId="37" fontId="1" fillId="0" borderId="3" xfId="0" applyNumberFormat="1" applyFont="1" applyFill="1" applyBorder="1"/>
    <xf numFmtId="0" fontId="41" fillId="0" borderId="0" xfId="0" applyFont="1"/>
    <xf numFmtId="165" fontId="1" fillId="0" borderId="16" xfId="14" applyNumberFormat="1" applyFont="1" applyBorder="1"/>
    <xf numFmtId="37" fontId="41" fillId="0" borderId="0" xfId="0" applyNumberFormat="1" applyFont="1" applyFill="1" applyBorder="1" applyAlignment="1">
      <alignment horizontal="right"/>
    </xf>
    <xf numFmtId="3" fontId="42" fillId="0" borderId="0" xfId="6" applyNumberFormat="1" applyFont="1" applyFill="1"/>
    <xf numFmtId="0" fontId="38" fillId="0" borderId="0" xfId="0" applyFont="1" applyAlignment="1">
      <alignment horizontal="center"/>
    </xf>
    <xf numFmtId="168" fontId="6" fillId="0" borderId="0" xfId="0" applyNumberFormat="1" applyFont="1"/>
    <xf numFmtId="170" fontId="3" fillId="0" borderId="0" xfId="1" applyNumberFormat="1" applyFont="1"/>
    <xf numFmtId="169" fontId="7" fillId="7" borderId="23" xfId="14" applyNumberFormat="1" applyFont="1" applyFill="1" applyBorder="1" applyAlignment="1">
      <alignment horizontal="center"/>
    </xf>
    <xf numFmtId="169" fontId="6" fillId="0" borderId="10" xfId="14" applyNumberFormat="1" applyFont="1" applyBorder="1"/>
    <xf numFmtId="3" fontId="44" fillId="0" borderId="0" xfId="11" applyNumberFormat="1" applyFont="1" applyFill="1"/>
    <xf numFmtId="0" fontId="30" fillId="0" borderId="0" xfId="0" applyFont="1"/>
    <xf numFmtId="0" fontId="45" fillId="0" borderId="0" xfId="0" applyFont="1" applyAlignment="1">
      <alignment horizontal="center"/>
    </xf>
    <xf numFmtId="0" fontId="46" fillId="0" borderId="0" xfId="0" applyFont="1" applyFill="1" applyAlignment="1"/>
    <xf numFmtId="0" fontId="46" fillId="8" borderId="0" xfId="0" applyFont="1" applyFill="1" applyAlignment="1"/>
    <xf numFmtId="9" fontId="6" fillId="0" borderId="10" xfId="0" applyNumberFormat="1" applyFont="1" applyFill="1" applyBorder="1" applyAlignment="1">
      <alignment horizontal="left"/>
    </xf>
    <xf numFmtId="41" fontId="4" fillId="9" borderId="1" xfId="12" applyNumberFormat="1" applyFont="1" applyFill="1" applyBorder="1" applyAlignment="1">
      <alignment horizontal="center"/>
    </xf>
    <xf numFmtId="41" fontId="4" fillId="9" borderId="5" xfId="12" applyNumberFormat="1" applyFont="1" applyFill="1" applyBorder="1" applyAlignment="1">
      <alignment horizontal="center"/>
    </xf>
    <xf numFmtId="41" fontId="4" fillId="9" borderId="8" xfId="12" applyNumberFormat="1" applyFont="1" applyFill="1" applyBorder="1" applyAlignment="1">
      <alignment horizontal="center"/>
    </xf>
    <xf numFmtId="2" fontId="4" fillId="9" borderId="0" xfId="4" applyNumberFormat="1" applyFont="1" applyFill="1" applyAlignment="1" applyProtection="1">
      <alignment horizontal="center"/>
    </xf>
    <xf numFmtId="41" fontId="4" fillId="9" borderId="0" xfId="12" applyNumberFormat="1" applyFont="1" applyFill="1"/>
    <xf numFmtId="5" fontId="4" fillId="9" borderId="0" xfId="12" applyNumberFormat="1" applyFont="1" applyFill="1"/>
    <xf numFmtId="41" fontId="4" fillId="9" borderId="10" xfId="12" applyNumberFormat="1" applyFont="1" applyFill="1" applyBorder="1"/>
    <xf numFmtId="41" fontId="4" fillId="9" borderId="13" xfId="12" applyNumberFormat="1" applyFont="1" applyFill="1" applyBorder="1"/>
    <xf numFmtId="37" fontId="4" fillId="9" borderId="0" xfId="12" applyNumberFormat="1" applyFont="1" applyFill="1"/>
    <xf numFmtId="37" fontId="4" fillId="9" borderId="10" xfId="12" applyNumberFormat="1" applyFont="1" applyFill="1" applyBorder="1"/>
    <xf numFmtId="37" fontId="4" fillId="9" borderId="3" xfId="12" applyNumberFormat="1" applyFont="1" applyFill="1" applyBorder="1"/>
    <xf numFmtId="37" fontId="4" fillId="9" borderId="0" xfId="12" applyNumberFormat="1" applyFont="1" applyFill="1" applyBorder="1"/>
    <xf numFmtId="5" fontId="4" fillId="9" borderId="13" xfId="12" applyNumberFormat="1" applyFont="1" applyFill="1" applyBorder="1"/>
    <xf numFmtId="10" fontId="4" fillId="9" borderId="0" xfId="14" applyNumberFormat="1" applyFont="1" applyFill="1"/>
    <xf numFmtId="41" fontId="3" fillId="9" borderId="0" xfId="14" applyNumberFormat="1" applyFont="1" applyFill="1"/>
    <xf numFmtId="0" fontId="6" fillId="9" borderId="0" xfId="0" applyFont="1" applyFill="1"/>
    <xf numFmtId="0" fontId="46" fillId="0" borderId="0" xfId="0" applyFont="1" applyFill="1"/>
    <xf numFmtId="0" fontId="30" fillId="0" borderId="0" xfId="0" applyFont="1" applyBorder="1"/>
    <xf numFmtId="3" fontId="4" fillId="0" borderId="0" xfId="13" applyNumberFormat="1" applyFont="1" applyAlignment="1">
      <alignment horizontal="center"/>
    </xf>
    <xf numFmtId="5" fontId="3" fillId="0" borderId="0" xfId="10" applyNumberFormat="1" applyFont="1" applyFill="1" applyBorder="1"/>
    <xf numFmtId="41" fontId="3" fillId="0" borderId="0" xfId="12" applyNumberFormat="1" applyFont="1" applyBorder="1"/>
    <xf numFmtId="0" fontId="7"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41" fontId="47" fillId="0" borderId="0" xfId="12" applyNumberFormat="1" applyFont="1" applyFill="1" applyBorder="1"/>
    <xf numFmtId="0" fontId="6" fillId="0" borderId="0" xfId="0" applyFont="1" applyFill="1" applyBorder="1" applyAlignment="1">
      <alignment horizontal="center"/>
    </xf>
    <xf numFmtId="3" fontId="48" fillId="0" borderId="0" xfId="0" applyNumberFormat="1" applyFont="1"/>
    <xf numFmtId="0" fontId="48" fillId="0" borderId="0" xfId="0" applyFont="1"/>
    <xf numFmtId="3" fontId="48" fillId="0" borderId="0" xfId="0" applyNumberFormat="1" applyFont="1" applyFill="1"/>
    <xf numFmtId="0" fontId="48" fillId="0" borderId="0" xfId="0" applyFont="1" applyFill="1"/>
    <xf numFmtId="3" fontId="48" fillId="5" borderId="0" xfId="0" applyNumberFormat="1" applyFont="1" applyFill="1"/>
    <xf numFmtId="175" fontId="48" fillId="5" borderId="0" xfId="0" applyNumberFormat="1" applyFont="1" applyFill="1"/>
    <xf numFmtId="175" fontId="48" fillId="0" borderId="0" xfId="0" applyNumberFormat="1" applyFont="1"/>
    <xf numFmtId="175" fontId="48" fillId="0" borderId="0" xfId="0" applyNumberFormat="1" applyFont="1" applyFill="1"/>
    <xf numFmtId="176" fontId="48" fillId="0" borderId="0" xfId="0" applyNumberFormat="1" applyFont="1" applyFill="1" applyAlignment="1">
      <alignment horizontal="left"/>
    </xf>
    <xf numFmtId="176" fontId="48" fillId="0" borderId="0" xfId="0" applyNumberFormat="1" applyFont="1" applyAlignment="1">
      <alignment horizontal="center"/>
    </xf>
    <xf numFmtId="168" fontId="11" fillId="0" borderId="16" xfId="0" applyNumberFormat="1" applyFont="1" applyBorder="1"/>
    <xf numFmtId="0" fontId="6" fillId="0" borderId="0" xfId="0" applyFont="1" applyAlignment="1">
      <alignment horizontal="center"/>
    </xf>
    <xf numFmtId="4" fontId="6" fillId="0" borderId="0" xfId="0" applyNumberFormat="1" applyFont="1" applyFill="1" applyAlignment="1">
      <alignment horizontal="left"/>
    </xf>
    <xf numFmtId="176" fontId="48" fillId="0" borderId="0" xfId="0" applyNumberFormat="1" applyFont="1" applyFill="1" applyAlignment="1">
      <alignment horizontal="center"/>
    </xf>
    <xf numFmtId="0" fontId="0" fillId="0" borderId="0" xfId="0" applyAlignment="1">
      <alignment shrinkToFit="1"/>
    </xf>
    <xf numFmtId="0" fontId="6" fillId="0" borderId="0" xfId="0" quotePrefix="1" applyFont="1"/>
    <xf numFmtId="0" fontId="6" fillId="0" borderId="0" xfId="0" applyFont="1" applyAlignment="1">
      <alignment horizontal="center"/>
    </xf>
    <xf numFmtId="0" fontId="6" fillId="0" borderId="0" xfId="0" applyFont="1" applyAlignment="1">
      <alignment horizontal="center"/>
    </xf>
    <xf numFmtId="168" fontId="6" fillId="0" borderId="0" xfId="0" applyNumberFormat="1" applyFont="1" applyFill="1"/>
    <xf numFmtId="3" fontId="49" fillId="0" borderId="0" xfId="0" applyNumberFormat="1" applyFont="1" applyFill="1" applyAlignment="1">
      <alignment horizontal="left"/>
    </xf>
    <xf numFmtId="0" fontId="30" fillId="0" borderId="0" xfId="0" applyFont="1" applyBorder="1" applyAlignment="1">
      <alignment horizontal="left"/>
    </xf>
    <xf numFmtId="10" fontId="7" fillId="0" borderId="0" xfId="0" applyNumberFormat="1" applyFont="1" applyFill="1" applyBorder="1" applyAlignment="1">
      <alignment horizontal="left"/>
    </xf>
    <xf numFmtId="0" fontId="6" fillId="0" borderId="0" xfId="0" applyFont="1" applyAlignment="1">
      <alignment horizontal="center"/>
    </xf>
    <xf numFmtId="0" fontId="6" fillId="0" borderId="0" xfId="0" applyFont="1" applyAlignment="1">
      <alignment horizontal="center"/>
    </xf>
    <xf numFmtId="176" fontId="48" fillId="0" borderId="0" xfId="0" applyNumberFormat="1" applyFont="1" applyAlignment="1">
      <alignment horizontal="left"/>
    </xf>
    <xf numFmtId="0" fontId="6" fillId="0" borderId="0" xfId="0" applyFont="1" applyAlignment="1">
      <alignment horizontal="center"/>
    </xf>
    <xf numFmtId="0" fontId="6" fillId="0" borderId="0" xfId="0" applyFont="1" applyAlignment="1">
      <alignment horizontal="center"/>
    </xf>
    <xf numFmtId="10" fontId="6" fillId="0" borderId="0" xfId="0" applyNumberFormat="1" applyFont="1" applyFill="1" applyBorder="1" applyAlignment="1">
      <alignment horizontal="center"/>
    </xf>
    <xf numFmtId="0" fontId="3" fillId="0" borderId="0" xfId="12" applyFont="1" applyAlignment="1">
      <alignment horizontal="center"/>
    </xf>
    <xf numFmtId="0" fontId="3" fillId="0" borderId="0" xfId="12" applyFont="1" applyFill="1" applyAlignment="1">
      <alignment horizontal="center"/>
    </xf>
    <xf numFmtId="41" fontId="3" fillId="0" borderId="0" xfId="13" applyNumberFormat="1" applyFont="1" applyFill="1" applyAlignment="1">
      <alignment horizontal="center"/>
    </xf>
    <xf numFmtId="0" fontId="4" fillId="0" borderId="1" xfId="12" applyFont="1" applyBorder="1" applyAlignment="1">
      <alignment horizontal="center"/>
    </xf>
    <xf numFmtId="41" fontId="4" fillId="0" borderId="4" xfId="12" applyNumberFormat="1" applyFont="1" applyBorder="1" applyAlignment="1">
      <alignment horizontal="center"/>
    </xf>
    <xf numFmtId="0" fontId="4" fillId="0" borderId="1" xfId="12" applyFont="1" applyFill="1" applyBorder="1" applyAlignment="1">
      <alignment horizontal="center"/>
    </xf>
    <xf numFmtId="41" fontId="4" fillId="0" borderId="5" xfId="12" applyNumberFormat="1" applyFont="1" applyFill="1" applyBorder="1" applyAlignment="1">
      <alignment horizontal="center"/>
    </xf>
    <xf numFmtId="41" fontId="4" fillId="0" borderId="7" xfId="12" applyNumberFormat="1" applyFont="1" applyBorder="1" applyAlignment="1">
      <alignment horizontal="center"/>
    </xf>
    <xf numFmtId="41" fontId="4" fillId="0" borderId="11" xfId="12" applyNumberFormat="1" applyFont="1" applyBorder="1" applyAlignment="1">
      <alignment horizontal="center"/>
    </xf>
    <xf numFmtId="41" fontId="3" fillId="0" borderId="13" xfId="12" applyNumberFormat="1" applyFont="1" applyBorder="1"/>
    <xf numFmtId="10" fontId="4" fillId="0" borderId="0" xfId="14" applyNumberFormat="1" applyFont="1" applyFill="1"/>
    <xf numFmtId="41" fontId="3" fillId="0" borderId="0" xfId="14" applyNumberFormat="1" applyFont="1"/>
    <xf numFmtId="10" fontId="3" fillId="3" borderId="0" xfId="14" applyNumberFormat="1" applyFont="1" applyFill="1"/>
    <xf numFmtId="169" fontId="3" fillId="0" borderId="0" xfId="14" applyNumberFormat="1" applyFont="1" applyFill="1"/>
    <xf numFmtId="10" fontId="3" fillId="0" borderId="0" xfId="14" applyNumberFormat="1" applyFont="1" applyFill="1" applyBorder="1"/>
    <xf numFmtId="41" fontId="4" fillId="0" borderId="1" xfId="12" applyNumberFormat="1" applyFont="1" applyFill="1" applyBorder="1" applyAlignment="1">
      <alignment horizontal="center"/>
    </xf>
    <xf numFmtId="0" fontId="6" fillId="0" borderId="0" xfId="0" applyFont="1" applyAlignment="1">
      <alignment horizontal="center"/>
    </xf>
    <xf numFmtId="10" fontId="6" fillId="0" borderId="0" xfId="0" applyNumberFormat="1" applyFont="1" applyFill="1" applyBorder="1" applyAlignment="1">
      <alignment horizontal="left"/>
    </xf>
    <xf numFmtId="9" fontId="6" fillId="0" borderId="0" xfId="0" applyNumberFormat="1" applyFont="1" applyFill="1" applyBorder="1" applyAlignment="1">
      <alignment horizontal="left"/>
    </xf>
    <xf numFmtId="41" fontId="6" fillId="0" borderId="16" xfId="2" applyNumberFormat="1" applyFont="1" applyFill="1" applyBorder="1"/>
    <xf numFmtId="10" fontId="6" fillId="0" borderId="16" xfId="0" applyNumberFormat="1" applyFont="1" applyFill="1" applyBorder="1" applyAlignment="1">
      <alignment horizontal="left"/>
    </xf>
    <xf numFmtId="41" fontId="6" fillId="0" borderId="0" xfId="0" applyNumberFormat="1" applyFont="1" applyBorder="1"/>
    <xf numFmtId="41" fontId="14" fillId="0" borderId="0" xfId="0" applyNumberFormat="1" applyFont="1" applyFill="1" applyBorder="1"/>
    <xf numFmtId="10" fontId="6" fillId="0" borderId="16" xfId="0" applyNumberFormat="1" applyFont="1" applyFill="1" applyBorder="1" applyAlignment="1">
      <alignment horizontal="center"/>
    </xf>
    <xf numFmtId="41" fontId="47" fillId="0" borderId="0" xfId="12" applyNumberFormat="1" applyFont="1" applyFill="1" applyBorder="1" applyAlignment="1">
      <alignment horizontal="left" wrapText="1"/>
    </xf>
    <xf numFmtId="0" fontId="6" fillId="0" borderId="0" xfId="0" applyFont="1" applyFill="1" applyBorder="1" applyAlignment="1">
      <alignment horizontal="left" wrapText="1"/>
    </xf>
    <xf numFmtId="0" fontId="7" fillId="0" borderId="0" xfId="0" applyFont="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46" fillId="9" borderId="22" xfId="0" applyFont="1" applyFill="1" applyBorder="1" applyAlignment="1">
      <alignment horizontal="center"/>
    </xf>
    <xf numFmtId="0" fontId="46" fillId="9" borderId="0" xfId="0" applyFont="1" applyFill="1" applyBorder="1" applyAlignment="1">
      <alignment horizontal="center"/>
    </xf>
    <xf numFmtId="0" fontId="46" fillId="9" borderId="23" xfId="0" applyFont="1" applyFill="1" applyBorder="1" applyAlignment="1">
      <alignment horizontal="center"/>
    </xf>
    <xf numFmtId="0" fontId="7" fillId="0" borderId="22" xfId="0" applyFont="1" applyFill="1" applyBorder="1" applyAlignment="1">
      <alignment horizontal="center"/>
    </xf>
    <xf numFmtId="0" fontId="7" fillId="0" borderId="0" xfId="0" applyFont="1" applyFill="1" applyBorder="1" applyAlignment="1">
      <alignment horizontal="center"/>
    </xf>
    <xf numFmtId="0" fontId="7" fillId="0" borderId="23" xfId="0" applyFont="1" applyFill="1" applyBorder="1" applyAlignment="1">
      <alignment horizontal="center"/>
    </xf>
    <xf numFmtId="0" fontId="51" fillId="0" borderId="22" xfId="0" applyFont="1" applyFill="1" applyBorder="1" applyAlignment="1">
      <alignment horizontal="left"/>
    </xf>
    <xf numFmtId="0" fontId="51" fillId="0" borderId="0" xfId="0" applyFont="1" applyFill="1" applyBorder="1" applyAlignment="1">
      <alignment horizontal="left"/>
    </xf>
    <xf numFmtId="0" fontId="51" fillId="0" borderId="23" xfId="0" applyFont="1" applyFill="1" applyBorder="1" applyAlignment="1">
      <alignment horizontal="left"/>
    </xf>
    <xf numFmtId="0" fontId="7" fillId="0" borderId="0"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center"/>
    </xf>
    <xf numFmtId="0" fontId="8" fillId="0" borderId="0" xfId="0" applyFont="1" applyAlignment="1">
      <alignment horizontal="center"/>
    </xf>
    <xf numFmtId="3" fontId="6" fillId="0" borderId="0" xfId="0" quotePrefix="1" applyNumberFormat="1" applyFont="1" applyFill="1" applyAlignment="1">
      <alignment horizontal="left" vertical="top" wrapText="1"/>
    </xf>
    <xf numFmtId="0" fontId="6" fillId="0" borderId="27" xfId="11" applyFont="1" applyBorder="1" applyAlignment="1">
      <alignment horizontal="center"/>
    </xf>
    <xf numFmtId="0" fontId="6" fillId="0" borderId="28" xfId="11" applyFont="1" applyBorder="1" applyAlignment="1">
      <alignment horizontal="center"/>
    </xf>
    <xf numFmtId="0" fontId="6" fillId="0" borderId="29" xfId="11" applyFont="1" applyBorder="1" applyAlignment="1">
      <alignment horizontal="center"/>
    </xf>
    <xf numFmtId="4" fontId="12" fillId="0" borderId="0" xfId="11" applyNumberFormat="1" applyFont="1" applyBorder="1" applyAlignment="1">
      <alignment horizontal="center"/>
    </xf>
    <xf numFmtId="4" fontId="7" fillId="0" borderId="0" xfId="11" applyNumberFormat="1" applyFont="1" applyBorder="1" applyAlignment="1">
      <alignment horizontal="center"/>
    </xf>
    <xf numFmtId="4" fontId="25" fillId="0" borderId="0" xfId="11" applyNumberFormat="1" applyFont="1" applyBorder="1" applyAlignment="1">
      <alignment horizontal="center"/>
    </xf>
    <xf numFmtId="4" fontId="6" fillId="0" borderId="0" xfId="11" applyNumberFormat="1" applyFont="1" applyBorder="1" applyAlignment="1">
      <alignment horizontal="center"/>
    </xf>
  </cellXfs>
  <cellStyles count="20">
    <cellStyle name="Comma" xfId="1" builtinId="3"/>
    <cellStyle name="Comma 2" xfId="19"/>
    <cellStyle name="Currency" xfId="2" builtinId="4"/>
    <cellStyle name="Currency 2" xfId="3"/>
    <cellStyle name="Followed Hyperlink" xfId="4" builtinId="9" customBuiltin="1"/>
    <cellStyle name="Hyperlink" xfId="5" builtinId="8" customBuiltin="1"/>
    <cellStyle name="Manual-Input" xfId="17"/>
    <cellStyle name="Normal" xfId="0" builtinId="0"/>
    <cellStyle name="Normal 2" xfId="16"/>
    <cellStyle name="Normal 2 2" xfId="6"/>
    <cellStyle name="Normal 2 3" xfId="7"/>
    <cellStyle name="Normal 6" xfId="8"/>
    <cellStyle name="Normal_Avista WA ELEC TY2006 Staff Rebuttal 05 capstruc" xfId="18"/>
    <cellStyle name="Normal_DFIT-WaEle_SUM" xfId="9"/>
    <cellStyle name="Normal_IDGas6_97" xfId="10"/>
    <cellStyle name="Normal_RestateDebtInt1200case" xfId="11"/>
    <cellStyle name="Normal_WAElec6_97" xfId="12"/>
    <cellStyle name="Normal_WAGas6_97"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2012%20WA%20GRC\Adjustment%20Information\Draft-Avista%20Electric%202012%20GRC-WA%20ELECsumm2011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WA"/>
      <sheetName val="RevReq_Exh_WA"/>
      <sheetName val="ConverFac_Exh-WA"/>
      <sheetName val="Retail Revenue Credit"/>
      <sheetName val="PFRstmtSheet"/>
      <sheetName val="WAElec_Summary"/>
      <sheetName val="1.01-DFIT"/>
      <sheetName val="1.02-Deferred Dr. and CR."/>
      <sheetName val="1.03-Res_Capital"/>
      <sheetName val="1.04-WrkgCap"/>
      <sheetName val="2.01-BandO"/>
      <sheetName val="2.02-PropTax"/>
      <sheetName val="2.03-UncollExp"/>
      <sheetName val="2.04-RegExp"/>
      <sheetName val="2.05-InjDam"/>
      <sheetName val="2.06-FIT"/>
      <sheetName val="2.07-ElimPowerCost"/>
      <sheetName val="2.08-NezPerce"/>
      <sheetName val="2.09-ElimAR"/>
      <sheetName val="2.10-SubSpace"/>
      <sheetName val="2.11-ExciseTax"/>
      <sheetName val="2.12-GainsLoss"/>
      <sheetName val="2.13-RevNormalztn"/>
      <sheetName val="2.14-MiscRestate"/>
      <sheetName val="2.15-Res_Incen"/>
      <sheetName val="2.16-BCKaBlck"/>
      <sheetName val="2.17-Depr. Study"/>
      <sheetName val="2.18-CS2 Colstrip"/>
      <sheetName val="2.19-Attrition"/>
      <sheetName val="2.20-DebtInt"/>
      <sheetName val="2.20a-DebtCalc"/>
      <sheetName val="PF1-PSWA"/>
      <sheetName val="PF2-Trans"/>
      <sheetName val="PF3-Labor"/>
      <sheetName val="PF4-Exec"/>
      <sheetName val="PF5-EmpBen"/>
      <sheetName val="PF6-Insur"/>
      <sheetName val="PF7-Capx2012"/>
      <sheetName val="PF8-Smart Grid"/>
      <sheetName val="PF9-Aldyl A"/>
      <sheetName val="PF10-First Wind"/>
      <sheetName val="PF11-Noxon Gen"/>
      <sheetName val="PF12-VegMgmt"/>
      <sheetName val="PF13-Perf.Exel."/>
      <sheetName val="PF14-IT Expenses"/>
      <sheetName val="PF15-Compass "/>
      <sheetName val="Revised Comparison-For sttlmnt"/>
      <sheetName val="Inputs"/>
      <sheetName val="PFProdFctr-WA-not used-formula"/>
      <sheetName val="PFProdFctr-WA calc"/>
      <sheetName val="Sheet"/>
    </sheetNames>
    <sheetDataSet>
      <sheetData sheetId="0" refreshError="1"/>
      <sheetData sheetId="1" refreshError="1"/>
      <sheetData sheetId="2" refreshError="1"/>
      <sheetData sheetId="3" refreshError="1"/>
      <sheetData sheetId="4">
        <row r="1">
          <cell r="A1" t="str">
            <v xml:space="preserve"> </v>
          </cell>
        </row>
      </sheetData>
      <sheetData sheetId="5">
        <row r="4">
          <cell r="A4" t="str">
            <v>TWELVE MONTHS ENDED DECEMBER 31, 2011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6">
          <cell r="D6" t="str">
            <v>AVISTA UTILITIES</v>
          </cell>
        </row>
      </sheetData>
      <sheetData sheetId="48" refreshError="1"/>
      <sheetData sheetId="49" refreshError="1"/>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09375" defaultRowHeight="13.2"/>
  <cols>
    <col min="1" max="16384" width="9.109375" style="43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95"/>
  <sheetViews>
    <sheetView tabSelected="1" topLeftCell="Z45" workbookViewId="0">
      <selection activeCell="AL63" sqref="AL63"/>
    </sheetView>
  </sheetViews>
  <sheetFormatPr defaultColWidth="10.6640625" defaultRowHeight="13.2"/>
  <cols>
    <col min="1" max="1" width="4.6640625" style="3" customWidth="1"/>
    <col min="2" max="3" width="1.6640625" style="2" customWidth="1"/>
    <col min="4" max="4" width="33.6640625" style="2" customWidth="1"/>
    <col min="5" max="5" width="14.6640625" style="160" customWidth="1"/>
    <col min="6" max="6" width="14.6640625" style="159" customWidth="1"/>
    <col min="7" max="9" width="14.6640625" style="160" customWidth="1"/>
    <col min="10" max="14" width="14.6640625" style="159" customWidth="1"/>
    <col min="15" max="16" width="13.88671875" style="159" customWidth="1"/>
    <col min="17" max="23" width="14.6640625" style="159" customWidth="1"/>
    <col min="24" max="26" width="12.33203125" style="160" customWidth="1"/>
    <col min="27" max="27" width="13.44140625" style="160" customWidth="1"/>
    <col min="28" max="28" width="7.33203125" style="159" hidden="1" customWidth="1"/>
    <col min="29" max="29" width="17.6640625" style="158" customWidth="1"/>
    <col min="30" max="30" width="0.5546875" style="160" customWidth="1"/>
    <col min="31" max="31" width="12.21875" style="175" customWidth="1"/>
    <col min="32" max="32" width="16.44140625" style="415" customWidth="1"/>
    <col min="33" max="33" width="14.6640625" style="103" customWidth="1"/>
    <col min="34" max="34" width="13.6640625" style="129" customWidth="1"/>
    <col min="35" max="35" width="12.6640625" style="2" customWidth="1"/>
    <col min="36" max="37" width="15.33203125" style="2" customWidth="1"/>
    <col min="38" max="38" width="15.33203125" style="103" customWidth="1"/>
    <col min="39" max="45" width="10.6640625" style="368"/>
    <col min="46" max="16384" width="10.6640625" style="2"/>
  </cols>
  <sheetData>
    <row r="1" spans="1:38">
      <c r="F1" s="160"/>
      <c r="J1" s="160"/>
      <c r="K1" s="160"/>
      <c r="L1" s="160"/>
      <c r="M1" s="160"/>
      <c r="N1" s="160"/>
      <c r="Q1" s="160"/>
      <c r="R1" s="160"/>
    </row>
    <row r="2" spans="1:38">
      <c r="A2" s="1" t="s">
        <v>157</v>
      </c>
      <c r="D2" s="3"/>
      <c r="E2" s="158"/>
      <c r="F2" s="163"/>
      <c r="G2" s="158"/>
      <c r="H2" s="158"/>
      <c r="I2" s="158"/>
      <c r="J2" s="163"/>
      <c r="K2" s="163"/>
      <c r="L2" s="163"/>
      <c r="M2" s="163"/>
      <c r="N2" s="163"/>
      <c r="O2" s="160"/>
      <c r="P2" s="160"/>
      <c r="Q2" s="163"/>
      <c r="R2" s="163"/>
      <c r="S2" s="160"/>
      <c r="T2" s="160"/>
      <c r="U2" s="160"/>
      <c r="V2" s="160"/>
    </row>
    <row r="3" spans="1:38" ht="12.75" customHeight="1">
      <c r="A3" s="1" t="s">
        <v>587</v>
      </c>
      <c r="D3" s="3"/>
      <c r="E3" s="163"/>
      <c r="F3" s="163"/>
      <c r="G3" s="163"/>
      <c r="H3" s="163"/>
      <c r="I3" s="163"/>
      <c r="J3" s="163"/>
      <c r="K3" s="163"/>
      <c r="L3" s="163"/>
      <c r="M3" s="163"/>
      <c r="N3" s="163"/>
      <c r="O3" s="160"/>
      <c r="P3" s="160"/>
      <c r="Q3" s="163"/>
      <c r="R3" s="163"/>
      <c r="S3" s="160"/>
      <c r="T3" s="160"/>
      <c r="U3" s="160"/>
      <c r="V3" s="160"/>
      <c r="AF3" s="469"/>
    </row>
    <row r="4" spans="1:38">
      <c r="A4" s="1" t="s">
        <v>629</v>
      </c>
      <c r="D4" s="3"/>
      <c r="F4" s="158"/>
      <c r="J4" s="160"/>
      <c r="K4" s="160"/>
      <c r="L4" s="160"/>
      <c r="M4" s="160"/>
      <c r="N4" s="160"/>
      <c r="O4" s="160"/>
      <c r="P4" s="160"/>
      <c r="Q4" s="160"/>
      <c r="R4" s="160"/>
      <c r="S4" s="163"/>
      <c r="T4" s="163"/>
      <c r="U4" s="163"/>
      <c r="V4" s="163"/>
      <c r="W4" s="163"/>
      <c r="X4" s="163"/>
      <c r="Y4" s="163"/>
      <c r="Z4" s="163"/>
      <c r="AA4" s="163"/>
      <c r="AB4" s="160"/>
      <c r="AF4" s="469"/>
    </row>
    <row r="5" spans="1:38" ht="12.75" customHeight="1">
      <c r="A5" s="1" t="s">
        <v>158</v>
      </c>
      <c r="D5" s="3"/>
      <c r="E5" s="163"/>
      <c r="F5" s="158"/>
      <c r="G5" s="163"/>
      <c r="H5" s="163"/>
      <c r="I5" s="163"/>
      <c r="J5" s="163"/>
      <c r="K5" s="163"/>
      <c r="L5" s="163"/>
      <c r="M5" s="163"/>
      <c r="N5" s="163"/>
      <c r="O5" s="163"/>
      <c r="P5" s="163"/>
      <c r="Q5" s="163"/>
      <c r="R5" s="163"/>
      <c r="S5" s="163"/>
      <c r="T5" s="163"/>
      <c r="U5" s="163"/>
      <c r="V5" s="163"/>
      <c r="W5" s="163"/>
      <c r="X5" s="163"/>
      <c r="Y5" s="163"/>
      <c r="Z5" s="163"/>
      <c r="AA5" s="163"/>
      <c r="AD5" s="347"/>
      <c r="AF5" s="469"/>
      <c r="AL5" s="6"/>
    </row>
    <row r="6" spans="1:38" s="5" customFormat="1" ht="12.75" customHeight="1">
      <c r="A6" s="4"/>
      <c r="D6" s="4"/>
      <c r="E6" s="445"/>
      <c r="F6" s="164"/>
      <c r="G6" s="446"/>
      <c r="H6" s="446"/>
      <c r="I6" s="446"/>
      <c r="J6" s="164"/>
      <c r="K6" s="164"/>
      <c r="L6" s="164"/>
      <c r="M6" s="164"/>
      <c r="N6" s="164"/>
      <c r="O6" s="447"/>
      <c r="P6" s="447"/>
      <c r="Q6" s="164"/>
      <c r="R6" s="164"/>
      <c r="S6" s="164"/>
      <c r="T6" s="164"/>
      <c r="U6" s="447"/>
      <c r="V6" s="164"/>
      <c r="W6" s="164"/>
      <c r="X6" s="447"/>
      <c r="Y6" s="447"/>
      <c r="Z6" s="447"/>
      <c r="AA6" s="447"/>
      <c r="AB6" s="409"/>
      <c r="AC6" s="163"/>
      <c r="AD6" s="347"/>
      <c r="AE6" s="300"/>
      <c r="AF6" s="469"/>
      <c r="AG6" s="6"/>
      <c r="AH6" s="12"/>
      <c r="AL6" s="6"/>
    </row>
    <row r="7" spans="1:38" s="5" customFormat="1" ht="12" customHeight="1">
      <c r="A7" s="7"/>
      <c r="B7" s="8"/>
      <c r="C7" s="9"/>
      <c r="D7" s="9"/>
      <c r="E7" s="448"/>
      <c r="F7" s="449" t="s">
        <v>1</v>
      </c>
      <c r="G7" s="450" t="s">
        <v>1</v>
      </c>
      <c r="H7" s="450" t="s">
        <v>213</v>
      </c>
      <c r="I7" s="450" t="s">
        <v>638</v>
      </c>
      <c r="J7" s="449" t="s">
        <v>3</v>
      </c>
      <c r="K7" s="449" t="s">
        <v>5</v>
      </c>
      <c r="L7" s="449" t="s">
        <v>588</v>
      </c>
      <c r="M7" s="449" t="s">
        <v>13</v>
      </c>
      <c r="N7" s="449" t="s">
        <v>4</v>
      </c>
      <c r="O7" s="450" t="s">
        <v>582</v>
      </c>
      <c r="P7" s="450" t="s">
        <v>6</v>
      </c>
      <c r="Q7" s="449" t="s">
        <v>5</v>
      </c>
      <c r="R7" s="449" t="s">
        <v>193</v>
      </c>
      <c r="S7" s="165" t="s">
        <v>583</v>
      </c>
      <c r="T7" s="165" t="s">
        <v>3</v>
      </c>
      <c r="U7" s="460" t="s">
        <v>589</v>
      </c>
      <c r="V7" s="165" t="s">
        <v>3</v>
      </c>
      <c r="W7" s="460" t="s">
        <v>89</v>
      </c>
      <c r="X7" s="460" t="s">
        <v>5</v>
      </c>
      <c r="Y7" s="460" t="s">
        <v>615</v>
      </c>
      <c r="Z7" s="460" t="s">
        <v>5</v>
      </c>
      <c r="AA7" s="166" t="s">
        <v>581</v>
      </c>
      <c r="AB7" s="165" t="s">
        <v>559</v>
      </c>
      <c r="AC7" s="391" t="s">
        <v>635</v>
      </c>
      <c r="AD7" s="166"/>
      <c r="AE7" s="460" t="s">
        <v>3</v>
      </c>
      <c r="AF7" s="460" t="s">
        <v>3</v>
      </c>
      <c r="AG7" s="460" t="s">
        <v>646</v>
      </c>
      <c r="AH7" s="460" t="s">
        <v>649</v>
      </c>
      <c r="AI7" s="391" t="s">
        <v>652</v>
      </c>
      <c r="AL7" s="153"/>
    </row>
    <row r="8" spans="1:38" s="5" customFormat="1" ht="11.4">
      <c r="A8" s="10" t="s">
        <v>7</v>
      </c>
      <c r="B8" s="11"/>
      <c r="C8" s="12"/>
      <c r="D8" s="12"/>
      <c r="E8" s="451" t="s">
        <v>220</v>
      </c>
      <c r="F8" s="452" t="s">
        <v>8</v>
      </c>
      <c r="G8" s="451" t="s">
        <v>218</v>
      </c>
      <c r="H8" s="451" t="s">
        <v>92</v>
      </c>
      <c r="I8" s="451" t="s">
        <v>640</v>
      </c>
      <c r="J8" s="452" t="s">
        <v>11</v>
      </c>
      <c r="K8" s="452" t="s">
        <v>12</v>
      </c>
      <c r="L8" s="452" t="s">
        <v>25</v>
      </c>
      <c r="M8" s="452" t="s">
        <v>25</v>
      </c>
      <c r="N8" s="452" t="s">
        <v>14</v>
      </c>
      <c r="O8" s="451" t="s">
        <v>25</v>
      </c>
      <c r="P8" s="451" t="s">
        <v>16</v>
      </c>
      <c r="Q8" s="452" t="s">
        <v>194</v>
      </c>
      <c r="R8" s="452" t="s">
        <v>216</v>
      </c>
      <c r="S8" s="167" t="s">
        <v>155</v>
      </c>
      <c r="T8" s="167" t="s">
        <v>594</v>
      </c>
      <c r="U8" s="451" t="s">
        <v>205</v>
      </c>
      <c r="V8" s="167" t="s">
        <v>87</v>
      </c>
      <c r="W8" s="451" t="s">
        <v>2</v>
      </c>
      <c r="X8" s="451" t="s">
        <v>614</v>
      </c>
      <c r="Y8" s="451" t="s">
        <v>616</v>
      </c>
      <c r="Z8" s="451" t="s">
        <v>15</v>
      </c>
      <c r="AA8" s="168" t="s">
        <v>10</v>
      </c>
      <c r="AB8" s="167"/>
      <c r="AC8" s="392" t="s">
        <v>17</v>
      </c>
      <c r="AD8" s="168"/>
      <c r="AE8" s="451" t="s">
        <v>642</v>
      </c>
      <c r="AF8" s="451" t="s">
        <v>644</v>
      </c>
      <c r="AG8" s="451" t="s">
        <v>647</v>
      </c>
      <c r="AH8" s="451" t="s">
        <v>650</v>
      </c>
      <c r="AI8" s="392" t="s">
        <v>547</v>
      </c>
      <c r="AL8" s="6"/>
    </row>
    <row r="9" spans="1:38" s="5" customFormat="1" ht="11.4">
      <c r="A9" s="13" t="s">
        <v>18</v>
      </c>
      <c r="B9" s="14"/>
      <c r="C9" s="15"/>
      <c r="D9" s="15" t="s">
        <v>19</v>
      </c>
      <c r="E9" s="169" t="s">
        <v>221</v>
      </c>
      <c r="F9" s="453" t="s">
        <v>20</v>
      </c>
      <c r="G9" s="169" t="s">
        <v>219</v>
      </c>
      <c r="H9" s="169" t="s">
        <v>607</v>
      </c>
      <c r="I9" s="169" t="s">
        <v>639</v>
      </c>
      <c r="J9" s="453" t="s">
        <v>23</v>
      </c>
      <c r="K9" s="453" t="s">
        <v>24</v>
      </c>
      <c r="L9" s="453" t="s">
        <v>607</v>
      </c>
      <c r="M9" s="453" t="s">
        <v>607</v>
      </c>
      <c r="N9" s="453" t="s">
        <v>26</v>
      </c>
      <c r="O9" s="169" t="s">
        <v>607</v>
      </c>
      <c r="P9" s="169" t="s">
        <v>613</v>
      </c>
      <c r="Q9" s="453" t="s">
        <v>23</v>
      </c>
      <c r="R9" s="453" t="s">
        <v>217</v>
      </c>
      <c r="S9" s="170" t="s">
        <v>607</v>
      </c>
      <c r="T9" s="170" t="s">
        <v>595</v>
      </c>
      <c r="U9" s="169" t="s">
        <v>607</v>
      </c>
      <c r="V9" s="170" t="s">
        <v>88</v>
      </c>
      <c r="W9" s="169" t="s">
        <v>21</v>
      </c>
      <c r="X9" s="169"/>
      <c r="Y9" s="169" t="s">
        <v>617</v>
      </c>
      <c r="Z9" s="169" t="s">
        <v>27</v>
      </c>
      <c r="AA9" s="169" t="s">
        <v>22</v>
      </c>
      <c r="AB9" s="170"/>
      <c r="AC9" s="393" t="s">
        <v>29</v>
      </c>
      <c r="AD9" s="169"/>
      <c r="AE9" s="169" t="s">
        <v>21</v>
      </c>
      <c r="AF9" s="169" t="s">
        <v>645</v>
      </c>
      <c r="AG9" s="169" t="s">
        <v>648</v>
      </c>
      <c r="AH9" s="169" t="s">
        <v>651</v>
      </c>
      <c r="AI9" s="393" t="s">
        <v>29</v>
      </c>
      <c r="AL9" s="6"/>
    </row>
    <row r="10" spans="1:38" s="272" customFormat="1" ht="12">
      <c r="B10" s="298" t="s">
        <v>523</v>
      </c>
      <c r="E10" s="273">
        <v>1</v>
      </c>
      <c r="F10" s="273">
        <f>1+0.01</f>
        <v>1.01</v>
      </c>
      <c r="G10" s="275">
        <f>F10+0.01</f>
        <v>1.02</v>
      </c>
      <c r="H10" s="275">
        <f>G10+0.01</f>
        <v>1.03</v>
      </c>
      <c r="I10" s="275">
        <f>H10+0.01</f>
        <v>1.04</v>
      </c>
      <c r="J10" s="273">
        <v>2.0099999999999998</v>
      </c>
      <c r="K10" s="273">
        <f>J10+0.01</f>
        <v>2.0199999999999996</v>
      </c>
      <c r="L10" s="273">
        <f>K10+0.01</f>
        <v>2.0299999999999994</v>
      </c>
      <c r="M10" s="273">
        <f>L10+0.01</f>
        <v>2.0399999999999991</v>
      </c>
      <c r="N10" s="273">
        <f t="shared" ref="N10:R10" si="0">M10+0.01</f>
        <v>2.0499999999999989</v>
      </c>
      <c r="O10" s="275">
        <f t="shared" si="0"/>
        <v>2.0599999999999987</v>
      </c>
      <c r="P10" s="275">
        <f t="shared" si="0"/>
        <v>2.0699999999999985</v>
      </c>
      <c r="Q10" s="273">
        <f t="shared" si="0"/>
        <v>2.0799999999999983</v>
      </c>
      <c r="R10" s="273">
        <f t="shared" si="0"/>
        <v>2.0899999999999981</v>
      </c>
      <c r="S10" s="273">
        <f t="shared" ref="S10" si="1">R10+0.01</f>
        <v>2.0999999999999979</v>
      </c>
      <c r="T10" s="273">
        <f t="shared" ref="T10" si="2">S10+0.01</f>
        <v>2.1099999999999977</v>
      </c>
      <c r="U10" s="275">
        <f t="shared" ref="U10" si="3">T10+0.01</f>
        <v>2.1199999999999974</v>
      </c>
      <c r="V10" s="273">
        <f t="shared" ref="V10" si="4">U10+0.01</f>
        <v>2.1299999999999972</v>
      </c>
      <c r="W10" s="273">
        <f t="shared" ref="W10" si="5">V10+0.01</f>
        <v>2.139999999999997</v>
      </c>
      <c r="X10" s="273">
        <f t="shared" ref="X10" si="6">W10+0.01</f>
        <v>2.1499999999999968</v>
      </c>
      <c r="Y10" s="273">
        <f t="shared" ref="Y10" si="7">X10+0.01</f>
        <v>2.1599999999999966</v>
      </c>
      <c r="Z10" s="273">
        <f t="shared" ref="Z10" si="8">Y10+0.01</f>
        <v>2.1699999999999964</v>
      </c>
      <c r="AA10" s="273">
        <f t="shared" ref="AA10" si="9">Z10+0.01</f>
        <v>2.1799999999999962</v>
      </c>
      <c r="AB10" s="275"/>
      <c r="AC10" s="394" t="s">
        <v>543</v>
      </c>
      <c r="AD10" s="275"/>
      <c r="AE10" s="273">
        <v>3</v>
      </c>
      <c r="AF10" s="273">
        <f t="shared" ref="AF10:AH10" si="10">AE10+0.01</f>
        <v>3.01</v>
      </c>
      <c r="AG10" s="273">
        <f t="shared" si="10"/>
        <v>3.0199999999999996</v>
      </c>
      <c r="AH10" s="273">
        <f t="shared" si="10"/>
        <v>3.0299999999999994</v>
      </c>
      <c r="AI10" s="394" t="s">
        <v>643</v>
      </c>
      <c r="AL10" s="276"/>
    </row>
    <row r="11" spans="1:38" s="272" customFormat="1" ht="12">
      <c r="B11" s="298" t="s">
        <v>524</v>
      </c>
      <c r="E11" s="273" t="s">
        <v>525</v>
      </c>
      <c r="F11" s="273" t="s">
        <v>526</v>
      </c>
      <c r="G11" s="275" t="s">
        <v>527</v>
      </c>
      <c r="H11" s="275" t="s">
        <v>528</v>
      </c>
      <c r="I11" s="275" t="s">
        <v>641</v>
      </c>
      <c r="J11" s="273" t="s">
        <v>529</v>
      </c>
      <c r="K11" s="273" t="s">
        <v>600</v>
      </c>
      <c r="L11" s="273" t="s">
        <v>591</v>
      </c>
      <c r="M11" s="273" t="s">
        <v>592</v>
      </c>
      <c r="N11" s="273" t="s">
        <v>530</v>
      </c>
      <c r="O11" s="275" t="s">
        <v>531</v>
      </c>
      <c r="P11" s="275" t="s">
        <v>560</v>
      </c>
      <c r="Q11" s="273" t="s">
        <v>534</v>
      </c>
      <c r="R11" s="273" t="s">
        <v>535</v>
      </c>
      <c r="S11" s="273" t="s">
        <v>597</v>
      </c>
      <c r="T11" s="273" t="s">
        <v>596</v>
      </c>
      <c r="U11" s="275" t="s">
        <v>536</v>
      </c>
      <c r="V11" s="273" t="s">
        <v>532</v>
      </c>
      <c r="W11" s="273" t="s">
        <v>533</v>
      </c>
      <c r="X11" s="275" t="s">
        <v>628</v>
      </c>
      <c r="Y11" s="275" t="s">
        <v>537</v>
      </c>
      <c r="Z11" s="275" t="s">
        <v>537</v>
      </c>
      <c r="AA11" s="275" t="s">
        <v>584</v>
      </c>
      <c r="AB11" s="273" t="s">
        <v>559</v>
      </c>
      <c r="AC11" s="394"/>
      <c r="AD11" s="275"/>
      <c r="AE11" s="275" t="s">
        <v>607</v>
      </c>
      <c r="AF11" s="275" t="s">
        <v>607</v>
      </c>
      <c r="AG11" s="275" t="s">
        <v>607</v>
      </c>
      <c r="AH11" s="275" t="s">
        <v>607</v>
      </c>
      <c r="AI11" s="394"/>
      <c r="AL11" s="276"/>
    </row>
    <row r="12" spans="1:38" s="272" customFormat="1" ht="12">
      <c r="B12" s="298"/>
      <c r="E12" s="273"/>
      <c r="F12" s="273"/>
      <c r="G12" s="273"/>
      <c r="H12" s="273"/>
      <c r="I12" s="273"/>
      <c r="J12" s="273"/>
      <c r="K12" s="273"/>
      <c r="L12" s="273"/>
      <c r="M12" s="273"/>
      <c r="N12" s="273"/>
      <c r="O12" s="275"/>
      <c r="P12" s="275"/>
      <c r="Q12" s="273"/>
      <c r="R12" s="273"/>
      <c r="S12" s="273"/>
      <c r="T12" s="273"/>
      <c r="U12" s="273"/>
      <c r="V12" s="273"/>
      <c r="W12" s="273"/>
      <c r="X12" s="275"/>
      <c r="Y12" s="275"/>
      <c r="Z12" s="275"/>
      <c r="AA12" s="275"/>
      <c r="AB12" s="273"/>
      <c r="AC12" s="394"/>
      <c r="AD12" s="275"/>
      <c r="AE12" s="275"/>
      <c r="AF12" s="275"/>
      <c r="AG12" s="275"/>
      <c r="AH12" s="275"/>
      <c r="AI12" s="394"/>
      <c r="AL12" s="276"/>
    </row>
    <row r="13" spans="1:38">
      <c r="B13" s="2" t="s">
        <v>159</v>
      </c>
      <c r="O13" s="171"/>
      <c r="P13" s="171"/>
      <c r="X13" s="171"/>
      <c r="Y13" s="171"/>
      <c r="Z13" s="171"/>
      <c r="AA13" s="171"/>
      <c r="AC13" s="395"/>
      <c r="AD13" s="171"/>
      <c r="AE13" s="171"/>
      <c r="AF13" s="171"/>
      <c r="AG13" s="171"/>
      <c r="AH13" s="171"/>
      <c r="AI13" s="395"/>
    </row>
    <row r="14" spans="1:38" s="17" customFormat="1" ht="12">
      <c r="A14" s="16">
        <v>1</v>
      </c>
      <c r="B14" s="17" t="s">
        <v>160</v>
      </c>
      <c r="E14" s="177">
        <f>'ROO INPUT'!F14</f>
        <v>548287</v>
      </c>
      <c r="F14" s="410">
        <v>0</v>
      </c>
      <c r="G14" s="177">
        <v>0</v>
      </c>
      <c r="H14" s="177">
        <v>0</v>
      </c>
      <c r="I14" s="177">
        <v>0</v>
      </c>
      <c r="J14" s="410">
        <v>-18966</v>
      </c>
      <c r="K14" s="410">
        <v>0</v>
      </c>
      <c r="L14" s="410">
        <v>0</v>
      </c>
      <c r="M14" s="410">
        <v>0</v>
      </c>
      <c r="N14" s="410">
        <v>0</v>
      </c>
      <c r="O14" s="410">
        <v>0</v>
      </c>
      <c r="P14" s="410">
        <v>0</v>
      </c>
      <c r="Q14" s="410">
        <v>0</v>
      </c>
      <c r="R14" s="410">
        <v>0</v>
      </c>
      <c r="S14" s="410">
        <v>-12602</v>
      </c>
      <c r="T14" s="410">
        <v>-25405</v>
      </c>
      <c r="U14" s="410">
        <v>0</v>
      </c>
      <c r="V14" s="410">
        <v>2655</v>
      </c>
      <c r="W14" s="410">
        <v>0</v>
      </c>
      <c r="X14" s="410">
        <v>0</v>
      </c>
      <c r="Y14" s="410">
        <v>0</v>
      </c>
      <c r="Z14" s="410">
        <v>0</v>
      </c>
      <c r="AA14" s="410">
        <v>0</v>
      </c>
      <c r="AB14" s="410">
        <v>0</v>
      </c>
      <c r="AC14" s="396">
        <f>SUM(E14:AB14)</f>
        <v>493969</v>
      </c>
      <c r="AD14" s="410"/>
      <c r="AE14" s="410">
        <f>-S14</f>
        <v>12602</v>
      </c>
      <c r="AF14" s="410">
        <v>0</v>
      </c>
      <c r="AG14" s="410">
        <v>0</v>
      </c>
      <c r="AH14" s="410">
        <v>0</v>
      </c>
      <c r="AI14" s="396">
        <f>SUM(AC14:AH14)</f>
        <v>506571</v>
      </c>
      <c r="AL14" s="19"/>
    </row>
    <row r="15" spans="1:38" s="18" customFormat="1" ht="12">
      <c r="A15" s="16">
        <v>2</v>
      </c>
      <c r="B15" s="18" t="s">
        <v>161</v>
      </c>
      <c r="E15" s="101">
        <f>'ROO INPUT'!F15</f>
        <v>1005</v>
      </c>
      <c r="F15" s="159">
        <v>0</v>
      </c>
      <c r="G15" s="101">
        <v>0</v>
      </c>
      <c r="H15" s="101">
        <v>0</v>
      </c>
      <c r="I15" s="101">
        <v>0</v>
      </c>
      <c r="J15" s="159">
        <v>0</v>
      </c>
      <c r="K15" s="159">
        <v>0</v>
      </c>
      <c r="L15" s="159">
        <v>0</v>
      </c>
      <c r="M15" s="159">
        <v>0</v>
      </c>
      <c r="N15" s="159">
        <v>0</v>
      </c>
      <c r="O15" s="159">
        <v>0</v>
      </c>
      <c r="P15" s="159">
        <v>0</v>
      </c>
      <c r="Q15" s="159">
        <v>0</v>
      </c>
      <c r="R15" s="159">
        <v>0</v>
      </c>
      <c r="S15" s="159">
        <v>0</v>
      </c>
      <c r="T15" s="159">
        <v>0</v>
      </c>
      <c r="U15" s="159">
        <v>0</v>
      </c>
      <c r="V15" s="159" t="s">
        <v>545</v>
      </c>
      <c r="W15" s="159">
        <v>0</v>
      </c>
      <c r="X15" s="160">
        <v>0</v>
      </c>
      <c r="Y15" s="160">
        <v>0</v>
      </c>
      <c r="Z15" s="160">
        <v>0</v>
      </c>
      <c r="AA15" s="160">
        <v>0</v>
      </c>
      <c r="AB15" s="159">
        <v>0</v>
      </c>
      <c r="AC15" s="395">
        <f>SUM(E15:AB15)</f>
        <v>1005</v>
      </c>
      <c r="AD15" s="160"/>
      <c r="AE15" s="160">
        <f>-S15</f>
        <v>0</v>
      </c>
      <c r="AF15" s="160">
        <v>0</v>
      </c>
      <c r="AG15" s="160">
        <v>0</v>
      </c>
      <c r="AH15" s="160">
        <v>0</v>
      </c>
      <c r="AI15" s="395">
        <f>SUM(AC15:AH15)</f>
        <v>1005</v>
      </c>
      <c r="AL15" s="154"/>
    </row>
    <row r="16" spans="1:38" s="18" customFormat="1" ht="12">
      <c r="A16" s="16">
        <v>3</v>
      </c>
      <c r="B16" s="18" t="s">
        <v>162</v>
      </c>
      <c r="E16" s="267">
        <f>'ROO INPUT'!F16</f>
        <v>58017</v>
      </c>
      <c r="F16" s="173">
        <v>0</v>
      </c>
      <c r="G16" s="267">
        <v>0</v>
      </c>
      <c r="H16" s="267">
        <v>0</v>
      </c>
      <c r="I16" s="267">
        <v>0</v>
      </c>
      <c r="J16" s="173">
        <v>0</v>
      </c>
      <c r="K16" s="173">
        <v>0</v>
      </c>
      <c r="L16" s="173">
        <v>0</v>
      </c>
      <c r="M16" s="173">
        <v>0</v>
      </c>
      <c r="N16" s="173">
        <v>0</v>
      </c>
      <c r="O16" s="173">
        <v>0</v>
      </c>
      <c r="P16" s="173">
        <v>0</v>
      </c>
      <c r="Q16" s="173">
        <v>0</v>
      </c>
      <c r="R16" s="173">
        <v>0</v>
      </c>
      <c r="S16" s="173">
        <v>0</v>
      </c>
      <c r="T16" s="173">
        <v>0</v>
      </c>
      <c r="U16" s="173">
        <v>0</v>
      </c>
      <c r="V16" s="173">
        <v>0</v>
      </c>
      <c r="W16" s="173">
        <v>0</v>
      </c>
      <c r="X16" s="172">
        <v>0</v>
      </c>
      <c r="Y16" s="172">
        <v>0</v>
      </c>
      <c r="Z16" s="172">
        <v>0</v>
      </c>
      <c r="AA16" s="172">
        <v>-125</v>
      </c>
      <c r="AB16" s="173">
        <v>0</v>
      </c>
      <c r="AC16" s="397">
        <f>SUM(E16:AB16)</f>
        <v>57892</v>
      </c>
      <c r="AD16" s="172"/>
      <c r="AE16" s="172">
        <f>-S16</f>
        <v>0</v>
      </c>
      <c r="AF16" s="172">
        <v>0</v>
      </c>
      <c r="AG16" s="172">
        <v>-567</v>
      </c>
      <c r="AH16" s="172">
        <v>0</v>
      </c>
      <c r="AI16" s="397">
        <f>SUM(AC16:AH16)</f>
        <v>57325</v>
      </c>
      <c r="AL16" s="154"/>
    </row>
    <row r="17" spans="1:38" s="18" customFormat="1" ht="12">
      <c r="A17" s="16">
        <v>4</v>
      </c>
      <c r="B17" s="18" t="s">
        <v>163</v>
      </c>
      <c r="E17" s="101">
        <f t="shared" ref="E17:AC17" si="11">SUM(E14:E16)</f>
        <v>607309</v>
      </c>
      <c r="F17" s="159">
        <f t="shared" si="11"/>
        <v>0</v>
      </c>
      <c r="G17" s="101">
        <f t="shared" si="11"/>
        <v>0</v>
      </c>
      <c r="H17" s="101">
        <f t="shared" ref="H17" si="12">SUM(H14:H16)</f>
        <v>0</v>
      </c>
      <c r="I17" s="101">
        <f t="shared" si="11"/>
        <v>0</v>
      </c>
      <c r="J17" s="159">
        <f t="shared" si="11"/>
        <v>-18966</v>
      </c>
      <c r="K17" s="159">
        <f t="shared" ref="K17" si="13">SUM(K14:K16)</f>
        <v>0</v>
      </c>
      <c r="L17" s="159">
        <f t="shared" si="11"/>
        <v>0</v>
      </c>
      <c r="M17" s="159">
        <f t="shared" si="11"/>
        <v>0</v>
      </c>
      <c r="N17" s="159">
        <f t="shared" si="11"/>
        <v>0</v>
      </c>
      <c r="O17" s="159">
        <f t="shared" si="11"/>
        <v>0</v>
      </c>
      <c r="P17" s="159">
        <f t="shared" si="11"/>
        <v>0</v>
      </c>
      <c r="Q17" s="159">
        <f t="shared" si="11"/>
        <v>0</v>
      </c>
      <c r="R17" s="159">
        <f t="shared" si="11"/>
        <v>0</v>
      </c>
      <c r="S17" s="159">
        <f t="shared" si="11"/>
        <v>-12602</v>
      </c>
      <c r="T17" s="159">
        <f t="shared" ref="T17" si="14">SUM(T14:T16)</f>
        <v>-25405</v>
      </c>
      <c r="U17" s="159">
        <f>SUM(U14:U16)</f>
        <v>0</v>
      </c>
      <c r="V17" s="159">
        <f t="shared" ref="V17:AB17" si="15">SUM(V14:V16)</f>
        <v>2655</v>
      </c>
      <c r="W17" s="159">
        <f t="shared" si="15"/>
        <v>0</v>
      </c>
      <c r="X17" s="160">
        <f t="shared" ref="X17:Y17" si="16">SUM(X14:X16)</f>
        <v>0</v>
      </c>
      <c r="Y17" s="160">
        <f t="shared" si="16"/>
        <v>0</v>
      </c>
      <c r="Z17" s="160">
        <f t="shared" si="15"/>
        <v>0</v>
      </c>
      <c r="AA17" s="160">
        <f>SUM(AA14:AA16)</f>
        <v>-125</v>
      </c>
      <c r="AB17" s="159">
        <f t="shared" si="15"/>
        <v>0</v>
      </c>
      <c r="AC17" s="395">
        <f t="shared" si="11"/>
        <v>552866</v>
      </c>
      <c r="AD17" s="160"/>
      <c r="AE17" s="160">
        <f t="shared" ref="AE17:AI17" si="17">SUM(AE14:AE16)</f>
        <v>12602</v>
      </c>
      <c r="AF17" s="160">
        <f t="shared" si="17"/>
        <v>0</v>
      </c>
      <c r="AG17" s="160">
        <f t="shared" si="17"/>
        <v>-567</v>
      </c>
      <c r="AH17" s="160">
        <f t="shared" si="17"/>
        <v>0</v>
      </c>
      <c r="AI17" s="395">
        <f t="shared" si="17"/>
        <v>564901</v>
      </c>
      <c r="AL17" s="137"/>
    </row>
    <row r="18" spans="1:38" s="18" customFormat="1" ht="12">
      <c r="A18" s="16">
        <v>5</v>
      </c>
      <c r="B18" s="18" t="s">
        <v>164</v>
      </c>
      <c r="E18" s="267">
        <f>'ROO INPUT'!F18</f>
        <v>57523</v>
      </c>
      <c r="F18" s="173">
        <v>0</v>
      </c>
      <c r="G18" s="267">
        <v>0</v>
      </c>
      <c r="H18" s="267">
        <v>0</v>
      </c>
      <c r="I18" s="267">
        <v>0</v>
      </c>
      <c r="J18" s="173">
        <v>-14</v>
      </c>
      <c r="K18" s="173">
        <v>0</v>
      </c>
      <c r="L18" s="173">
        <v>0</v>
      </c>
      <c r="M18" s="173">
        <v>0</v>
      </c>
      <c r="N18" s="173">
        <v>0</v>
      </c>
      <c r="O18" s="173">
        <v>0</v>
      </c>
      <c r="P18" s="173">
        <v>0</v>
      </c>
      <c r="Q18" s="173">
        <v>0</v>
      </c>
      <c r="R18" s="173">
        <v>0</v>
      </c>
      <c r="S18" s="173">
        <v>9794</v>
      </c>
      <c r="T18" s="173">
        <v>4706</v>
      </c>
      <c r="U18" s="173">
        <v>130</v>
      </c>
      <c r="V18" s="173">
        <v>0</v>
      </c>
      <c r="W18" s="173">
        <v>0</v>
      </c>
      <c r="X18" s="172">
        <v>0</v>
      </c>
      <c r="Y18" s="172">
        <v>0</v>
      </c>
      <c r="Z18" s="172">
        <v>0</v>
      </c>
      <c r="AA18" s="172">
        <f>-50409-AA16</f>
        <v>-50284</v>
      </c>
      <c r="AB18" s="173">
        <v>0</v>
      </c>
      <c r="AC18" s="397">
        <f>SUM(E18:AB18)</f>
        <v>21855</v>
      </c>
      <c r="AD18" s="172"/>
      <c r="AE18" s="172">
        <f>-S18</f>
        <v>-9794</v>
      </c>
      <c r="AF18" s="172">
        <v>1051</v>
      </c>
      <c r="AG18" s="172">
        <v>-102</v>
      </c>
      <c r="AH18" s="172">
        <v>0</v>
      </c>
      <c r="AI18" s="397">
        <f>SUM(AC18:AH18)</f>
        <v>13010</v>
      </c>
      <c r="AL18" s="154"/>
    </row>
    <row r="19" spans="1:38" s="18" customFormat="1" ht="12">
      <c r="A19" s="16">
        <v>6</v>
      </c>
      <c r="B19" s="18" t="s">
        <v>165</v>
      </c>
      <c r="E19" s="101">
        <f t="shared" ref="E19:AC19" si="18">SUM(E17:E18)</f>
        <v>664832</v>
      </c>
      <c r="F19" s="159">
        <f t="shared" si="18"/>
        <v>0</v>
      </c>
      <c r="G19" s="101">
        <f t="shared" si="18"/>
        <v>0</v>
      </c>
      <c r="H19" s="101">
        <f t="shared" ref="H19" si="19">SUM(H17:H18)</f>
        <v>0</v>
      </c>
      <c r="I19" s="101">
        <f t="shared" si="18"/>
        <v>0</v>
      </c>
      <c r="J19" s="159">
        <f t="shared" ref="J19" si="20">SUM(J17:J18)</f>
        <v>-18980</v>
      </c>
      <c r="K19" s="159">
        <f t="shared" ref="K19" si="21">SUM(K17:K18)</f>
        <v>0</v>
      </c>
      <c r="L19" s="159">
        <f t="shared" si="18"/>
        <v>0</v>
      </c>
      <c r="M19" s="159">
        <f t="shared" si="18"/>
        <v>0</v>
      </c>
      <c r="N19" s="159">
        <f t="shared" si="18"/>
        <v>0</v>
      </c>
      <c r="O19" s="159">
        <f t="shared" si="18"/>
        <v>0</v>
      </c>
      <c r="P19" s="159">
        <f t="shared" si="18"/>
        <v>0</v>
      </c>
      <c r="Q19" s="159">
        <f t="shared" si="18"/>
        <v>0</v>
      </c>
      <c r="R19" s="159">
        <f t="shared" si="18"/>
        <v>0</v>
      </c>
      <c r="S19" s="159">
        <f t="shared" si="18"/>
        <v>-2808</v>
      </c>
      <c r="T19" s="159">
        <f t="shared" ref="T19" si="22">SUM(T17:T18)</f>
        <v>-20699</v>
      </c>
      <c r="U19" s="159">
        <f>SUM(U17:U18)</f>
        <v>130</v>
      </c>
      <c r="V19" s="159">
        <f t="shared" ref="V19:AB19" si="23">SUM(V17:V18)</f>
        <v>2655</v>
      </c>
      <c r="W19" s="159">
        <f t="shared" si="23"/>
        <v>0</v>
      </c>
      <c r="X19" s="160">
        <f t="shared" ref="X19:Y19" si="24">SUM(X17:X18)</f>
        <v>0</v>
      </c>
      <c r="Y19" s="160">
        <f t="shared" si="24"/>
        <v>0</v>
      </c>
      <c r="Z19" s="160">
        <f t="shared" si="23"/>
        <v>0</v>
      </c>
      <c r="AA19" s="160">
        <f>SUM(AA17:AA18)</f>
        <v>-50409</v>
      </c>
      <c r="AB19" s="159">
        <f t="shared" si="23"/>
        <v>0</v>
      </c>
      <c r="AC19" s="395">
        <f t="shared" si="18"/>
        <v>574721</v>
      </c>
      <c r="AD19" s="160"/>
      <c r="AE19" s="160">
        <f t="shared" ref="AE19:AI19" si="25">SUM(AE17:AE18)</f>
        <v>2808</v>
      </c>
      <c r="AF19" s="160">
        <f t="shared" si="25"/>
        <v>1051</v>
      </c>
      <c r="AG19" s="160">
        <f t="shared" si="25"/>
        <v>-669</v>
      </c>
      <c r="AH19" s="160">
        <f t="shared" si="25"/>
        <v>0</v>
      </c>
      <c r="AI19" s="395">
        <f t="shared" si="25"/>
        <v>577911</v>
      </c>
      <c r="AL19" s="137"/>
    </row>
    <row r="20" spans="1:38" s="18" customFormat="1" ht="12">
      <c r="A20" s="16"/>
      <c r="E20" s="101"/>
      <c r="F20" s="159"/>
      <c r="G20" s="101"/>
      <c r="H20" s="101"/>
      <c r="I20" s="101"/>
      <c r="J20" s="159"/>
      <c r="K20" s="159"/>
      <c r="L20" s="159"/>
      <c r="M20" s="159"/>
      <c r="N20" s="159"/>
      <c r="O20" s="159"/>
      <c r="P20" s="159"/>
      <c r="Q20" s="159"/>
      <c r="R20" s="159"/>
      <c r="S20" s="159"/>
      <c r="T20" s="159"/>
      <c r="U20" s="159"/>
      <c r="V20" s="159"/>
      <c r="W20" s="159"/>
      <c r="X20" s="160"/>
      <c r="Y20" s="160"/>
      <c r="Z20" s="160"/>
      <c r="AA20" s="160"/>
      <c r="AB20" s="159"/>
      <c r="AC20" s="395"/>
      <c r="AD20" s="160"/>
      <c r="AE20" s="160"/>
      <c r="AF20" s="160"/>
      <c r="AG20" s="160"/>
      <c r="AH20" s="160"/>
      <c r="AI20" s="395"/>
      <c r="AL20" s="154"/>
    </row>
    <row r="21" spans="1:38" s="18" customFormat="1" ht="12">
      <c r="A21" s="16"/>
      <c r="B21" s="18" t="s">
        <v>166</v>
      </c>
      <c r="E21" s="101"/>
      <c r="F21" s="159"/>
      <c r="G21" s="101"/>
      <c r="H21" s="101"/>
      <c r="I21" s="101"/>
      <c r="J21" s="159"/>
      <c r="K21" s="159"/>
      <c r="L21" s="159"/>
      <c r="M21" s="159"/>
      <c r="N21" s="159"/>
      <c r="O21" s="159"/>
      <c r="P21" s="159"/>
      <c r="Q21" s="159"/>
      <c r="R21" s="159"/>
      <c r="S21" s="159"/>
      <c r="T21" s="159"/>
      <c r="U21" s="159"/>
      <c r="V21" s="159"/>
      <c r="W21" s="159"/>
      <c r="X21" s="160"/>
      <c r="Y21" s="160"/>
      <c r="Z21" s="160"/>
      <c r="AA21" s="160"/>
      <c r="AB21" s="159"/>
      <c r="AC21" s="395"/>
      <c r="AD21" s="160"/>
      <c r="AE21" s="160"/>
      <c r="AF21" s="160"/>
      <c r="AG21" s="160"/>
      <c r="AH21" s="160"/>
      <c r="AI21" s="395"/>
      <c r="AL21" s="154"/>
    </row>
    <row r="22" spans="1:38" s="18" customFormat="1" ht="12">
      <c r="A22" s="16"/>
      <c r="B22" s="18" t="s">
        <v>167</v>
      </c>
      <c r="E22" s="101"/>
      <c r="F22" s="159"/>
      <c r="G22" s="101"/>
      <c r="H22" s="101"/>
      <c r="I22" s="101"/>
      <c r="J22" s="159"/>
      <c r="K22" s="159"/>
      <c r="L22" s="159"/>
      <c r="M22" s="159"/>
      <c r="N22" s="159"/>
      <c r="O22" s="159"/>
      <c r="P22" s="159"/>
      <c r="Q22" s="159"/>
      <c r="R22" s="159"/>
      <c r="S22" s="159"/>
      <c r="T22" s="159"/>
      <c r="U22" s="159"/>
      <c r="V22" s="159"/>
      <c r="W22" s="159"/>
      <c r="X22" s="160"/>
      <c r="Y22" s="160"/>
      <c r="Z22" s="160"/>
      <c r="AA22" s="160"/>
      <c r="AB22" s="159"/>
      <c r="AC22" s="395"/>
      <c r="AD22" s="160"/>
      <c r="AE22" s="160"/>
      <c r="AF22" s="160"/>
      <c r="AG22" s="160"/>
      <c r="AH22" s="160"/>
      <c r="AI22" s="395"/>
      <c r="AL22" s="154"/>
    </row>
    <row r="23" spans="1:38" s="18" customFormat="1" ht="12">
      <c r="A23" s="16">
        <v>7</v>
      </c>
      <c r="C23" s="18" t="s">
        <v>168</v>
      </c>
      <c r="E23" s="101">
        <f>'ROO INPUT'!F23</f>
        <v>174013</v>
      </c>
      <c r="F23" s="159">
        <v>0</v>
      </c>
      <c r="G23" s="101">
        <v>0</v>
      </c>
      <c r="H23" s="101">
        <v>0</v>
      </c>
      <c r="I23" s="101">
        <v>0</v>
      </c>
      <c r="J23" s="159">
        <v>0</v>
      </c>
      <c r="K23" s="159">
        <v>0</v>
      </c>
      <c r="L23" s="159">
        <v>0</v>
      </c>
      <c r="M23" s="159">
        <v>0</v>
      </c>
      <c r="N23" s="159">
        <v>0</v>
      </c>
      <c r="O23" s="159">
        <v>0</v>
      </c>
      <c r="P23" s="159">
        <v>0</v>
      </c>
      <c r="Q23" s="159">
        <v>0</v>
      </c>
      <c r="R23" s="159">
        <v>0</v>
      </c>
      <c r="S23" s="159">
        <v>0</v>
      </c>
      <c r="T23" s="159">
        <v>0</v>
      </c>
      <c r="U23" s="159">
        <v>-2</v>
      </c>
      <c r="V23" s="159">
        <v>-2295</v>
      </c>
      <c r="W23" s="159">
        <v>-7</v>
      </c>
      <c r="X23" s="160">
        <v>0</v>
      </c>
      <c r="Y23" s="160">
        <v>-476</v>
      </c>
      <c r="Z23" s="160">
        <v>0</v>
      </c>
      <c r="AA23" s="160">
        <f>-41968-AA24</f>
        <v>-34467</v>
      </c>
      <c r="AB23" s="159">
        <v>0</v>
      </c>
      <c r="AC23" s="395">
        <f>SUM(E23:AB23)</f>
        <v>136766</v>
      </c>
      <c r="AD23" s="160"/>
      <c r="AE23" s="160">
        <f>-S23</f>
        <v>0</v>
      </c>
      <c r="AF23" s="160">
        <v>0</v>
      </c>
      <c r="AG23" s="160">
        <v>1434</v>
      </c>
      <c r="AH23" s="160">
        <v>0</v>
      </c>
      <c r="AI23" s="395">
        <f>SUM(AC23:AH23)</f>
        <v>138200</v>
      </c>
      <c r="AL23" s="154"/>
    </row>
    <row r="24" spans="1:38" s="18" customFormat="1" ht="12">
      <c r="A24" s="16">
        <v>8</v>
      </c>
      <c r="C24" s="18" t="s">
        <v>169</v>
      </c>
      <c r="E24" s="101">
        <f>'ROO INPUT'!F24</f>
        <v>85396</v>
      </c>
      <c r="F24" s="159">
        <v>0</v>
      </c>
      <c r="G24" s="101"/>
      <c r="H24" s="101">
        <v>0</v>
      </c>
      <c r="I24" s="101">
        <v>0</v>
      </c>
      <c r="J24" s="159">
        <v>0</v>
      </c>
      <c r="K24" s="159">
        <v>0</v>
      </c>
      <c r="L24" s="159">
        <v>0</v>
      </c>
      <c r="M24" s="159">
        <v>0</v>
      </c>
      <c r="N24" s="159">
        <v>0</v>
      </c>
      <c r="O24" s="159">
        <v>0</v>
      </c>
      <c r="P24" s="159">
        <v>0</v>
      </c>
      <c r="Q24" s="159">
        <v>0</v>
      </c>
      <c r="R24" s="159">
        <v>0</v>
      </c>
      <c r="S24" s="159">
        <v>0</v>
      </c>
      <c r="T24" s="159">
        <v>0</v>
      </c>
      <c r="U24" s="159">
        <v>0</v>
      </c>
      <c r="V24" s="159">
        <v>0</v>
      </c>
      <c r="W24" s="159">
        <v>0</v>
      </c>
      <c r="X24" s="160">
        <v>0</v>
      </c>
      <c r="Y24" s="160">
        <v>0</v>
      </c>
      <c r="Z24" s="160">
        <v>0</v>
      </c>
      <c r="AA24" s="160">
        <v>-7501</v>
      </c>
      <c r="AB24" s="159">
        <v>0</v>
      </c>
      <c r="AC24" s="395">
        <f>SUM(E24:AB24)</f>
        <v>77895</v>
      </c>
      <c r="AD24" s="160"/>
      <c r="AE24" s="160">
        <f t="shared" ref="AE24:AE26" si="26">-S24</f>
        <v>0</v>
      </c>
      <c r="AF24" s="160">
        <v>0</v>
      </c>
      <c r="AG24" s="160">
        <v>-763</v>
      </c>
      <c r="AH24" s="160">
        <v>0</v>
      </c>
      <c r="AI24" s="395">
        <f>SUM(AC24:AH24)</f>
        <v>77132</v>
      </c>
      <c r="AL24" s="154"/>
    </row>
    <row r="25" spans="1:38" s="18" customFormat="1" ht="12">
      <c r="A25" s="16">
        <v>9</v>
      </c>
      <c r="C25" s="18" t="s">
        <v>509</v>
      </c>
      <c r="E25" s="101">
        <f>'ROO INPUT'!F25</f>
        <v>27841</v>
      </c>
      <c r="F25" s="159">
        <v>0</v>
      </c>
      <c r="G25" s="101">
        <v>0</v>
      </c>
      <c r="H25" s="101">
        <v>0</v>
      </c>
      <c r="I25" s="101">
        <v>0</v>
      </c>
      <c r="J25" s="159">
        <v>0</v>
      </c>
      <c r="K25" s="159">
        <v>0</v>
      </c>
      <c r="L25" s="159">
        <v>0</v>
      </c>
      <c r="M25" s="159">
        <v>0</v>
      </c>
      <c r="N25" s="159">
        <v>0</v>
      </c>
      <c r="O25" s="159">
        <v>0</v>
      </c>
      <c r="P25" s="159">
        <v>0</v>
      </c>
      <c r="Q25" s="159">
        <v>0</v>
      </c>
      <c r="R25" s="159">
        <v>0</v>
      </c>
      <c r="S25" s="159">
        <v>0</v>
      </c>
      <c r="T25" s="159">
        <v>0</v>
      </c>
      <c r="U25" s="159">
        <v>0</v>
      </c>
      <c r="V25" s="159">
        <v>0</v>
      </c>
      <c r="W25" s="159">
        <v>0</v>
      </c>
      <c r="X25" s="160">
        <v>0</v>
      </c>
      <c r="Y25" s="160">
        <v>0</v>
      </c>
      <c r="Z25" s="160">
        <v>0</v>
      </c>
      <c r="AA25" s="160">
        <v>0</v>
      </c>
      <c r="AB25" s="159">
        <v>0</v>
      </c>
      <c r="AC25" s="395">
        <f>SUM(E25:AB25)</f>
        <v>27841</v>
      </c>
      <c r="AD25" s="160"/>
      <c r="AE25" s="160">
        <f t="shared" si="26"/>
        <v>0</v>
      </c>
      <c r="AF25" s="160">
        <v>0</v>
      </c>
      <c r="AG25" s="160">
        <v>0</v>
      </c>
      <c r="AH25" s="160">
        <v>0</v>
      </c>
      <c r="AI25" s="395">
        <f>SUM(AC25:AH25)</f>
        <v>27841</v>
      </c>
      <c r="AL25" s="154"/>
    </row>
    <row r="26" spans="1:38" s="18" customFormat="1" ht="12">
      <c r="A26" s="16">
        <v>10</v>
      </c>
      <c r="C26" s="101" t="s">
        <v>505</v>
      </c>
      <c r="D26" s="101"/>
      <c r="E26" s="101">
        <f>'ROO INPUT'!F26</f>
        <v>2323</v>
      </c>
      <c r="F26" s="160">
        <v>0</v>
      </c>
      <c r="G26" s="101">
        <v>0</v>
      </c>
      <c r="H26" s="101">
        <v>0</v>
      </c>
      <c r="I26" s="101">
        <v>0</v>
      </c>
      <c r="J26" s="160">
        <v>0</v>
      </c>
      <c r="K26" s="160">
        <v>0</v>
      </c>
      <c r="L26" s="160">
        <v>0</v>
      </c>
      <c r="M26" s="160">
        <v>0</v>
      </c>
      <c r="N26" s="160">
        <v>0</v>
      </c>
      <c r="O26" s="160">
        <v>0</v>
      </c>
      <c r="P26" s="160">
        <v>0</v>
      </c>
      <c r="Q26" s="160">
        <v>0</v>
      </c>
      <c r="R26" s="160">
        <v>0</v>
      </c>
      <c r="S26" s="160">
        <v>0</v>
      </c>
      <c r="T26" s="160">
        <v>1274</v>
      </c>
      <c r="U26" s="160">
        <v>0</v>
      </c>
      <c r="V26" s="160">
        <v>0</v>
      </c>
      <c r="W26" s="160">
        <v>0</v>
      </c>
      <c r="X26" s="160">
        <v>0</v>
      </c>
      <c r="Y26" s="160">
        <v>0</v>
      </c>
      <c r="Z26" s="160">
        <v>0</v>
      </c>
      <c r="AA26" s="160"/>
      <c r="AB26" s="160">
        <v>0</v>
      </c>
      <c r="AC26" s="395">
        <f>SUM(E26:AB26)</f>
        <v>3597</v>
      </c>
      <c r="AD26" s="160"/>
      <c r="AE26" s="160">
        <f t="shared" si="26"/>
        <v>0</v>
      </c>
      <c r="AF26" s="160">
        <v>0</v>
      </c>
      <c r="AG26" s="160">
        <v>0</v>
      </c>
      <c r="AH26" s="160">
        <v>0</v>
      </c>
      <c r="AI26" s="395">
        <f>SUM(AC26:AH26)</f>
        <v>3597</v>
      </c>
      <c r="AL26" s="154"/>
    </row>
    <row r="27" spans="1:38" s="18" customFormat="1" ht="12">
      <c r="A27" s="16">
        <v>11</v>
      </c>
      <c r="C27" s="18" t="s">
        <v>170</v>
      </c>
      <c r="E27" s="267">
        <f>'ROO INPUT'!F27</f>
        <v>14744</v>
      </c>
      <c r="F27" s="173">
        <v>0</v>
      </c>
      <c r="G27" s="267">
        <v>0</v>
      </c>
      <c r="H27" s="267">
        <v>0</v>
      </c>
      <c r="I27" s="267">
        <v>0</v>
      </c>
      <c r="J27" s="173">
        <v>0</v>
      </c>
      <c r="K27" s="173">
        <v>-1</v>
      </c>
      <c r="L27" s="173">
        <v>0</v>
      </c>
      <c r="M27" s="173">
        <v>0</v>
      </c>
      <c r="N27" s="173">
        <v>0</v>
      </c>
      <c r="O27" s="173">
        <v>0</v>
      </c>
      <c r="P27" s="173">
        <v>0</v>
      </c>
      <c r="Q27" s="173">
        <v>0</v>
      </c>
      <c r="R27" s="173">
        <v>0</v>
      </c>
      <c r="S27" s="173">
        <v>0</v>
      </c>
      <c r="T27" s="173">
        <v>0</v>
      </c>
      <c r="U27" s="173">
        <v>0</v>
      </c>
      <c r="V27" s="173">
        <v>0</v>
      </c>
      <c r="W27" s="173">
        <v>0</v>
      </c>
      <c r="X27" s="172">
        <v>0</v>
      </c>
      <c r="Y27" s="172">
        <v>0</v>
      </c>
      <c r="Z27" s="172">
        <v>0</v>
      </c>
      <c r="AA27" s="172">
        <v>0</v>
      </c>
      <c r="AB27" s="173">
        <v>0</v>
      </c>
      <c r="AC27" s="397">
        <f>SUM(E27:AB27)</f>
        <v>14743</v>
      </c>
      <c r="AD27" s="172"/>
      <c r="AE27" s="172">
        <f>-S27</f>
        <v>0</v>
      </c>
      <c r="AF27" s="172">
        <v>0</v>
      </c>
      <c r="AG27" s="172">
        <v>0</v>
      </c>
      <c r="AH27" s="172">
        <v>0</v>
      </c>
      <c r="AI27" s="397">
        <f>SUM(AC27:AH27)</f>
        <v>14743</v>
      </c>
      <c r="AL27" s="154"/>
    </row>
    <row r="28" spans="1:38" s="18" customFormat="1" ht="12">
      <c r="A28" s="16">
        <v>12</v>
      </c>
      <c r="B28" s="18" t="s">
        <v>171</v>
      </c>
      <c r="E28" s="101">
        <f t="shared" ref="E28:AC28" si="27">SUM(E23:E27)</f>
        <v>304317</v>
      </c>
      <c r="F28" s="159">
        <f t="shared" si="27"/>
        <v>0</v>
      </c>
      <c r="G28" s="101">
        <f t="shared" si="27"/>
        <v>0</v>
      </c>
      <c r="H28" s="101">
        <f t="shared" ref="H28" si="28">SUM(H23:H27)</f>
        <v>0</v>
      </c>
      <c r="I28" s="101">
        <f t="shared" si="27"/>
        <v>0</v>
      </c>
      <c r="J28" s="159">
        <f t="shared" si="27"/>
        <v>0</v>
      </c>
      <c r="K28" s="159">
        <f t="shared" ref="K28" si="29">SUM(K23:K27)</f>
        <v>-1</v>
      </c>
      <c r="L28" s="159">
        <f t="shared" si="27"/>
        <v>0</v>
      </c>
      <c r="M28" s="159">
        <f t="shared" si="27"/>
        <v>0</v>
      </c>
      <c r="N28" s="159">
        <f t="shared" si="27"/>
        <v>0</v>
      </c>
      <c r="O28" s="159">
        <f t="shared" si="27"/>
        <v>0</v>
      </c>
      <c r="P28" s="159">
        <f t="shared" si="27"/>
        <v>0</v>
      </c>
      <c r="Q28" s="159">
        <f t="shared" si="27"/>
        <v>0</v>
      </c>
      <c r="R28" s="159">
        <f t="shared" si="27"/>
        <v>0</v>
      </c>
      <c r="S28" s="159">
        <f t="shared" si="27"/>
        <v>0</v>
      </c>
      <c r="T28" s="159">
        <f t="shared" ref="T28" si="30">SUM(T23:T27)</f>
        <v>1274</v>
      </c>
      <c r="U28" s="159">
        <f>SUM(U23:U27)</f>
        <v>-2</v>
      </c>
      <c r="V28" s="159">
        <f t="shared" ref="V28:AB28" si="31">SUM(V23:V27)</f>
        <v>-2295</v>
      </c>
      <c r="W28" s="159">
        <f t="shared" si="31"/>
        <v>-7</v>
      </c>
      <c r="X28" s="160">
        <f t="shared" ref="X28:Y28" si="32">SUM(X23:X27)</f>
        <v>0</v>
      </c>
      <c r="Y28" s="160">
        <f t="shared" si="32"/>
        <v>-476</v>
      </c>
      <c r="Z28" s="160">
        <f t="shared" si="31"/>
        <v>0</v>
      </c>
      <c r="AA28" s="160">
        <f>SUM(AA23:AA27)</f>
        <v>-41968</v>
      </c>
      <c r="AB28" s="159">
        <f t="shared" si="31"/>
        <v>0</v>
      </c>
      <c r="AC28" s="395">
        <f t="shared" si="27"/>
        <v>260842</v>
      </c>
      <c r="AD28" s="160"/>
      <c r="AE28" s="160">
        <f t="shared" ref="AE28:AI28" si="33">SUM(AE23:AE27)</f>
        <v>0</v>
      </c>
      <c r="AF28" s="160">
        <f t="shared" si="33"/>
        <v>0</v>
      </c>
      <c r="AG28" s="160">
        <f t="shared" si="33"/>
        <v>671</v>
      </c>
      <c r="AH28" s="160">
        <f t="shared" si="33"/>
        <v>0</v>
      </c>
      <c r="AI28" s="395">
        <f t="shared" si="33"/>
        <v>261513</v>
      </c>
      <c r="AL28" s="137"/>
    </row>
    <row r="29" spans="1:38" s="18" customFormat="1" ht="12">
      <c r="A29" s="16"/>
      <c r="E29" s="101"/>
      <c r="F29" s="159"/>
      <c r="G29" s="101"/>
      <c r="H29" s="101"/>
      <c r="I29" s="101"/>
      <c r="J29" s="159"/>
      <c r="K29" s="159"/>
      <c r="L29" s="159"/>
      <c r="M29" s="159"/>
      <c r="N29" s="159"/>
      <c r="O29" s="159"/>
      <c r="P29" s="159"/>
      <c r="Q29" s="159"/>
      <c r="R29" s="159"/>
      <c r="S29" s="159"/>
      <c r="T29" s="159"/>
      <c r="U29" s="159"/>
      <c r="V29" s="159"/>
      <c r="W29" s="159"/>
      <c r="X29" s="160"/>
      <c r="Y29" s="160"/>
      <c r="Z29" s="160"/>
      <c r="AA29" s="160"/>
      <c r="AB29" s="159"/>
      <c r="AC29" s="395"/>
      <c r="AD29" s="160"/>
      <c r="AE29" s="160"/>
      <c r="AF29" s="160"/>
      <c r="AG29" s="160"/>
      <c r="AH29" s="160"/>
      <c r="AI29" s="395"/>
      <c r="AL29" s="154"/>
    </row>
    <row r="30" spans="1:38" s="18" customFormat="1" ht="12">
      <c r="A30" s="16"/>
      <c r="B30" s="18" t="s">
        <v>172</v>
      </c>
      <c r="E30" s="101"/>
      <c r="F30" s="159"/>
      <c r="G30" s="101"/>
      <c r="H30" s="101"/>
      <c r="I30" s="101"/>
      <c r="J30" s="159"/>
      <c r="K30" s="159"/>
      <c r="L30" s="159"/>
      <c r="M30" s="159"/>
      <c r="N30" s="159"/>
      <c r="O30" s="159"/>
      <c r="P30" s="159"/>
      <c r="Q30" s="159"/>
      <c r="R30" s="159"/>
      <c r="S30" s="159"/>
      <c r="T30" s="159"/>
      <c r="U30" s="159"/>
      <c r="V30" s="159"/>
      <c r="W30" s="159"/>
      <c r="X30" s="160"/>
      <c r="Y30" s="160"/>
      <c r="Z30" s="160"/>
      <c r="AA30" s="160"/>
      <c r="AB30" s="159"/>
      <c r="AC30" s="395"/>
      <c r="AD30" s="160"/>
      <c r="AE30" s="160"/>
      <c r="AF30" s="160"/>
      <c r="AG30" s="160"/>
      <c r="AH30" s="160"/>
      <c r="AI30" s="395"/>
      <c r="AL30" s="154"/>
    </row>
    <row r="31" spans="1:38" s="18" customFormat="1" ht="12">
      <c r="A31" s="16">
        <v>13</v>
      </c>
      <c r="C31" s="18" t="s">
        <v>168</v>
      </c>
      <c r="E31" s="137">
        <f>'ROO INPUT'!F31</f>
        <v>21462</v>
      </c>
      <c r="F31" s="159">
        <v>0</v>
      </c>
      <c r="G31" s="137">
        <v>0</v>
      </c>
      <c r="H31" s="137">
        <v>0</v>
      </c>
      <c r="I31" s="137">
        <v>0</v>
      </c>
      <c r="J31" s="159">
        <v>0</v>
      </c>
      <c r="K31" s="159">
        <v>0</v>
      </c>
      <c r="L31" s="159">
        <v>0</v>
      </c>
      <c r="M31" s="159">
        <v>0</v>
      </c>
      <c r="N31" s="159">
        <v>0</v>
      </c>
      <c r="O31" s="159">
        <v>0</v>
      </c>
      <c r="P31" s="159">
        <v>0</v>
      </c>
      <c r="Q31" s="159">
        <v>0</v>
      </c>
      <c r="R31" s="159">
        <v>0</v>
      </c>
      <c r="S31" s="159">
        <v>0</v>
      </c>
      <c r="T31" s="159">
        <v>0</v>
      </c>
      <c r="U31" s="159">
        <v>-1</v>
      </c>
      <c r="V31" s="159">
        <v>0</v>
      </c>
      <c r="W31" s="159">
        <v>0</v>
      </c>
      <c r="X31" s="160">
        <v>0</v>
      </c>
      <c r="Y31" s="160">
        <v>0</v>
      </c>
      <c r="Z31" s="160">
        <v>0</v>
      </c>
      <c r="AA31" s="160">
        <v>0</v>
      </c>
      <c r="AB31" s="159">
        <v>0</v>
      </c>
      <c r="AC31" s="395">
        <f>SUM(E31:AB31)</f>
        <v>21461</v>
      </c>
      <c r="AD31" s="160"/>
      <c r="AE31" s="160">
        <f t="shared" ref="AE31:AE32" si="34">-S31</f>
        <v>0</v>
      </c>
      <c r="AF31" s="160">
        <v>0</v>
      </c>
      <c r="AG31" s="160">
        <v>0</v>
      </c>
      <c r="AH31" s="160">
        <v>0</v>
      </c>
      <c r="AI31" s="395">
        <f>SUM(AC31:AH31)</f>
        <v>21461</v>
      </c>
      <c r="AL31" s="154"/>
    </row>
    <row r="32" spans="1:38" s="18" customFormat="1" ht="12">
      <c r="A32" s="16">
        <v>14</v>
      </c>
      <c r="C32" s="18" t="s">
        <v>508</v>
      </c>
      <c r="E32" s="137">
        <f>'ROO INPUT'!F32</f>
        <v>29867</v>
      </c>
      <c r="F32" s="159">
        <v>0</v>
      </c>
      <c r="G32" s="137">
        <v>0</v>
      </c>
      <c r="H32" s="137">
        <v>0</v>
      </c>
      <c r="I32" s="137">
        <v>0</v>
      </c>
      <c r="J32" s="159">
        <v>0</v>
      </c>
      <c r="K32" s="159">
        <v>0</v>
      </c>
      <c r="L32" s="159">
        <v>0</v>
      </c>
      <c r="M32" s="159">
        <v>0</v>
      </c>
      <c r="N32" s="159">
        <v>0</v>
      </c>
      <c r="O32" s="159">
        <v>0</v>
      </c>
      <c r="P32" s="159">
        <v>0</v>
      </c>
      <c r="Q32" s="159">
        <v>0</v>
      </c>
      <c r="R32" s="159">
        <v>-81</v>
      </c>
      <c r="S32" s="159">
        <v>0</v>
      </c>
      <c r="T32" s="159">
        <v>0</v>
      </c>
      <c r="U32" s="159">
        <v>0</v>
      </c>
      <c r="V32" s="159">
        <v>0</v>
      </c>
      <c r="W32" s="159">
        <v>0</v>
      </c>
      <c r="X32" s="160">
        <v>0</v>
      </c>
      <c r="Y32" s="160">
        <v>0</v>
      </c>
      <c r="Z32" s="160">
        <v>0</v>
      </c>
      <c r="AA32" s="160">
        <v>0</v>
      </c>
      <c r="AB32" s="159">
        <v>0</v>
      </c>
      <c r="AC32" s="395">
        <f>SUM(E32:AB32)</f>
        <v>29786</v>
      </c>
      <c r="AD32" s="160"/>
      <c r="AE32" s="160">
        <f t="shared" si="34"/>
        <v>0</v>
      </c>
      <c r="AF32" s="160">
        <v>0</v>
      </c>
      <c r="AG32" s="160">
        <v>0</v>
      </c>
      <c r="AH32" s="160">
        <v>0</v>
      </c>
      <c r="AI32" s="395">
        <f>SUM(AC32:AH32)</f>
        <v>29786</v>
      </c>
      <c r="AL32" s="154"/>
    </row>
    <row r="33" spans="1:38" s="18" customFormat="1" ht="12">
      <c r="A33" s="16">
        <v>15</v>
      </c>
      <c r="C33" s="18" t="s">
        <v>170</v>
      </c>
      <c r="E33" s="267">
        <f>'ROO INPUT'!F33</f>
        <v>47539</v>
      </c>
      <c r="F33" s="173">
        <v>0</v>
      </c>
      <c r="G33" s="267">
        <v>0</v>
      </c>
      <c r="H33" s="267">
        <v>0</v>
      </c>
      <c r="I33" s="267">
        <v>0</v>
      </c>
      <c r="J33" s="173">
        <v>-18878</v>
      </c>
      <c r="K33" s="173">
        <v>-2</v>
      </c>
      <c r="L33" s="173">
        <v>0</v>
      </c>
      <c r="M33" s="173">
        <v>0</v>
      </c>
      <c r="N33" s="173">
        <v>0</v>
      </c>
      <c r="O33" s="173">
        <v>0</v>
      </c>
      <c r="P33" s="173">
        <v>0</v>
      </c>
      <c r="Q33" s="173">
        <v>4</v>
      </c>
      <c r="R33" s="173">
        <v>0</v>
      </c>
      <c r="S33" s="173">
        <f>ROUND(S$14*'CF '!$E$16,0)</f>
        <v>-486</v>
      </c>
      <c r="T33" s="173">
        <f>ROUND(T$14*'CF '!$E$16,0)</f>
        <v>-979</v>
      </c>
      <c r="U33" s="173">
        <v>0</v>
      </c>
      <c r="V33" s="173">
        <f>ROUND(V$14*'CF '!$E$16,0)</f>
        <v>102</v>
      </c>
      <c r="W33" s="173">
        <v>0</v>
      </c>
      <c r="X33" s="172">
        <v>0</v>
      </c>
      <c r="Y33" s="172">
        <v>0</v>
      </c>
      <c r="Z33" s="172">
        <v>0</v>
      </c>
      <c r="AA33" s="172">
        <v>0</v>
      </c>
      <c r="AB33" s="173">
        <v>0</v>
      </c>
      <c r="AC33" s="397">
        <f>SUM(E33:AB33)</f>
        <v>27300</v>
      </c>
      <c r="AD33" s="172"/>
      <c r="AE33" s="172">
        <f>-S33</f>
        <v>486</v>
      </c>
      <c r="AF33" s="172">
        <v>0</v>
      </c>
      <c r="AG33" s="172">
        <v>0</v>
      </c>
      <c r="AH33" s="172">
        <v>0</v>
      </c>
      <c r="AI33" s="397">
        <f>SUM(AC33:AH33)</f>
        <v>27786</v>
      </c>
      <c r="AL33" s="154"/>
    </row>
    <row r="34" spans="1:38" s="18" customFormat="1" ht="12">
      <c r="A34" s="16">
        <v>16</v>
      </c>
      <c r="B34" s="18" t="s">
        <v>173</v>
      </c>
      <c r="E34" s="101">
        <f t="shared" ref="E34:AC34" si="35">SUM(E31:E33)</f>
        <v>98868</v>
      </c>
      <c r="F34" s="159">
        <f t="shared" si="35"/>
        <v>0</v>
      </c>
      <c r="G34" s="101">
        <f t="shared" si="35"/>
        <v>0</v>
      </c>
      <c r="H34" s="101">
        <f t="shared" ref="H34" si="36">SUM(H31:H33)</f>
        <v>0</v>
      </c>
      <c r="I34" s="101">
        <f t="shared" si="35"/>
        <v>0</v>
      </c>
      <c r="J34" s="159">
        <f t="shared" si="35"/>
        <v>-18878</v>
      </c>
      <c r="K34" s="159">
        <f t="shared" ref="K34" si="37">SUM(K31:K33)</f>
        <v>-2</v>
      </c>
      <c r="L34" s="159">
        <f t="shared" si="35"/>
        <v>0</v>
      </c>
      <c r="M34" s="159">
        <f t="shared" si="35"/>
        <v>0</v>
      </c>
      <c r="N34" s="159">
        <f t="shared" si="35"/>
        <v>0</v>
      </c>
      <c r="O34" s="159">
        <f t="shared" si="35"/>
        <v>0</v>
      </c>
      <c r="P34" s="159">
        <f t="shared" si="35"/>
        <v>0</v>
      </c>
      <c r="Q34" s="159">
        <f t="shared" si="35"/>
        <v>4</v>
      </c>
      <c r="R34" s="159">
        <f t="shared" si="35"/>
        <v>-81</v>
      </c>
      <c r="S34" s="159">
        <f t="shared" si="35"/>
        <v>-486</v>
      </c>
      <c r="T34" s="159">
        <f t="shared" ref="T34" si="38">SUM(T31:T33)</f>
        <v>-979</v>
      </c>
      <c r="U34" s="159">
        <f>SUM(U31:U33)</f>
        <v>-1</v>
      </c>
      <c r="V34" s="159">
        <f>SUM(V31:V33)</f>
        <v>102</v>
      </c>
      <c r="W34" s="159">
        <f t="shared" ref="W34:AB34" si="39">SUM(W31:W33)</f>
        <v>0</v>
      </c>
      <c r="X34" s="160">
        <f t="shared" ref="X34:Y34" si="40">SUM(X31:X33)</f>
        <v>0</v>
      </c>
      <c r="Y34" s="160">
        <f t="shared" si="40"/>
        <v>0</v>
      </c>
      <c r="Z34" s="160">
        <f t="shared" si="39"/>
        <v>0</v>
      </c>
      <c r="AA34" s="160">
        <f>SUM(AA31:AA33)</f>
        <v>0</v>
      </c>
      <c r="AB34" s="159">
        <f t="shared" si="39"/>
        <v>0</v>
      </c>
      <c r="AC34" s="395">
        <f t="shared" si="35"/>
        <v>78547</v>
      </c>
      <c r="AD34" s="160"/>
      <c r="AE34" s="160">
        <f t="shared" ref="AE34:AI34" si="41">SUM(AE31:AE33)</f>
        <v>486</v>
      </c>
      <c r="AF34" s="160">
        <f t="shared" si="41"/>
        <v>0</v>
      </c>
      <c r="AG34" s="160">
        <f t="shared" si="41"/>
        <v>0</v>
      </c>
      <c r="AH34" s="160">
        <f t="shared" si="41"/>
        <v>0</v>
      </c>
      <c r="AI34" s="395">
        <f t="shared" si="41"/>
        <v>79033</v>
      </c>
      <c r="AL34" s="137"/>
    </row>
    <row r="35" spans="1:38" s="18" customFormat="1" ht="12">
      <c r="E35" s="101"/>
      <c r="F35" s="159"/>
      <c r="G35" s="101"/>
      <c r="H35" s="101"/>
      <c r="I35" s="101"/>
      <c r="J35" s="159"/>
      <c r="K35" s="159"/>
      <c r="L35" s="159"/>
      <c r="M35" s="159"/>
      <c r="N35" s="159"/>
      <c r="O35" s="159"/>
      <c r="P35" s="159"/>
      <c r="Q35" s="159"/>
      <c r="R35" s="159"/>
      <c r="S35" s="159"/>
      <c r="T35" s="159"/>
      <c r="U35" s="159"/>
      <c r="V35" s="159"/>
      <c r="W35" s="159"/>
      <c r="X35" s="160"/>
      <c r="Y35" s="160"/>
      <c r="Z35" s="160"/>
      <c r="AA35" s="160"/>
      <c r="AB35" s="159"/>
      <c r="AC35" s="395"/>
      <c r="AD35" s="160"/>
      <c r="AE35" s="160"/>
      <c r="AF35" s="160"/>
      <c r="AG35" s="160"/>
      <c r="AH35" s="160"/>
      <c r="AI35" s="395"/>
      <c r="AL35" s="154"/>
    </row>
    <row r="36" spans="1:38" s="18" customFormat="1" ht="12">
      <c r="A36" s="16">
        <v>17</v>
      </c>
      <c r="B36" s="18" t="s">
        <v>174</v>
      </c>
      <c r="E36" s="137">
        <f>'ROO INPUT'!F36</f>
        <v>11508</v>
      </c>
      <c r="F36" s="159">
        <v>0</v>
      </c>
      <c r="G36" s="137">
        <v>34</v>
      </c>
      <c r="H36" s="137">
        <v>0</v>
      </c>
      <c r="I36" s="137">
        <v>0</v>
      </c>
      <c r="J36" s="159">
        <v>0</v>
      </c>
      <c r="K36" s="159">
        <v>0</v>
      </c>
      <c r="L36" s="159">
        <v>945</v>
      </c>
      <c r="M36" s="159">
        <v>0</v>
      </c>
      <c r="N36" s="159">
        <v>0</v>
      </c>
      <c r="O36" s="159">
        <v>0</v>
      </c>
      <c r="P36" s="159">
        <v>0</v>
      </c>
      <c r="Q36" s="159">
        <v>0</v>
      </c>
      <c r="R36" s="159">
        <v>0</v>
      </c>
      <c r="S36" s="159">
        <f>ROUND(S$14*'CF '!$E$12,0)</f>
        <v>-63</v>
      </c>
      <c r="T36" s="159">
        <f>ROUND(T$14*'CF '!$E$12,0)</f>
        <v>-127</v>
      </c>
      <c r="U36" s="159">
        <v>0</v>
      </c>
      <c r="V36" s="160">
        <f>ROUND(V$14*'CF '!$E$12,0)+2</f>
        <v>15</v>
      </c>
      <c r="W36" s="411">
        <v>0</v>
      </c>
      <c r="X36" s="160">
        <v>0</v>
      </c>
      <c r="Y36" s="160">
        <v>0</v>
      </c>
      <c r="Z36" s="160">
        <v>0</v>
      </c>
      <c r="AA36" s="160">
        <v>0</v>
      </c>
      <c r="AB36" s="159"/>
      <c r="AC36" s="395">
        <f>SUM(E36:AB36)</f>
        <v>12312</v>
      </c>
      <c r="AD36" s="160"/>
      <c r="AE36" s="160">
        <f t="shared" ref="AE36:AE38" si="42">-S36</f>
        <v>63</v>
      </c>
      <c r="AF36" s="160">
        <v>0</v>
      </c>
      <c r="AG36" s="160">
        <v>0</v>
      </c>
      <c r="AH36" s="160">
        <v>0</v>
      </c>
      <c r="AI36" s="395">
        <f>SUM(AC36:AH36)</f>
        <v>12375</v>
      </c>
      <c r="AL36" s="154"/>
    </row>
    <row r="37" spans="1:38" s="18" customFormat="1" ht="12">
      <c r="A37" s="16">
        <v>18</v>
      </c>
      <c r="B37" s="18" t="s">
        <v>175</v>
      </c>
      <c r="E37" s="137">
        <f>'ROO INPUT'!F37</f>
        <v>22266</v>
      </c>
      <c r="F37" s="159">
        <v>0</v>
      </c>
      <c r="G37" s="137">
        <v>0</v>
      </c>
      <c r="H37" s="137">
        <v>0</v>
      </c>
      <c r="I37" s="137">
        <v>0</v>
      </c>
      <c r="J37" s="159">
        <v>0</v>
      </c>
      <c r="K37" s="159">
        <v>0</v>
      </c>
      <c r="L37" s="159">
        <v>0</v>
      </c>
      <c r="M37" s="159">
        <v>0</v>
      </c>
      <c r="N37" s="159">
        <v>0</v>
      </c>
      <c r="O37" s="159">
        <v>0</v>
      </c>
      <c r="P37" s="159">
        <v>0</v>
      </c>
      <c r="Q37" s="159">
        <v>0</v>
      </c>
      <c r="R37" s="159">
        <v>0</v>
      </c>
      <c r="S37" s="159">
        <v>0</v>
      </c>
      <c r="T37" s="159">
        <v>-20816</v>
      </c>
      <c r="U37" s="159">
        <v>-1</v>
      </c>
      <c r="V37" s="159">
        <v>0</v>
      </c>
      <c r="W37" s="159">
        <v>0</v>
      </c>
      <c r="X37" s="160">
        <v>0</v>
      </c>
      <c r="Y37" s="160">
        <v>0</v>
      </c>
      <c r="Z37" s="160">
        <v>0</v>
      </c>
      <c r="AA37" s="160">
        <v>0</v>
      </c>
      <c r="AB37" s="159">
        <v>0</v>
      </c>
      <c r="AC37" s="395">
        <f>SUM(E37:AB37)</f>
        <v>1449</v>
      </c>
      <c r="AD37" s="160"/>
      <c r="AE37" s="160">
        <f t="shared" si="42"/>
        <v>0</v>
      </c>
      <c r="AF37" s="160">
        <v>0</v>
      </c>
      <c r="AG37" s="160">
        <v>0</v>
      </c>
      <c r="AH37" s="160">
        <v>0</v>
      </c>
      <c r="AI37" s="395">
        <f>SUM(AC37:AH37)</f>
        <v>1449</v>
      </c>
      <c r="AL37" s="154"/>
    </row>
    <row r="38" spans="1:38" s="18" customFormat="1" ht="12">
      <c r="A38" s="16">
        <v>19</v>
      </c>
      <c r="B38" s="18" t="s">
        <v>176</v>
      </c>
      <c r="E38" s="137">
        <f>'ROO INPUT'!F38</f>
        <v>0</v>
      </c>
      <c r="F38" s="159">
        <v>0</v>
      </c>
      <c r="G38" s="137">
        <v>0</v>
      </c>
      <c r="H38" s="137">
        <v>0</v>
      </c>
      <c r="I38" s="137">
        <v>0</v>
      </c>
      <c r="J38" s="159">
        <v>0</v>
      </c>
      <c r="K38" s="159">
        <v>0</v>
      </c>
      <c r="L38" s="159">
        <v>0</v>
      </c>
      <c r="M38" s="159">
        <v>0</v>
      </c>
      <c r="N38" s="159">
        <v>0</v>
      </c>
      <c r="O38" s="159">
        <v>0</v>
      </c>
      <c r="P38" s="159">
        <v>0</v>
      </c>
      <c r="Q38" s="159">
        <v>0</v>
      </c>
      <c r="R38" s="159">
        <v>0</v>
      </c>
      <c r="S38" s="159">
        <v>0</v>
      </c>
      <c r="T38" s="159">
        <v>0</v>
      </c>
      <c r="U38" s="159">
        <v>0</v>
      </c>
      <c r="V38" s="159">
        <v>0</v>
      </c>
      <c r="W38" s="159">
        <v>0</v>
      </c>
      <c r="X38" s="160">
        <v>0</v>
      </c>
      <c r="Y38" s="160">
        <v>0</v>
      </c>
      <c r="Z38" s="160">
        <v>0</v>
      </c>
      <c r="AA38" s="160">
        <v>0</v>
      </c>
      <c r="AB38" s="159">
        <v>0</v>
      </c>
      <c r="AC38" s="395">
        <f>SUM(E38:AB38)</f>
        <v>0</v>
      </c>
      <c r="AD38" s="160"/>
      <c r="AE38" s="160">
        <f t="shared" si="42"/>
        <v>0</v>
      </c>
      <c r="AF38" s="160">
        <v>0</v>
      </c>
      <c r="AG38" s="160">
        <v>0</v>
      </c>
      <c r="AH38" s="160">
        <v>0</v>
      </c>
      <c r="AI38" s="395">
        <f>SUM(AC38:AH38)</f>
        <v>0</v>
      </c>
      <c r="AL38" s="154"/>
    </row>
    <row r="39" spans="1:38" s="18" customFormat="1" ht="12">
      <c r="A39" s="16"/>
      <c r="E39" s="101"/>
      <c r="F39" s="159"/>
      <c r="G39" s="101"/>
      <c r="H39" s="101"/>
      <c r="I39" s="101"/>
      <c r="J39" s="159"/>
      <c r="K39" s="159"/>
      <c r="L39" s="159"/>
      <c r="M39" s="159"/>
      <c r="N39" s="159"/>
      <c r="O39" s="159"/>
      <c r="P39" s="159"/>
      <c r="Q39" s="159"/>
      <c r="R39" s="159"/>
      <c r="S39" s="159"/>
      <c r="T39" s="159"/>
      <c r="U39" s="159"/>
      <c r="V39" s="159"/>
      <c r="W39" s="159"/>
      <c r="X39" s="160"/>
      <c r="Y39" s="160"/>
      <c r="Z39" s="160"/>
      <c r="AA39" s="160"/>
      <c r="AB39" s="159"/>
      <c r="AC39" s="395"/>
      <c r="AD39" s="160"/>
      <c r="AE39" s="160"/>
      <c r="AF39" s="160"/>
      <c r="AG39" s="160"/>
      <c r="AH39" s="160"/>
      <c r="AI39" s="395"/>
      <c r="AL39" s="154"/>
    </row>
    <row r="40" spans="1:38" s="18" customFormat="1" ht="12">
      <c r="B40" s="18" t="s">
        <v>177</v>
      </c>
      <c r="E40" s="101"/>
      <c r="F40" s="159"/>
      <c r="G40" s="101"/>
      <c r="H40" s="101"/>
      <c r="I40" s="101"/>
      <c r="J40" s="159"/>
      <c r="K40" s="159"/>
      <c r="L40" s="159"/>
      <c r="M40" s="159"/>
      <c r="N40" s="159"/>
      <c r="O40" s="159"/>
      <c r="P40" s="159"/>
      <c r="Q40" s="159"/>
      <c r="R40" s="159"/>
      <c r="S40" s="159"/>
      <c r="T40" s="159"/>
      <c r="U40" s="159"/>
      <c r="V40" s="159"/>
      <c r="W40" s="159"/>
      <c r="X40" s="160"/>
      <c r="Y40" s="160"/>
      <c r="Z40" s="160"/>
      <c r="AA40" s="160"/>
      <c r="AB40" s="159"/>
      <c r="AC40" s="395"/>
      <c r="AD40" s="160"/>
      <c r="AE40" s="160"/>
      <c r="AF40" s="160"/>
      <c r="AG40" s="160"/>
      <c r="AH40" s="160"/>
      <c r="AI40" s="395"/>
      <c r="AL40" s="154"/>
    </row>
    <row r="41" spans="1:38" s="18" customFormat="1" ht="12">
      <c r="A41" s="16">
        <v>20</v>
      </c>
      <c r="C41" s="18" t="s">
        <v>168</v>
      </c>
      <c r="E41" s="137">
        <f>'ROO INPUT'!F41</f>
        <v>49007</v>
      </c>
      <c r="F41" s="159">
        <v>0</v>
      </c>
      <c r="G41" s="137">
        <v>0</v>
      </c>
      <c r="H41" s="137">
        <v>0</v>
      </c>
      <c r="I41" s="137">
        <v>0</v>
      </c>
      <c r="J41" s="159">
        <v>0</v>
      </c>
      <c r="K41" s="159">
        <v>0</v>
      </c>
      <c r="L41" s="159">
        <v>0</v>
      </c>
      <c r="M41" s="159">
        <v>64</v>
      </c>
      <c r="N41" s="159">
        <v>106</v>
      </c>
      <c r="O41" s="159">
        <v>0</v>
      </c>
      <c r="P41" s="159">
        <v>-50</v>
      </c>
      <c r="Q41" s="159">
        <v>0</v>
      </c>
      <c r="R41" s="159">
        <v>0</v>
      </c>
      <c r="S41" s="159">
        <f>ROUND(S$14*'CF '!$E$14,0)</f>
        <v>-25</v>
      </c>
      <c r="T41" s="159">
        <f>ROUND(T$14*'CF '!$E$14,0)</f>
        <v>-51</v>
      </c>
      <c r="U41" s="160">
        <v>-1153</v>
      </c>
      <c r="V41" s="159">
        <f>ROUND(V$14*'CF '!$E$14,0)</f>
        <v>5</v>
      </c>
      <c r="W41" s="411">
        <v>0</v>
      </c>
      <c r="X41" s="160">
        <v>-737</v>
      </c>
      <c r="Y41" s="160">
        <v>0</v>
      </c>
      <c r="Z41" s="160">
        <v>0</v>
      </c>
      <c r="AA41" s="160">
        <v>0</v>
      </c>
      <c r="AB41" s="159">
        <v>0</v>
      </c>
      <c r="AC41" s="395">
        <f>SUM(E41:AB41)</f>
        <v>47166</v>
      </c>
      <c r="AD41" s="160"/>
      <c r="AE41" s="160">
        <f t="shared" ref="AE41:AE42" si="43">-S41</f>
        <v>25</v>
      </c>
      <c r="AF41" s="160">
        <v>0</v>
      </c>
      <c r="AG41" s="160">
        <v>0</v>
      </c>
      <c r="AH41" s="160">
        <v>0</v>
      </c>
      <c r="AI41" s="395">
        <f>SUM(AC41:AH41)</f>
        <v>47191</v>
      </c>
      <c r="AL41" s="154"/>
    </row>
    <row r="42" spans="1:38" s="18" customFormat="1" ht="12">
      <c r="A42" s="16">
        <v>21</v>
      </c>
      <c r="C42" s="18" t="s">
        <v>508</v>
      </c>
      <c r="E42" s="137">
        <f>'ROO INPUT'!F42</f>
        <v>24993</v>
      </c>
      <c r="F42" s="159">
        <v>0</v>
      </c>
      <c r="G42" s="137">
        <v>0</v>
      </c>
      <c r="H42" s="137">
        <v>0</v>
      </c>
      <c r="I42" s="137">
        <v>0</v>
      </c>
      <c r="J42" s="159">
        <v>0</v>
      </c>
      <c r="K42" s="159">
        <v>0</v>
      </c>
      <c r="L42" s="159">
        <v>0</v>
      </c>
      <c r="M42" s="159">
        <v>0</v>
      </c>
      <c r="N42" s="159">
        <v>0</v>
      </c>
      <c r="O42" s="159">
        <v>0</v>
      </c>
      <c r="P42" s="159">
        <v>0</v>
      </c>
      <c r="Q42" s="159">
        <v>0</v>
      </c>
      <c r="R42" s="159">
        <v>0</v>
      </c>
      <c r="S42" s="159">
        <v>0</v>
      </c>
      <c r="T42" s="159">
        <v>0</v>
      </c>
      <c r="U42" s="159">
        <v>0</v>
      </c>
      <c r="V42" s="159">
        <v>0</v>
      </c>
      <c r="W42" s="159">
        <v>0</v>
      </c>
      <c r="X42" s="160">
        <v>0</v>
      </c>
      <c r="Y42" s="160">
        <v>0</v>
      </c>
      <c r="Z42" s="160">
        <v>0</v>
      </c>
      <c r="AA42" s="160">
        <v>0</v>
      </c>
      <c r="AB42" s="159">
        <v>0</v>
      </c>
      <c r="AC42" s="395">
        <f>SUM(E42:AB42)</f>
        <v>24993</v>
      </c>
      <c r="AD42" s="160"/>
      <c r="AE42" s="160">
        <f t="shared" si="43"/>
        <v>0</v>
      </c>
      <c r="AF42" s="160">
        <v>0</v>
      </c>
      <c r="AG42" s="160">
        <v>0</v>
      </c>
      <c r="AH42" s="160">
        <v>0</v>
      </c>
      <c r="AI42" s="395">
        <f>SUM(AC42:AH42)</f>
        <v>24993</v>
      </c>
      <c r="AL42" s="154"/>
    </row>
    <row r="43" spans="1:38" s="18" customFormat="1" ht="12">
      <c r="A43" s="176">
        <v>22</v>
      </c>
      <c r="C43" s="18" t="s">
        <v>170</v>
      </c>
      <c r="E43" s="267">
        <f>'ROO INPUT'!F43</f>
        <v>0</v>
      </c>
      <c r="F43" s="173">
        <v>0</v>
      </c>
      <c r="G43" s="267">
        <v>0</v>
      </c>
      <c r="H43" s="267">
        <v>0</v>
      </c>
      <c r="I43" s="267">
        <v>0</v>
      </c>
      <c r="J43" s="173">
        <v>0</v>
      </c>
      <c r="K43" s="173">
        <v>0</v>
      </c>
      <c r="L43" s="173">
        <v>0</v>
      </c>
      <c r="M43" s="173">
        <v>0</v>
      </c>
      <c r="N43" s="173">
        <v>0</v>
      </c>
      <c r="O43" s="173">
        <v>0</v>
      </c>
      <c r="P43" s="173">
        <v>0</v>
      </c>
      <c r="Q43" s="173">
        <v>0</v>
      </c>
      <c r="R43" s="173">
        <v>0</v>
      </c>
      <c r="S43" s="173">
        <v>0</v>
      </c>
      <c r="T43" s="173">
        <v>0</v>
      </c>
      <c r="U43" s="173">
        <v>0</v>
      </c>
      <c r="V43" s="173">
        <v>0</v>
      </c>
      <c r="W43" s="173">
        <v>0</v>
      </c>
      <c r="X43" s="172">
        <v>0</v>
      </c>
      <c r="Y43" s="172">
        <v>0</v>
      </c>
      <c r="Z43" s="172">
        <v>0</v>
      </c>
      <c r="AA43" s="172">
        <v>0</v>
      </c>
      <c r="AB43" s="173">
        <v>0</v>
      </c>
      <c r="AC43" s="397">
        <f>SUM(E43:AB43)</f>
        <v>0</v>
      </c>
      <c r="AD43" s="172"/>
      <c r="AE43" s="172">
        <f>-S43</f>
        <v>0</v>
      </c>
      <c r="AF43" s="172">
        <v>0</v>
      </c>
      <c r="AG43" s="172">
        <v>0</v>
      </c>
      <c r="AH43" s="172">
        <v>0</v>
      </c>
      <c r="AI43" s="397">
        <f>SUM(AC43:AH43)</f>
        <v>0</v>
      </c>
      <c r="AL43" s="154"/>
    </row>
    <row r="44" spans="1:38" s="18" customFormat="1" ht="12">
      <c r="A44" s="16">
        <v>23</v>
      </c>
      <c r="B44" s="18" t="s">
        <v>178</v>
      </c>
      <c r="E44" s="267">
        <f t="shared" ref="E44:AC44" si="44">SUM(E41:E43)</f>
        <v>74000</v>
      </c>
      <c r="F44" s="173">
        <f t="shared" si="44"/>
        <v>0</v>
      </c>
      <c r="G44" s="267">
        <f t="shared" si="44"/>
        <v>0</v>
      </c>
      <c r="H44" s="267">
        <f t="shared" ref="H44" si="45">SUM(H41:H43)</f>
        <v>0</v>
      </c>
      <c r="I44" s="267">
        <f t="shared" si="44"/>
        <v>0</v>
      </c>
      <c r="J44" s="173">
        <f t="shared" si="44"/>
        <v>0</v>
      </c>
      <c r="K44" s="173">
        <f t="shared" ref="K44" si="46">SUM(K41:K43)</f>
        <v>0</v>
      </c>
      <c r="L44" s="173">
        <f t="shared" si="44"/>
        <v>0</v>
      </c>
      <c r="M44" s="173">
        <f t="shared" si="44"/>
        <v>64</v>
      </c>
      <c r="N44" s="173">
        <f t="shared" si="44"/>
        <v>106</v>
      </c>
      <c r="O44" s="173">
        <f t="shared" si="44"/>
        <v>0</v>
      </c>
      <c r="P44" s="173">
        <f t="shared" si="44"/>
        <v>-50</v>
      </c>
      <c r="Q44" s="173">
        <f t="shared" si="44"/>
        <v>0</v>
      </c>
      <c r="R44" s="173">
        <f t="shared" si="44"/>
        <v>0</v>
      </c>
      <c r="S44" s="173">
        <f t="shared" si="44"/>
        <v>-25</v>
      </c>
      <c r="T44" s="173">
        <f t="shared" ref="T44" si="47">SUM(T41:T43)</f>
        <v>-51</v>
      </c>
      <c r="U44" s="173">
        <f>SUM(U41:U43)</f>
        <v>-1153</v>
      </c>
      <c r="V44" s="173">
        <f t="shared" ref="V44:AB44" si="48">SUM(V41:V43)</f>
        <v>5</v>
      </c>
      <c r="W44" s="173">
        <f t="shared" si="48"/>
        <v>0</v>
      </c>
      <c r="X44" s="172">
        <f t="shared" ref="X44:Y44" si="49">SUM(X41:X43)</f>
        <v>-737</v>
      </c>
      <c r="Y44" s="172">
        <f t="shared" si="49"/>
        <v>0</v>
      </c>
      <c r="Z44" s="172">
        <f t="shared" si="48"/>
        <v>0</v>
      </c>
      <c r="AA44" s="172">
        <f>SUM(AA41:AA43)</f>
        <v>0</v>
      </c>
      <c r="AB44" s="173">
        <f t="shared" si="48"/>
        <v>0</v>
      </c>
      <c r="AC44" s="397">
        <f t="shared" si="44"/>
        <v>72159</v>
      </c>
      <c r="AD44" s="172"/>
      <c r="AE44" s="172">
        <f t="shared" ref="AE44:AI44" si="50">SUM(AE41:AE43)</f>
        <v>25</v>
      </c>
      <c r="AF44" s="172">
        <f t="shared" si="50"/>
        <v>0</v>
      </c>
      <c r="AG44" s="172">
        <f t="shared" si="50"/>
        <v>0</v>
      </c>
      <c r="AH44" s="172">
        <f t="shared" si="50"/>
        <v>0</v>
      </c>
      <c r="AI44" s="397">
        <f t="shared" si="50"/>
        <v>72184</v>
      </c>
      <c r="AL44" s="137"/>
    </row>
    <row r="45" spans="1:38" s="18" customFormat="1" ht="18" customHeight="1">
      <c r="A45" s="16">
        <v>24</v>
      </c>
      <c r="B45" s="18" t="s">
        <v>179</v>
      </c>
      <c r="E45" s="267">
        <f t="shared" ref="E45:AC45" si="51">E44+E38+E37+E36+E34+E28</f>
        <v>510959</v>
      </c>
      <c r="F45" s="173">
        <f t="shared" si="51"/>
        <v>0</v>
      </c>
      <c r="G45" s="267">
        <f t="shared" si="51"/>
        <v>34</v>
      </c>
      <c r="H45" s="267">
        <f t="shared" ref="H45" si="52">H44+H38+H37+H36+H34+H28</f>
        <v>0</v>
      </c>
      <c r="I45" s="267">
        <f t="shared" si="51"/>
        <v>0</v>
      </c>
      <c r="J45" s="173">
        <f t="shared" si="51"/>
        <v>-18878</v>
      </c>
      <c r="K45" s="173">
        <f t="shared" ref="K45" si="53">K44+K38+K37+K36+K34+K28</f>
        <v>-3</v>
      </c>
      <c r="L45" s="173">
        <f t="shared" si="51"/>
        <v>945</v>
      </c>
      <c r="M45" s="173">
        <f t="shared" si="51"/>
        <v>64</v>
      </c>
      <c r="N45" s="173">
        <f t="shared" si="51"/>
        <v>106</v>
      </c>
      <c r="O45" s="173">
        <f t="shared" si="51"/>
        <v>0</v>
      </c>
      <c r="P45" s="173">
        <f t="shared" si="51"/>
        <v>-50</v>
      </c>
      <c r="Q45" s="173">
        <f t="shared" si="51"/>
        <v>4</v>
      </c>
      <c r="R45" s="173">
        <f t="shared" si="51"/>
        <v>-81</v>
      </c>
      <c r="S45" s="173">
        <f t="shared" si="51"/>
        <v>-574</v>
      </c>
      <c r="T45" s="173">
        <f t="shared" ref="T45" si="54">T44+T38+T37+T36+T34+T28</f>
        <v>-20699</v>
      </c>
      <c r="U45" s="173">
        <f>U44+U38+U37+U36+U34+U28</f>
        <v>-1157</v>
      </c>
      <c r="V45" s="173">
        <f t="shared" ref="V45:AB45" si="55">V44+V38+V37+V36+V34+V28</f>
        <v>-2173</v>
      </c>
      <c r="W45" s="173">
        <f t="shared" si="55"/>
        <v>-7</v>
      </c>
      <c r="X45" s="172">
        <f t="shared" ref="X45:Y45" si="56">X44+X38+X37+X36+X34+X28</f>
        <v>-737</v>
      </c>
      <c r="Y45" s="172">
        <f t="shared" si="56"/>
        <v>-476</v>
      </c>
      <c r="Z45" s="172">
        <f t="shared" si="55"/>
        <v>0</v>
      </c>
      <c r="AA45" s="172">
        <f>AA44+AA38+AA37+AA36+AA34+AA28</f>
        <v>-41968</v>
      </c>
      <c r="AB45" s="173">
        <f t="shared" si="55"/>
        <v>0</v>
      </c>
      <c r="AC45" s="397">
        <f t="shared" si="51"/>
        <v>425309</v>
      </c>
      <c r="AD45" s="172"/>
      <c r="AE45" s="172">
        <f t="shared" ref="AE45:AI45" si="57">AE44+AE38+AE37+AE36+AE34+AE28</f>
        <v>574</v>
      </c>
      <c r="AF45" s="172">
        <f t="shared" si="57"/>
        <v>0</v>
      </c>
      <c r="AG45" s="172">
        <f t="shared" si="57"/>
        <v>671</v>
      </c>
      <c r="AH45" s="172">
        <f t="shared" si="57"/>
        <v>0</v>
      </c>
      <c r="AI45" s="397">
        <f t="shared" si="57"/>
        <v>426554</v>
      </c>
      <c r="AL45" s="137"/>
    </row>
    <row r="46" spans="1:38" s="18" customFormat="1" ht="12">
      <c r="E46" s="101"/>
      <c r="F46" s="159"/>
      <c r="G46" s="101"/>
      <c r="H46" s="101"/>
      <c r="I46" s="101"/>
      <c r="J46" s="159"/>
      <c r="K46" s="159"/>
      <c r="L46" s="159"/>
      <c r="M46" s="159"/>
      <c r="N46" s="159"/>
      <c r="O46" s="159"/>
      <c r="P46" s="159"/>
      <c r="Q46" s="159"/>
      <c r="R46" s="159"/>
      <c r="S46" s="159"/>
      <c r="T46" s="159"/>
      <c r="U46" s="159"/>
      <c r="V46" s="159"/>
      <c r="W46" s="159"/>
      <c r="X46" s="160"/>
      <c r="Y46" s="160"/>
      <c r="Z46" s="160"/>
      <c r="AA46" s="160"/>
      <c r="AB46" s="159"/>
      <c r="AC46" s="395"/>
      <c r="AD46" s="160"/>
      <c r="AE46" s="160"/>
      <c r="AF46" s="160"/>
      <c r="AG46" s="160"/>
      <c r="AH46" s="160"/>
      <c r="AI46" s="395"/>
      <c r="AL46" s="137"/>
    </row>
    <row r="47" spans="1:38" s="18" customFormat="1" ht="12">
      <c r="A47" s="16">
        <v>25</v>
      </c>
      <c r="B47" s="18" t="s">
        <v>180</v>
      </c>
      <c r="E47" s="101">
        <f t="shared" ref="E47:AC47" si="58">E19-E45</f>
        <v>153873</v>
      </c>
      <c r="F47" s="159">
        <f t="shared" si="58"/>
        <v>0</v>
      </c>
      <c r="G47" s="101">
        <f t="shared" si="58"/>
        <v>-34</v>
      </c>
      <c r="H47" s="101">
        <f t="shared" ref="H47" si="59">H19-H45</f>
        <v>0</v>
      </c>
      <c r="I47" s="101">
        <f t="shared" si="58"/>
        <v>0</v>
      </c>
      <c r="J47" s="159">
        <f t="shared" si="58"/>
        <v>-102</v>
      </c>
      <c r="K47" s="159">
        <f t="shared" ref="K47" si="60">K19-K45</f>
        <v>3</v>
      </c>
      <c r="L47" s="159">
        <f t="shared" si="58"/>
        <v>-945</v>
      </c>
      <c r="M47" s="159">
        <f t="shared" si="58"/>
        <v>-64</v>
      </c>
      <c r="N47" s="159">
        <f t="shared" si="58"/>
        <v>-106</v>
      </c>
      <c r="O47" s="159">
        <f t="shared" si="58"/>
        <v>0</v>
      </c>
      <c r="P47" s="159">
        <f t="shared" si="58"/>
        <v>50</v>
      </c>
      <c r="Q47" s="159">
        <f t="shared" si="58"/>
        <v>-4</v>
      </c>
      <c r="R47" s="159">
        <f t="shared" si="58"/>
        <v>81</v>
      </c>
      <c r="S47" s="159">
        <f t="shared" si="58"/>
        <v>-2234</v>
      </c>
      <c r="T47" s="159">
        <f t="shared" ref="T47" si="61">T19-T45</f>
        <v>0</v>
      </c>
      <c r="U47" s="159">
        <f>U19-U45</f>
        <v>1287</v>
      </c>
      <c r="V47" s="159">
        <f t="shared" ref="V47:AB47" si="62">V19-V45</f>
        <v>4828</v>
      </c>
      <c r="W47" s="159">
        <f t="shared" si="62"/>
        <v>7</v>
      </c>
      <c r="X47" s="160">
        <f t="shared" ref="X47:Y47" si="63">X19-X45</f>
        <v>737</v>
      </c>
      <c r="Y47" s="160">
        <f t="shared" si="63"/>
        <v>476</v>
      </c>
      <c r="Z47" s="160">
        <f t="shared" si="62"/>
        <v>0</v>
      </c>
      <c r="AA47" s="160">
        <f>AA19-AA45</f>
        <v>-8441</v>
      </c>
      <c r="AB47" s="159">
        <f t="shared" si="62"/>
        <v>0</v>
      </c>
      <c r="AC47" s="395">
        <f t="shared" si="58"/>
        <v>149412</v>
      </c>
      <c r="AD47" s="160"/>
      <c r="AE47" s="160">
        <f t="shared" ref="AE47:AI47" si="64">AE19-AE45</f>
        <v>2234</v>
      </c>
      <c r="AF47" s="160">
        <f t="shared" si="64"/>
        <v>1051</v>
      </c>
      <c r="AG47" s="160">
        <f t="shared" si="64"/>
        <v>-1340</v>
      </c>
      <c r="AH47" s="160">
        <f t="shared" si="64"/>
        <v>0</v>
      </c>
      <c r="AI47" s="395">
        <f t="shared" si="64"/>
        <v>151357</v>
      </c>
      <c r="AL47" s="137"/>
    </row>
    <row r="48" spans="1:38" s="18" customFormat="1" ht="12">
      <c r="A48" s="16"/>
      <c r="E48" s="101"/>
      <c r="F48" s="159"/>
      <c r="G48" s="101"/>
      <c r="H48" s="101"/>
      <c r="I48" s="101"/>
      <c r="J48" s="159"/>
      <c r="K48" s="159"/>
      <c r="L48" s="159"/>
      <c r="M48" s="159"/>
      <c r="N48" s="159"/>
      <c r="O48" s="159"/>
      <c r="P48" s="159"/>
      <c r="Q48" s="159"/>
      <c r="R48" s="159"/>
      <c r="S48" s="159"/>
      <c r="T48" s="159"/>
      <c r="U48" s="159"/>
      <c r="V48" s="159"/>
      <c r="W48" s="159"/>
      <c r="X48" s="160"/>
      <c r="Y48" s="160"/>
      <c r="Z48" s="160"/>
      <c r="AA48" s="160"/>
      <c r="AB48" s="159"/>
      <c r="AC48" s="395"/>
      <c r="AD48" s="160"/>
      <c r="AE48" s="160"/>
      <c r="AF48" s="160"/>
      <c r="AG48" s="160"/>
      <c r="AH48" s="160"/>
      <c r="AI48" s="395"/>
      <c r="AL48" s="154"/>
    </row>
    <row r="49" spans="1:38" s="18" customFormat="1" ht="12">
      <c r="A49" s="21"/>
      <c r="B49" s="18" t="s">
        <v>181</v>
      </c>
      <c r="E49" s="101"/>
      <c r="F49" s="159"/>
      <c r="G49" s="101"/>
      <c r="H49" s="101"/>
      <c r="I49" s="101"/>
      <c r="J49" s="159"/>
      <c r="K49" s="159"/>
      <c r="L49" s="159"/>
      <c r="M49" s="159"/>
      <c r="N49" s="159"/>
      <c r="O49" s="159"/>
      <c r="P49" s="159"/>
      <c r="Q49" s="159"/>
      <c r="R49" s="159"/>
      <c r="S49" s="159"/>
      <c r="T49" s="159"/>
      <c r="U49" s="159"/>
      <c r="V49" s="159"/>
      <c r="W49" s="159"/>
      <c r="X49" s="160"/>
      <c r="Y49" s="160"/>
      <c r="Z49" s="160"/>
      <c r="AA49" s="160"/>
      <c r="AB49" s="159"/>
      <c r="AC49" s="395"/>
      <c r="AD49" s="160"/>
      <c r="AE49" s="160"/>
      <c r="AF49" s="160"/>
      <c r="AG49" s="160"/>
      <c r="AH49" s="160"/>
      <c r="AI49" s="395"/>
      <c r="AL49" s="154"/>
    </row>
    <row r="50" spans="1:38" s="18" customFormat="1" ht="12">
      <c r="A50" s="176">
        <v>26</v>
      </c>
      <c r="B50" s="18" t="s">
        <v>538</v>
      </c>
      <c r="D50" s="310"/>
      <c r="E50" s="137">
        <f>'ROO INPUT'!F50</f>
        <v>9592</v>
      </c>
      <c r="F50" s="159">
        <f>F47*0.35</f>
        <v>0</v>
      </c>
      <c r="G50" s="137">
        <f>G47*0.35</f>
        <v>-11.899999999999999</v>
      </c>
      <c r="H50" s="137">
        <f>H47*0.35</f>
        <v>0</v>
      </c>
      <c r="I50" s="137">
        <f>I47*0.35</f>
        <v>0</v>
      </c>
      <c r="J50" s="159">
        <f>J47*0.35</f>
        <v>-35.699999999999996</v>
      </c>
      <c r="K50" s="159">
        <f t="shared" ref="K50" si="65">K47*0.35</f>
        <v>1.0499999999999998</v>
      </c>
      <c r="L50" s="159">
        <f>L47*0.35</f>
        <v>-330.75</v>
      </c>
      <c r="M50" s="159">
        <f>M47*0.35</f>
        <v>-22.4</v>
      </c>
      <c r="N50" s="159">
        <f>N47*0.35</f>
        <v>-37.099999999999994</v>
      </c>
      <c r="O50" s="160">
        <v>0</v>
      </c>
      <c r="P50" s="160">
        <f t="shared" ref="P50:S50" si="66">P47*0.35</f>
        <v>17.5</v>
      </c>
      <c r="Q50" s="159">
        <f t="shared" si="66"/>
        <v>-1.4</v>
      </c>
      <c r="R50" s="159">
        <f t="shared" si="66"/>
        <v>28.349999999999998</v>
      </c>
      <c r="S50" s="159">
        <f t="shared" si="66"/>
        <v>-781.9</v>
      </c>
      <c r="T50" s="159">
        <f>T47*0.35</f>
        <v>0</v>
      </c>
      <c r="U50" s="159">
        <f>U47*0.35</f>
        <v>450.45</v>
      </c>
      <c r="V50" s="159">
        <v>887</v>
      </c>
      <c r="W50" s="160">
        <f>W47*0.35</f>
        <v>2.4499999999999997</v>
      </c>
      <c r="X50" s="160">
        <f t="shared" ref="X50:Y50" si="67">X47*0.35</f>
        <v>257.95</v>
      </c>
      <c r="Y50" s="160">
        <f t="shared" si="67"/>
        <v>166.6</v>
      </c>
      <c r="Z50" s="160">
        <f>'DEBT CALC'!E48</f>
        <v>393</v>
      </c>
      <c r="AA50" s="159">
        <f>AA47*0.35</f>
        <v>-2954.35</v>
      </c>
      <c r="AB50" s="159">
        <f>AB47*0.35</f>
        <v>0</v>
      </c>
      <c r="AC50" s="395">
        <f>SUM(E50:AB50)</f>
        <v>7620.8500000000022</v>
      </c>
      <c r="AD50" s="159"/>
      <c r="AE50" s="160">
        <f>ROUND(AE47*0.35,0)</f>
        <v>782</v>
      </c>
      <c r="AF50" s="160">
        <f t="shared" ref="AF50:AH50" si="68">ROUND(AF47*0.35,0)</f>
        <v>368</v>
      </c>
      <c r="AG50" s="160">
        <f t="shared" si="68"/>
        <v>-469</v>
      </c>
      <c r="AH50" s="160">
        <f t="shared" si="68"/>
        <v>0</v>
      </c>
      <c r="AI50" s="395">
        <f>SUM(AC50:AH50)</f>
        <v>8301.8500000000022</v>
      </c>
      <c r="AJ50" s="17"/>
      <c r="AL50" s="154"/>
    </row>
    <row r="51" spans="1:38" s="101" customFormat="1" ht="12">
      <c r="A51" s="16">
        <v>27</v>
      </c>
      <c r="B51" s="101" t="s">
        <v>223</v>
      </c>
      <c r="E51" s="137">
        <f>'ROO INPUT'!F51</f>
        <v>0</v>
      </c>
      <c r="F51" s="160">
        <f>(F79*'RR SUMMARY'!$N$11)*-0.35</f>
        <v>-7.6826294999999991</v>
      </c>
      <c r="G51" s="137">
        <f>(G79*'RR SUMMARY'!$N$11)*-0.35</f>
        <v>0</v>
      </c>
      <c r="H51" s="137">
        <f>(H79*'RR SUMMARY'!$N$11)*-0.35</f>
        <v>0</v>
      </c>
      <c r="I51" s="137">
        <f>(I79*'RR SUMMARY'!$N$11)*-0.35</f>
        <v>34.517027999999996</v>
      </c>
      <c r="J51" s="160">
        <f>(J79*'RR SUMMARY'!$N$11)*-0.35</f>
        <v>0</v>
      </c>
      <c r="K51" s="160">
        <f>(K79*'RR SUMMARY'!$N$11)*-0.35</f>
        <v>0</v>
      </c>
      <c r="L51" s="160">
        <f>(L79*'RR SUMMARY'!$N$11)*-0.35</f>
        <v>0</v>
      </c>
      <c r="M51" s="160">
        <f>(M79*'RR SUMMARY'!$N$11)*-0.35</f>
        <v>0</v>
      </c>
      <c r="N51" s="160">
        <f>(N79*'RR SUMMARY'!$N$11)*-0.35</f>
        <v>0</v>
      </c>
      <c r="O51" s="160"/>
      <c r="P51" s="160">
        <f>(P79*'RR SUMMARY'!$N$11)*-0.35</f>
        <v>0</v>
      </c>
      <c r="Q51" s="160">
        <f>(Q79*'RR SUMMARY'!$N$11)*-0.35</f>
        <v>0</v>
      </c>
      <c r="R51" s="160">
        <f>(R79*'RR SUMMARY'!$N$11)*-0.35</f>
        <v>0</v>
      </c>
      <c r="S51" s="160">
        <f>(S79*'RR SUMMARY'!$N$11)*-0.35</f>
        <v>0</v>
      </c>
      <c r="T51" s="160">
        <f>(T79*'RR SUMMARY'!$N$11)*-0.35</f>
        <v>0</v>
      </c>
      <c r="U51" s="160">
        <f>(U79*'RR SUMMARY'!$N$11)*-0.35</f>
        <v>0</v>
      </c>
      <c r="V51" s="160">
        <f>(V79*'RR SUMMARY'!$N$11)*-0.35</f>
        <v>0</v>
      </c>
      <c r="W51" s="160">
        <f>(W79*'RR SUMMARY'!$N$11)*-0.35</f>
        <v>0</v>
      </c>
      <c r="X51" s="160"/>
      <c r="Y51" s="160"/>
      <c r="Z51" s="160"/>
      <c r="AA51" s="160">
        <f>(AA79*'RR SUMMARY'!$N$11)*-0.35</f>
        <v>0</v>
      </c>
      <c r="AB51" s="160">
        <f>(AB79*'RR SUMMARY'!$N$11)*-0.35</f>
        <v>0</v>
      </c>
      <c r="AC51" s="395">
        <f>SUM(E51:AB51)</f>
        <v>26.834398499999999</v>
      </c>
      <c r="AD51" s="160"/>
      <c r="AE51" s="160"/>
      <c r="AF51" s="160"/>
      <c r="AG51" s="160"/>
      <c r="AH51" s="160">
        <v>185</v>
      </c>
      <c r="AI51" s="395">
        <f>SUM(AC51:AH51)</f>
        <v>211.83439849999999</v>
      </c>
      <c r="AJ51" s="177"/>
      <c r="AL51" s="154"/>
    </row>
    <row r="52" spans="1:38" s="18" customFormat="1" ht="12">
      <c r="A52" s="16">
        <v>28</v>
      </c>
      <c r="B52" s="18" t="s">
        <v>182</v>
      </c>
      <c r="E52" s="137">
        <f>'ROO INPUT'!F52</f>
        <v>30100</v>
      </c>
      <c r="F52" s="159">
        <v>0</v>
      </c>
      <c r="G52" s="137">
        <v>0</v>
      </c>
      <c r="H52" s="137">
        <v>0</v>
      </c>
      <c r="I52" s="137">
        <v>0</v>
      </c>
      <c r="J52" s="159">
        <v>0</v>
      </c>
      <c r="K52" s="159">
        <v>0</v>
      </c>
      <c r="L52" s="159">
        <v>0</v>
      </c>
      <c r="M52" s="159">
        <v>0</v>
      </c>
      <c r="N52" s="159">
        <v>0</v>
      </c>
      <c r="O52" s="159">
        <v>-36</v>
      </c>
      <c r="P52" s="159">
        <v>0</v>
      </c>
      <c r="Q52" s="159">
        <v>0</v>
      </c>
      <c r="R52" s="159">
        <v>0</v>
      </c>
      <c r="S52" s="159">
        <v>0</v>
      </c>
      <c r="T52" s="159">
        <v>0</v>
      </c>
      <c r="U52" s="159">
        <v>0</v>
      </c>
      <c r="V52" s="159">
        <v>803</v>
      </c>
      <c r="W52" s="160">
        <v>0</v>
      </c>
      <c r="X52" s="160">
        <v>0</v>
      </c>
      <c r="Y52" s="160">
        <v>0</v>
      </c>
      <c r="Z52" s="160">
        <v>0</v>
      </c>
      <c r="AA52" s="160">
        <v>0</v>
      </c>
      <c r="AB52" s="159">
        <v>0</v>
      </c>
      <c r="AC52" s="395">
        <f>SUM(E52:AB52)</f>
        <v>30867</v>
      </c>
      <c r="AD52" s="160"/>
      <c r="AE52" s="160">
        <v>0</v>
      </c>
      <c r="AF52" s="160">
        <v>0</v>
      </c>
      <c r="AG52" s="160">
        <v>0</v>
      </c>
      <c r="AH52" s="160">
        <v>0</v>
      </c>
      <c r="AI52" s="395">
        <f>SUM(AC52:AH52)</f>
        <v>30867</v>
      </c>
      <c r="AJ52" s="2"/>
      <c r="AL52" s="154"/>
    </row>
    <row r="53" spans="1:38" s="18" customFormat="1" ht="12">
      <c r="A53" s="21">
        <v>29</v>
      </c>
      <c r="B53" s="18" t="s">
        <v>211</v>
      </c>
      <c r="E53" s="267">
        <f>'ROO INPUT'!F53</f>
        <v>-226</v>
      </c>
      <c r="F53" s="173">
        <v>0</v>
      </c>
      <c r="G53" s="267">
        <v>0</v>
      </c>
      <c r="H53" s="267">
        <v>0</v>
      </c>
      <c r="I53" s="267">
        <v>0</v>
      </c>
      <c r="J53" s="173">
        <v>0</v>
      </c>
      <c r="K53" s="173">
        <v>0</v>
      </c>
      <c r="L53" s="173">
        <v>0</v>
      </c>
      <c r="M53" s="173">
        <v>0</v>
      </c>
      <c r="N53" s="173">
        <v>0</v>
      </c>
      <c r="O53" s="173">
        <v>0</v>
      </c>
      <c r="P53" s="173">
        <v>0</v>
      </c>
      <c r="Q53" s="173">
        <v>0</v>
      </c>
      <c r="R53" s="173">
        <v>0</v>
      </c>
      <c r="S53" s="173">
        <v>0</v>
      </c>
      <c r="T53" s="173">
        <v>0</v>
      </c>
      <c r="U53" s="173">
        <v>0</v>
      </c>
      <c r="V53" s="173">
        <v>0</v>
      </c>
      <c r="W53" s="173">
        <v>0</v>
      </c>
      <c r="X53" s="172">
        <v>0</v>
      </c>
      <c r="Y53" s="172">
        <v>0</v>
      </c>
      <c r="Z53" s="172">
        <v>0</v>
      </c>
      <c r="AA53" s="172">
        <v>0</v>
      </c>
      <c r="AB53" s="173">
        <v>0</v>
      </c>
      <c r="AC53" s="397">
        <f>SUM(E53:AB53)</f>
        <v>-226</v>
      </c>
      <c r="AD53" s="172"/>
      <c r="AE53" s="172">
        <v>0</v>
      </c>
      <c r="AF53" s="172">
        <v>0</v>
      </c>
      <c r="AG53" s="172">
        <v>0</v>
      </c>
      <c r="AH53" s="172">
        <v>0</v>
      </c>
      <c r="AI53" s="397">
        <f>SUM(AC53:AH53)</f>
        <v>-226</v>
      </c>
      <c r="AJ53" s="2"/>
      <c r="AL53" s="154"/>
    </row>
    <row r="54" spans="1:38">
      <c r="AC54" s="395"/>
      <c r="AE54" s="160"/>
      <c r="AF54" s="160"/>
      <c r="AG54" s="160"/>
      <c r="AH54" s="160"/>
      <c r="AI54" s="395"/>
    </row>
    <row r="55" spans="1:38" s="17" customFormat="1" ht="12.6" thickBot="1">
      <c r="A55" s="20">
        <v>30</v>
      </c>
      <c r="B55" s="17" t="s">
        <v>183</v>
      </c>
      <c r="E55" s="268">
        <f t="shared" ref="E55:AC55" si="69">E47-SUM(E50:E53)</f>
        <v>114407</v>
      </c>
      <c r="F55" s="270">
        <f t="shared" si="69"/>
        <v>7.6826294999999991</v>
      </c>
      <c r="G55" s="268">
        <f t="shared" si="69"/>
        <v>-22.1</v>
      </c>
      <c r="H55" s="268">
        <f t="shared" ref="H55" si="70">H47-SUM(H50:H53)</f>
        <v>0</v>
      </c>
      <c r="I55" s="268">
        <f t="shared" si="69"/>
        <v>-34.517027999999996</v>
      </c>
      <c r="J55" s="270">
        <f t="shared" si="69"/>
        <v>-66.300000000000011</v>
      </c>
      <c r="K55" s="270">
        <f t="shared" ref="K55" si="71">K47-SUM(K50:K53)</f>
        <v>1.9500000000000002</v>
      </c>
      <c r="L55" s="270">
        <f t="shared" si="69"/>
        <v>-614.25</v>
      </c>
      <c r="M55" s="270">
        <f t="shared" si="69"/>
        <v>-41.6</v>
      </c>
      <c r="N55" s="270">
        <f t="shared" si="69"/>
        <v>-68.900000000000006</v>
      </c>
      <c r="O55" s="270">
        <f t="shared" si="69"/>
        <v>36</v>
      </c>
      <c r="P55" s="454">
        <f>P47-SUM(P50:P53)</f>
        <v>32.5</v>
      </c>
      <c r="Q55" s="270">
        <f t="shared" si="69"/>
        <v>-2.6</v>
      </c>
      <c r="R55" s="270">
        <f t="shared" si="69"/>
        <v>52.650000000000006</v>
      </c>
      <c r="S55" s="270">
        <f t="shared" si="69"/>
        <v>-1452.1</v>
      </c>
      <c r="T55" s="454">
        <f>T47-SUM(T50:T53)</f>
        <v>0</v>
      </c>
      <c r="U55" s="270">
        <f>U47-SUM(U50:U53)</f>
        <v>836.55</v>
      </c>
      <c r="V55" s="270">
        <f t="shared" ref="V55:AB55" si="72">V47-SUM(V50:V53)</f>
        <v>3138</v>
      </c>
      <c r="W55" s="270">
        <f t="shared" si="72"/>
        <v>4.5500000000000007</v>
      </c>
      <c r="X55" s="315">
        <f t="shared" ref="X55:Y55" si="73">X47-SUM(X50:X53)</f>
        <v>479.05</v>
      </c>
      <c r="Y55" s="315">
        <f t="shared" si="73"/>
        <v>309.39999999999998</v>
      </c>
      <c r="Z55" s="315">
        <f t="shared" si="72"/>
        <v>-393</v>
      </c>
      <c r="AA55" s="268">
        <f>AA47-SUM(AA50:AA53)</f>
        <v>-5486.65</v>
      </c>
      <c r="AB55" s="270">
        <f t="shared" si="72"/>
        <v>0</v>
      </c>
      <c r="AC55" s="398">
        <f t="shared" si="69"/>
        <v>111123.3156015</v>
      </c>
      <c r="AD55" s="268"/>
      <c r="AE55" s="315">
        <f t="shared" ref="AE55:AH55" si="74">AE47-SUM(AE50:AE53)</f>
        <v>1452</v>
      </c>
      <c r="AF55" s="315">
        <f t="shared" si="74"/>
        <v>683</v>
      </c>
      <c r="AG55" s="315">
        <f t="shared" si="74"/>
        <v>-871</v>
      </c>
      <c r="AH55" s="315">
        <f t="shared" si="74"/>
        <v>-185</v>
      </c>
      <c r="AI55" s="398">
        <f t="shared" ref="AI55" si="75">AI47-SUM(AI50:AI53)</f>
        <v>112202.3156015</v>
      </c>
      <c r="AJ55" s="2"/>
      <c r="AL55" s="155"/>
    </row>
    <row r="56" spans="1:38" ht="13.8" thickTop="1">
      <c r="A56" s="20"/>
      <c r="AC56" s="395"/>
      <c r="AE56" s="160"/>
      <c r="AF56" s="160"/>
      <c r="AG56" s="160"/>
      <c r="AH56" s="160"/>
      <c r="AI56" s="395"/>
    </row>
    <row r="57" spans="1:38">
      <c r="A57" s="20"/>
      <c r="B57" s="2" t="s">
        <v>184</v>
      </c>
      <c r="AC57" s="395"/>
      <c r="AE57" s="160"/>
      <c r="AF57" s="160"/>
      <c r="AG57" s="160"/>
      <c r="AH57" s="160"/>
      <c r="AI57" s="395"/>
    </row>
    <row r="58" spans="1:38">
      <c r="B58" s="2" t="s">
        <v>185</v>
      </c>
      <c r="AC58" s="395"/>
      <c r="AE58" s="160"/>
      <c r="AF58" s="160"/>
      <c r="AG58" s="160"/>
      <c r="AH58" s="160"/>
      <c r="AI58" s="395"/>
    </row>
    <row r="59" spans="1:38" s="17" customFormat="1" ht="12">
      <c r="A59" s="241">
        <v>31</v>
      </c>
      <c r="C59" s="17" t="s">
        <v>186</v>
      </c>
      <c r="E59" s="155">
        <f>'ROO INPUT'!F59</f>
        <v>167075</v>
      </c>
      <c r="F59" s="17">
        <v>0</v>
      </c>
      <c r="G59" s="155">
        <v>0</v>
      </c>
      <c r="H59" s="155">
        <v>0</v>
      </c>
      <c r="I59" s="155">
        <v>-3601</v>
      </c>
      <c r="J59" s="17">
        <v>0</v>
      </c>
      <c r="K59" s="17">
        <v>0</v>
      </c>
      <c r="L59" s="17">
        <v>0</v>
      </c>
      <c r="M59" s="17">
        <v>0</v>
      </c>
      <c r="N59" s="17">
        <v>0</v>
      </c>
      <c r="O59" s="17">
        <v>0</v>
      </c>
      <c r="P59" s="17">
        <v>0</v>
      </c>
      <c r="Q59" s="17">
        <v>0</v>
      </c>
      <c r="R59" s="17">
        <v>0</v>
      </c>
      <c r="S59" s="17">
        <v>0</v>
      </c>
      <c r="T59" s="17">
        <v>0</v>
      </c>
      <c r="U59" s="17">
        <v>0</v>
      </c>
      <c r="V59" s="17">
        <v>0</v>
      </c>
      <c r="W59" s="17">
        <v>0</v>
      </c>
      <c r="X59" s="177">
        <v>0</v>
      </c>
      <c r="Y59" s="177">
        <v>0</v>
      </c>
      <c r="Z59" s="177">
        <v>0</v>
      </c>
      <c r="AA59" s="177">
        <v>0</v>
      </c>
      <c r="AB59" s="17">
        <v>0</v>
      </c>
      <c r="AC59" s="396">
        <f>SUM(E59:AB59)</f>
        <v>163474</v>
      </c>
      <c r="AD59" s="177"/>
      <c r="AE59" s="177">
        <v>0</v>
      </c>
      <c r="AF59" s="177">
        <v>0</v>
      </c>
      <c r="AG59" s="177">
        <v>0</v>
      </c>
      <c r="AH59" s="177">
        <v>0</v>
      </c>
      <c r="AI59" s="396">
        <f>SUM(AC59:AH59)</f>
        <v>163474</v>
      </c>
      <c r="AJ59" s="2"/>
      <c r="AL59" s="156"/>
    </row>
    <row r="60" spans="1:38" s="18" customFormat="1" ht="12">
      <c r="A60" s="20">
        <v>32</v>
      </c>
      <c r="C60" s="18" t="s">
        <v>187</v>
      </c>
      <c r="E60" s="137">
        <f>'ROO INPUT'!F60</f>
        <v>879704</v>
      </c>
      <c r="F60" s="159">
        <v>0</v>
      </c>
      <c r="G60" s="137">
        <v>0</v>
      </c>
      <c r="H60" s="137">
        <v>0</v>
      </c>
      <c r="I60" s="137">
        <v>0</v>
      </c>
      <c r="J60" s="159">
        <v>0</v>
      </c>
      <c r="K60" s="159">
        <v>0</v>
      </c>
      <c r="L60" s="159">
        <v>0</v>
      </c>
      <c r="M60" s="159">
        <v>0</v>
      </c>
      <c r="N60" s="159">
        <v>0</v>
      </c>
      <c r="O60" s="159">
        <v>0</v>
      </c>
      <c r="P60" s="159">
        <v>0</v>
      </c>
      <c r="Q60" s="159">
        <v>0</v>
      </c>
      <c r="R60" s="159">
        <v>0</v>
      </c>
      <c r="S60" s="159">
        <v>0</v>
      </c>
      <c r="T60" s="159">
        <v>0</v>
      </c>
      <c r="U60" s="159">
        <v>0</v>
      </c>
      <c r="V60" s="159">
        <v>0</v>
      </c>
      <c r="W60" s="159">
        <v>0</v>
      </c>
      <c r="X60" s="160">
        <v>0</v>
      </c>
      <c r="Y60" s="160">
        <v>0</v>
      </c>
      <c r="Z60" s="160">
        <v>0</v>
      </c>
      <c r="AA60" s="160">
        <v>0</v>
      </c>
      <c r="AB60" s="159">
        <v>0</v>
      </c>
      <c r="AC60" s="399">
        <f>SUM(E60:AB60)</f>
        <v>879704</v>
      </c>
      <c r="AD60" s="160"/>
      <c r="AE60" s="160">
        <v>0</v>
      </c>
      <c r="AF60" s="160">
        <v>0</v>
      </c>
      <c r="AG60" s="160">
        <v>0</v>
      </c>
      <c r="AH60" s="160">
        <v>0</v>
      </c>
      <c r="AI60" s="399">
        <f>SUM(AC60:AH60)</f>
        <v>879704</v>
      </c>
      <c r="AJ60" s="2"/>
      <c r="AL60" s="154"/>
    </row>
    <row r="61" spans="1:38" s="18" customFormat="1" ht="12">
      <c r="A61" s="20">
        <v>33</v>
      </c>
      <c r="C61" s="18" t="s">
        <v>188</v>
      </c>
      <c r="E61" s="137">
        <f>'ROO INPUT'!F61</f>
        <v>451003</v>
      </c>
      <c r="F61" s="159">
        <v>0</v>
      </c>
      <c r="G61" s="137">
        <v>0</v>
      </c>
      <c r="H61" s="137">
        <v>0</v>
      </c>
      <c r="I61" s="137">
        <v>0</v>
      </c>
      <c r="J61" s="159">
        <v>0</v>
      </c>
      <c r="K61" s="159">
        <v>0</v>
      </c>
      <c r="L61" s="159">
        <v>0</v>
      </c>
      <c r="M61" s="159">
        <v>0</v>
      </c>
      <c r="N61" s="159">
        <v>0</v>
      </c>
      <c r="O61" s="159">
        <v>0</v>
      </c>
      <c r="P61" s="159">
        <v>0</v>
      </c>
      <c r="Q61" s="159">
        <v>0</v>
      </c>
      <c r="R61" s="159">
        <v>0</v>
      </c>
      <c r="S61" s="159">
        <v>0</v>
      </c>
      <c r="T61" s="159">
        <v>0</v>
      </c>
      <c r="U61" s="159">
        <v>0</v>
      </c>
      <c r="V61" s="159">
        <v>0</v>
      </c>
      <c r="W61" s="159">
        <v>0</v>
      </c>
      <c r="X61" s="160">
        <v>0</v>
      </c>
      <c r="Y61" s="160">
        <v>0</v>
      </c>
      <c r="Z61" s="160">
        <v>0</v>
      </c>
      <c r="AA61" s="160">
        <v>0</v>
      </c>
      <c r="AB61" s="159">
        <v>0</v>
      </c>
      <c r="AC61" s="399">
        <f>SUM(E61:AB61)</f>
        <v>451003</v>
      </c>
      <c r="AD61" s="160"/>
      <c r="AE61" s="160">
        <v>0</v>
      </c>
      <c r="AF61" s="160">
        <v>0</v>
      </c>
      <c r="AG61" s="160">
        <v>0</v>
      </c>
      <c r="AH61" s="160">
        <v>0</v>
      </c>
      <c r="AI61" s="399">
        <f>SUM(AC61:AH61)</f>
        <v>451003</v>
      </c>
      <c r="AJ61" s="2"/>
      <c r="AL61" s="154"/>
    </row>
    <row r="62" spans="1:38" s="18" customFormat="1" ht="12">
      <c r="A62" s="20">
        <v>34</v>
      </c>
      <c r="C62" s="18" t="s">
        <v>172</v>
      </c>
      <c r="E62" s="137">
        <f>'ROO INPUT'!F62</f>
        <v>1033739</v>
      </c>
      <c r="F62" s="159">
        <v>0</v>
      </c>
      <c r="G62" s="137">
        <v>0</v>
      </c>
      <c r="H62" s="137">
        <v>0</v>
      </c>
      <c r="I62" s="137">
        <v>0</v>
      </c>
      <c r="J62" s="159">
        <v>0</v>
      </c>
      <c r="K62" s="159">
        <v>0</v>
      </c>
      <c r="L62" s="159">
        <v>0</v>
      </c>
      <c r="M62" s="159">
        <v>0</v>
      </c>
      <c r="N62" s="159">
        <v>0</v>
      </c>
      <c r="O62" s="159">
        <v>0</v>
      </c>
      <c r="P62" s="159">
        <v>0</v>
      </c>
      <c r="Q62" s="159">
        <v>0</v>
      </c>
      <c r="R62" s="159">
        <v>0</v>
      </c>
      <c r="S62" s="159">
        <v>0</v>
      </c>
      <c r="T62" s="159">
        <v>0</v>
      </c>
      <c r="U62" s="159">
        <v>0</v>
      </c>
      <c r="V62" s="159">
        <v>0</v>
      </c>
      <c r="W62" s="159">
        <v>0</v>
      </c>
      <c r="X62" s="160">
        <v>0</v>
      </c>
      <c r="Y62" s="160">
        <v>0</v>
      </c>
      <c r="Z62" s="160">
        <v>0</v>
      </c>
      <c r="AA62" s="160">
        <v>0</v>
      </c>
      <c r="AB62" s="159">
        <v>0</v>
      </c>
      <c r="AC62" s="399">
        <f>SUM(E62:AB62)</f>
        <v>1033739</v>
      </c>
      <c r="AD62" s="160"/>
      <c r="AE62" s="160">
        <v>0</v>
      </c>
      <c r="AF62" s="160">
        <v>0</v>
      </c>
      <c r="AG62" s="160">
        <v>0</v>
      </c>
      <c r="AH62" s="160">
        <v>0</v>
      </c>
      <c r="AI62" s="399">
        <f>SUM(AC62:AH62)</f>
        <v>1033739</v>
      </c>
      <c r="AJ62" s="2"/>
      <c r="AL62" s="154"/>
    </row>
    <row r="63" spans="1:38" s="18" customFormat="1" ht="12">
      <c r="A63" s="20">
        <v>35</v>
      </c>
      <c r="C63" s="18" t="s">
        <v>189</v>
      </c>
      <c r="E63" s="267">
        <f>'ROO INPUT'!F63</f>
        <v>242339</v>
      </c>
      <c r="F63" s="173">
        <v>0</v>
      </c>
      <c r="G63" s="267">
        <v>0</v>
      </c>
      <c r="H63" s="267">
        <v>0</v>
      </c>
      <c r="I63" s="267">
        <v>0</v>
      </c>
      <c r="J63" s="173">
        <v>0</v>
      </c>
      <c r="K63" s="173">
        <v>0</v>
      </c>
      <c r="L63" s="173">
        <v>0</v>
      </c>
      <c r="M63" s="173">
        <v>0</v>
      </c>
      <c r="N63" s="173">
        <v>0</v>
      </c>
      <c r="O63" s="173">
        <v>0</v>
      </c>
      <c r="P63" s="173">
        <v>0</v>
      </c>
      <c r="Q63" s="173">
        <v>0</v>
      </c>
      <c r="R63" s="173">
        <v>0</v>
      </c>
      <c r="S63" s="173">
        <v>0</v>
      </c>
      <c r="T63" s="173">
        <v>0</v>
      </c>
      <c r="U63" s="173">
        <v>0</v>
      </c>
      <c r="V63" s="173">
        <v>0</v>
      </c>
      <c r="W63" s="173">
        <v>0</v>
      </c>
      <c r="X63" s="172">
        <v>0</v>
      </c>
      <c r="Y63" s="172">
        <v>0</v>
      </c>
      <c r="Z63" s="172">
        <v>0</v>
      </c>
      <c r="AA63" s="172">
        <v>0</v>
      </c>
      <c r="AB63" s="173">
        <v>0</v>
      </c>
      <c r="AC63" s="400">
        <f>SUM(E63:AB63)</f>
        <v>242339</v>
      </c>
      <c r="AD63" s="172"/>
      <c r="AE63" s="172">
        <v>0</v>
      </c>
      <c r="AF63" s="172">
        <v>0</v>
      </c>
      <c r="AG63" s="172">
        <v>0</v>
      </c>
      <c r="AH63" s="172">
        <v>0</v>
      </c>
      <c r="AI63" s="400">
        <f>SUM(AC63:AH63)</f>
        <v>242339</v>
      </c>
      <c r="AJ63" s="2"/>
      <c r="AL63" s="154"/>
    </row>
    <row r="64" spans="1:38" s="18" customFormat="1" ht="12">
      <c r="A64" s="20">
        <v>36</v>
      </c>
      <c r="B64" s="18" t="s">
        <v>190</v>
      </c>
      <c r="E64" s="160">
        <f t="shared" ref="E64:AC64" si="76">SUM(E59:E63)</f>
        <v>2773860</v>
      </c>
      <c r="F64" s="159">
        <f t="shared" si="76"/>
        <v>0</v>
      </c>
      <c r="G64" s="160">
        <f t="shared" si="76"/>
        <v>0</v>
      </c>
      <c r="H64" s="160">
        <f t="shared" ref="H64" si="77">SUM(H59:H63)</f>
        <v>0</v>
      </c>
      <c r="I64" s="160">
        <f t="shared" si="76"/>
        <v>-3601</v>
      </c>
      <c r="J64" s="159">
        <f t="shared" si="76"/>
        <v>0</v>
      </c>
      <c r="K64" s="159">
        <f t="shared" ref="K64" si="78">SUM(K59:K63)</f>
        <v>0</v>
      </c>
      <c r="L64" s="159">
        <f t="shared" si="76"/>
        <v>0</v>
      </c>
      <c r="M64" s="159">
        <f t="shared" si="76"/>
        <v>0</v>
      </c>
      <c r="N64" s="159">
        <f t="shared" si="76"/>
        <v>0</v>
      </c>
      <c r="O64" s="159">
        <f t="shared" si="76"/>
        <v>0</v>
      </c>
      <c r="P64" s="159">
        <f t="shared" si="76"/>
        <v>0</v>
      </c>
      <c r="Q64" s="159">
        <f t="shared" si="76"/>
        <v>0</v>
      </c>
      <c r="R64" s="159">
        <f t="shared" si="76"/>
        <v>0</v>
      </c>
      <c r="S64" s="159">
        <f t="shared" si="76"/>
        <v>0</v>
      </c>
      <c r="T64" s="159">
        <f t="shared" ref="T64" si="79">SUM(T59:T63)</f>
        <v>0</v>
      </c>
      <c r="U64" s="159">
        <f>SUM(U59:U63)</f>
        <v>0</v>
      </c>
      <c r="V64" s="159">
        <f t="shared" ref="V64:AB64" si="80">SUM(V59:V63)</f>
        <v>0</v>
      </c>
      <c r="W64" s="159">
        <f t="shared" si="80"/>
        <v>0</v>
      </c>
      <c r="X64" s="160">
        <f t="shared" ref="X64:Y64" si="81">SUM(X59:X63)</f>
        <v>0</v>
      </c>
      <c r="Y64" s="160">
        <f t="shared" si="81"/>
        <v>0</v>
      </c>
      <c r="Z64" s="160">
        <f t="shared" si="80"/>
        <v>0</v>
      </c>
      <c r="AA64" s="160">
        <f>SUM(AA59:AA63)</f>
        <v>0</v>
      </c>
      <c r="AB64" s="159">
        <f t="shared" si="80"/>
        <v>0</v>
      </c>
      <c r="AC64" s="399">
        <f t="shared" si="76"/>
        <v>2770259</v>
      </c>
      <c r="AD64" s="160"/>
      <c r="AE64" s="160">
        <f t="shared" ref="AE64:AI64" si="82">SUM(AE59:AE63)</f>
        <v>0</v>
      </c>
      <c r="AF64" s="160">
        <f t="shared" si="82"/>
        <v>0</v>
      </c>
      <c r="AG64" s="160">
        <f t="shared" si="82"/>
        <v>0</v>
      </c>
      <c r="AH64" s="160">
        <f t="shared" si="82"/>
        <v>0</v>
      </c>
      <c r="AI64" s="399">
        <f t="shared" si="82"/>
        <v>2770259</v>
      </c>
      <c r="AJ64" s="2"/>
      <c r="AL64" s="137"/>
    </row>
    <row r="65" spans="1:38" s="18" customFormat="1" ht="18" customHeight="1">
      <c r="A65" s="20"/>
      <c r="B65" s="18" t="s">
        <v>514</v>
      </c>
      <c r="E65" s="160"/>
      <c r="F65" s="159"/>
      <c r="G65" s="160"/>
      <c r="H65" s="160"/>
      <c r="I65" s="160"/>
      <c r="J65" s="159"/>
      <c r="K65" s="159"/>
      <c r="L65" s="159"/>
      <c r="M65" s="159"/>
      <c r="N65" s="159"/>
      <c r="O65" s="159"/>
      <c r="P65" s="159"/>
      <c r="Q65" s="159"/>
      <c r="R65" s="159"/>
      <c r="S65" s="159"/>
      <c r="T65" s="159"/>
      <c r="U65" s="159"/>
      <c r="V65" s="159"/>
      <c r="W65" s="159"/>
      <c r="X65" s="160"/>
      <c r="Y65" s="160"/>
      <c r="Z65" s="160"/>
      <c r="AA65" s="160">
        <v>0</v>
      </c>
      <c r="AB65" s="159"/>
      <c r="AC65" s="399"/>
      <c r="AD65" s="160"/>
      <c r="AE65" s="160"/>
      <c r="AF65" s="160"/>
      <c r="AG65" s="160"/>
      <c r="AH65" s="160"/>
      <c r="AI65" s="399"/>
      <c r="AJ65" s="2"/>
      <c r="AL65" s="154"/>
    </row>
    <row r="66" spans="1:38" s="18" customFormat="1" ht="12">
      <c r="A66" s="20">
        <v>37</v>
      </c>
      <c r="C66" s="17" t="s">
        <v>186</v>
      </c>
      <c r="E66" s="137">
        <f>'ROO INPUT'!F66</f>
        <v>-37161</v>
      </c>
      <c r="F66" s="159">
        <v>0</v>
      </c>
      <c r="G66" s="137">
        <v>0</v>
      </c>
      <c r="H66" s="137">
        <v>0</v>
      </c>
      <c r="I66" s="137">
        <v>102</v>
      </c>
      <c r="J66" s="159">
        <v>0</v>
      </c>
      <c r="K66" s="159">
        <v>0</v>
      </c>
      <c r="L66" s="159">
        <v>0</v>
      </c>
      <c r="M66" s="159">
        <v>0</v>
      </c>
      <c r="N66" s="159">
        <v>0</v>
      </c>
      <c r="O66" s="159">
        <v>0</v>
      </c>
      <c r="P66" s="159">
        <v>0</v>
      </c>
      <c r="Q66" s="159">
        <v>0</v>
      </c>
      <c r="R66" s="159">
        <v>0</v>
      </c>
      <c r="S66" s="159">
        <v>0</v>
      </c>
      <c r="T66" s="159">
        <v>0</v>
      </c>
      <c r="U66" s="159">
        <v>0</v>
      </c>
      <c r="V66" s="159">
        <v>0</v>
      </c>
      <c r="W66" s="159">
        <v>0</v>
      </c>
      <c r="X66" s="160">
        <v>0</v>
      </c>
      <c r="Y66" s="160">
        <v>0</v>
      </c>
      <c r="Z66" s="160">
        <v>0</v>
      </c>
      <c r="AA66" s="159">
        <v>0</v>
      </c>
      <c r="AB66" s="159">
        <v>0</v>
      </c>
      <c r="AC66" s="399">
        <f>SUM(E66:AB66)</f>
        <v>-37059</v>
      </c>
      <c r="AD66" s="159"/>
      <c r="AE66" s="160">
        <v>0</v>
      </c>
      <c r="AF66" s="160">
        <v>0</v>
      </c>
      <c r="AG66" s="160">
        <v>0</v>
      </c>
      <c r="AH66" s="160">
        <v>0</v>
      </c>
      <c r="AI66" s="399">
        <f>SUM(AC66:AH66)</f>
        <v>-37059</v>
      </c>
      <c r="AJ66" s="2"/>
      <c r="AL66" s="154"/>
    </row>
    <row r="67" spans="1:38" s="18" customFormat="1" ht="12">
      <c r="A67" s="20">
        <v>38</v>
      </c>
      <c r="C67" s="18" t="s">
        <v>187</v>
      </c>
      <c r="E67" s="137">
        <f>'ROO INPUT'!F67</f>
        <v>-352091</v>
      </c>
      <c r="F67" s="159">
        <v>0</v>
      </c>
      <c r="G67" s="137">
        <v>0</v>
      </c>
      <c r="H67" s="137">
        <v>0</v>
      </c>
      <c r="I67" s="137">
        <v>0</v>
      </c>
      <c r="J67" s="159">
        <v>0</v>
      </c>
      <c r="K67" s="159">
        <v>0</v>
      </c>
      <c r="L67" s="159">
        <v>0</v>
      </c>
      <c r="M67" s="159">
        <v>0</v>
      </c>
      <c r="N67" s="159">
        <v>0</v>
      </c>
      <c r="O67" s="159">
        <v>0</v>
      </c>
      <c r="P67" s="159">
        <v>0</v>
      </c>
      <c r="Q67" s="159">
        <v>0</v>
      </c>
      <c r="R67" s="159">
        <v>0</v>
      </c>
      <c r="S67" s="159">
        <v>0</v>
      </c>
      <c r="T67" s="159">
        <v>0</v>
      </c>
      <c r="U67" s="159">
        <v>0</v>
      </c>
      <c r="V67" s="159">
        <v>0</v>
      </c>
      <c r="W67" s="159">
        <v>0</v>
      </c>
      <c r="X67" s="160">
        <v>0</v>
      </c>
      <c r="Y67" s="160">
        <v>0</v>
      </c>
      <c r="Z67" s="160">
        <v>0</v>
      </c>
      <c r="AA67" s="159">
        <v>0</v>
      </c>
      <c r="AB67" s="159">
        <v>0</v>
      </c>
      <c r="AC67" s="399">
        <f>SUM(E67:AB67)</f>
        <v>-352091</v>
      </c>
      <c r="AD67" s="159"/>
      <c r="AE67" s="160">
        <v>0</v>
      </c>
      <c r="AF67" s="160">
        <v>0</v>
      </c>
      <c r="AG67" s="160">
        <v>0</v>
      </c>
      <c r="AH67" s="160">
        <v>0</v>
      </c>
      <c r="AI67" s="399">
        <f>SUM(AC67:AH67)</f>
        <v>-352091</v>
      </c>
      <c r="AJ67" s="2"/>
      <c r="AL67" s="154"/>
    </row>
    <row r="68" spans="1:38" s="18" customFormat="1" ht="12">
      <c r="A68" s="20">
        <v>39</v>
      </c>
      <c r="C68" s="18" t="s">
        <v>188</v>
      </c>
      <c r="E68" s="137">
        <f>'ROO INPUT'!F68</f>
        <v>-136838</v>
      </c>
      <c r="F68" s="159">
        <v>0</v>
      </c>
      <c r="G68" s="137">
        <v>0</v>
      </c>
      <c r="H68" s="137">
        <v>0</v>
      </c>
      <c r="I68" s="137">
        <v>0</v>
      </c>
      <c r="J68" s="159">
        <v>0</v>
      </c>
      <c r="K68" s="159">
        <v>0</v>
      </c>
      <c r="L68" s="159">
        <v>0</v>
      </c>
      <c r="M68" s="159">
        <v>0</v>
      </c>
      <c r="N68" s="159">
        <v>0</v>
      </c>
      <c r="O68" s="159">
        <v>0</v>
      </c>
      <c r="P68" s="159">
        <v>0</v>
      </c>
      <c r="Q68" s="159">
        <v>0</v>
      </c>
      <c r="R68" s="159">
        <v>0</v>
      </c>
      <c r="S68" s="159">
        <v>0</v>
      </c>
      <c r="T68" s="159">
        <v>0</v>
      </c>
      <c r="U68" s="159">
        <v>0</v>
      </c>
      <c r="V68" s="159">
        <v>0</v>
      </c>
      <c r="W68" s="159">
        <v>0</v>
      </c>
      <c r="X68" s="160">
        <v>0</v>
      </c>
      <c r="Y68" s="160">
        <v>0</v>
      </c>
      <c r="Z68" s="160">
        <v>0</v>
      </c>
      <c r="AA68" s="159">
        <v>0</v>
      </c>
      <c r="AB68" s="159">
        <v>0</v>
      </c>
      <c r="AC68" s="399">
        <f>SUM(E68:AB68)</f>
        <v>-136838</v>
      </c>
      <c r="AD68" s="159"/>
      <c r="AE68" s="160">
        <v>0</v>
      </c>
      <c r="AF68" s="160">
        <v>0</v>
      </c>
      <c r="AG68" s="160">
        <v>0</v>
      </c>
      <c r="AH68" s="160">
        <v>0</v>
      </c>
      <c r="AI68" s="399">
        <f>SUM(AC68:AH68)</f>
        <v>-136838</v>
      </c>
      <c r="AJ68" s="2"/>
      <c r="AL68" s="154"/>
    </row>
    <row r="69" spans="1:38" s="18" customFormat="1" ht="12">
      <c r="A69" s="20">
        <v>40</v>
      </c>
      <c r="C69" s="18" t="s">
        <v>172</v>
      </c>
      <c r="E69" s="137">
        <f>'ROO INPUT'!F69</f>
        <v>-314013</v>
      </c>
      <c r="F69" s="159">
        <v>0</v>
      </c>
      <c r="G69" s="137">
        <v>0</v>
      </c>
      <c r="H69" s="137">
        <v>0</v>
      </c>
      <c r="I69" s="137">
        <v>0</v>
      </c>
      <c r="J69" s="159">
        <v>0</v>
      </c>
      <c r="K69" s="159">
        <v>0</v>
      </c>
      <c r="L69" s="159">
        <v>0</v>
      </c>
      <c r="M69" s="159">
        <v>0</v>
      </c>
      <c r="N69" s="159">
        <v>0</v>
      </c>
      <c r="O69" s="159">
        <v>0</v>
      </c>
      <c r="P69" s="159">
        <v>0</v>
      </c>
      <c r="Q69" s="159">
        <v>0</v>
      </c>
      <c r="R69" s="159">
        <v>0</v>
      </c>
      <c r="S69" s="159">
        <v>0</v>
      </c>
      <c r="T69" s="159">
        <v>0</v>
      </c>
      <c r="U69" s="159">
        <v>0</v>
      </c>
      <c r="V69" s="159">
        <v>0</v>
      </c>
      <c r="W69" s="159">
        <v>0</v>
      </c>
      <c r="X69" s="160">
        <v>0</v>
      </c>
      <c r="Y69" s="160">
        <v>0</v>
      </c>
      <c r="Z69" s="160">
        <v>0</v>
      </c>
      <c r="AA69" s="159">
        <v>0</v>
      </c>
      <c r="AB69" s="159">
        <v>0</v>
      </c>
      <c r="AC69" s="399">
        <f>SUM(E69:AB69)</f>
        <v>-314013</v>
      </c>
      <c r="AD69" s="159"/>
      <c r="AE69" s="160">
        <v>0</v>
      </c>
      <c r="AF69" s="160">
        <v>0</v>
      </c>
      <c r="AG69" s="160">
        <v>0</v>
      </c>
      <c r="AH69" s="160">
        <v>0</v>
      </c>
      <c r="AI69" s="399">
        <f>SUM(AC69:AH69)</f>
        <v>-314013</v>
      </c>
      <c r="AJ69" s="2"/>
      <c r="AL69" s="154"/>
    </row>
    <row r="70" spans="1:38" s="18" customFormat="1" ht="12">
      <c r="A70" s="20">
        <v>41</v>
      </c>
      <c r="C70" s="18" t="s">
        <v>189</v>
      </c>
      <c r="E70" s="137">
        <f>'ROO INPUT'!F70</f>
        <v>-85360</v>
      </c>
      <c r="F70" s="159">
        <v>0</v>
      </c>
      <c r="G70" s="137">
        <v>0</v>
      </c>
      <c r="H70" s="137">
        <v>0</v>
      </c>
      <c r="I70" s="137">
        <v>0</v>
      </c>
      <c r="J70" s="159">
        <v>0</v>
      </c>
      <c r="K70" s="159">
        <v>0</v>
      </c>
      <c r="L70" s="159">
        <v>0</v>
      </c>
      <c r="M70" s="159">
        <v>0</v>
      </c>
      <c r="N70" s="159">
        <v>0</v>
      </c>
      <c r="O70" s="159">
        <v>0</v>
      </c>
      <c r="P70" s="159">
        <v>0</v>
      </c>
      <c r="Q70" s="159">
        <v>0</v>
      </c>
      <c r="R70" s="159">
        <v>0</v>
      </c>
      <c r="S70" s="159">
        <v>0</v>
      </c>
      <c r="T70" s="159">
        <v>0</v>
      </c>
      <c r="U70" s="159">
        <v>0</v>
      </c>
      <c r="V70" s="159">
        <v>0</v>
      </c>
      <c r="W70" s="159">
        <v>0</v>
      </c>
      <c r="X70" s="160">
        <v>0</v>
      </c>
      <c r="Y70" s="160">
        <v>0</v>
      </c>
      <c r="Z70" s="160">
        <v>0</v>
      </c>
      <c r="AA70" s="159">
        <v>0</v>
      </c>
      <c r="AB70" s="159">
        <v>0</v>
      </c>
      <c r="AC70" s="399">
        <f>SUM(E70:AB70)</f>
        <v>-85360</v>
      </c>
      <c r="AD70" s="159"/>
      <c r="AE70" s="160">
        <v>0</v>
      </c>
      <c r="AF70" s="160">
        <v>0</v>
      </c>
      <c r="AG70" s="160">
        <v>0</v>
      </c>
      <c r="AH70" s="160">
        <v>0</v>
      </c>
      <c r="AI70" s="399">
        <f>SUM(AC70:AH70)</f>
        <v>-85360</v>
      </c>
      <c r="AJ70" s="2"/>
      <c r="AL70" s="154"/>
    </row>
    <row r="71" spans="1:38" s="18" customFormat="1" ht="12">
      <c r="A71" s="20">
        <v>42</v>
      </c>
      <c r="B71" s="18" t="s">
        <v>226</v>
      </c>
      <c r="E71" s="265">
        <f t="shared" ref="E71:AC71" si="83">SUM(E66:E70)</f>
        <v>-925463</v>
      </c>
      <c r="F71" s="265">
        <f t="shared" si="83"/>
        <v>0</v>
      </c>
      <c r="G71" s="265">
        <f t="shared" si="83"/>
        <v>0</v>
      </c>
      <c r="H71" s="265">
        <f t="shared" ref="H71" si="84">SUM(H66:H70)</f>
        <v>0</v>
      </c>
      <c r="I71" s="265">
        <f t="shared" si="83"/>
        <v>102</v>
      </c>
      <c r="J71" s="265">
        <f t="shared" si="83"/>
        <v>0</v>
      </c>
      <c r="K71" s="265">
        <f t="shared" ref="K71" si="85">SUM(K66:K70)</f>
        <v>0</v>
      </c>
      <c r="L71" s="265">
        <f t="shared" si="83"/>
        <v>0</v>
      </c>
      <c r="M71" s="265">
        <f t="shared" si="83"/>
        <v>0</v>
      </c>
      <c r="N71" s="265">
        <f t="shared" si="83"/>
        <v>0</v>
      </c>
      <c r="O71" s="265">
        <f t="shared" si="83"/>
        <v>0</v>
      </c>
      <c r="P71" s="265">
        <f t="shared" si="83"/>
        <v>0</v>
      </c>
      <c r="Q71" s="265">
        <f t="shared" si="83"/>
        <v>0</v>
      </c>
      <c r="R71" s="265">
        <f t="shared" si="83"/>
        <v>0</v>
      </c>
      <c r="S71" s="265">
        <f t="shared" si="83"/>
        <v>0</v>
      </c>
      <c r="T71" s="265">
        <f t="shared" ref="T71" si="86">SUM(T66:T70)</f>
        <v>0</v>
      </c>
      <c r="U71" s="265">
        <f>SUM(U66:U70)</f>
        <v>0</v>
      </c>
      <c r="V71" s="265">
        <f t="shared" ref="V71:AB71" si="87">SUM(V66:V70)</f>
        <v>0</v>
      </c>
      <c r="W71" s="265">
        <f t="shared" si="87"/>
        <v>0</v>
      </c>
      <c r="X71" s="265">
        <f t="shared" ref="X71:Y71" si="88">SUM(X66:X70)</f>
        <v>0</v>
      </c>
      <c r="Y71" s="265">
        <f t="shared" si="88"/>
        <v>0</v>
      </c>
      <c r="Z71" s="265">
        <f t="shared" si="87"/>
        <v>0</v>
      </c>
      <c r="AA71" s="265">
        <f>SUM(AA66:AA70)</f>
        <v>0</v>
      </c>
      <c r="AB71" s="265">
        <f t="shared" si="87"/>
        <v>0</v>
      </c>
      <c r="AC71" s="401">
        <f t="shared" si="83"/>
        <v>-925361</v>
      </c>
      <c r="AD71" s="265"/>
      <c r="AE71" s="265">
        <f t="shared" ref="AE71:AI71" si="89">SUM(AE66:AE70)</f>
        <v>0</v>
      </c>
      <c r="AF71" s="265">
        <f t="shared" si="89"/>
        <v>0</v>
      </c>
      <c r="AG71" s="265">
        <f t="shared" si="89"/>
        <v>0</v>
      </c>
      <c r="AH71" s="265">
        <f t="shared" si="89"/>
        <v>0</v>
      </c>
      <c r="AI71" s="401">
        <f t="shared" si="89"/>
        <v>-925361</v>
      </c>
      <c r="AJ71" s="2"/>
      <c r="AL71" s="154"/>
    </row>
    <row r="72" spans="1:38" s="18" customFormat="1" ht="12">
      <c r="A72" s="20">
        <v>43</v>
      </c>
      <c r="B72" s="18" t="s">
        <v>227</v>
      </c>
      <c r="E72" s="265">
        <f>E64+E71</f>
        <v>1848397</v>
      </c>
      <c r="F72" s="265">
        <f t="shared" ref="F72:AB72" si="90">F64+F71</f>
        <v>0</v>
      </c>
      <c r="G72" s="265">
        <f t="shared" si="90"/>
        <v>0</v>
      </c>
      <c r="H72" s="265">
        <f t="shared" ref="H72" si="91">H64+H71</f>
        <v>0</v>
      </c>
      <c r="I72" s="265">
        <f t="shared" si="90"/>
        <v>-3499</v>
      </c>
      <c r="J72" s="265">
        <f t="shared" si="90"/>
        <v>0</v>
      </c>
      <c r="K72" s="265">
        <f t="shared" si="90"/>
        <v>0</v>
      </c>
      <c r="L72" s="265">
        <f t="shared" si="90"/>
        <v>0</v>
      </c>
      <c r="M72" s="265">
        <f t="shared" si="90"/>
        <v>0</v>
      </c>
      <c r="N72" s="265">
        <f t="shared" si="90"/>
        <v>0</v>
      </c>
      <c r="O72" s="265">
        <f t="shared" si="90"/>
        <v>0</v>
      </c>
      <c r="P72" s="265">
        <f t="shared" si="90"/>
        <v>0</v>
      </c>
      <c r="Q72" s="265">
        <f t="shared" si="90"/>
        <v>0</v>
      </c>
      <c r="R72" s="265">
        <f t="shared" si="90"/>
        <v>0</v>
      </c>
      <c r="S72" s="265">
        <f t="shared" si="90"/>
        <v>0</v>
      </c>
      <c r="T72" s="265">
        <f t="shared" ref="T72" si="92">T64+T71</f>
        <v>0</v>
      </c>
      <c r="U72" s="265">
        <f>U64+U71</f>
        <v>0</v>
      </c>
      <c r="V72" s="265">
        <f t="shared" si="90"/>
        <v>0</v>
      </c>
      <c r="W72" s="265">
        <f t="shared" si="90"/>
        <v>0</v>
      </c>
      <c r="X72" s="265">
        <f t="shared" ref="X72:Y72" si="93">X64+X71</f>
        <v>0</v>
      </c>
      <c r="Y72" s="265">
        <f t="shared" si="93"/>
        <v>0</v>
      </c>
      <c r="Z72" s="265">
        <f t="shared" si="90"/>
        <v>0</v>
      </c>
      <c r="AA72" s="265">
        <f>AA64+AA71</f>
        <v>0</v>
      </c>
      <c r="AB72" s="265">
        <f t="shared" si="90"/>
        <v>0</v>
      </c>
      <c r="AC72" s="401">
        <f>AC64+AC71</f>
        <v>1844898</v>
      </c>
      <c r="AD72" s="265"/>
      <c r="AE72" s="265">
        <f t="shared" ref="AE72:AH72" si="94">AE64+AE71</f>
        <v>0</v>
      </c>
      <c r="AF72" s="265">
        <f t="shared" si="94"/>
        <v>0</v>
      </c>
      <c r="AG72" s="265">
        <f t="shared" si="94"/>
        <v>0</v>
      </c>
      <c r="AH72" s="265">
        <f t="shared" si="94"/>
        <v>0</v>
      </c>
      <c r="AI72" s="401">
        <f>AI64+AI71</f>
        <v>1844898</v>
      </c>
      <c r="AJ72" s="2"/>
      <c r="AL72" s="154"/>
    </row>
    <row r="73" spans="1:38" s="18" customFormat="1" ht="6.75" customHeight="1">
      <c r="A73" s="20"/>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402"/>
      <c r="AD73" s="171"/>
      <c r="AE73" s="171"/>
      <c r="AF73" s="171"/>
      <c r="AG73" s="171"/>
      <c r="AH73" s="171"/>
      <c r="AI73" s="402"/>
      <c r="AJ73" s="2"/>
      <c r="AL73" s="154"/>
    </row>
    <row r="74" spans="1:38" s="18" customFormat="1" ht="12">
      <c r="A74" s="21">
        <v>44</v>
      </c>
      <c r="B74" s="18" t="s">
        <v>191</v>
      </c>
      <c r="E74" s="172">
        <f>'ROO INPUT'!F74</f>
        <v>-397657</v>
      </c>
      <c r="F74" s="172">
        <v>771</v>
      </c>
      <c r="G74" s="172">
        <v>0</v>
      </c>
      <c r="H74" s="172">
        <v>0</v>
      </c>
      <c r="I74" s="172">
        <v>35</v>
      </c>
      <c r="J74" s="173">
        <v>0</v>
      </c>
      <c r="K74" s="173">
        <v>0</v>
      </c>
      <c r="L74" s="173">
        <v>0</v>
      </c>
      <c r="M74" s="173">
        <v>0</v>
      </c>
      <c r="N74" s="173">
        <v>0</v>
      </c>
      <c r="O74" s="173">
        <v>0</v>
      </c>
      <c r="P74" s="173">
        <v>0</v>
      </c>
      <c r="Q74" s="173">
        <v>0</v>
      </c>
      <c r="R74" s="173">
        <v>0</v>
      </c>
      <c r="S74" s="173">
        <v>0</v>
      </c>
      <c r="T74" s="173">
        <v>0</v>
      </c>
      <c r="U74" s="173">
        <v>0</v>
      </c>
      <c r="V74" s="173">
        <v>0</v>
      </c>
      <c r="W74" s="173">
        <v>0</v>
      </c>
      <c r="X74" s="172">
        <v>0</v>
      </c>
      <c r="Y74" s="172">
        <v>0</v>
      </c>
      <c r="Z74" s="172">
        <v>0</v>
      </c>
      <c r="AA74" s="172">
        <v>0</v>
      </c>
      <c r="AB74" s="173">
        <v>0</v>
      </c>
      <c r="AC74" s="400">
        <f>SUM(E74:AB74)</f>
        <v>-396851</v>
      </c>
      <c r="AD74" s="172"/>
      <c r="AE74" s="172">
        <v>0</v>
      </c>
      <c r="AF74" s="172">
        <v>0</v>
      </c>
      <c r="AG74" s="172">
        <v>0</v>
      </c>
      <c r="AH74" s="172">
        <v>0</v>
      </c>
      <c r="AI74" s="400">
        <f>SUM(AC74:AH74)</f>
        <v>-396851</v>
      </c>
      <c r="AJ74" s="2"/>
      <c r="AL74" s="154"/>
    </row>
    <row r="75" spans="1:38" s="18" customFormat="1" ht="12">
      <c r="A75" s="21">
        <v>45</v>
      </c>
      <c r="C75" s="18" t="s">
        <v>515</v>
      </c>
      <c r="E75" s="171">
        <f>SUM(E72:E74)</f>
        <v>1450740</v>
      </c>
      <c r="F75" s="171">
        <f t="shared" ref="F75:AH75" si="95">SUM(F72:F74)</f>
        <v>771</v>
      </c>
      <c r="G75" s="171">
        <f t="shared" si="95"/>
        <v>0</v>
      </c>
      <c r="H75" s="171">
        <f t="shared" ref="H75" si="96">SUM(H72:H74)</f>
        <v>0</v>
      </c>
      <c r="I75" s="171">
        <f t="shared" si="95"/>
        <v>-3464</v>
      </c>
      <c r="J75" s="171">
        <f t="shared" si="95"/>
        <v>0</v>
      </c>
      <c r="K75" s="171">
        <f t="shared" ref="K75" si="97">SUM(K72:K74)</f>
        <v>0</v>
      </c>
      <c r="L75" s="171">
        <f t="shared" si="95"/>
        <v>0</v>
      </c>
      <c r="M75" s="171">
        <f t="shared" si="95"/>
        <v>0</v>
      </c>
      <c r="N75" s="171">
        <f t="shared" si="95"/>
        <v>0</v>
      </c>
      <c r="O75" s="171">
        <f t="shared" si="95"/>
        <v>0</v>
      </c>
      <c r="P75" s="171">
        <f t="shared" si="95"/>
        <v>0</v>
      </c>
      <c r="Q75" s="171">
        <f t="shared" si="95"/>
        <v>0</v>
      </c>
      <c r="R75" s="171">
        <f t="shared" si="95"/>
        <v>0</v>
      </c>
      <c r="S75" s="171">
        <f t="shared" si="95"/>
        <v>0</v>
      </c>
      <c r="T75" s="171">
        <f>SUM(T72:T74)</f>
        <v>0</v>
      </c>
      <c r="U75" s="171">
        <f>SUM(U72:U74)</f>
        <v>0</v>
      </c>
      <c r="V75" s="171">
        <f t="shared" ref="V75:AB75" si="98">SUM(V72:V74)</f>
        <v>0</v>
      </c>
      <c r="W75" s="171">
        <f t="shared" si="98"/>
        <v>0</v>
      </c>
      <c r="X75" s="171">
        <f t="shared" ref="X75:Y75" si="99">SUM(X72:X74)</f>
        <v>0</v>
      </c>
      <c r="Y75" s="171">
        <f t="shared" si="99"/>
        <v>0</v>
      </c>
      <c r="Z75" s="171">
        <f t="shared" si="98"/>
        <v>0</v>
      </c>
      <c r="AA75" s="171">
        <f>SUM(AA72:AA74)</f>
        <v>0</v>
      </c>
      <c r="AB75" s="171">
        <f t="shared" si="98"/>
        <v>0</v>
      </c>
      <c r="AC75" s="402">
        <f t="shared" si="95"/>
        <v>1448047</v>
      </c>
      <c r="AD75" s="171"/>
      <c r="AE75" s="171">
        <f t="shared" si="95"/>
        <v>0</v>
      </c>
      <c r="AF75" s="171">
        <f t="shared" si="95"/>
        <v>0</v>
      </c>
      <c r="AG75" s="171">
        <f t="shared" si="95"/>
        <v>0</v>
      </c>
      <c r="AH75" s="171">
        <f t="shared" si="95"/>
        <v>0</v>
      </c>
      <c r="AI75" s="402">
        <f t="shared" ref="AI75" si="100">SUM(AI72:AI74)</f>
        <v>1448047</v>
      </c>
      <c r="AJ75" s="2"/>
      <c r="AL75" s="154"/>
    </row>
    <row r="76" spans="1:38" s="18" customFormat="1" ht="12">
      <c r="A76" s="20">
        <v>46</v>
      </c>
      <c r="B76" s="18" t="s">
        <v>228</v>
      </c>
      <c r="E76" s="171">
        <f>'ROO INPUT'!F76</f>
        <v>2110</v>
      </c>
      <c r="F76" s="159">
        <v>0</v>
      </c>
      <c r="G76" s="171">
        <v>0</v>
      </c>
      <c r="H76" s="171">
        <v>0</v>
      </c>
      <c r="I76" s="171">
        <v>0</v>
      </c>
      <c r="J76" s="159">
        <v>0</v>
      </c>
      <c r="K76" s="159">
        <v>0</v>
      </c>
      <c r="L76" s="159">
        <v>0</v>
      </c>
      <c r="M76" s="159">
        <v>0</v>
      </c>
      <c r="N76" s="159">
        <v>0</v>
      </c>
      <c r="O76" s="159">
        <v>0</v>
      </c>
      <c r="P76" s="159">
        <v>0</v>
      </c>
      <c r="Q76" s="159">
        <v>0</v>
      </c>
      <c r="R76" s="159">
        <v>0</v>
      </c>
      <c r="S76" s="159">
        <v>0</v>
      </c>
      <c r="T76" s="159">
        <v>0</v>
      </c>
      <c r="U76" s="159">
        <v>0</v>
      </c>
      <c r="V76" s="159">
        <v>0</v>
      </c>
      <c r="W76" s="159">
        <v>0</v>
      </c>
      <c r="X76" s="160">
        <v>0</v>
      </c>
      <c r="Y76" s="160">
        <v>0</v>
      </c>
      <c r="Z76" s="160">
        <v>0</v>
      </c>
      <c r="AA76" s="160">
        <v>0</v>
      </c>
      <c r="AB76" s="159">
        <v>0</v>
      </c>
      <c r="AC76" s="399">
        <f>SUM(E76:AB76)</f>
        <v>2110</v>
      </c>
      <c r="AD76" s="160"/>
      <c r="AE76" s="160">
        <v>0</v>
      </c>
      <c r="AF76" s="160">
        <v>0</v>
      </c>
      <c r="AG76" s="160">
        <v>0</v>
      </c>
      <c r="AH76" s="160">
        <v>0</v>
      </c>
      <c r="AI76" s="399">
        <f>SUM(AC76:AH76)</f>
        <v>2110</v>
      </c>
      <c r="AJ76" s="2"/>
      <c r="AL76" s="154"/>
    </row>
    <row r="77" spans="1:38" s="18" customFormat="1" ht="12">
      <c r="A77" s="20">
        <v>47</v>
      </c>
      <c r="B77" s="18" t="s">
        <v>212</v>
      </c>
      <c r="E77" s="171">
        <f>'ROO INPUT'!F77</f>
        <v>63549</v>
      </c>
      <c r="F77" s="173">
        <v>0</v>
      </c>
      <c r="G77" s="171">
        <v>0</v>
      </c>
      <c r="H77" s="171">
        <v>0</v>
      </c>
      <c r="I77" s="171">
        <v>0</v>
      </c>
      <c r="J77" s="173">
        <v>0</v>
      </c>
      <c r="K77" s="173">
        <v>0</v>
      </c>
      <c r="L77" s="173">
        <v>0</v>
      </c>
      <c r="M77" s="173">
        <v>0</v>
      </c>
      <c r="N77" s="173">
        <v>0</v>
      </c>
      <c r="O77" s="173">
        <v>0</v>
      </c>
      <c r="P77" s="173">
        <v>0</v>
      </c>
      <c r="Q77" s="173">
        <v>0</v>
      </c>
      <c r="R77" s="173">
        <v>0</v>
      </c>
      <c r="S77" s="173">
        <v>0</v>
      </c>
      <c r="T77" s="173">
        <v>0</v>
      </c>
      <c r="U77" s="173">
        <v>0</v>
      </c>
      <c r="V77" s="173">
        <v>0</v>
      </c>
      <c r="W77" s="173">
        <v>0</v>
      </c>
      <c r="X77" s="172">
        <v>0</v>
      </c>
      <c r="Y77" s="172">
        <v>0</v>
      </c>
      <c r="Z77" s="172">
        <v>0</v>
      </c>
      <c r="AA77" s="172">
        <v>0</v>
      </c>
      <c r="AB77" s="173">
        <v>0</v>
      </c>
      <c r="AC77" s="400">
        <f>SUM(E77:AB77)</f>
        <v>63549</v>
      </c>
      <c r="AD77" s="172"/>
      <c r="AE77" s="172">
        <v>0</v>
      </c>
      <c r="AF77" s="172">
        <v>0</v>
      </c>
      <c r="AG77" s="172">
        <v>0</v>
      </c>
      <c r="AH77" s="172">
        <v>0</v>
      </c>
      <c r="AI77" s="400">
        <f>SUM(AC77:AH77)</f>
        <v>63549</v>
      </c>
      <c r="AJ77" s="2"/>
      <c r="AL77" s="154"/>
    </row>
    <row r="78" spans="1:38" s="18" customFormat="1" ht="12">
      <c r="A78" s="21"/>
      <c r="E78" s="265"/>
      <c r="F78" s="159"/>
      <c r="G78" s="265"/>
      <c r="H78" s="265"/>
      <c r="I78" s="265"/>
      <c r="J78" s="159"/>
      <c r="K78" s="159"/>
      <c r="L78" s="159"/>
      <c r="M78" s="159"/>
      <c r="N78" s="159"/>
      <c r="O78" s="159"/>
      <c r="P78" s="159"/>
      <c r="Q78" s="159"/>
      <c r="R78" s="159"/>
      <c r="S78" s="159"/>
      <c r="T78" s="159"/>
      <c r="U78" s="159"/>
      <c r="V78" s="159"/>
      <c r="W78" s="159"/>
      <c r="X78" s="160"/>
      <c r="Y78" s="160"/>
      <c r="Z78" s="160"/>
      <c r="AA78" s="160"/>
      <c r="AB78" s="159"/>
      <c r="AC78" s="395"/>
      <c r="AD78" s="160"/>
      <c r="AE78" s="160"/>
      <c r="AF78" s="160"/>
      <c r="AG78" s="160"/>
      <c r="AH78" s="160"/>
      <c r="AI78" s="395"/>
      <c r="AJ78" s="2"/>
      <c r="AL78" s="137"/>
    </row>
    <row r="79" spans="1:38" s="17" customFormat="1" ht="12.6" thickBot="1">
      <c r="A79" s="16">
        <v>48</v>
      </c>
      <c r="B79" s="17" t="s">
        <v>192</v>
      </c>
      <c r="E79" s="315">
        <f>SUM(E75:E77)</f>
        <v>1516399</v>
      </c>
      <c r="F79" s="268">
        <f t="shared" ref="F79:AH79" si="101">SUM(F75:F77)</f>
        <v>771</v>
      </c>
      <c r="G79" s="315">
        <f t="shared" si="101"/>
        <v>0</v>
      </c>
      <c r="H79" s="315">
        <f t="shared" ref="H79" si="102">SUM(H75:H77)</f>
        <v>0</v>
      </c>
      <c r="I79" s="315">
        <f t="shared" si="101"/>
        <v>-3464</v>
      </c>
      <c r="J79" s="268">
        <f t="shared" si="101"/>
        <v>0</v>
      </c>
      <c r="K79" s="268">
        <f t="shared" ref="K79" si="103">SUM(K75:K77)</f>
        <v>0</v>
      </c>
      <c r="L79" s="268">
        <f t="shared" si="101"/>
        <v>0</v>
      </c>
      <c r="M79" s="268">
        <f t="shared" si="101"/>
        <v>0</v>
      </c>
      <c r="N79" s="268">
        <f t="shared" si="101"/>
        <v>0</v>
      </c>
      <c r="O79" s="268">
        <f t="shared" si="101"/>
        <v>0</v>
      </c>
      <c r="P79" s="268">
        <f t="shared" si="101"/>
        <v>0</v>
      </c>
      <c r="Q79" s="268">
        <f t="shared" si="101"/>
        <v>0</v>
      </c>
      <c r="R79" s="268">
        <f t="shared" si="101"/>
        <v>0</v>
      </c>
      <c r="S79" s="268">
        <f t="shared" si="101"/>
        <v>0</v>
      </c>
      <c r="T79" s="315">
        <f>SUM(T75:T77)</f>
        <v>0</v>
      </c>
      <c r="U79" s="268">
        <f>SUM(U75:U77)</f>
        <v>0</v>
      </c>
      <c r="V79" s="268">
        <f t="shared" ref="V79:AB79" si="104">SUM(V75:V77)</f>
        <v>0</v>
      </c>
      <c r="W79" s="268">
        <f t="shared" si="104"/>
        <v>0</v>
      </c>
      <c r="X79" s="268">
        <f t="shared" ref="X79:Y79" si="105">SUM(X75:X77)</f>
        <v>0</v>
      </c>
      <c r="Y79" s="268">
        <f t="shared" si="105"/>
        <v>0</v>
      </c>
      <c r="Z79" s="268">
        <f t="shared" si="104"/>
        <v>0</v>
      </c>
      <c r="AA79" s="268">
        <f>SUM(AA75:AA77)</f>
        <v>0</v>
      </c>
      <c r="AB79" s="268">
        <f t="shared" si="104"/>
        <v>0</v>
      </c>
      <c r="AC79" s="403">
        <f t="shared" si="101"/>
        <v>1513706</v>
      </c>
      <c r="AD79" s="268"/>
      <c r="AE79" s="268">
        <f t="shared" si="101"/>
        <v>0</v>
      </c>
      <c r="AF79" s="268">
        <f t="shared" si="101"/>
        <v>0</v>
      </c>
      <c r="AG79" s="268">
        <f t="shared" si="101"/>
        <v>0</v>
      </c>
      <c r="AH79" s="268">
        <f t="shared" si="101"/>
        <v>0</v>
      </c>
      <c r="AI79" s="403">
        <f t="shared" ref="AI79" si="106">SUM(AI75:AI77)</f>
        <v>1513706</v>
      </c>
      <c r="AJ79" s="2"/>
      <c r="AL79" s="155"/>
    </row>
    <row r="80" spans="1:38" ht="18" customHeight="1" thickTop="1">
      <c r="A80" s="16">
        <v>49</v>
      </c>
      <c r="B80" s="2" t="s">
        <v>599</v>
      </c>
      <c r="E80" s="455">
        <f>ROUND(E55/E79,4)</f>
        <v>7.5399999999999995E-2</v>
      </c>
      <c r="F80" s="456"/>
      <c r="G80" s="455"/>
      <c r="H80" s="455"/>
      <c r="I80" s="455"/>
      <c r="J80" s="456"/>
      <c r="K80" s="456"/>
      <c r="L80" s="456"/>
      <c r="M80" s="456"/>
      <c r="N80" s="456"/>
      <c r="Q80" s="456"/>
      <c r="R80" s="456"/>
      <c r="AC80" s="404">
        <f>ROUND(AC55/AC79,4)</f>
        <v>7.3400000000000007E-2</v>
      </c>
      <c r="AE80" s="160"/>
      <c r="AF80" s="160"/>
      <c r="AG80" s="160"/>
      <c r="AH80" s="160"/>
      <c r="AI80" s="404">
        <f>ROUND(AI55/AI79,4)</f>
        <v>7.4099999999999999E-2</v>
      </c>
    </row>
    <row r="81" spans="1:38" ht="18" customHeight="1">
      <c r="A81" s="16"/>
      <c r="E81" s="455"/>
      <c r="F81" s="456"/>
      <c r="G81" s="455"/>
      <c r="H81" s="455"/>
      <c r="I81" s="455"/>
      <c r="J81" s="456"/>
      <c r="K81" s="456"/>
      <c r="L81" s="456"/>
      <c r="M81" s="456"/>
      <c r="N81" s="456"/>
      <c r="Q81" s="456"/>
      <c r="R81" s="456"/>
      <c r="AC81" s="404"/>
      <c r="AE81" s="160"/>
      <c r="AF81" s="160"/>
      <c r="AG81" s="160"/>
      <c r="AH81" s="160"/>
      <c r="AI81" s="404"/>
    </row>
    <row r="82" spans="1:38" ht="23.25" customHeight="1">
      <c r="A82" s="3">
        <v>51</v>
      </c>
      <c r="B82" s="2" t="s">
        <v>207</v>
      </c>
      <c r="E82" s="174">
        <f>E90</f>
        <v>-3608.9536454370859</v>
      </c>
      <c r="F82" s="174">
        <f t="shared" ref="F82:AC82" si="107">F90</f>
        <v>79.543644179808879</v>
      </c>
      <c r="G82" s="174">
        <f t="shared" si="107"/>
        <v>35.622638589794839</v>
      </c>
      <c r="H82" s="174">
        <f t="shared" ref="H82" si="108">H90</f>
        <v>0</v>
      </c>
      <c r="I82" s="174">
        <f t="shared" si="107"/>
        <v>-357.37896684676787</v>
      </c>
      <c r="J82" s="174">
        <f t="shared" si="107"/>
        <v>106.86791576938452</v>
      </c>
      <c r="K82" s="174">
        <f t="shared" ref="K82" si="109">K90</f>
        <v>-3.1431739932171916</v>
      </c>
      <c r="L82" s="174">
        <f t="shared" si="107"/>
        <v>990.09980786341532</v>
      </c>
      <c r="M82" s="174">
        <f t="shared" si="107"/>
        <v>67.054378521966754</v>
      </c>
      <c r="N82" s="174">
        <f t="shared" si="107"/>
        <v>111.05881442700743</v>
      </c>
      <c r="O82" s="174">
        <f t="shared" si="107"/>
        <v>-58.027827567086611</v>
      </c>
      <c r="P82" s="174">
        <f t="shared" si="107"/>
        <v>-52.38623322028652</v>
      </c>
      <c r="Q82" s="174">
        <f t="shared" si="107"/>
        <v>4.1908986576229221</v>
      </c>
      <c r="R82" s="174">
        <f t="shared" si="107"/>
        <v>-84.865697816864184</v>
      </c>
      <c r="S82" s="174">
        <f t="shared" si="107"/>
        <v>2340.6169002824017</v>
      </c>
      <c r="T82" s="174"/>
      <c r="U82" s="174">
        <f>U90</f>
        <v>-1348.4216430901749</v>
      </c>
      <c r="V82" s="174">
        <f t="shared" ref="V82:AB82" si="110">V90</f>
        <v>-5058.0923029310497</v>
      </c>
      <c r="W82" s="174">
        <f t="shared" si="110"/>
        <v>-7.3340726508401142</v>
      </c>
      <c r="X82" s="174">
        <f t="shared" ref="X82:Y82" si="111">X90</f>
        <v>-772.17307766702334</v>
      </c>
      <c r="Y82" s="174">
        <f t="shared" si="111"/>
        <v>-498.71694025712765</v>
      </c>
      <c r="Z82" s="174">
        <f t="shared" si="110"/>
        <v>633.47045094069551</v>
      </c>
      <c r="AA82" s="174">
        <f>AA90</f>
        <v>8843.8438922487712</v>
      </c>
      <c r="AB82" s="174">
        <f t="shared" si="110"/>
        <v>0</v>
      </c>
      <c r="AC82" s="405">
        <f t="shared" si="107"/>
        <v>1362.8757600033484</v>
      </c>
      <c r="AD82" s="174"/>
      <c r="AE82" s="174">
        <f t="shared" ref="AE82:AI82" si="112">AE90</f>
        <v>-2340.4557118724933</v>
      </c>
      <c r="AF82" s="174">
        <f t="shared" si="112"/>
        <v>-1100.9168396755599</v>
      </c>
      <c r="AG82" s="174">
        <f t="shared" si="112"/>
        <v>1403.9510503036788</v>
      </c>
      <c r="AH82" s="174">
        <f t="shared" si="112"/>
        <v>298.19855833086177</v>
      </c>
      <c r="AI82" s="405">
        <f t="shared" si="112"/>
        <v>-376.34718291016418</v>
      </c>
    </row>
    <row r="83" spans="1:38" ht="24" customHeight="1">
      <c r="E83" s="2"/>
      <c r="G83" s="2"/>
      <c r="H83" s="2"/>
      <c r="I83" s="2"/>
      <c r="AE83" s="160"/>
      <c r="AF83" s="160"/>
      <c r="AG83" s="160"/>
      <c r="AH83" s="160"/>
      <c r="AI83" s="158"/>
    </row>
    <row r="84" spans="1:38" ht="38.25" customHeight="1">
      <c r="E84" s="102"/>
      <c r="G84" s="102"/>
      <c r="H84" s="102"/>
      <c r="I84" s="102"/>
      <c r="AE84" s="160"/>
      <c r="AF84" s="160"/>
      <c r="AG84" s="160"/>
      <c r="AH84" s="160"/>
      <c r="AI84" s="158"/>
    </row>
    <row r="85" spans="1:38">
      <c r="E85" s="102">
        <f>'RR SUMMARY'!E11</f>
        <v>7.3969999999999994E-2</v>
      </c>
      <c r="G85" s="102"/>
      <c r="H85" s="102"/>
      <c r="I85" s="102"/>
      <c r="AE85" s="160"/>
      <c r="AF85" s="160"/>
      <c r="AG85" s="160"/>
      <c r="AH85" s="160"/>
      <c r="AI85" s="158"/>
    </row>
    <row r="86" spans="1:38">
      <c r="D86" s="2" t="s">
        <v>215</v>
      </c>
      <c r="E86" s="457"/>
      <c r="G86" s="457"/>
      <c r="H86" s="457"/>
      <c r="I86" s="457"/>
      <c r="AE86" s="160"/>
      <c r="AF86" s="160"/>
      <c r="AG86" s="160"/>
      <c r="AH86" s="160"/>
      <c r="AI86" s="158"/>
    </row>
    <row r="87" spans="1:38">
      <c r="D87" s="2" t="s">
        <v>143</v>
      </c>
      <c r="E87" s="458">
        <f>'CF '!E24</f>
        <v>0.62039200000000005</v>
      </c>
      <c r="G87" s="458"/>
      <c r="H87" s="458"/>
      <c r="I87" s="458"/>
      <c r="AE87" s="160"/>
      <c r="AF87" s="160"/>
      <c r="AG87" s="160"/>
      <c r="AH87" s="160"/>
      <c r="AI87" s="158"/>
    </row>
    <row r="88" spans="1:38">
      <c r="AE88" s="160"/>
      <c r="AF88" s="160"/>
      <c r="AG88" s="160"/>
      <c r="AH88" s="160"/>
      <c r="AI88" s="158"/>
    </row>
    <row r="89" spans="1:38">
      <c r="D89" s="2" t="s">
        <v>196</v>
      </c>
      <c r="E89" s="183">
        <f t="shared" ref="E89:AC89" si="113">E79*$E$85-E55</f>
        <v>-2238.9659700000047</v>
      </c>
      <c r="F89" s="183">
        <f t="shared" si="113"/>
        <v>49.348240499999996</v>
      </c>
      <c r="G89" s="183">
        <f t="shared" si="113"/>
        <v>22.1</v>
      </c>
      <c r="H89" s="183">
        <f t="shared" ref="H89" si="114">H79*$E$85-H55</f>
        <v>0</v>
      </c>
      <c r="I89" s="183">
        <f>I79*$E$85-I55</f>
        <v>-221.71505200000001</v>
      </c>
      <c r="J89" s="183">
        <f t="shared" si="113"/>
        <v>66.300000000000011</v>
      </c>
      <c r="K89" s="183">
        <f t="shared" ref="K89" si="115">K79*$E$85-K55</f>
        <v>-1.9500000000000002</v>
      </c>
      <c r="L89" s="183">
        <f t="shared" si="113"/>
        <v>614.25</v>
      </c>
      <c r="M89" s="183">
        <f t="shared" si="113"/>
        <v>41.6</v>
      </c>
      <c r="N89" s="183">
        <f t="shared" si="113"/>
        <v>68.900000000000006</v>
      </c>
      <c r="O89" s="183">
        <f t="shared" si="113"/>
        <v>-36</v>
      </c>
      <c r="P89" s="183">
        <f t="shared" si="113"/>
        <v>-32.5</v>
      </c>
      <c r="Q89" s="183">
        <f t="shared" si="113"/>
        <v>2.6</v>
      </c>
      <c r="R89" s="183">
        <f t="shared" si="113"/>
        <v>-52.650000000000006</v>
      </c>
      <c r="S89" s="183">
        <f t="shared" si="113"/>
        <v>1452.1</v>
      </c>
      <c r="T89" s="183"/>
      <c r="U89" s="183">
        <f>U79*$E$85-U55</f>
        <v>-836.55</v>
      </c>
      <c r="V89" s="183">
        <f t="shared" ref="V89:AB89" si="116">V79*$E$85-V55</f>
        <v>-3138</v>
      </c>
      <c r="W89" s="183">
        <f t="shared" si="116"/>
        <v>-4.5500000000000007</v>
      </c>
      <c r="X89" s="183">
        <f t="shared" ref="X89:Y89" si="117">X79*$E$85-X55</f>
        <v>-479.05</v>
      </c>
      <c r="Y89" s="183">
        <f t="shared" si="117"/>
        <v>-309.39999999999998</v>
      </c>
      <c r="Z89" s="183">
        <f t="shared" si="116"/>
        <v>393</v>
      </c>
      <c r="AA89" s="183">
        <f>AA79*$E$85-AA55</f>
        <v>5486.65</v>
      </c>
      <c r="AB89" s="183">
        <f t="shared" si="116"/>
        <v>0</v>
      </c>
      <c r="AC89" s="183">
        <f t="shared" si="113"/>
        <v>845.5172184999974</v>
      </c>
      <c r="AD89" s="183"/>
      <c r="AE89" s="183">
        <f t="shared" ref="AE89:AI89" si="118">AE79*$E$85-AE55</f>
        <v>-1452</v>
      </c>
      <c r="AF89" s="183">
        <f t="shared" si="118"/>
        <v>-683</v>
      </c>
      <c r="AG89" s="183">
        <f t="shared" si="118"/>
        <v>871</v>
      </c>
      <c r="AH89" s="183">
        <f t="shared" si="118"/>
        <v>185</v>
      </c>
      <c r="AI89" s="183">
        <f t="shared" si="118"/>
        <v>-233.4827815000026</v>
      </c>
    </row>
    <row r="90" spans="1:38">
      <c r="C90" s="348"/>
      <c r="D90" s="348" t="s">
        <v>109</v>
      </c>
      <c r="E90" s="349">
        <f t="shared" ref="E90:AC90" si="119">E89/$E$87</f>
        <v>-3608.9536454370859</v>
      </c>
      <c r="F90" s="349">
        <f t="shared" si="119"/>
        <v>79.543644179808879</v>
      </c>
      <c r="G90" s="349">
        <f t="shared" si="119"/>
        <v>35.622638589794839</v>
      </c>
      <c r="H90" s="349">
        <f t="shared" ref="H90" si="120">H89/$E$87</f>
        <v>0</v>
      </c>
      <c r="I90" s="349">
        <f t="shared" si="119"/>
        <v>-357.37896684676787</v>
      </c>
      <c r="J90" s="349">
        <f t="shared" si="119"/>
        <v>106.86791576938452</v>
      </c>
      <c r="K90" s="349">
        <f t="shared" ref="K90" si="121">K89/$E$87</f>
        <v>-3.1431739932171916</v>
      </c>
      <c r="L90" s="349">
        <f t="shared" si="119"/>
        <v>990.09980786341532</v>
      </c>
      <c r="M90" s="349">
        <f t="shared" si="119"/>
        <v>67.054378521966754</v>
      </c>
      <c r="N90" s="349">
        <f t="shared" si="119"/>
        <v>111.05881442700743</v>
      </c>
      <c r="O90" s="349">
        <f t="shared" si="119"/>
        <v>-58.027827567086611</v>
      </c>
      <c r="P90" s="349">
        <f t="shared" si="119"/>
        <v>-52.38623322028652</v>
      </c>
      <c r="Q90" s="349">
        <f t="shared" si="119"/>
        <v>4.1908986576229221</v>
      </c>
      <c r="R90" s="349">
        <f t="shared" si="119"/>
        <v>-84.865697816864184</v>
      </c>
      <c r="S90" s="349">
        <f t="shared" si="119"/>
        <v>2340.6169002824017</v>
      </c>
      <c r="T90" s="349"/>
      <c r="U90" s="349">
        <f>U89/$E$87</f>
        <v>-1348.4216430901749</v>
      </c>
      <c r="V90" s="349">
        <f t="shared" ref="V90:AB90" si="122">V89/$E$87</f>
        <v>-5058.0923029310497</v>
      </c>
      <c r="W90" s="349">
        <f t="shared" si="122"/>
        <v>-7.3340726508401142</v>
      </c>
      <c r="X90" s="172">
        <f t="shared" ref="X90:Y90" si="123">X89/$E$87</f>
        <v>-772.17307766702334</v>
      </c>
      <c r="Y90" s="172">
        <f t="shared" si="123"/>
        <v>-498.71694025712765</v>
      </c>
      <c r="Z90" s="172">
        <f t="shared" si="122"/>
        <v>633.47045094069551</v>
      </c>
      <c r="AA90" s="349">
        <f>AA89/$E$87</f>
        <v>8843.8438922487712</v>
      </c>
      <c r="AB90" s="349">
        <f t="shared" si="122"/>
        <v>0</v>
      </c>
      <c r="AC90" s="349">
        <f t="shared" si="119"/>
        <v>1362.8757600033484</v>
      </c>
      <c r="AD90" s="349"/>
      <c r="AE90" s="172">
        <f t="shared" ref="AE90:AI90" si="124">AE89/$E$87</f>
        <v>-2340.4557118724933</v>
      </c>
      <c r="AF90" s="172">
        <f t="shared" si="124"/>
        <v>-1100.9168396755599</v>
      </c>
      <c r="AG90" s="172">
        <f t="shared" si="124"/>
        <v>1403.9510503036788</v>
      </c>
      <c r="AH90" s="172">
        <f t="shared" si="124"/>
        <v>298.19855833086177</v>
      </c>
      <c r="AI90" s="349">
        <f t="shared" si="124"/>
        <v>-376.34718291016418</v>
      </c>
    </row>
    <row r="91" spans="1:38" s="129" customFormat="1" ht="11.25" customHeight="1">
      <c r="A91" s="157"/>
      <c r="E91" s="171"/>
      <c r="F91" s="411"/>
      <c r="G91" s="171"/>
      <c r="H91" s="171"/>
      <c r="I91" s="171"/>
      <c r="J91" s="411"/>
      <c r="K91" s="411"/>
      <c r="L91" s="411"/>
      <c r="M91" s="411"/>
      <c r="N91" s="411"/>
      <c r="O91" s="411"/>
      <c r="P91" s="411"/>
      <c r="Q91" s="411"/>
      <c r="R91" s="411"/>
      <c r="S91" s="411"/>
      <c r="T91" s="411"/>
      <c r="U91" s="411"/>
      <c r="V91" s="411"/>
      <c r="W91" s="411"/>
      <c r="X91" s="171"/>
      <c r="Y91" s="171"/>
      <c r="Z91" s="171"/>
      <c r="AA91" s="171"/>
      <c r="AB91" s="411"/>
      <c r="AC91" s="183"/>
      <c r="AD91" s="350"/>
      <c r="AE91" s="171"/>
      <c r="AF91" s="171"/>
      <c r="AG91" s="171"/>
      <c r="AH91" s="171"/>
      <c r="AI91" s="183"/>
      <c r="AL91" s="103"/>
    </row>
    <row r="92" spans="1:38" s="129" customFormat="1" ht="12">
      <c r="A92" s="157"/>
      <c r="E92" s="459">
        <v>7.2900000000000006E-2</v>
      </c>
      <c r="F92" s="411"/>
      <c r="G92" s="459"/>
      <c r="H92" s="459"/>
      <c r="I92" s="459"/>
      <c r="J92" s="411"/>
      <c r="K92" s="411"/>
      <c r="L92" s="411"/>
      <c r="M92" s="411"/>
      <c r="N92" s="411"/>
      <c r="O92" s="411"/>
      <c r="P92" s="411"/>
      <c r="Q92" s="411"/>
      <c r="R92" s="411"/>
      <c r="S92" s="411"/>
      <c r="T92" s="411"/>
      <c r="U92" s="411"/>
      <c r="V92" s="411"/>
      <c r="W92" s="411"/>
      <c r="X92" s="171"/>
      <c r="Y92" s="171"/>
      <c r="Z92" s="171"/>
      <c r="AA92" s="171"/>
      <c r="AB92" s="411"/>
      <c r="AC92" s="349"/>
      <c r="AD92" s="171"/>
      <c r="AE92" s="171"/>
      <c r="AF92" s="171"/>
      <c r="AG92" s="171"/>
      <c r="AH92" s="171"/>
      <c r="AI92" s="349"/>
      <c r="AL92" s="103"/>
    </row>
    <row r="93" spans="1:38">
      <c r="A93" s="3" t="s">
        <v>545</v>
      </c>
      <c r="D93" s="2" t="s">
        <v>196</v>
      </c>
      <c r="E93" s="183">
        <f t="shared" ref="E93:AH93" si="125">E79*$E$92-E55</f>
        <v>-3861.512899999987</v>
      </c>
      <c r="F93" s="183">
        <f t="shared" si="125"/>
        <v>48.52327050000001</v>
      </c>
      <c r="G93" s="183">
        <f t="shared" si="125"/>
        <v>22.1</v>
      </c>
      <c r="H93" s="183">
        <f t="shared" ref="H93" si="126">H79*$E$92-H55</f>
        <v>0</v>
      </c>
      <c r="I93" s="183">
        <f t="shared" si="125"/>
        <v>-218.00857200000002</v>
      </c>
      <c r="J93" s="183">
        <f t="shared" si="125"/>
        <v>66.300000000000011</v>
      </c>
      <c r="K93" s="183">
        <f t="shared" ref="K93" si="127">K79*$E$92-K55</f>
        <v>-1.9500000000000002</v>
      </c>
      <c r="L93" s="183">
        <f t="shared" si="125"/>
        <v>614.25</v>
      </c>
      <c r="M93" s="183">
        <f t="shared" si="125"/>
        <v>41.6</v>
      </c>
      <c r="N93" s="183">
        <f t="shared" si="125"/>
        <v>68.900000000000006</v>
      </c>
      <c r="O93" s="183">
        <f t="shared" si="125"/>
        <v>-36</v>
      </c>
      <c r="P93" s="183">
        <f t="shared" si="125"/>
        <v>-32.5</v>
      </c>
      <c r="Q93" s="183">
        <f t="shared" si="125"/>
        <v>2.6</v>
      </c>
      <c r="R93" s="183">
        <f t="shared" si="125"/>
        <v>-52.650000000000006</v>
      </c>
      <c r="S93" s="183">
        <f t="shared" si="125"/>
        <v>1452.1</v>
      </c>
      <c r="T93" s="183"/>
      <c r="U93" s="183">
        <f>U79*$E$92-U55</f>
        <v>-836.55</v>
      </c>
      <c r="V93" s="183">
        <f t="shared" ref="V93:AB93" si="128">V79*$E$92-V55</f>
        <v>-3138</v>
      </c>
      <c r="W93" s="183">
        <f t="shared" si="128"/>
        <v>-4.5500000000000007</v>
      </c>
      <c r="X93" s="183">
        <f t="shared" ref="X93:Y93" si="129">X79*$E$92-X55</f>
        <v>-479.05</v>
      </c>
      <c r="Y93" s="183">
        <f t="shared" si="129"/>
        <v>-309.39999999999998</v>
      </c>
      <c r="Z93" s="183">
        <f t="shared" si="128"/>
        <v>393</v>
      </c>
      <c r="AA93" s="183">
        <f>AA79*$E$92-AA55</f>
        <v>5486.65</v>
      </c>
      <c r="AB93" s="183">
        <f t="shared" si="128"/>
        <v>0</v>
      </c>
      <c r="AC93" s="183">
        <f t="shared" si="125"/>
        <v>-774.14820149999287</v>
      </c>
      <c r="AD93" s="183"/>
      <c r="AE93" s="183">
        <f t="shared" si="125"/>
        <v>-1452</v>
      </c>
      <c r="AF93" s="183">
        <f t="shared" si="125"/>
        <v>-683</v>
      </c>
      <c r="AG93" s="183">
        <f t="shared" si="125"/>
        <v>871</v>
      </c>
      <c r="AH93" s="183">
        <f t="shared" si="125"/>
        <v>185</v>
      </c>
      <c r="AI93" s="183">
        <f t="shared" ref="AI93" si="130">AI79*$E$92-AI55</f>
        <v>-1853.1482014999929</v>
      </c>
    </row>
    <row r="94" spans="1:38">
      <c r="C94" s="348"/>
      <c r="D94" s="348" t="s">
        <v>109</v>
      </c>
      <c r="E94" s="349">
        <f t="shared" ref="E94:AH94" si="131">E93/$E$87</f>
        <v>-6224.3112419244389</v>
      </c>
      <c r="F94" s="349">
        <f t="shared" si="131"/>
        <v>78.213888154586144</v>
      </c>
      <c r="G94" s="349">
        <f t="shared" si="131"/>
        <v>35.622638589794839</v>
      </c>
      <c r="H94" s="349">
        <f t="shared" ref="H94" si="132">H93/$E$87</f>
        <v>0</v>
      </c>
      <c r="I94" s="349">
        <f t="shared" si="131"/>
        <v>-351.40455067118853</v>
      </c>
      <c r="J94" s="349">
        <f t="shared" si="131"/>
        <v>106.86791576938452</v>
      </c>
      <c r="K94" s="349">
        <f t="shared" ref="K94" si="133">K93/$E$87</f>
        <v>-3.1431739932171916</v>
      </c>
      <c r="L94" s="349">
        <f t="shared" si="131"/>
        <v>990.09980786341532</v>
      </c>
      <c r="M94" s="349">
        <f t="shared" si="131"/>
        <v>67.054378521966754</v>
      </c>
      <c r="N94" s="349">
        <f t="shared" si="131"/>
        <v>111.05881442700743</v>
      </c>
      <c r="O94" s="349">
        <f t="shared" si="131"/>
        <v>-58.027827567086611</v>
      </c>
      <c r="P94" s="349">
        <f t="shared" si="131"/>
        <v>-52.38623322028652</v>
      </c>
      <c r="Q94" s="349">
        <f t="shared" si="131"/>
        <v>4.1908986576229221</v>
      </c>
      <c r="R94" s="349">
        <f t="shared" si="131"/>
        <v>-84.865697816864184</v>
      </c>
      <c r="S94" s="349">
        <f t="shared" si="131"/>
        <v>2340.6169002824017</v>
      </c>
      <c r="T94" s="349"/>
      <c r="U94" s="349">
        <f>U93/$E$87</f>
        <v>-1348.4216430901749</v>
      </c>
      <c r="V94" s="349">
        <f t="shared" ref="V94:AB94" si="134">V93/$E$87</f>
        <v>-5058.0923029310497</v>
      </c>
      <c r="W94" s="349">
        <f t="shared" si="134"/>
        <v>-7.3340726508401142</v>
      </c>
      <c r="X94" s="172">
        <f t="shared" ref="X94:Y94" si="135">X93/$E$87</f>
        <v>-772.17307766702334</v>
      </c>
      <c r="Y94" s="172">
        <f t="shared" si="135"/>
        <v>-498.71694025712765</v>
      </c>
      <c r="Z94" s="172">
        <f t="shared" si="134"/>
        <v>633.47045094069551</v>
      </c>
      <c r="AA94" s="349">
        <f>AA93/$E$87</f>
        <v>8843.8438922487712</v>
      </c>
      <c r="AB94" s="349">
        <f t="shared" si="134"/>
        <v>0</v>
      </c>
      <c r="AC94" s="349">
        <f t="shared" si="131"/>
        <v>-1247.8371763336613</v>
      </c>
      <c r="AD94" s="349"/>
      <c r="AE94" s="172">
        <f t="shared" si="131"/>
        <v>-2340.4557118724933</v>
      </c>
      <c r="AF94" s="172">
        <f t="shared" si="131"/>
        <v>-1100.9168396755599</v>
      </c>
      <c r="AG94" s="172">
        <f t="shared" si="131"/>
        <v>1403.9510503036788</v>
      </c>
      <c r="AH94" s="172">
        <f t="shared" si="131"/>
        <v>298.19855833086177</v>
      </c>
      <c r="AI94" s="349">
        <f t="shared" ref="AI94" si="136">AI93/$E$87</f>
        <v>-2987.060119247174</v>
      </c>
    </row>
    <row r="95" spans="1:38">
      <c r="E95" s="160">
        <f t="shared" ref="E95:AH95" si="137">E90-E94</f>
        <v>2615.357596487353</v>
      </c>
      <c r="F95" s="160">
        <f t="shared" si="137"/>
        <v>1.3297560252227356</v>
      </c>
      <c r="G95" s="160">
        <f t="shared" si="137"/>
        <v>0</v>
      </c>
      <c r="H95" s="160">
        <f t="shared" ref="H95" si="138">H90-H94</f>
        <v>0</v>
      </c>
      <c r="I95" s="160">
        <f t="shared" si="137"/>
        <v>-5.9744161755793357</v>
      </c>
      <c r="J95" s="160">
        <f t="shared" si="137"/>
        <v>0</v>
      </c>
      <c r="K95" s="160">
        <f t="shared" ref="K95" si="139">K90-K94</f>
        <v>0</v>
      </c>
      <c r="L95" s="160">
        <f t="shared" si="137"/>
        <v>0</v>
      </c>
      <c r="M95" s="160">
        <f t="shared" si="137"/>
        <v>0</v>
      </c>
      <c r="N95" s="160">
        <f t="shared" si="137"/>
        <v>0</v>
      </c>
      <c r="O95" s="160">
        <f t="shared" si="137"/>
        <v>0</v>
      </c>
      <c r="P95" s="160">
        <f t="shared" si="137"/>
        <v>0</v>
      </c>
      <c r="Q95" s="160">
        <f t="shared" si="137"/>
        <v>0</v>
      </c>
      <c r="R95" s="160">
        <f t="shared" si="137"/>
        <v>0</v>
      </c>
      <c r="S95" s="160">
        <f t="shared" si="137"/>
        <v>0</v>
      </c>
      <c r="T95" s="160"/>
      <c r="U95" s="160">
        <f>U90-U94</f>
        <v>0</v>
      </c>
      <c r="V95" s="160">
        <f t="shared" ref="V95:AB95" si="140">V90-V94</f>
        <v>0</v>
      </c>
      <c r="W95" s="160">
        <f t="shared" si="140"/>
        <v>0</v>
      </c>
      <c r="X95" s="160">
        <f t="shared" ref="X95:Y95" si="141">X90-X94</f>
        <v>0</v>
      </c>
      <c r="Y95" s="160">
        <f t="shared" si="141"/>
        <v>0</v>
      </c>
      <c r="Z95" s="160">
        <f t="shared" si="140"/>
        <v>0</v>
      </c>
      <c r="AA95" s="160">
        <f>AA90-AA94</f>
        <v>0</v>
      </c>
      <c r="AB95" s="160">
        <f t="shared" si="140"/>
        <v>0</v>
      </c>
      <c r="AC95" s="160">
        <f t="shared" si="137"/>
        <v>2610.7129363370095</v>
      </c>
      <c r="AE95" s="160">
        <f t="shared" si="137"/>
        <v>0</v>
      </c>
      <c r="AF95" s="160">
        <f t="shared" si="137"/>
        <v>0</v>
      </c>
      <c r="AG95" s="160">
        <f t="shared" si="137"/>
        <v>0</v>
      </c>
      <c r="AH95" s="160">
        <f t="shared" si="137"/>
        <v>0</v>
      </c>
      <c r="AI95" s="160">
        <f t="shared" ref="AI95" si="142">AI90-AI94</f>
        <v>2610.71293633701</v>
      </c>
    </row>
  </sheetData>
  <customSheetViews>
    <customSheetView guid="{6E1B8C45-B07F-11D2-B0DC-0000832CDFF0}" scale="75" showPageBreaks="1" showGridLines="0" printArea="1" hiddenColumns="1" showRuler="0">
      <selection sqref="A1:IV65536"/>
      <colBreaks count="5" manualBreakCount="5">
        <brk id="11" max="70" man="1"/>
        <brk id="18" max="70" man="1"/>
        <brk id="25" max="70" man="1"/>
        <brk id="32" max="1048575" man="1"/>
        <brk id="40" max="1048575" man="1"/>
      </colBreaks>
      <pageMargins left="0.75" right="0.51" top="0.75" bottom="0.5" header="0.5" footer="0.5"/>
      <pageSetup scale="76" orientation="portrait" horizontalDpi="300" verticalDpi="300" r:id="rId1"/>
      <headerFooter alignWithMargins="0">
        <oddHeader>&amp;L&amp;"Times,Regular"&amp;9KM  File: &amp;F&amp;R&amp;"Times,Regular"&amp;9Page &amp;P of &amp;N  &amp;D</oddHeader>
      </headerFooter>
    </customSheetView>
    <customSheetView guid="{A15D1962-B049-11D2-8670-0000832CEEE8}" scale="75" showPageBreaks="1" showGridLines="0" hiddenColumns="1" showRuler="0" topLeftCell="AF1">
      <selection activeCell="AG1" sqref="AG1:AO65536"/>
      <colBreaks count="5" manualBreakCount="5">
        <brk id="11" max="70" man="1"/>
        <brk id="18" max="70" man="1"/>
        <brk id="25" max="70" man="1"/>
        <brk id="32" max="1048575" man="1"/>
        <brk id="52" max="1048575" man="1"/>
      </colBreaks>
      <pageMargins left="0.75" right="0.51" top="0.75" bottom="0.5" header="0.5" footer="0.5"/>
      <pageSetup scale="76" orientation="portrait" horizontalDpi="300" verticalDpi="300" r:id="rId2"/>
      <headerFooter alignWithMargins="0">
        <oddHeader>&amp;L&amp;"Times,Regular"&amp;9KM  File: &amp;F&amp;R&amp;"Times,Regular"&amp;9Page &amp;P of &amp;N  &amp;D</oddHeader>
      </headerFooter>
    </customSheetView>
  </customSheetViews>
  <mergeCells count="1">
    <mergeCell ref="AF3:AF6"/>
  </mergeCells>
  <phoneticPr fontId="0" type="noConversion"/>
  <hyperlinks>
    <hyperlink ref="J10" location="BandO!A1" display="t"/>
  </hyperlinks>
  <pageMargins left="0.7" right="0.51" top="0.75" bottom="0.5" header="0.5" footer="0.5"/>
  <pageSetup scale="70" firstPageNumber="4" fitToWidth="7" orientation="portrait" r:id="rId3"/>
  <headerFooter scaleWithDoc="0" alignWithMargins="0">
    <oddHeader>&amp;RCBR Electric - 12/2017</oddHeader>
    <oddFooter>&amp;C&amp;F&amp;RPage &amp;P of &amp;N</oddFooter>
  </headerFooter>
  <colBreaks count="4" manualBreakCount="4">
    <brk id="10" min="1" max="79" man="1"/>
    <brk id="16" min="1" max="79" man="1"/>
    <brk id="22" min="1" max="79" man="1"/>
    <brk id="29" min="1" max="79" man="1"/>
  </colBreak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dimension ref="A1:AD84"/>
  <sheetViews>
    <sheetView topLeftCell="A9" workbookViewId="0">
      <selection activeCell="H26" sqref="H26:X43"/>
    </sheetView>
  </sheetViews>
  <sheetFormatPr defaultColWidth="9.109375" defaultRowHeight="14.25" customHeight="1"/>
  <cols>
    <col min="1" max="1" width="3.6640625" style="200" customWidth="1"/>
    <col min="2" max="2" width="32.33203125" style="200" hidden="1" customWidth="1"/>
    <col min="3" max="3" width="30.5546875" style="200" hidden="1" customWidth="1"/>
    <col min="4" max="4" width="4" style="200" hidden="1" customWidth="1"/>
    <col min="5" max="5" width="10.88671875" style="200" hidden="1" customWidth="1"/>
    <col min="6" max="6" width="11.109375" style="200" hidden="1" customWidth="1"/>
    <col min="7" max="7" width="24" style="22" customWidth="1"/>
    <col min="8" max="8" width="2.44140625" style="22" customWidth="1"/>
    <col min="9" max="9" width="14.109375" style="22" customWidth="1"/>
    <col min="10" max="10" width="12.88671875" style="22" hidden="1" customWidth="1"/>
    <col min="11" max="11" width="12.88671875" style="22" customWidth="1"/>
    <col min="12" max="12" width="18.88671875" style="34" customWidth="1"/>
    <col min="13" max="13" width="14.109375" style="22" customWidth="1"/>
    <col min="14" max="14" width="14" style="22" customWidth="1"/>
    <col min="15" max="15" width="8.6640625" style="22" customWidth="1"/>
    <col min="16" max="23" width="9.109375" style="22" hidden="1" customWidth="1"/>
    <col min="24" max="28" width="9.109375" style="22"/>
    <col min="29" max="29" width="14.6640625" style="22" customWidth="1"/>
    <col min="30" max="34" width="9.109375" style="22"/>
    <col min="35" max="35" width="11.44140625" style="22" customWidth="1"/>
    <col min="36" max="16384" width="9.109375" style="22"/>
  </cols>
  <sheetData>
    <row r="1" spans="1:30" ht="14.25" customHeight="1">
      <c r="A1" s="78" t="s">
        <v>86</v>
      </c>
      <c r="B1" s="78"/>
      <c r="C1" s="78"/>
      <c r="D1" s="78"/>
      <c r="E1" s="78"/>
      <c r="F1" s="78"/>
      <c r="H1" s="472" t="s">
        <v>86</v>
      </c>
      <c r="I1" s="473"/>
      <c r="J1" s="473"/>
      <c r="K1" s="473"/>
      <c r="L1" s="473"/>
      <c r="M1" s="473"/>
      <c r="N1" s="474"/>
    </row>
    <row r="2" spans="1:30" ht="14.25" customHeight="1">
      <c r="A2" s="78" t="s">
        <v>214</v>
      </c>
      <c r="B2" s="78"/>
      <c r="C2" s="78"/>
      <c r="D2" s="78"/>
      <c r="E2" s="78"/>
      <c r="F2" s="78"/>
      <c r="H2" s="475" t="s">
        <v>630</v>
      </c>
      <c r="I2" s="476"/>
      <c r="J2" s="476"/>
      <c r="K2" s="476"/>
      <c r="L2" s="476"/>
      <c r="M2" s="476"/>
      <c r="N2" s="477"/>
    </row>
    <row r="3" spans="1:30" ht="14.25" customHeight="1">
      <c r="A3" s="78" t="s">
        <v>142</v>
      </c>
      <c r="B3" s="78"/>
      <c r="C3" s="78"/>
      <c r="D3" s="78"/>
      <c r="E3" s="78"/>
      <c r="F3" s="78"/>
      <c r="H3" s="478" t="s">
        <v>142</v>
      </c>
      <c r="I3" s="479"/>
      <c r="J3" s="479"/>
      <c r="K3" s="479"/>
      <c r="L3" s="479"/>
      <c r="M3" s="479"/>
      <c r="N3" s="480"/>
    </row>
    <row r="4" spans="1:30" ht="14.25" customHeight="1" thickBot="1">
      <c r="A4" s="78" t="str">
        <f>'ADJ DETAIL-INPUT'!A4</f>
        <v>TWELVE MONTHS ENDED DECEMBER 31, 2017</v>
      </c>
      <c r="B4" s="78"/>
      <c r="C4" s="78"/>
      <c r="D4" s="78"/>
      <c r="E4" s="78"/>
      <c r="F4" s="78"/>
      <c r="H4" s="481"/>
      <c r="I4" s="482"/>
      <c r="J4" s="482"/>
      <c r="K4" s="482"/>
      <c r="L4" s="482"/>
      <c r="M4" s="482"/>
      <c r="N4" s="483"/>
    </row>
    <row r="5" spans="1:30" ht="14.25" customHeight="1">
      <c r="A5" s="471"/>
      <c r="B5" s="471"/>
      <c r="C5" s="471"/>
      <c r="D5" s="471"/>
      <c r="E5" s="471"/>
      <c r="F5" s="181"/>
      <c r="H5" s="322" t="s">
        <v>586</v>
      </c>
      <c r="I5" s="323"/>
      <c r="J5" s="323"/>
      <c r="K5" s="323"/>
      <c r="L5" s="323"/>
      <c r="M5" s="323"/>
      <c r="N5" s="324"/>
    </row>
    <row r="6" spans="1:30" ht="14.25" customHeight="1">
      <c r="A6" s="180" t="s">
        <v>90</v>
      </c>
      <c r="B6" s="180"/>
      <c r="C6" s="180"/>
      <c r="D6" s="180"/>
      <c r="E6" s="180" t="s">
        <v>91</v>
      </c>
      <c r="F6" s="180"/>
      <c r="H6" s="325"/>
      <c r="I6" s="326"/>
      <c r="J6" s="326"/>
      <c r="K6" s="327"/>
      <c r="L6" s="328"/>
      <c r="M6" s="327"/>
      <c r="N6" s="329"/>
    </row>
    <row r="7" spans="1:30" ht="14.25" customHeight="1">
      <c r="A7" s="81" t="s">
        <v>18</v>
      </c>
      <c r="B7" s="180"/>
      <c r="C7" s="81" t="s">
        <v>53</v>
      </c>
      <c r="D7" s="181"/>
      <c r="E7" s="81" t="s">
        <v>94</v>
      </c>
      <c r="F7" s="181"/>
      <c r="H7" s="325"/>
      <c r="I7" s="330"/>
      <c r="J7" s="327"/>
      <c r="K7" s="327" t="s">
        <v>92</v>
      </c>
      <c r="L7" s="327"/>
      <c r="M7" s="327" t="s">
        <v>93</v>
      </c>
      <c r="N7" s="329"/>
    </row>
    <row r="8" spans="1:30" ht="14.25" customHeight="1">
      <c r="A8" s="22"/>
      <c r="B8" s="22"/>
      <c r="C8" s="22"/>
      <c r="D8" s="22"/>
      <c r="E8" s="22"/>
      <c r="F8" s="22"/>
      <c r="H8" s="325"/>
      <c r="I8" s="331" t="s">
        <v>95</v>
      </c>
      <c r="J8" s="327"/>
      <c r="K8" s="331" t="s">
        <v>97</v>
      </c>
      <c r="L8" s="331" t="s">
        <v>98</v>
      </c>
      <c r="M8" s="331" t="s">
        <v>98</v>
      </c>
      <c r="N8" s="329"/>
      <c r="P8" s="190" t="s">
        <v>203</v>
      </c>
      <c r="Q8" s="191"/>
      <c r="R8" s="192" t="s">
        <v>116</v>
      </c>
      <c r="S8" s="193"/>
      <c r="T8" s="180" t="s">
        <v>115</v>
      </c>
    </row>
    <row r="9" spans="1:30" ht="14.25" customHeight="1">
      <c r="A9" s="182">
        <v>1</v>
      </c>
      <c r="B9" s="22"/>
      <c r="C9" s="22" t="s">
        <v>153</v>
      </c>
      <c r="D9" s="22"/>
      <c r="E9" s="184"/>
      <c r="F9" s="30"/>
      <c r="H9" s="325"/>
      <c r="I9" s="326"/>
      <c r="J9" s="326"/>
      <c r="K9" s="326"/>
      <c r="L9" s="328"/>
      <c r="M9" s="326"/>
      <c r="N9" s="332"/>
      <c r="P9" s="203" t="s">
        <v>204</v>
      </c>
      <c r="Q9" s="181"/>
      <c r="R9" s="180" t="s">
        <v>92</v>
      </c>
      <c r="S9" s="180" t="s">
        <v>115</v>
      </c>
      <c r="T9" s="180" t="s">
        <v>93</v>
      </c>
    </row>
    <row r="10" spans="1:30" ht="14.25" customHeight="1">
      <c r="A10" s="182"/>
      <c r="B10" s="22"/>
      <c r="C10" s="22"/>
      <c r="D10" s="22"/>
      <c r="E10" s="30"/>
      <c r="F10" s="30"/>
      <c r="H10" s="325"/>
      <c r="I10" s="330" t="s">
        <v>544</v>
      </c>
      <c r="J10" s="333"/>
      <c r="K10" s="334">
        <v>0.52139999999999997</v>
      </c>
      <c r="L10" s="339">
        <v>5.4609999999999999E-2</v>
      </c>
      <c r="M10" s="334">
        <f>ROUND(K10*L10,5)</f>
        <v>2.8469999999999999E-2</v>
      </c>
      <c r="N10" s="336" t="s">
        <v>197</v>
      </c>
      <c r="P10" s="81" t="s">
        <v>95</v>
      </c>
      <c r="Q10" s="181"/>
      <c r="R10" s="81" t="s">
        <v>97</v>
      </c>
      <c r="S10" s="81" t="s">
        <v>98</v>
      </c>
      <c r="T10" s="81" t="s">
        <v>98</v>
      </c>
    </row>
    <row r="11" spans="1:30" ht="14.25" customHeight="1">
      <c r="A11" s="182">
        <v>2</v>
      </c>
      <c r="B11" s="22"/>
      <c r="C11" s="22" t="s">
        <v>100</v>
      </c>
      <c r="D11" s="22"/>
      <c r="E11" s="194">
        <f>M14</f>
        <v>7.3969999999999994E-2</v>
      </c>
      <c r="F11" s="136"/>
      <c r="H11" s="325"/>
      <c r="I11" s="330"/>
      <c r="J11" s="337"/>
      <c r="K11" s="334"/>
      <c r="L11" s="335"/>
      <c r="M11" s="334"/>
      <c r="N11" s="383">
        <f>SUM(M10:M11)</f>
        <v>2.8469999999999999E-2</v>
      </c>
      <c r="P11" s="193"/>
      <c r="Q11" s="191"/>
      <c r="R11" s="193"/>
      <c r="S11" s="193"/>
      <c r="T11" s="193"/>
    </row>
    <row r="12" spans="1:30" ht="14.25" customHeight="1">
      <c r="A12" s="182"/>
      <c r="B12" s="22"/>
      <c r="C12" s="22"/>
      <c r="D12" s="22"/>
      <c r="E12" s="136"/>
      <c r="F12" s="136"/>
      <c r="H12" s="325"/>
      <c r="I12" s="330" t="s">
        <v>9</v>
      </c>
      <c r="J12" s="337"/>
      <c r="K12" s="334">
        <f>100%-K10</f>
        <v>0.47860000000000003</v>
      </c>
      <c r="L12" s="335">
        <v>9.5000000000000001E-2</v>
      </c>
      <c r="M12" s="334">
        <f>ROUND(K12*L12,4)</f>
        <v>4.5499999999999999E-2</v>
      </c>
      <c r="N12" s="332"/>
      <c r="P12" s="22" t="s">
        <v>99</v>
      </c>
      <c r="Q12" s="28"/>
      <c r="R12" s="119">
        <v>0.4415</v>
      </c>
      <c r="S12" s="119">
        <v>7.7499999999999999E-2</v>
      </c>
      <c r="T12" s="119">
        <f>ROUND(R12*S12,4)</f>
        <v>3.4200000000000001E-2</v>
      </c>
    </row>
    <row r="13" spans="1:30" ht="14.25" customHeight="1">
      <c r="A13" s="182">
        <v>3</v>
      </c>
      <c r="B13" s="22"/>
      <c r="C13" s="22" t="s">
        <v>101</v>
      </c>
      <c r="D13" s="22"/>
      <c r="E13" s="138">
        <f>ROUND(E9*E11,0)</f>
        <v>0</v>
      </c>
      <c r="F13" s="30"/>
      <c r="H13" s="325"/>
      <c r="I13" s="330"/>
      <c r="J13" s="337"/>
      <c r="K13" s="338"/>
      <c r="L13" s="339"/>
      <c r="M13" s="334"/>
      <c r="N13" s="329"/>
      <c r="Q13" s="85"/>
      <c r="R13" s="119"/>
      <c r="S13" s="119"/>
      <c r="T13" s="119"/>
    </row>
    <row r="14" spans="1:30" ht="14.25" customHeight="1" thickBot="1">
      <c r="A14" s="182"/>
      <c r="B14" s="22"/>
      <c r="C14" s="22"/>
      <c r="D14" s="22"/>
      <c r="E14" s="30"/>
      <c r="F14" s="30"/>
      <c r="H14" s="325"/>
      <c r="I14" s="330" t="s">
        <v>107</v>
      </c>
      <c r="J14" s="333"/>
      <c r="K14" s="340">
        <f>SUM(K10:K12)</f>
        <v>1</v>
      </c>
      <c r="L14" s="339"/>
      <c r="M14" s="340">
        <f>SUM(M10:M12)</f>
        <v>7.3969999999999994E-2</v>
      </c>
      <c r="N14" s="329"/>
      <c r="P14" s="204" t="s">
        <v>102</v>
      </c>
      <c r="Q14" s="205"/>
      <c r="R14" s="206">
        <v>3.39E-2</v>
      </c>
      <c r="S14" s="206">
        <v>7.0800000000000002E-2</v>
      </c>
      <c r="T14" s="206">
        <f>ROUND(R14*S14,4)</f>
        <v>2.3999999999999998E-3</v>
      </c>
    </row>
    <row r="15" spans="1:30" ht="14.25" customHeight="1" thickTop="1" thickBot="1">
      <c r="A15" s="182">
        <v>4</v>
      </c>
      <c r="B15" s="22"/>
      <c r="C15" s="22" t="s">
        <v>105</v>
      </c>
      <c r="D15" s="22"/>
      <c r="E15" s="185"/>
      <c r="F15" s="28"/>
      <c r="G15" s="128"/>
      <c r="H15" s="341"/>
      <c r="I15" s="342"/>
      <c r="J15" s="343"/>
      <c r="K15" s="344"/>
      <c r="L15" s="345"/>
      <c r="M15" s="344"/>
      <c r="N15" s="346"/>
      <c r="O15" s="114"/>
      <c r="Q15" s="85"/>
      <c r="R15" s="119"/>
      <c r="S15" s="119"/>
      <c r="T15" s="119"/>
      <c r="U15" s="195" t="s">
        <v>197</v>
      </c>
      <c r="V15" s="195" t="s">
        <v>198</v>
      </c>
      <c r="AD15" s="148"/>
    </row>
    <row r="16" spans="1:30" ht="14.25" customHeight="1">
      <c r="A16" s="182"/>
      <c r="B16" s="22"/>
      <c r="C16" s="22"/>
      <c r="D16" s="22"/>
      <c r="E16" s="22"/>
      <c r="F16" s="22"/>
      <c r="H16" s="139"/>
      <c r="N16" s="139"/>
      <c r="O16" s="115"/>
      <c r="P16" s="22" t="s">
        <v>103</v>
      </c>
      <c r="Q16" s="85"/>
      <c r="R16" s="119" t="e">
        <f>#REF!</f>
        <v>#REF!</v>
      </c>
      <c r="S16" s="119" t="e">
        <f>#REF!</f>
        <v>#REF!</v>
      </c>
      <c r="T16" s="119" t="e">
        <f>ROUND(R16*S16,4)</f>
        <v>#REF!</v>
      </c>
      <c r="U16" s="196" t="e">
        <f>SUM(T12:T16)</f>
        <v>#REF!</v>
      </c>
      <c r="V16" s="196" t="e">
        <f>T12+T16</f>
        <v>#REF!</v>
      </c>
    </row>
    <row r="17" spans="1:30" ht="14.25" customHeight="1">
      <c r="A17" s="182">
        <v>5</v>
      </c>
      <c r="B17" s="22"/>
      <c r="C17" s="22" t="s">
        <v>106</v>
      </c>
      <c r="D17" s="22"/>
      <c r="E17" s="30">
        <f>E13-E15</f>
        <v>0</v>
      </c>
      <c r="F17" s="30"/>
      <c r="G17" s="30"/>
      <c r="H17" s="432" t="s">
        <v>621</v>
      </c>
      <c r="J17" s="389"/>
      <c r="K17" s="388"/>
      <c r="L17" s="388"/>
      <c r="M17" s="388"/>
      <c r="N17" s="388"/>
      <c r="O17" s="388"/>
      <c r="Q17" s="85"/>
      <c r="R17" s="119"/>
      <c r="S17" s="119"/>
      <c r="T17" s="119"/>
      <c r="V17" s="116"/>
    </row>
    <row r="18" spans="1:30" ht="14.25" customHeight="1">
      <c r="A18" s="182"/>
      <c r="B18" s="22"/>
      <c r="C18" s="22"/>
      <c r="D18" s="22"/>
      <c r="E18" s="22"/>
      <c r="F18" s="22"/>
      <c r="H18" s="22" t="s">
        <v>622</v>
      </c>
      <c r="P18" s="22" t="s">
        <v>104</v>
      </c>
      <c r="Q18" s="85"/>
      <c r="R18" s="119"/>
      <c r="S18" s="119"/>
      <c r="T18" s="119">
        <v>0</v>
      </c>
    </row>
    <row r="19" spans="1:30" ht="14.25" customHeight="1">
      <c r="A19" s="182">
        <v>6</v>
      </c>
      <c r="B19" s="22"/>
      <c r="C19" s="22" t="s">
        <v>108</v>
      </c>
      <c r="D19" s="22"/>
      <c r="E19" s="197">
        <f>'CF '!E24</f>
        <v>0.62039200000000005</v>
      </c>
      <c r="F19" s="22"/>
      <c r="Q19" s="85"/>
      <c r="R19" s="119"/>
      <c r="S19" s="119"/>
      <c r="T19" s="119"/>
    </row>
    <row r="20" spans="1:30" ht="14.25" customHeight="1" thickBot="1">
      <c r="A20" s="182"/>
      <c r="B20" s="22"/>
      <c r="C20" s="22"/>
      <c r="D20" s="22"/>
      <c r="E20" s="22"/>
      <c r="F20" s="22"/>
      <c r="P20" s="22" t="s">
        <v>9</v>
      </c>
      <c r="Q20" s="85"/>
      <c r="R20" s="119">
        <f>K12</f>
        <v>0.47860000000000003</v>
      </c>
      <c r="S20" s="119">
        <f>L12</f>
        <v>9.5000000000000001E-2</v>
      </c>
      <c r="T20" s="119">
        <f>ROUND(R20*S20,4)</f>
        <v>4.5499999999999999E-2</v>
      </c>
    </row>
    <row r="21" spans="1:30" ht="14.25" customHeight="1" thickBot="1">
      <c r="A21" s="182">
        <v>7</v>
      </c>
      <c r="B21" s="22"/>
      <c r="C21" s="22" t="s">
        <v>109</v>
      </c>
      <c r="D21" s="22"/>
      <c r="E21" s="130">
        <f>ROUND(E17/E19,0)</f>
        <v>0</v>
      </c>
      <c r="F21" s="28"/>
      <c r="G21" s="30"/>
      <c r="Q21" s="85"/>
      <c r="R21" s="56"/>
      <c r="S21" s="56"/>
      <c r="T21" s="119"/>
    </row>
    <row r="22" spans="1:30" ht="14.25" customHeight="1">
      <c r="A22" s="182"/>
      <c r="B22" s="193"/>
      <c r="C22" s="22"/>
      <c r="D22" s="22"/>
      <c r="E22" s="22"/>
      <c r="F22" s="22"/>
      <c r="H22" s="112"/>
      <c r="P22" s="112"/>
      <c r="Q22" s="127"/>
      <c r="R22" s="351"/>
      <c r="S22" s="351"/>
      <c r="T22" s="352"/>
      <c r="U22" s="112"/>
      <c r="V22" s="112"/>
      <c r="W22" s="112"/>
      <c r="AD22" s="148"/>
    </row>
    <row r="23" spans="1:30" ht="14.25" customHeight="1">
      <c r="A23" s="182">
        <v>8</v>
      </c>
      <c r="B23" s="193"/>
      <c r="C23" s="22" t="s">
        <v>110</v>
      </c>
      <c r="D23" s="22"/>
      <c r="E23" s="28"/>
      <c r="F23" s="28"/>
      <c r="H23" s="112"/>
      <c r="P23" s="112"/>
      <c r="Q23" s="127"/>
      <c r="R23" s="351"/>
      <c r="S23" s="351"/>
      <c r="T23" s="352"/>
      <c r="U23" s="112"/>
      <c r="V23" s="112"/>
      <c r="W23" s="112"/>
    </row>
    <row r="24" spans="1:30" ht="14.25" customHeight="1">
      <c r="A24" s="182"/>
      <c r="B24" s="193"/>
      <c r="C24" s="22"/>
      <c r="D24" s="22"/>
      <c r="E24" s="22"/>
      <c r="F24" s="22"/>
      <c r="H24" s="353"/>
      <c r="P24" s="112"/>
      <c r="Q24" s="127"/>
      <c r="R24" s="351"/>
      <c r="S24" s="351"/>
      <c r="T24" s="352"/>
      <c r="U24" s="112"/>
      <c r="V24" s="112"/>
      <c r="W24" s="112"/>
    </row>
    <row r="25" spans="1:30" ht="14.25" customHeight="1" thickBot="1">
      <c r="A25" s="182">
        <v>9</v>
      </c>
      <c r="B25" s="193"/>
      <c r="C25" s="22" t="s">
        <v>111</v>
      </c>
      <c r="D25" s="22"/>
      <c r="E25" s="198" t="e">
        <f>ROUND(E21/E23,4)</f>
        <v>#DIV/0!</v>
      </c>
      <c r="F25" s="199"/>
      <c r="H25" s="112"/>
      <c r="P25" s="112"/>
      <c r="Q25" s="146"/>
      <c r="R25" s="352"/>
      <c r="S25" s="351"/>
      <c r="T25" s="352"/>
      <c r="U25" s="112"/>
      <c r="V25" s="112"/>
      <c r="W25" s="112"/>
    </row>
    <row r="26" spans="1:30" ht="14.25" customHeight="1" thickTop="1">
      <c r="E26" s="201"/>
      <c r="H26"/>
      <c r="I26"/>
      <c r="J26"/>
      <c r="K26"/>
      <c r="L26"/>
      <c r="M26"/>
      <c r="N26"/>
      <c r="O26"/>
      <c r="P26"/>
      <c r="Q26"/>
      <c r="R26"/>
      <c r="S26"/>
      <c r="T26"/>
      <c r="U26"/>
      <c r="V26"/>
      <c r="W26"/>
      <c r="X26"/>
    </row>
    <row r="27" spans="1:30" ht="14.25" customHeight="1">
      <c r="A27" s="201"/>
      <c r="B27" s="201"/>
      <c r="C27" s="201"/>
      <c r="D27" s="201"/>
      <c r="E27" s="201"/>
      <c r="F27" s="201"/>
      <c r="G27" s="24"/>
      <c r="H27"/>
      <c r="I27"/>
      <c r="J27"/>
      <c r="K27"/>
      <c r="L27"/>
      <c r="M27"/>
      <c r="N27"/>
      <c r="O27"/>
      <c r="P27"/>
      <c r="Q27"/>
      <c r="R27"/>
      <c r="S27"/>
      <c r="T27"/>
      <c r="U27"/>
      <c r="V27"/>
      <c r="W27"/>
      <c r="X27"/>
    </row>
    <row r="28" spans="1:30" ht="14.25" customHeight="1">
      <c r="A28" s="201"/>
      <c r="B28" s="201"/>
      <c r="C28" s="201"/>
      <c r="D28" s="201"/>
      <c r="E28" s="28"/>
      <c r="F28" s="201"/>
      <c r="G28" s="24"/>
      <c r="H28"/>
      <c r="I28"/>
      <c r="J28"/>
      <c r="K28"/>
      <c r="L28"/>
      <c r="M28"/>
      <c r="N28"/>
      <c r="O28"/>
      <c r="P28"/>
      <c r="Q28"/>
      <c r="R28"/>
      <c r="S28"/>
      <c r="T28"/>
      <c r="U28"/>
      <c r="V28"/>
      <c r="W28"/>
      <c r="X28"/>
    </row>
    <row r="29" spans="1:30" ht="14.25" customHeight="1">
      <c r="A29" s="201"/>
      <c r="B29" s="201"/>
      <c r="C29" s="201"/>
      <c r="D29" s="201"/>
      <c r="E29" s="202"/>
      <c r="F29" s="201"/>
      <c r="G29" s="24"/>
      <c r="H29"/>
      <c r="I29"/>
      <c r="J29"/>
      <c r="K29"/>
      <c r="L29"/>
      <c r="M29"/>
      <c r="N29"/>
      <c r="O29"/>
      <c r="P29"/>
      <c r="Q29"/>
      <c r="R29"/>
      <c r="S29"/>
      <c r="T29"/>
      <c r="U29"/>
      <c r="V29"/>
      <c r="W29"/>
      <c r="X29"/>
    </row>
    <row r="30" spans="1:30" ht="14.25" customHeight="1">
      <c r="A30" s="201"/>
      <c r="B30" s="201"/>
      <c r="C30" s="201"/>
      <c r="D30" s="201"/>
      <c r="E30" s="202"/>
      <c r="F30" s="201"/>
      <c r="G30" s="24"/>
      <c r="H30"/>
      <c r="I30"/>
      <c r="J30"/>
      <c r="K30"/>
      <c r="L30"/>
      <c r="M30"/>
      <c r="N30"/>
      <c r="O30"/>
      <c r="P30"/>
      <c r="Q30"/>
      <c r="R30"/>
      <c r="S30"/>
      <c r="T30"/>
      <c r="U30"/>
      <c r="V30"/>
      <c r="W30"/>
      <c r="X30"/>
    </row>
    <row r="31" spans="1:30" ht="14.25" customHeight="1">
      <c r="A31" s="201"/>
      <c r="B31" s="368" t="s">
        <v>551</v>
      </c>
      <c r="C31" s="368"/>
      <c r="E31" s="369" t="s">
        <v>62</v>
      </c>
      <c r="F31" s="201"/>
      <c r="G31" s="24"/>
      <c r="H31"/>
      <c r="I31"/>
      <c r="J31"/>
      <c r="K31"/>
      <c r="L31"/>
      <c r="M31"/>
      <c r="N31"/>
      <c r="O31"/>
      <c r="P31"/>
      <c r="Q31"/>
      <c r="R31"/>
      <c r="S31"/>
      <c r="T31"/>
      <c r="U31"/>
      <c r="V31"/>
      <c r="W31"/>
      <c r="X31"/>
    </row>
    <row r="32" spans="1:30" ht="14.25" customHeight="1">
      <c r="A32" s="201"/>
      <c r="B32" s="368" t="s">
        <v>552</v>
      </c>
      <c r="C32" s="368"/>
      <c r="E32" s="369" t="s">
        <v>548</v>
      </c>
      <c r="F32" s="201"/>
      <c r="G32" s="24"/>
      <c r="H32"/>
      <c r="I32"/>
      <c r="J32"/>
      <c r="K32"/>
      <c r="L32"/>
      <c r="M32"/>
      <c r="N32"/>
      <c r="O32"/>
      <c r="P32"/>
      <c r="Q32"/>
      <c r="R32"/>
      <c r="S32"/>
      <c r="T32"/>
      <c r="U32"/>
      <c r="V32"/>
      <c r="W32"/>
      <c r="X32"/>
    </row>
    <row r="33" spans="1:24" ht="14.25" customHeight="1">
      <c r="A33" s="201"/>
      <c r="B33" s="376" t="s">
        <v>553</v>
      </c>
      <c r="C33" s="368"/>
      <c r="E33" s="370"/>
      <c r="F33" s="201"/>
      <c r="G33" s="24"/>
      <c r="H33"/>
      <c r="I33"/>
      <c r="J33"/>
      <c r="K33"/>
      <c r="L33"/>
      <c r="M33"/>
      <c r="N33"/>
      <c r="O33"/>
      <c r="P33"/>
      <c r="Q33"/>
      <c r="R33"/>
      <c r="S33"/>
      <c r="T33"/>
      <c r="U33"/>
      <c r="V33"/>
      <c r="W33"/>
      <c r="X33"/>
    </row>
    <row r="34" spans="1:24" ht="14.25" customHeight="1">
      <c r="A34" s="201"/>
      <c r="B34" s="368" t="s">
        <v>554</v>
      </c>
      <c r="C34" s="368"/>
      <c r="E34" s="371">
        <f>E9</f>
        <v>0</v>
      </c>
      <c r="F34" s="201"/>
      <c r="G34" s="24"/>
      <c r="H34"/>
      <c r="I34"/>
      <c r="J34"/>
      <c r="K34"/>
      <c r="L34"/>
      <c r="M34"/>
      <c r="N34"/>
      <c r="O34"/>
      <c r="P34"/>
      <c r="Q34"/>
      <c r="R34"/>
      <c r="S34"/>
      <c r="T34"/>
      <c r="U34"/>
      <c r="V34"/>
      <c r="W34"/>
      <c r="X34"/>
    </row>
    <row r="35" spans="1:24" ht="14.25" customHeight="1">
      <c r="A35" s="201"/>
      <c r="B35" s="368" t="s">
        <v>555</v>
      </c>
      <c r="C35" s="368"/>
      <c r="E35" s="372">
        <f>K12</f>
        <v>0.47860000000000003</v>
      </c>
      <c r="F35" s="201"/>
      <c r="G35" s="24"/>
      <c r="H35"/>
      <c r="I35"/>
      <c r="J35"/>
      <c r="K35"/>
      <c r="L35"/>
      <c r="M35"/>
      <c r="N35"/>
      <c r="O35"/>
      <c r="P35"/>
      <c r="Q35"/>
      <c r="R35"/>
      <c r="S35"/>
      <c r="T35"/>
      <c r="U35"/>
      <c r="V35"/>
      <c r="W35"/>
      <c r="X35"/>
    </row>
    <row r="36" spans="1:24" ht="14.25" customHeight="1">
      <c r="A36" s="201"/>
      <c r="B36" s="368" t="s">
        <v>556</v>
      </c>
      <c r="C36" s="368"/>
      <c r="E36" s="373">
        <f>ROUND(E34*E35,0)</f>
        <v>0</v>
      </c>
      <c r="F36" s="201"/>
      <c r="G36" s="24"/>
      <c r="H36"/>
      <c r="I36"/>
      <c r="J36"/>
      <c r="K36"/>
      <c r="L36"/>
      <c r="M36"/>
      <c r="N36"/>
      <c r="O36"/>
      <c r="P36"/>
      <c r="Q36"/>
      <c r="R36"/>
      <c r="S36"/>
      <c r="T36"/>
      <c r="U36"/>
      <c r="V36"/>
      <c r="W36"/>
      <c r="X36"/>
    </row>
    <row r="37" spans="1:24" ht="14.25" customHeight="1">
      <c r="A37" s="201"/>
      <c r="B37" s="368" t="s">
        <v>557</v>
      </c>
      <c r="C37" s="368"/>
      <c r="E37" s="374"/>
      <c r="F37" s="201"/>
      <c r="G37" s="24"/>
      <c r="H37"/>
      <c r="I37"/>
      <c r="J37"/>
      <c r="K37"/>
      <c r="L37"/>
      <c r="M37"/>
      <c r="N37"/>
      <c r="O37"/>
      <c r="P37"/>
      <c r="Q37"/>
      <c r="R37"/>
      <c r="S37"/>
      <c r="T37"/>
      <c r="U37"/>
      <c r="V37"/>
      <c r="W37"/>
      <c r="X37"/>
    </row>
    <row r="38" spans="1:24" ht="14.25" customHeight="1">
      <c r="A38" s="201"/>
      <c r="B38" s="368"/>
      <c r="C38" s="368" t="s">
        <v>549</v>
      </c>
      <c r="E38" s="371">
        <f>E13</f>
        <v>0</v>
      </c>
      <c r="F38" s="201"/>
      <c r="G38" s="24"/>
      <c r="H38"/>
      <c r="I38"/>
      <c r="J38"/>
      <c r="K38"/>
      <c r="L38"/>
      <c r="M38"/>
      <c r="N38"/>
      <c r="O38"/>
      <c r="P38"/>
      <c r="Q38"/>
      <c r="R38"/>
      <c r="S38"/>
      <c r="T38"/>
      <c r="U38"/>
      <c r="V38"/>
      <c r="W38"/>
      <c r="X38"/>
    </row>
    <row r="39" spans="1:24" ht="14.25" customHeight="1">
      <c r="A39" s="201"/>
      <c r="B39" s="368"/>
      <c r="C39" s="368" t="s">
        <v>550</v>
      </c>
      <c r="E39" s="378">
        <f>'DEBT CALC'!G41*-1</f>
        <v>-43095.209819999996</v>
      </c>
      <c r="F39" s="201"/>
      <c r="G39" s="24"/>
      <c r="H39"/>
      <c r="I39"/>
      <c r="J39"/>
      <c r="K39"/>
      <c r="L39"/>
      <c r="M39"/>
      <c r="N39"/>
      <c r="O39"/>
      <c r="P39"/>
      <c r="Q39"/>
      <c r="R39"/>
      <c r="S39"/>
      <c r="T39"/>
      <c r="U39"/>
      <c r="V39"/>
      <c r="W39"/>
      <c r="X39"/>
    </row>
    <row r="40" spans="1:24" ht="14.25" customHeight="1">
      <c r="A40" s="201"/>
      <c r="B40" s="368" t="s">
        <v>558</v>
      </c>
      <c r="C40" s="368"/>
      <c r="E40" s="375">
        <f>SUM(E38:E39)</f>
        <v>-43095.209819999996</v>
      </c>
      <c r="F40" s="201"/>
      <c r="G40" s="24"/>
      <c r="H40"/>
      <c r="I40"/>
      <c r="J40"/>
      <c r="K40"/>
      <c r="L40"/>
      <c r="M40"/>
      <c r="N40"/>
      <c r="O40"/>
      <c r="P40"/>
      <c r="Q40"/>
      <c r="R40"/>
      <c r="S40"/>
      <c r="T40"/>
      <c r="U40"/>
      <c r="V40"/>
      <c r="W40"/>
      <c r="X40"/>
    </row>
    <row r="41" spans="1:24" ht="14.25" customHeight="1" thickBot="1">
      <c r="A41" s="201"/>
      <c r="B41" s="368" t="s">
        <v>552</v>
      </c>
      <c r="C41" s="368"/>
      <c r="E41" s="377" t="e">
        <f>ROUND(E40/E36,5)</f>
        <v>#DIV/0!</v>
      </c>
      <c r="F41" s="201"/>
      <c r="G41" s="24"/>
      <c r="H41"/>
      <c r="I41"/>
      <c r="J41"/>
      <c r="K41"/>
      <c r="L41"/>
      <c r="M41"/>
      <c r="N41"/>
      <c r="O41"/>
      <c r="P41"/>
      <c r="Q41"/>
      <c r="R41"/>
      <c r="S41"/>
      <c r="T41"/>
      <c r="U41"/>
      <c r="V41"/>
      <c r="W41"/>
      <c r="X41"/>
    </row>
    <row r="42" spans="1:24" ht="14.25" customHeight="1" thickTop="1">
      <c r="A42" s="201"/>
      <c r="B42" s="201"/>
      <c r="C42" s="201"/>
      <c r="D42" s="201"/>
      <c r="E42" s="201"/>
      <c r="F42" s="201"/>
      <c r="G42" s="24"/>
      <c r="H42"/>
      <c r="I42"/>
      <c r="J42"/>
      <c r="K42"/>
      <c r="L42"/>
      <c r="M42"/>
      <c r="N42"/>
      <c r="O42"/>
      <c r="P42"/>
      <c r="Q42"/>
      <c r="R42"/>
      <c r="S42"/>
      <c r="T42"/>
      <c r="U42"/>
      <c r="V42"/>
      <c r="W42"/>
      <c r="X42"/>
    </row>
    <row r="43" spans="1:24" ht="14.25" customHeight="1">
      <c r="H43"/>
      <c r="I43"/>
      <c r="J43"/>
      <c r="K43"/>
      <c r="L43"/>
      <c r="M43"/>
      <c r="N43"/>
      <c r="O43"/>
      <c r="P43"/>
      <c r="Q43"/>
      <c r="R43"/>
      <c r="S43"/>
      <c r="T43"/>
      <c r="U43"/>
      <c r="V43"/>
      <c r="W43"/>
      <c r="X43"/>
    </row>
    <row r="44" spans="1:24" ht="14.25" customHeight="1">
      <c r="H44" s="112"/>
      <c r="I44" s="112"/>
      <c r="J44" s="112"/>
      <c r="K44" s="112"/>
      <c r="L44" s="135"/>
      <c r="M44" s="112"/>
      <c r="N44" s="112"/>
      <c r="O44" s="112"/>
      <c r="P44" s="112"/>
      <c r="Q44" s="112"/>
      <c r="R44" s="112"/>
      <c r="S44" s="112"/>
      <c r="T44" s="112"/>
      <c r="U44" s="112"/>
      <c r="V44" s="112"/>
      <c r="W44" s="112"/>
    </row>
    <row r="45" spans="1:24" ht="14.25" customHeight="1">
      <c r="H45" s="112"/>
      <c r="I45" s="112"/>
      <c r="J45" s="112"/>
      <c r="K45" s="112"/>
      <c r="L45" s="135"/>
      <c r="M45" s="152"/>
      <c r="N45" s="112"/>
      <c r="O45" s="112"/>
      <c r="P45" s="112"/>
      <c r="Q45" s="112"/>
      <c r="R45" s="112"/>
      <c r="S45" s="112"/>
      <c r="T45" s="112"/>
      <c r="U45" s="112"/>
      <c r="V45" s="112"/>
      <c r="W45" s="112"/>
    </row>
    <row r="46" spans="1:24" ht="14.25" customHeight="1">
      <c r="H46" s="112"/>
      <c r="I46" s="112"/>
      <c r="J46" s="112"/>
      <c r="K46" s="112"/>
      <c r="L46" s="135"/>
      <c r="M46" s="152"/>
      <c r="N46" s="112"/>
      <c r="O46" s="112"/>
      <c r="P46" s="112"/>
      <c r="Q46" s="112"/>
      <c r="R46" s="112"/>
      <c r="S46" s="112"/>
      <c r="T46" s="112"/>
      <c r="U46" s="112"/>
      <c r="V46" s="112"/>
      <c r="W46" s="112"/>
    </row>
    <row r="47" spans="1:24" ht="14.25" customHeight="1">
      <c r="H47" s="112"/>
      <c r="I47" s="112"/>
      <c r="J47" s="112"/>
      <c r="K47" s="112"/>
      <c r="L47" s="135"/>
      <c r="M47" s="112"/>
      <c r="N47" s="112"/>
      <c r="O47" s="112"/>
      <c r="P47" s="112"/>
      <c r="Q47" s="112"/>
      <c r="R47" s="112"/>
      <c r="S47" s="112"/>
      <c r="T47" s="112"/>
      <c r="U47" s="112"/>
      <c r="V47" s="112"/>
      <c r="W47" s="112"/>
    </row>
    <row r="48" spans="1:24" ht="14.25" customHeight="1">
      <c r="H48" s="112"/>
      <c r="I48" s="112"/>
      <c r="J48" s="112"/>
      <c r="K48" s="112"/>
      <c r="L48" s="135"/>
      <c r="M48" s="112"/>
      <c r="N48" s="112"/>
      <c r="O48" s="112"/>
      <c r="P48" s="112"/>
      <c r="Q48" s="112"/>
      <c r="R48" s="112"/>
      <c r="S48" s="112"/>
      <c r="T48" s="112"/>
      <c r="U48" s="112"/>
      <c r="V48" s="112"/>
      <c r="W48" s="112"/>
    </row>
    <row r="49" spans="7:23" ht="14.25" customHeight="1">
      <c r="H49" s="112"/>
      <c r="I49" s="112"/>
      <c r="J49" s="112"/>
      <c r="K49" s="112"/>
      <c r="L49" s="135"/>
      <c r="M49" s="112"/>
      <c r="N49" s="112"/>
      <c r="O49" s="112"/>
      <c r="P49" s="112"/>
      <c r="Q49" s="112"/>
      <c r="R49" s="112"/>
      <c r="S49" s="112"/>
      <c r="T49" s="112"/>
      <c r="U49" s="112"/>
      <c r="V49" s="112"/>
      <c r="W49" s="112"/>
    </row>
    <row r="50" spans="7:23" ht="14.25" customHeight="1">
      <c r="G50" s="118"/>
      <c r="H50" s="112"/>
      <c r="I50" s="135"/>
      <c r="J50" s="112"/>
      <c r="K50" s="112"/>
      <c r="L50" s="135"/>
      <c r="M50" s="188"/>
      <c r="N50" s="112"/>
      <c r="O50" s="112"/>
      <c r="P50" s="112"/>
      <c r="Q50" s="188"/>
      <c r="R50" s="112"/>
      <c r="S50" s="112"/>
      <c r="T50" s="112"/>
      <c r="U50" s="112"/>
      <c r="V50" s="112"/>
      <c r="W50" s="112"/>
    </row>
    <row r="51" spans="7:23" ht="14.25" customHeight="1">
      <c r="H51" s="112"/>
      <c r="I51" s="112"/>
      <c r="J51" s="112"/>
      <c r="K51" s="112"/>
      <c r="L51" s="135"/>
      <c r="M51" s="152"/>
      <c r="N51" s="112"/>
      <c r="O51" s="112"/>
      <c r="P51" s="112"/>
      <c r="Q51" s="146"/>
      <c r="R51" s="112"/>
      <c r="S51" s="112"/>
      <c r="T51" s="112"/>
      <c r="U51" s="112"/>
      <c r="V51" s="112"/>
      <c r="W51" s="112"/>
    </row>
    <row r="52" spans="7:23" ht="29.25" customHeight="1">
      <c r="H52" s="112"/>
      <c r="I52" s="470"/>
      <c r="J52" s="470"/>
      <c r="K52" s="470"/>
      <c r="L52" s="470"/>
      <c r="M52" s="354"/>
      <c r="N52" s="112"/>
      <c r="O52" s="112"/>
      <c r="P52" s="112"/>
      <c r="Q52" s="352"/>
      <c r="R52" s="112"/>
      <c r="S52" s="112"/>
      <c r="T52" s="112"/>
      <c r="U52" s="112"/>
      <c r="V52" s="112"/>
      <c r="W52" s="112"/>
    </row>
    <row r="53" spans="7:23" ht="14.25" customHeight="1">
      <c r="H53" s="112"/>
      <c r="I53" s="112"/>
      <c r="J53" s="112"/>
      <c r="K53" s="112"/>
      <c r="L53" s="135"/>
      <c r="M53" s="112"/>
      <c r="N53" s="112"/>
      <c r="O53" s="112"/>
      <c r="P53" s="112"/>
      <c r="Q53" s="351"/>
      <c r="R53" s="112"/>
      <c r="S53" s="112"/>
      <c r="T53" s="112"/>
      <c r="U53" s="112"/>
      <c r="V53" s="112"/>
      <c r="W53" s="112"/>
    </row>
    <row r="54" spans="7:23" ht="14.25" customHeight="1">
      <c r="H54" s="112"/>
      <c r="I54" s="112"/>
      <c r="J54" s="112"/>
      <c r="K54" s="112"/>
      <c r="L54" s="135"/>
      <c r="M54" s="355"/>
      <c r="N54" s="112"/>
      <c r="O54" s="112"/>
      <c r="P54" s="112"/>
      <c r="Q54" s="146"/>
      <c r="R54" s="112"/>
      <c r="S54" s="112"/>
      <c r="T54" s="112"/>
      <c r="U54" s="112"/>
      <c r="V54" s="112"/>
      <c r="W54" s="112"/>
    </row>
    <row r="55" spans="7:23" ht="14.25" customHeight="1">
      <c r="H55" s="112"/>
      <c r="I55" s="112"/>
      <c r="J55" s="112"/>
      <c r="K55" s="112"/>
      <c r="L55" s="135"/>
      <c r="M55" s="112"/>
      <c r="N55" s="112"/>
      <c r="O55" s="112"/>
      <c r="P55" s="112"/>
      <c r="Q55" s="146"/>
      <c r="R55" s="112"/>
      <c r="S55" s="112"/>
      <c r="T55" s="112"/>
      <c r="U55" s="112"/>
      <c r="V55" s="112"/>
      <c r="W55" s="112"/>
    </row>
    <row r="56" spans="7:23" ht="14.25" customHeight="1">
      <c r="H56" s="112"/>
      <c r="I56" s="112"/>
      <c r="J56" s="112"/>
      <c r="K56" s="112"/>
      <c r="L56" s="135"/>
      <c r="M56" s="356"/>
      <c r="N56" s="112"/>
      <c r="O56" s="112"/>
      <c r="P56" s="112"/>
      <c r="Q56" s="146"/>
      <c r="R56" s="112"/>
      <c r="S56" s="112"/>
      <c r="T56" s="112"/>
      <c r="U56" s="112"/>
      <c r="V56" s="112"/>
      <c r="W56" s="112"/>
    </row>
    <row r="57" spans="7:23" ht="14.25" customHeight="1">
      <c r="H57" s="112"/>
      <c r="I57" s="112"/>
      <c r="J57" s="112"/>
      <c r="K57" s="112"/>
      <c r="L57" s="135"/>
      <c r="M57" s="112"/>
      <c r="N57" s="112"/>
      <c r="O57" s="112"/>
      <c r="P57" s="112"/>
      <c r="Q57" s="112"/>
      <c r="R57" s="112"/>
      <c r="S57" s="112"/>
      <c r="T57" s="112"/>
      <c r="U57" s="112"/>
      <c r="V57" s="112"/>
      <c r="W57" s="112"/>
    </row>
    <row r="58" spans="7:23" ht="14.25" customHeight="1">
      <c r="H58" s="112"/>
      <c r="I58" s="112"/>
      <c r="J58" s="112"/>
      <c r="K58" s="112"/>
      <c r="L58" s="135"/>
      <c r="M58" s="112"/>
      <c r="N58" s="112"/>
      <c r="O58" s="112"/>
      <c r="P58" s="112"/>
      <c r="Q58" s="146"/>
      <c r="R58" s="112"/>
      <c r="S58" s="112"/>
      <c r="T58" s="112"/>
      <c r="U58" s="112"/>
      <c r="V58" s="112"/>
      <c r="W58" s="112"/>
    </row>
    <row r="59" spans="7:23" ht="14.25" customHeight="1">
      <c r="H59" s="112"/>
      <c r="I59" s="135"/>
      <c r="J59" s="112"/>
      <c r="K59" s="112"/>
      <c r="L59" s="135"/>
      <c r="M59" s="188"/>
      <c r="N59" s="112"/>
      <c r="O59" s="112"/>
      <c r="P59" s="112"/>
      <c r="Q59" s="112"/>
      <c r="R59" s="112"/>
      <c r="S59" s="112"/>
      <c r="T59" s="112"/>
      <c r="U59" s="112"/>
      <c r="V59" s="112"/>
      <c r="W59" s="112"/>
    </row>
    <row r="60" spans="7:23" ht="14.25" customHeight="1">
      <c r="H60" s="112"/>
      <c r="I60" s="357"/>
      <c r="J60" s="112"/>
      <c r="K60" s="112"/>
      <c r="L60" s="135"/>
      <c r="M60" s="152"/>
      <c r="N60" s="112"/>
      <c r="O60" s="112"/>
      <c r="P60" s="112"/>
      <c r="Q60" s="355"/>
      <c r="R60" s="112"/>
      <c r="S60" s="112"/>
      <c r="T60" s="112"/>
      <c r="U60" s="112"/>
      <c r="V60" s="112"/>
      <c r="W60" s="112"/>
    </row>
    <row r="61" spans="7:23" ht="14.25" customHeight="1">
      <c r="H61" s="112"/>
      <c r="I61" s="112"/>
      <c r="J61" s="112"/>
      <c r="K61" s="112"/>
      <c r="L61" s="135"/>
      <c r="M61" s="112"/>
      <c r="N61" s="112"/>
      <c r="O61" s="112"/>
      <c r="P61" s="112"/>
      <c r="Q61" s="112"/>
      <c r="R61" s="112"/>
      <c r="S61" s="112"/>
      <c r="T61" s="112"/>
      <c r="U61" s="112"/>
      <c r="V61" s="112"/>
      <c r="W61" s="112"/>
    </row>
    <row r="62" spans="7:23" ht="14.25" customHeight="1">
      <c r="H62" s="112"/>
      <c r="I62" s="112"/>
      <c r="J62" s="112"/>
      <c r="K62" s="112"/>
      <c r="L62" s="135"/>
      <c r="M62" s="151"/>
      <c r="N62" s="112"/>
      <c r="O62" s="112"/>
      <c r="P62" s="112"/>
      <c r="Q62" s="146"/>
      <c r="R62" s="112"/>
      <c r="S62" s="112"/>
      <c r="T62" s="112"/>
      <c r="U62" s="112"/>
      <c r="V62" s="112"/>
      <c r="W62" s="112"/>
    </row>
    <row r="63" spans="7:23" ht="14.25" customHeight="1">
      <c r="H63" s="112"/>
      <c r="I63" s="112"/>
      <c r="J63" s="112"/>
      <c r="K63" s="112"/>
      <c r="L63" s="135"/>
      <c r="M63" s="112"/>
      <c r="N63" s="112"/>
      <c r="O63" s="112"/>
      <c r="P63" s="112"/>
      <c r="Q63" s="112"/>
      <c r="R63" s="112"/>
      <c r="S63" s="112"/>
      <c r="T63" s="112"/>
      <c r="U63" s="112"/>
      <c r="V63" s="112"/>
      <c r="W63" s="112"/>
    </row>
    <row r="64" spans="7:23" ht="14.25" customHeight="1">
      <c r="H64" s="112"/>
      <c r="I64" s="357"/>
      <c r="J64" s="112"/>
      <c r="K64" s="112"/>
      <c r="L64" s="135"/>
      <c r="M64" s="151"/>
      <c r="N64" s="112"/>
      <c r="O64" s="112"/>
      <c r="P64" s="112"/>
      <c r="Q64" s="146"/>
      <c r="R64" s="112"/>
      <c r="S64" s="112"/>
      <c r="T64" s="112"/>
      <c r="U64" s="112"/>
      <c r="V64" s="112"/>
      <c r="W64" s="112"/>
    </row>
    <row r="65" spans="8:23" ht="14.25" customHeight="1">
      <c r="H65" s="112"/>
      <c r="I65" s="357"/>
      <c r="J65" s="112"/>
      <c r="K65" s="112"/>
      <c r="L65" s="135"/>
      <c r="M65" s="112"/>
      <c r="N65" s="112"/>
      <c r="O65" s="112"/>
      <c r="P65" s="112"/>
      <c r="Q65" s="112"/>
      <c r="R65" s="112"/>
      <c r="S65" s="112"/>
      <c r="T65" s="112"/>
      <c r="U65" s="112"/>
      <c r="V65" s="112"/>
      <c r="W65" s="112"/>
    </row>
    <row r="66" spans="8:23" ht="14.25" customHeight="1">
      <c r="H66" s="112"/>
      <c r="I66" s="112"/>
      <c r="J66" s="112"/>
      <c r="K66" s="112"/>
      <c r="L66" s="135"/>
      <c r="M66" s="112"/>
      <c r="N66" s="112"/>
      <c r="O66" s="112"/>
      <c r="P66" s="112"/>
      <c r="Q66" s="352"/>
      <c r="R66" s="112"/>
      <c r="S66" s="112"/>
      <c r="T66" s="112"/>
      <c r="U66" s="112"/>
      <c r="V66" s="112"/>
      <c r="W66" s="112"/>
    </row>
    <row r="67" spans="8:23" ht="14.25" customHeight="1">
      <c r="H67" s="112"/>
      <c r="I67" s="357"/>
      <c r="J67" s="112"/>
      <c r="K67" s="112"/>
      <c r="L67" s="135"/>
      <c r="M67" s="358"/>
      <c r="N67" s="112"/>
      <c r="O67" s="112"/>
      <c r="P67" s="112"/>
      <c r="Q67" s="112"/>
      <c r="R67" s="112"/>
      <c r="S67" s="112"/>
      <c r="T67" s="112"/>
      <c r="U67" s="112"/>
      <c r="V67" s="112"/>
      <c r="W67" s="112"/>
    </row>
    <row r="68" spans="8:23" ht="14.25" customHeight="1">
      <c r="H68" s="112"/>
      <c r="I68" s="112"/>
      <c r="J68" s="112"/>
      <c r="K68" s="112"/>
      <c r="L68" s="135"/>
      <c r="M68" s="112"/>
      <c r="N68" s="112"/>
      <c r="O68" s="112"/>
      <c r="P68" s="112"/>
      <c r="Q68" s="112"/>
      <c r="R68" s="112"/>
      <c r="S68" s="112"/>
      <c r="T68" s="112"/>
      <c r="U68" s="112"/>
      <c r="V68" s="112"/>
      <c r="W68" s="112"/>
    </row>
    <row r="69" spans="8:23" ht="14.25" customHeight="1">
      <c r="H69" s="112"/>
      <c r="I69" s="112"/>
      <c r="J69" s="112"/>
      <c r="K69" s="112"/>
      <c r="L69" s="135"/>
      <c r="M69" s="112"/>
      <c r="N69" s="112"/>
      <c r="O69" s="357"/>
      <c r="P69" s="112"/>
      <c r="Q69" s="112"/>
      <c r="R69" s="112"/>
      <c r="S69" s="112"/>
      <c r="T69" s="112"/>
      <c r="U69" s="112"/>
      <c r="V69" s="112"/>
      <c r="W69" s="112"/>
    </row>
    <row r="70" spans="8:23" ht="14.25" customHeight="1">
      <c r="H70" s="112"/>
      <c r="I70" s="112"/>
      <c r="J70" s="112"/>
      <c r="K70" s="112"/>
      <c r="L70" s="135"/>
      <c r="M70" s="112"/>
      <c r="N70" s="112"/>
      <c r="O70" s="357"/>
      <c r="P70" s="112"/>
      <c r="Q70" s="112"/>
      <c r="R70" s="112"/>
      <c r="S70" s="112"/>
      <c r="T70" s="112"/>
      <c r="U70" s="112"/>
      <c r="V70" s="112"/>
      <c r="W70" s="112"/>
    </row>
    <row r="71" spans="8:23" ht="14.25" customHeight="1">
      <c r="H71" s="112"/>
      <c r="I71" s="112"/>
      <c r="J71" s="112"/>
      <c r="K71" s="112"/>
      <c r="L71" s="135"/>
      <c r="M71" s="112"/>
      <c r="N71" s="112"/>
      <c r="O71" s="357"/>
      <c r="P71" s="112"/>
      <c r="Q71" s="112"/>
      <c r="R71" s="112"/>
      <c r="S71" s="112"/>
      <c r="T71" s="112"/>
      <c r="U71" s="112"/>
      <c r="V71" s="112"/>
      <c r="W71" s="112"/>
    </row>
    <row r="72" spans="8:23" ht="14.25" customHeight="1">
      <c r="H72" s="112"/>
      <c r="I72" s="112"/>
      <c r="J72" s="112"/>
      <c r="K72" s="112"/>
      <c r="L72" s="135"/>
      <c r="M72" s="112"/>
      <c r="N72" s="112"/>
      <c r="O72" s="357"/>
      <c r="P72" s="112"/>
      <c r="Q72" s="112"/>
      <c r="R72" s="112"/>
      <c r="S72" s="112"/>
      <c r="T72" s="112"/>
      <c r="U72" s="112"/>
      <c r="V72" s="112"/>
      <c r="W72" s="112"/>
    </row>
    <row r="73" spans="8:23" ht="14.25" customHeight="1">
      <c r="H73" s="112"/>
      <c r="I73" s="112"/>
      <c r="J73" s="112"/>
      <c r="K73" s="112"/>
      <c r="L73" s="135"/>
      <c r="M73" s="112"/>
      <c r="N73" s="112"/>
      <c r="O73" s="357"/>
      <c r="P73" s="112"/>
      <c r="Q73" s="112"/>
      <c r="R73" s="112"/>
      <c r="S73" s="112"/>
      <c r="T73" s="112"/>
      <c r="U73" s="112"/>
      <c r="V73" s="112"/>
      <c r="W73" s="112"/>
    </row>
    <row r="74" spans="8:23" ht="14.25" customHeight="1">
      <c r="H74" s="112"/>
      <c r="I74" s="112"/>
      <c r="J74" s="112"/>
      <c r="K74" s="112"/>
      <c r="L74" s="135"/>
      <c r="M74" s="112"/>
      <c r="N74" s="112"/>
      <c r="O74" s="357"/>
      <c r="P74" s="112"/>
      <c r="Q74" s="112"/>
      <c r="R74" s="112"/>
      <c r="S74" s="112"/>
      <c r="T74" s="112"/>
      <c r="U74" s="112"/>
      <c r="V74" s="112"/>
      <c r="W74" s="112"/>
    </row>
    <row r="75" spans="8:23" ht="14.25" customHeight="1">
      <c r="H75" s="112"/>
      <c r="I75" s="112"/>
      <c r="J75" s="112"/>
      <c r="K75" s="112"/>
      <c r="L75" s="135"/>
      <c r="M75" s="112"/>
      <c r="N75" s="112"/>
      <c r="O75" s="357"/>
      <c r="P75" s="112"/>
      <c r="Q75" s="112"/>
      <c r="R75" s="112"/>
      <c r="S75" s="112"/>
      <c r="T75" s="112"/>
      <c r="U75" s="112"/>
      <c r="V75" s="112"/>
      <c r="W75" s="112"/>
    </row>
    <row r="76" spans="8:23" ht="14.25" customHeight="1">
      <c r="H76" s="112"/>
      <c r="I76" s="112"/>
      <c r="J76" s="112"/>
      <c r="K76" s="112"/>
      <c r="L76" s="135"/>
      <c r="M76" s="112"/>
      <c r="N76" s="112"/>
      <c r="O76" s="357"/>
      <c r="P76" s="112"/>
      <c r="Q76" s="112"/>
      <c r="R76" s="112"/>
      <c r="S76" s="112"/>
      <c r="T76" s="112"/>
      <c r="U76" s="112"/>
      <c r="V76" s="112"/>
      <c r="W76" s="112"/>
    </row>
    <row r="77" spans="8:23" ht="14.25" customHeight="1">
      <c r="H77" s="112"/>
      <c r="I77" s="112"/>
      <c r="J77" s="112"/>
      <c r="K77" s="112"/>
      <c r="L77" s="135"/>
      <c r="M77" s="112"/>
      <c r="N77" s="112"/>
      <c r="O77" s="357"/>
      <c r="P77" s="112"/>
      <c r="Q77" s="112"/>
      <c r="R77" s="112"/>
      <c r="S77" s="112"/>
      <c r="T77" s="112"/>
      <c r="U77" s="112"/>
      <c r="V77" s="112"/>
      <c r="W77" s="112"/>
    </row>
    <row r="78" spans="8:23" ht="14.25" customHeight="1">
      <c r="H78" s="112"/>
      <c r="I78" s="112"/>
      <c r="J78" s="112"/>
      <c r="K78" s="112"/>
      <c r="L78" s="135"/>
      <c r="M78" s="112"/>
      <c r="N78" s="112"/>
      <c r="O78" s="357"/>
      <c r="P78" s="112"/>
      <c r="Q78" s="112"/>
      <c r="R78" s="112"/>
      <c r="S78" s="112"/>
      <c r="T78" s="112"/>
      <c r="U78" s="112"/>
      <c r="V78" s="112"/>
      <c r="W78" s="112"/>
    </row>
    <row r="79" spans="8:23" ht="14.25" customHeight="1">
      <c r="H79" s="112"/>
      <c r="I79" s="112"/>
      <c r="J79" s="112"/>
      <c r="K79" s="112"/>
      <c r="L79" s="135"/>
      <c r="M79" s="112"/>
      <c r="N79" s="112"/>
      <c r="O79" s="112"/>
      <c r="P79" s="112"/>
      <c r="Q79" s="112"/>
      <c r="R79" s="112"/>
      <c r="S79" s="112"/>
      <c r="T79" s="112"/>
      <c r="U79" s="112"/>
      <c r="V79" s="112"/>
      <c r="W79" s="112"/>
    </row>
    <row r="80" spans="8:23" ht="14.25" customHeight="1">
      <c r="H80" s="112"/>
      <c r="I80" s="112"/>
      <c r="J80" s="112"/>
      <c r="K80" s="112"/>
      <c r="L80" s="135"/>
      <c r="M80" s="112"/>
      <c r="N80" s="112"/>
      <c r="O80" s="112"/>
      <c r="P80" s="112"/>
      <c r="Q80" s="112"/>
      <c r="R80" s="112"/>
      <c r="S80" s="112"/>
      <c r="T80" s="112"/>
      <c r="U80" s="112"/>
      <c r="V80" s="112"/>
      <c r="W80" s="112"/>
    </row>
    <row r="81" spans="5:23" ht="14.25" customHeight="1">
      <c r="H81" s="112"/>
      <c r="I81" s="112"/>
      <c r="J81" s="112"/>
      <c r="K81" s="112"/>
      <c r="L81" s="135"/>
      <c r="M81" s="112"/>
      <c r="N81" s="112"/>
      <c r="O81" s="112"/>
      <c r="P81" s="112"/>
      <c r="Q81" s="112"/>
      <c r="R81" s="112"/>
      <c r="S81" s="112"/>
      <c r="T81" s="112"/>
      <c r="U81" s="112"/>
      <c r="V81" s="112"/>
      <c r="W81" s="112"/>
    </row>
    <row r="82" spans="5:23" ht="14.25" customHeight="1">
      <c r="H82" s="112"/>
      <c r="I82" s="112"/>
      <c r="J82" s="112"/>
      <c r="K82" s="112"/>
      <c r="L82" s="135"/>
      <c r="M82" s="112"/>
      <c r="N82" s="112"/>
      <c r="O82" s="112"/>
      <c r="P82" s="112"/>
      <c r="Q82" s="112"/>
      <c r="R82" s="112"/>
      <c r="S82" s="112"/>
      <c r="T82" s="112"/>
      <c r="U82" s="112"/>
      <c r="V82" s="112"/>
      <c r="W82" s="112"/>
    </row>
    <row r="83" spans="5:23" ht="14.25" customHeight="1">
      <c r="E83" s="367"/>
    </row>
    <row r="84" spans="5:23" ht="14.25" customHeight="1">
      <c r="E84" s="367"/>
    </row>
  </sheetData>
  <mergeCells count="6">
    <mergeCell ref="I52:L52"/>
    <mergeCell ref="A5:E5"/>
    <mergeCell ref="H1:N1"/>
    <mergeCell ref="H2:N2"/>
    <mergeCell ref="H3:N3"/>
    <mergeCell ref="H4:N4"/>
  </mergeCells>
  <phoneticPr fontId="0" type="noConversion"/>
  <pageMargins left="1.25" right="0.51" top="1.25" bottom="0.5" header="0.5" footer="0.5"/>
  <pageSetup firstPageNumber="4" orientation="portrait" r:id="rId1"/>
  <headerFooter scaleWithDoc="0" alignWithMargins="0">
    <oddHeader>&amp;RCBR Electric -12/2017</oddHeader>
    <oddFooter>&amp;RPage &amp;P of &amp;N</oddFooter>
  </headerFooter>
  <colBreaks count="1" manualBreakCount="1">
    <brk id="5" max="2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AP82"/>
  <sheetViews>
    <sheetView workbookViewId="0">
      <selection activeCell="E12" sqref="E12:E16"/>
    </sheetView>
  </sheetViews>
  <sheetFormatPr defaultColWidth="9.109375" defaultRowHeight="13.2"/>
  <cols>
    <col min="1" max="1" width="11.5546875" style="22" customWidth="1"/>
    <col min="2" max="2" width="9.109375" style="22"/>
    <col min="3" max="3" width="42" style="22" customWidth="1"/>
    <col min="4" max="4" width="5.88671875" style="22" customWidth="1"/>
    <col min="5" max="5" width="20.109375" style="74" customWidth="1"/>
    <col min="6" max="6" width="19.88671875" style="22" bestFit="1" customWidth="1"/>
    <col min="7" max="9" width="9.109375" style="22"/>
    <col min="10" max="10" width="13" style="22" customWidth="1"/>
    <col min="11" max="16" width="9.109375" style="22"/>
    <col min="17" max="17" width="9.109375" style="34"/>
    <col min="18" max="24" width="9.109375" style="22"/>
    <col min="25" max="25" width="14.6640625" style="22" customWidth="1"/>
    <col min="26" max="26" width="0" style="22" hidden="1" customWidth="1"/>
    <col min="27" max="36" width="9.109375" style="22"/>
    <col min="37" max="37" width="14.6640625" style="22" customWidth="1"/>
    <col min="38" max="38" width="17" style="22" customWidth="1"/>
    <col min="39" max="39" width="18" style="22" customWidth="1"/>
    <col min="40" max="40" width="17" style="22" customWidth="1"/>
    <col min="41" max="41" width="15.88671875" style="22" customWidth="1"/>
    <col min="42" max="51" width="9.109375" style="22"/>
    <col min="52" max="52" width="11.44140625" style="22" customWidth="1"/>
    <col min="53" max="16384" width="9.109375" style="22"/>
  </cols>
  <sheetData>
    <row r="1" spans="1:42" ht="13.8">
      <c r="A1" s="78" t="s">
        <v>86</v>
      </c>
      <c r="B1" s="78"/>
      <c r="C1" s="78"/>
      <c r="D1" s="78"/>
      <c r="E1" s="90"/>
      <c r="G1" s="79"/>
    </row>
    <row r="2" spans="1:42" ht="13.8">
      <c r="A2" s="78" t="s">
        <v>143</v>
      </c>
      <c r="B2" s="78"/>
      <c r="C2" s="78"/>
      <c r="D2" s="78"/>
      <c r="E2" s="90"/>
      <c r="G2" s="79"/>
      <c r="H2" s="406"/>
      <c r="I2" s="406"/>
      <c r="J2" s="406"/>
      <c r="K2" s="406"/>
      <c r="L2" s="406"/>
      <c r="M2" s="406"/>
      <c r="N2" s="406"/>
    </row>
    <row r="3" spans="1:42" ht="13.8">
      <c r="A3" s="78" t="s">
        <v>142</v>
      </c>
      <c r="B3" s="78"/>
      <c r="C3" s="78"/>
      <c r="D3" s="78"/>
      <c r="E3" s="90"/>
      <c r="G3" s="79"/>
    </row>
    <row r="4" spans="1:42" ht="14.4" thickBot="1">
      <c r="A4" s="78" t="str">
        <f>'ADJ DETAIL-INPUT'!A4</f>
        <v>TWELVE MONTHS ENDED DECEMBER 31, 2017</v>
      </c>
      <c r="B4" s="78"/>
      <c r="C4" s="78"/>
      <c r="D4" s="78"/>
      <c r="E4" s="90"/>
      <c r="G4" s="79"/>
    </row>
    <row r="5" spans="1:42">
      <c r="G5" s="79"/>
      <c r="J5" s="87" t="s">
        <v>154</v>
      </c>
      <c r="AL5" s="360"/>
      <c r="AM5" s="361"/>
      <c r="AN5" s="362"/>
    </row>
    <row r="6" spans="1:42" s="23" customFormat="1" ht="14.4" thickBot="1">
      <c r="A6" s="23" t="s">
        <v>90</v>
      </c>
      <c r="E6" s="91"/>
      <c r="G6" s="80"/>
      <c r="J6" s="88" t="s">
        <v>141</v>
      </c>
      <c r="Q6" s="109"/>
      <c r="AL6" s="363"/>
      <c r="AM6" s="364"/>
      <c r="AN6" s="365"/>
    </row>
    <row r="7" spans="1:42" s="23" customFormat="1" ht="13.8">
      <c r="A7" s="81" t="s">
        <v>18</v>
      </c>
      <c r="C7" s="81" t="s">
        <v>53</v>
      </c>
      <c r="D7" s="25"/>
      <c r="E7" s="92" t="s">
        <v>144</v>
      </c>
      <c r="G7" s="80"/>
      <c r="Q7" s="109"/>
    </row>
    <row r="8" spans="1:42">
      <c r="G8" s="79"/>
    </row>
    <row r="9" spans="1:42">
      <c r="A9" s="26">
        <v>1</v>
      </c>
      <c r="C9" s="82" t="s">
        <v>28</v>
      </c>
      <c r="E9" s="93">
        <v>1</v>
      </c>
      <c r="J9" s="83">
        <f>'RR SUMMARY'!E21</f>
        <v>0</v>
      </c>
    </row>
    <row r="10" spans="1:42">
      <c r="A10" s="26"/>
      <c r="E10" s="93"/>
      <c r="J10" s="79"/>
      <c r="K10" s="24"/>
      <c r="L10" s="24"/>
    </row>
    <row r="11" spans="1:42">
      <c r="A11" s="26"/>
      <c r="C11" s="75" t="s">
        <v>145</v>
      </c>
      <c r="D11" s="76"/>
      <c r="E11" s="93"/>
      <c r="G11" s="22" t="s">
        <v>607</v>
      </c>
      <c r="J11" s="79"/>
      <c r="K11" s="24"/>
      <c r="L11" s="24"/>
    </row>
    <row r="12" spans="1:42">
      <c r="A12" s="26">
        <v>2</v>
      </c>
      <c r="C12" s="76" t="s">
        <v>146</v>
      </c>
      <c r="D12" s="76"/>
      <c r="E12" s="435">
        <v>5.0109999999999998E-3</v>
      </c>
      <c r="J12" s="79">
        <f>ROUND($J$9*E12,0)</f>
        <v>0</v>
      </c>
      <c r="K12" s="24"/>
      <c r="L12" s="24"/>
    </row>
    <row r="13" spans="1:42">
      <c r="A13" s="26"/>
      <c r="C13" s="76"/>
      <c r="D13" s="76"/>
      <c r="E13" s="435"/>
      <c r="J13" s="79"/>
    </row>
    <row r="14" spans="1:42">
      <c r="A14" s="26">
        <v>3</v>
      </c>
      <c r="C14" s="76" t="s">
        <v>147</v>
      </c>
      <c r="D14" s="76"/>
      <c r="E14" s="435">
        <v>2E-3</v>
      </c>
      <c r="J14" s="79">
        <f>ROUND($J$9*E14,0)</f>
        <v>0</v>
      </c>
    </row>
    <row r="15" spans="1:42">
      <c r="A15" s="26"/>
      <c r="C15" s="76"/>
      <c r="D15" s="76"/>
      <c r="E15" s="435"/>
      <c r="J15" s="79"/>
      <c r="AP15" s="148"/>
    </row>
    <row r="16" spans="1:42">
      <c r="A16" s="26">
        <v>4</v>
      </c>
      <c r="C16" s="76" t="s">
        <v>148</v>
      </c>
      <c r="D16" s="76"/>
      <c r="E16" s="435">
        <v>3.8539999999999998E-2</v>
      </c>
      <c r="J16" s="79">
        <f>ROUND($J$9*E16,0)</f>
        <v>0</v>
      </c>
    </row>
    <row r="17" spans="1:42">
      <c r="A17" s="26"/>
      <c r="C17" s="76"/>
      <c r="D17" s="76"/>
      <c r="E17" s="381"/>
      <c r="J17" s="79"/>
    </row>
    <row r="18" spans="1:42">
      <c r="A18" s="26">
        <v>5</v>
      </c>
      <c r="C18" s="76" t="s">
        <v>149</v>
      </c>
      <c r="D18" s="76"/>
      <c r="E18" s="95">
        <f>SUM(E12:E17)</f>
        <v>4.5550999999999994E-2</v>
      </c>
      <c r="J18" s="84">
        <f>SUM(J12:J17)</f>
        <v>0</v>
      </c>
    </row>
    <row r="19" spans="1:42">
      <c r="C19" s="76"/>
      <c r="D19" s="76"/>
      <c r="E19" s="94"/>
      <c r="J19" s="79"/>
    </row>
    <row r="20" spans="1:42">
      <c r="A20" s="26">
        <v>6</v>
      </c>
      <c r="C20" s="76" t="s">
        <v>150</v>
      </c>
      <c r="D20" s="76"/>
      <c r="E20" s="94">
        <f>E9-E18</f>
        <v>0.95444899999999999</v>
      </c>
      <c r="J20" s="85">
        <f>J9-J18</f>
        <v>0</v>
      </c>
      <c r="AP20" s="148"/>
    </row>
    <row r="21" spans="1:42">
      <c r="C21" s="76"/>
      <c r="D21" s="76"/>
      <c r="E21" s="94"/>
      <c r="J21" s="85"/>
    </row>
    <row r="22" spans="1:42">
      <c r="A22" s="26">
        <v>7</v>
      </c>
      <c r="C22" s="76" t="s">
        <v>151</v>
      </c>
      <c r="D22" s="77"/>
      <c r="E22" s="96">
        <f>ROUND(E20*0.35,6)</f>
        <v>0.33405699999999999</v>
      </c>
      <c r="G22" s="79"/>
      <c r="J22" s="86">
        <f>ROUND(J20*0.35,0)</f>
        <v>0</v>
      </c>
    </row>
    <row r="23" spans="1:42">
      <c r="C23" s="76"/>
      <c r="D23" s="76"/>
      <c r="E23" s="94"/>
      <c r="G23" s="79"/>
    </row>
    <row r="24" spans="1:42" ht="13.5" customHeight="1" thickBot="1">
      <c r="A24" s="26">
        <v>8</v>
      </c>
      <c r="C24" s="75" t="s">
        <v>152</v>
      </c>
      <c r="D24" s="76"/>
      <c r="E24" s="427">
        <f>ROUND(E20-E22,6)</f>
        <v>0.62039200000000005</v>
      </c>
      <c r="F24" s="485"/>
      <c r="G24" s="485"/>
      <c r="H24" s="485"/>
      <c r="J24" s="110">
        <f>J20-J22</f>
        <v>0</v>
      </c>
    </row>
    <row r="25" spans="1:42" ht="13.8" thickTop="1">
      <c r="F25" s="485"/>
      <c r="G25" s="485"/>
      <c r="H25" s="485"/>
    </row>
    <row r="26" spans="1:42">
      <c r="J26" s="359">
        <f>J24/E24</f>
        <v>0</v>
      </c>
    </row>
    <row r="30" spans="1:42">
      <c r="A30" s="471"/>
      <c r="B30" s="471"/>
      <c r="C30" s="471"/>
      <c r="D30" s="471"/>
      <c r="E30" s="471"/>
    </row>
    <row r="31" spans="1:42" s="24" customFormat="1" ht="15.75" customHeight="1">
      <c r="A31" s="484"/>
      <c r="B31" s="484"/>
      <c r="C31" s="484"/>
      <c r="D31" s="484"/>
      <c r="E31" s="484"/>
      <c r="Q31" s="108"/>
    </row>
    <row r="32" spans="1:42" s="24" customFormat="1">
      <c r="A32" s="484"/>
      <c r="B32" s="484"/>
      <c r="C32" s="484"/>
      <c r="D32" s="484"/>
      <c r="E32" s="484"/>
      <c r="J32" s="25"/>
      <c r="Q32" s="108"/>
    </row>
    <row r="33" spans="5:42" s="24" customFormat="1">
      <c r="E33" s="131"/>
      <c r="J33" s="25"/>
      <c r="Q33" s="108"/>
    </row>
    <row r="34" spans="5:42" s="24" customFormat="1">
      <c r="E34" s="131"/>
      <c r="J34" s="25"/>
      <c r="Q34" s="108"/>
    </row>
    <row r="35" spans="5:42" s="24" customFormat="1">
      <c r="E35" s="131"/>
      <c r="Q35" s="108"/>
    </row>
    <row r="36" spans="5:42" s="24" customFormat="1">
      <c r="E36" s="94"/>
      <c r="J36" s="132"/>
      <c r="Q36" s="108"/>
    </row>
    <row r="37" spans="5:42" s="24" customFormat="1">
      <c r="E37" s="94"/>
      <c r="J37" s="85"/>
      <c r="Q37" s="108"/>
    </row>
    <row r="38" spans="5:42" s="24" customFormat="1">
      <c r="E38" s="94"/>
      <c r="J38" s="85"/>
      <c r="Q38" s="108"/>
    </row>
    <row r="39" spans="5:42" s="24" customFormat="1">
      <c r="E39" s="94"/>
      <c r="J39" s="85"/>
      <c r="Q39" s="108"/>
    </row>
    <row r="40" spans="5:42" s="24" customFormat="1">
      <c r="E40" s="94"/>
      <c r="J40" s="85"/>
      <c r="Q40" s="108"/>
    </row>
    <row r="41" spans="5:42" s="24" customFormat="1">
      <c r="E41" s="94"/>
      <c r="F41" s="94"/>
      <c r="J41" s="85"/>
      <c r="Q41" s="108"/>
    </row>
    <row r="42" spans="5:42" s="24" customFormat="1">
      <c r="J42" s="85"/>
      <c r="Q42" s="108"/>
    </row>
    <row r="43" spans="5:42" s="24" customFormat="1">
      <c r="E43" s="94"/>
      <c r="J43" s="85"/>
      <c r="Q43" s="108"/>
    </row>
    <row r="44" spans="5:42" s="24" customFormat="1">
      <c r="E44" s="94"/>
      <c r="J44" s="85"/>
      <c r="Q44" s="108"/>
    </row>
    <row r="45" spans="5:42" s="24" customFormat="1">
      <c r="E45" s="94"/>
      <c r="J45" s="85"/>
      <c r="Q45" s="108"/>
    </row>
    <row r="46" spans="5:42" s="24" customFormat="1">
      <c r="E46" s="133"/>
      <c r="J46" s="134"/>
      <c r="Q46" s="108"/>
      <c r="AP46" s="149"/>
    </row>
    <row r="47" spans="5:42" s="24" customFormat="1">
      <c r="E47" s="94"/>
      <c r="J47" s="85"/>
      <c r="Q47" s="108"/>
    </row>
    <row r="48" spans="5:42" s="24" customFormat="1">
      <c r="E48" s="94"/>
      <c r="G48" s="112"/>
      <c r="J48" s="85"/>
      <c r="M48" s="112"/>
      <c r="N48" s="112"/>
      <c r="Q48" s="108"/>
      <c r="Y48" s="112"/>
    </row>
    <row r="49" spans="5:42" s="24" customFormat="1">
      <c r="E49" s="94"/>
      <c r="J49" s="85"/>
      <c r="Q49" s="108"/>
    </row>
    <row r="50" spans="5:42" s="24" customFormat="1">
      <c r="E50" s="94"/>
      <c r="J50" s="85"/>
      <c r="N50" s="112"/>
      <c r="Q50" s="108"/>
    </row>
    <row r="51" spans="5:42" s="24" customFormat="1">
      <c r="E51" s="94"/>
      <c r="Q51" s="108"/>
    </row>
    <row r="52" spans="5:42" s="24" customFormat="1">
      <c r="E52" s="133"/>
      <c r="J52" s="85"/>
      <c r="Q52" s="108"/>
    </row>
    <row r="53" spans="5:42" s="24" customFormat="1">
      <c r="E53" s="131"/>
      <c r="Q53" s="108"/>
    </row>
    <row r="56" spans="5:42">
      <c r="AP56" s="147"/>
    </row>
    <row r="61" spans="5:42">
      <c r="AP61" s="147"/>
    </row>
    <row r="66" spans="42:42">
      <c r="AP66" s="147"/>
    </row>
    <row r="81" spans="5:5">
      <c r="E81" s="366"/>
    </row>
    <row r="82" spans="5:5">
      <c r="E82" s="366"/>
    </row>
  </sheetData>
  <mergeCells count="4">
    <mergeCell ref="A30:E30"/>
    <mergeCell ref="A31:E31"/>
    <mergeCell ref="A32:E32"/>
    <mergeCell ref="F24:H25"/>
  </mergeCells>
  <phoneticPr fontId="0" type="noConversion"/>
  <pageMargins left="0.75" right="0.51" top="0.75" bottom="0.5" header="0.5" footer="0.5"/>
  <pageSetup firstPageNumber="4" orientation="portrait" r:id="rId1"/>
  <headerFooter scaleWithDoc="0" alignWithMargins="0">
    <oddHeader>&amp;RCBR Electric -12/2017</oddHeader>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81"/>
  <sheetViews>
    <sheetView topLeftCell="Q1" workbookViewId="0"/>
  </sheetViews>
  <sheetFormatPr defaultColWidth="10.6640625" defaultRowHeight="12"/>
  <cols>
    <col min="1" max="1" width="4.6640625" style="3" customWidth="1"/>
    <col min="2" max="3" width="1.6640625" style="2" customWidth="1"/>
    <col min="4" max="4" width="33.6640625" style="2" customWidth="1"/>
    <col min="5" max="5" width="13.5546875" style="160" bestFit="1" customWidth="1"/>
    <col min="6" max="27" width="14.109375" style="159" bestFit="1" customWidth="1"/>
    <col min="28" max="16384" width="10.6640625" style="2"/>
  </cols>
  <sheetData>
    <row r="1" spans="1:27">
      <c r="E1" s="209" t="s">
        <v>225</v>
      </c>
      <c r="F1" s="160" t="s">
        <v>231</v>
      </c>
      <c r="G1" s="160" t="s">
        <v>231</v>
      </c>
      <c r="H1" s="160" t="s">
        <v>231</v>
      </c>
      <c r="I1" s="160" t="s">
        <v>231</v>
      </c>
      <c r="J1" s="160" t="s">
        <v>231</v>
      </c>
      <c r="K1" s="160" t="s">
        <v>231</v>
      </c>
      <c r="L1" s="160" t="s">
        <v>231</v>
      </c>
      <c r="M1" s="160" t="s">
        <v>231</v>
      </c>
      <c r="N1" s="160" t="s">
        <v>231</v>
      </c>
      <c r="O1" s="160" t="s">
        <v>231</v>
      </c>
      <c r="P1" s="160" t="s">
        <v>231</v>
      </c>
      <c r="Q1" s="160" t="s">
        <v>231</v>
      </c>
      <c r="R1" s="160" t="s">
        <v>231</v>
      </c>
      <c r="S1" s="160" t="s">
        <v>231</v>
      </c>
      <c r="T1" s="160" t="s">
        <v>231</v>
      </c>
      <c r="U1" s="160" t="s">
        <v>231</v>
      </c>
      <c r="V1" s="160" t="s">
        <v>231</v>
      </c>
      <c r="W1" s="160" t="s">
        <v>231</v>
      </c>
      <c r="X1" s="160" t="s">
        <v>231</v>
      </c>
      <c r="Y1" s="160" t="s">
        <v>231</v>
      </c>
      <c r="Z1" s="160" t="s">
        <v>231</v>
      </c>
      <c r="AA1" s="160" t="s">
        <v>231</v>
      </c>
    </row>
    <row r="2" spans="1:27" ht="5.25" customHeight="1">
      <c r="D2" s="3"/>
      <c r="E2" s="158"/>
    </row>
    <row r="3" spans="1:27">
      <c r="A3" s="1" t="str">
        <f>'ADJ DETAIL-INPUT'!A2</f>
        <v xml:space="preserve">AVISTA UTILITIES  </v>
      </c>
      <c r="D3" s="3"/>
      <c r="E3" s="2"/>
      <c r="F3" s="162"/>
      <c r="G3" s="162"/>
      <c r="H3" s="162"/>
      <c r="I3" s="162"/>
      <c r="J3" s="162"/>
      <c r="K3" s="162"/>
      <c r="L3" s="162"/>
      <c r="M3" s="162"/>
      <c r="N3" s="162"/>
      <c r="O3" s="162"/>
      <c r="P3" s="162"/>
      <c r="Q3" s="162"/>
      <c r="R3" s="162"/>
      <c r="S3" s="162"/>
      <c r="T3" s="162"/>
      <c r="U3" s="162"/>
      <c r="V3" s="162"/>
      <c r="W3" s="162"/>
      <c r="X3" s="162"/>
      <c r="Y3" s="162"/>
      <c r="Z3" s="162"/>
      <c r="AA3" s="162"/>
    </row>
    <row r="4" spans="1:27">
      <c r="A4" s="1" t="str">
        <f>'ADJ DETAIL-INPUT'!A3</f>
        <v>WASHINGTON ELECTRIC RESULTS  -CBR</v>
      </c>
      <c r="D4" s="3"/>
      <c r="F4" s="161"/>
      <c r="G4" s="161"/>
      <c r="H4" s="161"/>
      <c r="I4" s="161"/>
      <c r="J4" s="161"/>
      <c r="K4" s="161"/>
      <c r="L4" s="161"/>
      <c r="M4" s="161"/>
      <c r="N4" s="161"/>
      <c r="O4" s="161"/>
      <c r="P4" s="161"/>
      <c r="Q4" s="161"/>
      <c r="R4" s="161"/>
      <c r="S4" s="161"/>
      <c r="T4" s="161"/>
      <c r="U4" s="161"/>
      <c r="V4" s="161"/>
      <c r="W4" s="161"/>
      <c r="X4" s="161"/>
      <c r="Y4" s="161"/>
      <c r="Z4" s="161"/>
      <c r="AA4" s="161"/>
    </row>
    <row r="5" spans="1:27">
      <c r="A5" s="1" t="str">
        <f>'ADJ DETAIL-INPUT'!A4</f>
        <v>TWELVE MONTHS ENDED DECEMBER 31, 2017</v>
      </c>
      <c r="D5" s="3"/>
    </row>
    <row r="6" spans="1:27" s="5" customFormat="1">
      <c r="A6" s="1" t="str">
        <f>'ADJ DETAIL-INPUT'!A5</f>
        <v xml:space="preserve">(000'S OF DOLLARS)  </v>
      </c>
      <c r="D6" s="4"/>
      <c r="E6" s="163"/>
      <c r="F6" s="164"/>
      <c r="G6" s="164"/>
      <c r="H6" s="164"/>
      <c r="I6" s="164"/>
      <c r="J6" s="164"/>
      <c r="K6" s="164"/>
      <c r="L6" s="164"/>
      <c r="M6" s="164"/>
      <c r="N6" s="164"/>
      <c r="O6" s="164"/>
      <c r="P6" s="164"/>
      <c r="Q6" s="164"/>
      <c r="R6" s="164"/>
      <c r="S6" s="164"/>
      <c r="T6" s="164"/>
      <c r="U6" s="164"/>
      <c r="V6" s="164"/>
      <c r="W6" s="164"/>
      <c r="X6" s="164"/>
      <c r="Y6" s="164"/>
      <c r="Z6" s="164"/>
      <c r="AA6" s="164"/>
    </row>
    <row r="7" spans="1:27" s="5" customFormat="1" ht="12" customHeight="1">
      <c r="A7" s="299"/>
      <c r="B7" s="12"/>
      <c r="C7" s="12"/>
      <c r="D7" s="12"/>
      <c r="F7" s="301" t="str">
        <f>'ADJ DETAIL-INPUT'!F7</f>
        <v xml:space="preserve">Deferred </v>
      </c>
      <c r="G7" s="301" t="str">
        <f>'ADJ DETAIL-INPUT'!G7</f>
        <v xml:space="preserve">Deferred </v>
      </c>
      <c r="H7" s="301" t="str">
        <f>'ADJ DETAIL-INPUT'!H7</f>
        <v>Working</v>
      </c>
      <c r="I7" s="301" t="str">
        <f>'ADJ DETAIL-INPUT'!I7</f>
        <v>AMI</v>
      </c>
      <c r="J7" s="301" t="str">
        <f>'ADJ DETAIL-INPUT'!J7</f>
        <v>Eliminate</v>
      </c>
      <c r="K7" s="301" t="str">
        <f>'ADJ DETAIL-INPUT'!K7</f>
        <v>Restate</v>
      </c>
      <c r="L7" s="301" t="str">
        <f>'ADJ DETAIL-INPUT'!L7</f>
        <v>Uncollectible</v>
      </c>
      <c r="M7" s="301" t="str">
        <f>'ADJ DETAIL-INPUT'!M7</f>
        <v>Regulatory</v>
      </c>
      <c r="N7" s="301" t="str">
        <f>'ADJ DETAIL-INPUT'!N7</f>
        <v>Injuries</v>
      </c>
      <c r="O7" s="301" t="str">
        <f>'ADJ DETAIL-INPUT'!O7</f>
        <v>FIT/DFIT</v>
      </c>
      <c r="P7" s="301" t="str">
        <f>'ADJ DETAIL-INPUT'!P7</f>
        <v>Office Space</v>
      </c>
      <c r="Q7" s="301" t="str">
        <f>'ADJ DETAIL-INPUT'!Q7</f>
        <v>Restate</v>
      </c>
      <c r="R7" s="301" t="str">
        <f>'ADJ DETAIL-INPUT'!R7</f>
        <v>Net</v>
      </c>
      <c r="S7" s="301" t="str">
        <f>'ADJ DETAIL-INPUT'!S7</f>
        <v xml:space="preserve">Weather </v>
      </c>
      <c r="T7" s="301" t="str">
        <f>'ADJ DETAIL-INPUT'!T7</f>
        <v>Eliminate</v>
      </c>
      <c r="U7" s="301" t="str">
        <f>'ADJ DETAIL-INPUT'!U7</f>
        <v>Miscellaneous</v>
      </c>
      <c r="V7" s="301" t="str">
        <f>'ADJ DETAIL-INPUT'!V7</f>
        <v>Eliminate</v>
      </c>
      <c r="W7" s="301" t="str">
        <f>'ADJ DETAIL-INPUT'!W7</f>
        <v>Nez Perce</v>
      </c>
      <c r="X7" s="301" t="str">
        <f>'ADJ DETAIL-INPUT'!X7</f>
        <v>Restate</v>
      </c>
      <c r="Y7" s="301" t="str">
        <f>'ADJ DETAIL-INPUT'!Y7</f>
        <v>Normalize</v>
      </c>
      <c r="Z7" s="301" t="str">
        <f>'ADJ DETAIL-INPUT'!Z7</f>
        <v>Restate</v>
      </c>
      <c r="AA7" s="301" t="str">
        <f>'ADJ DETAIL-INPUT'!AA7</f>
        <v>CB</v>
      </c>
    </row>
    <row r="8" spans="1:27" s="5" customFormat="1" ht="11.4">
      <c r="A8" s="299" t="str">
        <f>'ADJ DETAIL-INPUT'!A8</f>
        <v>Line</v>
      </c>
      <c r="B8" s="12"/>
      <c r="C8" s="12"/>
      <c r="D8" s="12"/>
      <c r="E8" s="300" t="s">
        <v>220</v>
      </c>
      <c r="F8" s="301" t="str">
        <f>'ADJ DETAIL-INPUT'!F8</f>
        <v>FIT</v>
      </c>
      <c r="G8" s="301" t="str">
        <f>'ADJ DETAIL-INPUT'!G8</f>
        <v xml:space="preserve">Debits and </v>
      </c>
      <c r="H8" s="301" t="str">
        <f>'ADJ DETAIL-INPUT'!H8</f>
        <v>Capital</v>
      </c>
      <c r="I8" s="301" t="str">
        <f>'ADJ DETAIL-INPUT'!I8</f>
        <v>Rate</v>
      </c>
      <c r="J8" s="301" t="str">
        <f>'ADJ DETAIL-INPUT'!J8</f>
        <v>B &amp; O</v>
      </c>
      <c r="K8" s="301" t="str">
        <f>'ADJ DETAIL-INPUT'!K8</f>
        <v>Property</v>
      </c>
      <c r="L8" s="301" t="str">
        <f>'ADJ DETAIL-INPUT'!L8</f>
        <v>Expense</v>
      </c>
      <c r="M8" s="301" t="str">
        <f>'ADJ DETAIL-INPUT'!M8</f>
        <v>Expense</v>
      </c>
      <c r="N8" s="301" t="str">
        <f>'ADJ DETAIL-INPUT'!N8</f>
        <v xml:space="preserve">and </v>
      </c>
      <c r="O8" s="301" t="str">
        <f>'ADJ DETAIL-INPUT'!O8</f>
        <v>Expense</v>
      </c>
      <c r="P8" s="301" t="str">
        <f>'ADJ DETAIL-INPUT'!P8</f>
        <v>Charges to</v>
      </c>
      <c r="Q8" s="301" t="str">
        <f>'ADJ DETAIL-INPUT'!Q8</f>
        <v>Excise</v>
      </c>
      <c r="R8" s="301" t="str">
        <f>'ADJ DETAIL-INPUT'!R8</f>
        <v xml:space="preserve">Gains / </v>
      </c>
      <c r="S8" s="301" t="str">
        <f>'ADJ DETAIL-INPUT'!S8</f>
        <v>Normalization</v>
      </c>
      <c r="T8" s="301" t="str">
        <f>'ADJ DETAIL-INPUT'!T8</f>
        <v>Adder</v>
      </c>
      <c r="U8" s="301" t="str">
        <f>'ADJ DETAIL-INPUT'!U8</f>
        <v>Restating</v>
      </c>
      <c r="V8" s="301" t="str">
        <f>'ADJ DETAIL-INPUT'!V8</f>
        <v>WA Power</v>
      </c>
      <c r="W8" s="301" t="str">
        <f>'ADJ DETAIL-INPUT'!W8</f>
        <v>Settlement</v>
      </c>
      <c r="X8" s="301" t="str">
        <f>'ADJ DETAIL-INPUT'!X8</f>
        <v>Incentives</v>
      </c>
      <c r="Y8" s="301" t="str">
        <f>'ADJ DETAIL-INPUT'!Y8</f>
        <v>CS2/Colstrip</v>
      </c>
      <c r="Z8" s="301" t="str">
        <f>'ADJ DETAIL-INPUT'!Z8</f>
        <v>Debt</v>
      </c>
      <c r="AA8" s="301" t="str">
        <f>'ADJ DETAIL-INPUT'!AA8</f>
        <v>Power</v>
      </c>
    </row>
    <row r="9" spans="1:27" s="5" customFormat="1" ht="11.25" customHeight="1">
      <c r="A9" s="307" t="str">
        <f>'ADJ DETAIL-INPUT'!A9</f>
        <v>No.</v>
      </c>
      <c r="B9" s="15"/>
      <c r="C9" s="308" t="s">
        <v>19</v>
      </c>
      <c r="D9" s="15"/>
      <c r="E9" s="302" t="s">
        <v>221</v>
      </c>
      <c r="F9" s="303" t="str">
        <f>'ADJ DETAIL-INPUT'!F9</f>
        <v>Rate Base</v>
      </c>
      <c r="G9" s="303" t="str">
        <f>'ADJ DETAIL-INPUT'!G9</f>
        <v>Credits</v>
      </c>
      <c r="H9" s="303" t="str">
        <f>'ADJ DETAIL-INPUT'!H9</f>
        <v xml:space="preserve"> </v>
      </c>
      <c r="I9" s="303" t="str">
        <f>'ADJ DETAIL-INPUT'!I9</f>
        <v>Base</v>
      </c>
      <c r="J9" s="303" t="str">
        <f>'ADJ DETAIL-INPUT'!J9</f>
        <v>Taxes</v>
      </c>
      <c r="K9" s="303" t="str">
        <f>'ADJ DETAIL-INPUT'!K9</f>
        <v>Tax</v>
      </c>
      <c r="L9" s="303" t="str">
        <f>'ADJ DETAIL-INPUT'!L9</f>
        <v xml:space="preserve"> </v>
      </c>
      <c r="M9" s="303" t="str">
        <f>'ADJ DETAIL-INPUT'!M9</f>
        <v xml:space="preserve"> </v>
      </c>
      <c r="N9" s="303" t="str">
        <f>'ADJ DETAIL-INPUT'!N9</f>
        <v>Damages</v>
      </c>
      <c r="O9" s="303" t="str">
        <f>'ADJ DETAIL-INPUT'!O9</f>
        <v xml:space="preserve"> </v>
      </c>
      <c r="P9" s="303" t="str">
        <f>'ADJ DETAIL-INPUT'!P9</f>
        <v>Non-Utility</v>
      </c>
      <c r="Q9" s="303" t="str">
        <f>'ADJ DETAIL-INPUT'!Q9</f>
        <v>Taxes</v>
      </c>
      <c r="R9" s="303" t="str">
        <f>'ADJ DETAIL-INPUT'!R9</f>
        <v>Losses</v>
      </c>
      <c r="S9" s="303"/>
      <c r="T9" s="303" t="str">
        <f>'ADJ DETAIL-INPUT'!T9</f>
        <v>Schedules</v>
      </c>
      <c r="U9" s="303" t="str">
        <f>'ADJ DETAIL-INPUT'!U9</f>
        <v xml:space="preserve"> </v>
      </c>
      <c r="V9" s="303" t="str">
        <f>'ADJ DETAIL-INPUT'!V9</f>
        <v>Cost Defer</v>
      </c>
      <c r="W9" s="303" t="str">
        <f>'ADJ DETAIL-INPUT'!W9</f>
        <v>Adjustment</v>
      </c>
      <c r="X9" s="303">
        <f>'ADJ DETAIL-INPUT'!X9</f>
        <v>0</v>
      </c>
      <c r="Y9" s="303" t="str">
        <f>'ADJ DETAIL-INPUT'!Y9</f>
        <v>Major Maint</v>
      </c>
      <c r="Z9" s="303" t="str">
        <f>'ADJ DETAIL-INPUT'!Z9</f>
        <v>Interest</v>
      </c>
      <c r="AA9" s="303" t="str">
        <f>'ADJ DETAIL-INPUT'!AA9</f>
        <v>Supply</v>
      </c>
    </row>
    <row r="10" spans="1:27" s="272" customFormat="1">
      <c r="B10" s="298" t="s">
        <v>523</v>
      </c>
      <c r="E10" s="273">
        <v>1</v>
      </c>
      <c r="F10" s="274">
        <f>'ADJ DETAIL-INPUT'!F10</f>
        <v>1.01</v>
      </c>
      <c r="G10" s="274">
        <f>'ADJ DETAIL-INPUT'!G10</f>
        <v>1.02</v>
      </c>
      <c r="H10" s="274">
        <f>'ADJ DETAIL-INPUT'!H10</f>
        <v>1.03</v>
      </c>
      <c r="I10" s="274">
        <f>'ADJ DETAIL-INPUT'!I10</f>
        <v>1.04</v>
      </c>
      <c r="J10" s="274">
        <f>'ADJ DETAIL-INPUT'!J10</f>
        <v>2.0099999999999998</v>
      </c>
      <c r="K10" s="274">
        <f>'ADJ DETAIL-INPUT'!K10</f>
        <v>2.0199999999999996</v>
      </c>
      <c r="L10" s="274">
        <f>'ADJ DETAIL-INPUT'!L10</f>
        <v>2.0299999999999994</v>
      </c>
      <c r="M10" s="274">
        <f>'ADJ DETAIL-INPUT'!M10</f>
        <v>2.0399999999999991</v>
      </c>
      <c r="N10" s="274">
        <f>'ADJ DETAIL-INPUT'!N10</f>
        <v>2.0499999999999989</v>
      </c>
      <c r="O10" s="274">
        <f>'ADJ DETAIL-INPUT'!O10</f>
        <v>2.0599999999999987</v>
      </c>
      <c r="P10" s="274">
        <f>'ADJ DETAIL-INPUT'!P10</f>
        <v>2.0699999999999985</v>
      </c>
      <c r="Q10" s="274">
        <f>'ADJ DETAIL-INPUT'!Q10</f>
        <v>2.0799999999999983</v>
      </c>
      <c r="R10" s="274">
        <f>'ADJ DETAIL-INPUT'!R10</f>
        <v>2.0899999999999981</v>
      </c>
      <c r="S10" s="274">
        <f>'ADJ DETAIL-INPUT'!S10</f>
        <v>2.0999999999999979</v>
      </c>
      <c r="T10" s="274">
        <f>'ADJ DETAIL-INPUT'!T10</f>
        <v>2.1099999999999977</v>
      </c>
      <c r="U10" s="274">
        <f>'ADJ DETAIL-INPUT'!U10</f>
        <v>2.1199999999999974</v>
      </c>
      <c r="V10" s="274">
        <f>'ADJ DETAIL-INPUT'!V10</f>
        <v>2.1299999999999972</v>
      </c>
      <c r="W10" s="274">
        <f>'ADJ DETAIL-INPUT'!W10</f>
        <v>2.139999999999997</v>
      </c>
      <c r="X10" s="274">
        <f>'ADJ DETAIL-INPUT'!X10</f>
        <v>2.1499999999999968</v>
      </c>
      <c r="Y10" s="274">
        <f>'ADJ DETAIL-INPUT'!Y10</f>
        <v>2.1599999999999966</v>
      </c>
      <c r="Z10" s="274">
        <f>'ADJ DETAIL-INPUT'!Z10</f>
        <v>2.1699999999999964</v>
      </c>
      <c r="AA10" s="274">
        <f>'ADJ DETAIL-INPUT'!AA10</f>
        <v>2.1799999999999962</v>
      </c>
    </row>
    <row r="11" spans="1:27" s="272" customFormat="1">
      <c r="A11" s="304"/>
      <c r="B11" s="305" t="s">
        <v>524</v>
      </c>
      <c r="C11" s="304"/>
      <c r="D11" s="304"/>
      <c r="E11" s="306" t="str">
        <f>'ADJ DETAIL-INPUT'!E11</f>
        <v>E-ROO</v>
      </c>
      <c r="F11" s="306" t="str">
        <f>'ADJ DETAIL-INPUT'!F11</f>
        <v>E-DFIT</v>
      </c>
      <c r="G11" s="306" t="str">
        <f>'ADJ DETAIL-INPUT'!G11</f>
        <v>E-DDC</v>
      </c>
      <c r="H11" s="306" t="str">
        <f>'ADJ DETAIL-INPUT'!H11</f>
        <v xml:space="preserve">E-WC </v>
      </c>
      <c r="I11" s="306" t="str">
        <f>'ADJ DETAIL-INPUT'!I11</f>
        <v xml:space="preserve">E-AMI </v>
      </c>
      <c r="J11" s="306" t="str">
        <f>'ADJ DETAIL-INPUT'!J11</f>
        <v>E-EBO</v>
      </c>
      <c r="K11" s="306" t="str">
        <f>'ADJ DETAIL-INPUT'!K11</f>
        <v>E-PT</v>
      </c>
      <c r="L11" s="306" t="str">
        <f>'ADJ DETAIL-INPUT'!L11</f>
        <v>E-UE</v>
      </c>
      <c r="M11" s="306" t="str">
        <f>'ADJ DETAIL-INPUT'!M11</f>
        <v>E-RE</v>
      </c>
      <c r="N11" s="306" t="str">
        <f>'ADJ DETAIL-INPUT'!N11</f>
        <v>E-ID</v>
      </c>
      <c r="O11" s="306" t="str">
        <f>'ADJ DETAIL-INPUT'!O11</f>
        <v xml:space="preserve">E-FIT </v>
      </c>
      <c r="P11" s="306" t="str">
        <f>'ADJ DETAIL-INPUT'!P11</f>
        <v>E-OSC</v>
      </c>
      <c r="Q11" s="306" t="str">
        <f>'ADJ DETAIL-INPUT'!Q11</f>
        <v>E-RET</v>
      </c>
      <c r="R11" s="306" t="str">
        <f>'ADJ DETAIL-INPUT'!R11</f>
        <v>E-NGL</v>
      </c>
      <c r="S11" s="306" t="str">
        <f>'ADJ DETAIL-INPUT'!S11</f>
        <v>E-WN</v>
      </c>
      <c r="T11" s="306" t="str">
        <f>'ADJ DETAIL-INPUT'!T11</f>
        <v>E-EAS</v>
      </c>
      <c r="U11" s="306" t="str">
        <f>'ADJ DETAIL-INPUT'!U11</f>
        <v>E-MR</v>
      </c>
      <c r="V11" s="306" t="str">
        <f>'ADJ DETAIL-INPUT'!V11</f>
        <v>E-EWPC</v>
      </c>
      <c r="W11" s="306" t="str">
        <f>'ADJ DETAIL-INPUT'!W11</f>
        <v>E-NPS</v>
      </c>
      <c r="X11" s="306" t="str">
        <f>'ADJ DETAIL-INPUT'!X11</f>
        <v>E-RI</v>
      </c>
      <c r="Y11" s="306" t="str">
        <f>'ADJ DETAIL-INPUT'!Y11</f>
        <v>E-RDI</v>
      </c>
      <c r="Z11" s="306" t="str">
        <f>'ADJ DETAIL-INPUT'!Z11</f>
        <v>E-RDI</v>
      </c>
      <c r="AA11" s="306" t="str">
        <f>'ADJ DETAIL-INPUT'!AA11</f>
        <v>E-CBPS</v>
      </c>
    </row>
    <row r="12" spans="1:27" s="272" customFormat="1" ht="6" customHeight="1">
      <c r="B12" s="298"/>
      <c r="E12" s="273"/>
      <c r="F12" s="273"/>
      <c r="G12" s="273"/>
      <c r="H12" s="273"/>
      <c r="I12" s="273"/>
      <c r="J12" s="273"/>
      <c r="K12" s="273"/>
      <c r="L12" s="273"/>
      <c r="M12" s="273"/>
      <c r="N12" s="273"/>
      <c r="O12" s="273"/>
      <c r="P12" s="273"/>
      <c r="Q12" s="273"/>
      <c r="R12" s="273"/>
      <c r="S12" s="273"/>
      <c r="T12" s="273"/>
      <c r="U12" s="273"/>
      <c r="V12" s="273"/>
      <c r="W12" s="273"/>
      <c r="X12" s="273"/>
      <c r="Y12" s="273"/>
      <c r="Z12" s="273"/>
      <c r="AA12" s="273"/>
    </row>
    <row r="13" spans="1:27">
      <c r="B13" s="2" t="str">
        <f>'ADJ DETAIL-INPUT'!B13</f>
        <v xml:space="preserve">REVENUES  </v>
      </c>
    </row>
    <row r="14" spans="1:27" s="17" customFormat="1">
      <c r="A14" s="16">
        <f>'ADJ DETAIL-INPUT'!A14</f>
        <v>1</v>
      </c>
      <c r="B14" s="17" t="str">
        <f>'ADJ DETAIL-INPUT'!B14</f>
        <v xml:space="preserve">Total General Business  </v>
      </c>
      <c r="E14" s="177">
        <f>'ADJ DETAIL-INPUT'!E14</f>
        <v>548287</v>
      </c>
      <c r="F14" s="271">
        <f>'ADJ DETAIL-INPUT'!F14</f>
        <v>0</v>
      </c>
      <c r="G14" s="271">
        <f>'ADJ DETAIL-INPUT'!G14</f>
        <v>0</v>
      </c>
      <c r="H14" s="271">
        <f>'ADJ DETAIL-INPUT'!H14</f>
        <v>0</v>
      </c>
      <c r="I14" s="271">
        <f>'ADJ DETAIL-INPUT'!I14</f>
        <v>0</v>
      </c>
      <c r="J14" s="271">
        <f>'ADJ DETAIL-INPUT'!J14</f>
        <v>-18966</v>
      </c>
      <c r="K14" s="271">
        <f>'ADJ DETAIL-INPUT'!K14</f>
        <v>0</v>
      </c>
      <c r="L14" s="271">
        <f>'ADJ DETAIL-INPUT'!L14</f>
        <v>0</v>
      </c>
      <c r="M14" s="271">
        <f>'ADJ DETAIL-INPUT'!M14</f>
        <v>0</v>
      </c>
      <c r="N14" s="271">
        <f>'ADJ DETAIL-INPUT'!N14</f>
        <v>0</v>
      </c>
      <c r="O14" s="271">
        <f>'ADJ DETAIL-INPUT'!O14</f>
        <v>0</v>
      </c>
      <c r="P14" s="271">
        <f>'ADJ DETAIL-INPUT'!P14</f>
        <v>0</v>
      </c>
      <c r="Q14" s="271">
        <f>'ADJ DETAIL-INPUT'!Q14</f>
        <v>0</v>
      </c>
      <c r="R14" s="271">
        <f>'ADJ DETAIL-INPUT'!R14</f>
        <v>0</v>
      </c>
      <c r="S14" s="271">
        <f>'ADJ DETAIL-INPUT'!S14</f>
        <v>-12602</v>
      </c>
      <c r="T14" s="271">
        <f>'ADJ DETAIL-INPUT'!T14</f>
        <v>-25405</v>
      </c>
      <c r="U14" s="271">
        <f>'ADJ DETAIL-INPUT'!U14</f>
        <v>0</v>
      </c>
      <c r="V14" s="271">
        <f>'ADJ DETAIL-INPUT'!V14</f>
        <v>2655</v>
      </c>
      <c r="W14" s="271">
        <f>'ADJ DETAIL-INPUT'!W14</f>
        <v>0</v>
      </c>
      <c r="X14" s="271">
        <f>'ADJ DETAIL-INPUT'!X14</f>
        <v>0</v>
      </c>
      <c r="Y14" s="271">
        <f>'ADJ DETAIL-INPUT'!Y14</f>
        <v>0</v>
      </c>
      <c r="Z14" s="271">
        <f>'ADJ DETAIL-INPUT'!Z14</f>
        <v>0</v>
      </c>
      <c r="AA14" s="271">
        <f>'ADJ DETAIL-INPUT'!AA14</f>
        <v>0</v>
      </c>
    </row>
    <row r="15" spans="1:27" s="18" customFormat="1">
      <c r="A15" s="16">
        <f>'ADJ DETAIL-INPUT'!A15</f>
        <v>2</v>
      </c>
      <c r="B15" s="18" t="str">
        <f>'ADJ DETAIL-INPUT'!B15</f>
        <v xml:space="preserve">Interdepartmental Sales  </v>
      </c>
      <c r="E15" s="101">
        <f>'ADJ DETAIL-INPUT'!E15</f>
        <v>1005</v>
      </c>
      <c r="F15" s="208">
        <f>'ADJ DETAIL-INPUT'!F15</f>
        <v>0</v>
      </c>
      <c r="G15" s="208">
        <f>'ADJ DETAIL-INPUT'!G15</f>
        <v>0</v>
      </c>
      <c r="H15" s="208">
        <f>'ADJ DETAIL-INPUT'!H15</f>
        <v>0</v>
      </c>
      <c r="I15" s="208">
        <f>'ADJ DETAIL-INPUT'!I15</f>
        <v>0</v>
      </c>
      <c r="J15" s="208">
        <f>'ADJ DETAIL-INPUT'!J15</f>
        <v>0</v>
      </c>
      <c r="K15" s="208">
        <f>'ADJ DETAIL-INPUT'!K15</f>
        <v>0</v>
      </c>
      <c r="L15" s="208">
        <f>'ADJ DETAIL-INPUT'!L15</f>
        <v>0</v>
      </c>
      <c r="M15" s="208">
        <f>'ADJ DETAIL-INPUT'!M15</f>
        <v>0</v>
      </c>
      <c r="N15" s="208">
        <f>'ADJ DETAIL-INPUT'!N15</f>
        <v>0</v>
      </c>
      <c r="O15" s="208">
        <f>'ADJ DETAIL-INPUT'!O15</f>
        <v>0</v>
      </c>
      <c r="P15" s="208">
        <f>'ADJ DETAIL-INPUT'!P15</f>
        <v>0</v>
      </c>
      <c r="Q15" s="208">
        <f>'ADJ DETAIL-INPUT'!Q15</f>
        <v>0</v>
      </c>
      <c r="R15" s="208">
        <f>'ADJ DETAIL-INPUT'!R15</f>
        <v>0</v>
      </c>
      <c r="S15" s="208">
        <f>'ADJ DETAIL-INPUT'!S15</f>
        <v>0</v>
      </c>
      <c r="T15" s="208">
        <f>'ADJ DETAIL-INPUT'!T15</f>
        <v>0</v>
      </c>
      <c r="U15" s="208">
        <f>'ADJ DETAIL-INPUT'!U15</f>
        <v>0</v>
      </c>
      <c r="V15" s="208" t="str">
        <f>'ADJ DETAIL-INPUT'!V15</f>
        <v>`</v>
      </c>
      <c r="W15" s="208">
        <f>'ADJ DETAIL-INPUT'!W15</f>
        <v>0</v>
      </c>
      <c r="X15" s="208">
        <f>'ADJ DETAIL-INPUT'!X15</f>
        <v>0</v>
      </c>
      <c r="Y15" s="208">
        <f>'ADJ DETAIL-INPUT'!Y15</f>
        <v>0</v>
      </c>
      <c r="Z15" s="208">
        <f>'ADJ DETAIL-INPUT'!Z15</f>
        <v>0</v>
      </c>
      <c r="AA15" s="208">
        <f>'ADJ DETAIL-INPUT'!AA15</f>
        <v>0</v>
      </c>
    </row>
    <row r="16" spans="1:27" s="18" customFormat="1">
      <c r="A16" s="16">
        <f>'ADJ DETAIL-INPUT'!A16</f>
        <v>3</v>
      </c>
      <c r="B16" s="18" t="str">
        <f>'ADJ DETAIL-INPUT'!B16</f>
        <v xml:space="preserve">Sales for Resale  </v>
      </c>
      <c r="E16" s="267">
        <f>'ADJ DETAIL-INPUT'!E16</f>
        <v>58017</v>
      </c>
      <c r="F16" s="210">
        <f>'ADJ DETAIL-INPUT'!F16</f>
        <v>0</v>
      </c>
      <c r="G16" s="210">
        <f>'ADJ DETAIL-INPUT'!G16</f>
        <v>0</v>
      </c>
      <c r="H16" s="210">
        <f>'ADJ DETAIL-INPUT'!H16</f>
        <v>0</v>
      </c>
      <c r="I16" s="210">
        <f>'ADJ DETAIL-INPUT'!I16</f>
        <v>0</v>
      </c>
      <c r="J16" s="210">
        <f>'ADJ DETAIL-INPUT'!J16</f>
        <v>0</v>
      </c>
      <c r="K16" s="210">
        <f>'ADJ DETAIL-INPUT'!K16</f>
        <v>0</v>
      </c>
      <c r="L16" s="210">
        <f>'ADJ DETAIL-INPUT'!L16</f>
        <v>0</v>
      </c>
      <c r="M16" s="210">
        <f>'ADJ DETAIL-INPUT'!M16</f>
        <v>0</v>
      </c>
      <c r="N16" s="210">
        <f>'ADJ DETAIL-INPUT'!N16</f>
        <v>0</v>
      </c>
      <c r="O16" s="210">
        <f>'ADJ DETAIL-INPUT'!O16</f>
        <v>0</v>
      </c>
      <c r="P16" s="210">
        <f>'ADJ DETAIL-INPUT'!P16</f>
        <v>0</v>
      </c>
      <c r="Q16" s="210">
        <f>'ADJ DETAIL-INPUT'!Q16</f>
        <v>0</v>
      </c>
      <c r="R16" s="210">
        <f>'ADJ DETAIL-INPUT'!R16</f>
        <v>0</v>
      </c>
      <c r="S16" s="210">
        <f>'ADJ DETAIL-INPUT'!S16</f>
        <v>0</v>
      </c>
      <c r="T16" s="210">
        <f>'ADJ DETAIL-INPUT'!T16</f>
        <v>0</v>
      </c>
      <c r="U16" s="210">
        <f>'ADJ DETAIL-INPUT'!U16</f>
        <v>0</v>
      </c>
      <c r="V16" s="210">
        <f>'ADJ DETAIL-INPUT'!V16</f>
        <v>0</v>
      </c>
      <c r="W16" s="210">
        <f>'ADJ DETAIL-INPUT'!W16</f>
        <v>0</v>
      </c>
      <c r="X16" s="210">
        <f>'ADJ DETAIL-INPUT'!X16</f>
        <v>0</v>
      </c>
      <c r="Y16" s="210">
        <f>'ADJ DETAIL-INPUT'!Y16</f>
        <v>0</v>
      </c>
      <c r="Z16" s="210">
        <f>'ADJ DETAIL-INPUT'!Z16</f>
        <v>0</v>
      </c>
      <c r="AA16" s="210">
        <f>'ADJ DETAIL-INPUT'!AA16</f>
        <v>-125</v>
      </c>
    </row>
    <row r="17" spans="1:27" s="18" customFormat="1">
      <c r="A17" s="16">
        <f>'ADJ DETAIL-INPUT'!A17</f>
        <v>4</v>
      </c>
      <c r="B17" s="18" t="str">
        <f>'ADJ DETAIL-INPUT'!B17</f>
        <v xml:space="preserve">Total Sales of Electricity  </v>
      </c>
      <c r="E17" s="101">
        <f>'ADJ DETAIL-INPUT'!E17</f>
        <v>607309</v>
      </c>
      <c r="F17" s="159">
        <f>'ADJ DETAIL-INPUT'!F17</f>
        <v>0</v>
      </c>
      <c r="G17" s="159">
        <f>'ADJ DETAIL-INPUT'!G17</f>
        <v>0</v>
      </c>
      <c r="H17" s="159">
        <f>'ADJ DETAIL-INPUT'!H17</f>
        <v>0</v>
      </c>
      <c r="I17" s="159">
        <f>'ADJ DETAIL-INPUT'!I17</f>
        <v>0</v>
      </c>
      <c r="J17" s="159">
        <f>'ADJ DETAIL-INPUT'!J17</f>
        <v>-18966</v>
      </c>
      <c r="K17" s="159">
        <f>'ADJ DETAIL-INPUT'!K17</f>
        <v>0</v>
      </c>
      <c r="L17" s="159">
        <f>'ADJ DETAIL-INPUT'!L17</f>
        <v>0</v>
      </c>
      <c r="M17" s="159">
        <f>'ADJ DETAIL-INPUT'!M17</f>
        <v>0</v>
      </c>
      <c r="N17" s="159">
        <f>'ADJ DETAIL-INPUT'!N17</f>
        <v>0</v>
      </c>
      <c r="O17" s="159">
        <f>'ADJ DETAIL-INPUT'!O17</f>
        <v>0</v>
      </c>
      <c r="P17" s="159">
        <f>'ADJ DETAIL-INPUT'!P17</f>
        <v>0</v>
      </c>
      <c r="Q17" s="159">
        <f>'ADJ DETAIL-INPUT'!Q17</f>
        <v>0</v>
      </c>
      <c r="R17" s="159">
        <f>'ADJ DETAIL-INPUT'!R17</f>
        <v>0</v>
      </c>
      <c r="S17" s="159">
        <f>'ADJ DETAIL-INPUT'!S17</f>
        <v>-12602</v>
      </c>
      <c r="T17" s="159">
        <f>'ADJ DETAIL-INPUT'!T17</f>
        <v>-25405</v>
      </c>
      <c r="U17" s="159">
        <f>'ADJ DETAIL-INPUT'!U17</f>
        <v>0</v>
      </c>
      <c r="V17" s="159">
        <f>'ADJ DETAIL-INPUT'!V17</f>
        <v>2655</v>
      </c>
      <c r="W17" s="159">
        <f>'ADJ DETAIL-INPUT'!W17</f>
        <v>0</v>
      </c>
      <c r="X17" s="159">
        <f>'ADJ DETAIL-INPUT'!X17</f>
        <v>0</v>
      </c>
      <c r="Y17" s="159">
        <f>'ADJ DETAIL-INPUT'!Y17</f>
        <v>0</v>
      </c>
      <c r="Z17" s="159">
        <f>'ADJ DETAIL-INPUT'!Z17</f>
        <v>0</v>
      </c>
      <c r="AA17" s="159">
        <f>'ADJ DETAIL-INPUT'!AA17</f>
        <v>-125</v>
      </c>
    </row>
    <row r="18" spans="1:27" s="18" customFormat="1">
      <c r="A18" s="16">
        <f>'ADJ DETAIL-INPUT'!A18</f>
        <v>5</v>
      </c>
      <c r="B18" s="18" t="str">
        <f>'ADJ DETAIL-INPUT'!B18</f>
        <v xml:space="preserve">Other Revenue  </v>
      </c>
      <c r="E18" s="267">
        <f>'ADJ DETAIL-INPUT'!E18</f>
        <v>57523</v>
      </c>
      <c r="F18" s="210">
        <f>'ADJ DETAIL-INPUT'!F18</f>
        <v>0</v>
      </c>
      <c r="G18" s="210">
        <f>'ADJ DETAIL-INPUT'!G18</f>
        <v>0</v>
      </c>
      <c r="H18" s="210">
        <f>'ADJ DETAIL-INPUT'!H18</f>
        <v>0</v>
      </c>
      <c r="I18" s="210">
        <f>'ADJ DETAIL-INPUT'!I18</f>
        <v>0</v>
      </c>
      <c r="J18" s="210">
        <f>'ADJ DETAIL-INPUT'!J18</f>
        <v>-14</v>
      </c>
      <c r="K18" s="210">
        <f>'ADJ DETAIL-INPUT'!K18</f>
        <v>0</v>
      </c>
      <c r="L18" s="210">
        <f>'ADJ DETAIL-INPUT'!L18</f>
        <v>0</v>
      </c>
      <c r="M18" s="210">
        <f>'ADJ DETAIL-INPUT'!M18</f>
        <v>0</v>
      </c>
      <c r="N18" s="210">
        <f>'ADJ DETAIL-INPUT'!N18</f>
        <v>0</v>
      </c>
      <c r="O18" s="210">
        <f>'ADJ DETAIL-INPUT'!O18</f>
        <v>0</v>
      </c>
      <c r="P18" s="210">
        <f>'ADJ DETAIL-INPUT'!P18</f>
        <v>0</v>
      </c>
      <c r="Q18" s="210">
        <f>'ADJ DETAIL-INPUT'!Q18</f>
        <v>0</v>
      </c>
      <c r="R18" s="210">
        <f>'ADJ DETAIL-INPUT'!R18</f>
        <v>0</v>
      </c>
      <c r="S18" s="210">
        <f>'ADJ DETAIL-INPUT'!S18</f>
        <v>9794</v>
      </c>
      <c r="T18" s="210">
        <f>'ADJ DETAIL-INPUT'!T18</f>
        <v>4706</v>
      </c>
      <c r="U18" s="210">
        <f>'ADJ DETAIL-INPUT'!U18</f>
        <v>130</v>
      </c>
      <c r="V18" s="210">
        <f>'ADJ DETAIL-INPUT'!V18</f>
        <v>0</v>
      </c>
      <c r="W18" s="210">
        <f>'ADJ DETAIL-INPUT'!W18</f>
        <v>0</v>
      </c>
      <c r="X18" s="210">
        <f>'ADJ DETAIL-INPUT'!X18</f>
        <v>0</v>
      </c>
      <c r="Y18" s="210">
        <f>'ADJ DETAIL-INPUT'!Y18</f>
        <v>0</v>
      </c>
      <c r="Z18" s="210">
        <f>'ADJ DETAIL-INPUT'!Z18</f>
        <v>0</v>
      </c>
      <c r="AA18" s="210">
        <f>'ADJ DETAIL-INPUT'!AA18</f>
        <v>-50284</v>
      </c>
    </row>
    <row r="19" spans="1:27" s="18" customFormat="1">
      <c r="A19" s="16">
        <f>'ADJ DETAIL-INPUT'!A19</f>
        <v>6</v>
      </c>
      <c r="B19" s="18" t="str">
        <f>'ADJ DETAIL-INPUT'!B19</f>
        <v xml:space="preserve">Total Electric Revenue  </v>
      </c>
      <c r="E19" s="101">
        <f>'ADJ DETAIL-INPUT'!E19</f>
        <v>664832</v>
      </c>
      <c r="F19" s="159">
        <f>'ADJ DETAIL-INPUT'!F19</f>
        <v>0</v>
      </c>
      <c r="G19" s="159">
        <f>'ADJ DETAIL-INPUT'!G19</f>
        <v>0</v>
      </c>
      <c r="H19" s="159">
        <f>'ADJ DETAIL-INPUT'!H19</f>
        <v>0</v>
      </c>
      <c r="I19" s="159">
        <f>'ADJ DETAIL-INPUT'!I19</f>
        <v>0</v>
      </c>
      <c r="J19" s="159">
        <f>'ADJ DETAIL-INPUT'!J19</f>
        <v>-18980</v>
      </c>
      <c r="K19" s="159">
        <f>'ADJ DETAIL-INPUT'!K19</f>
        <v>0</v>
      </c>
      <c r="L19" s="159">
        <f>'ADJ DETAIL-INPUT'!L19</f>
        <v>0</v>
      </c>
      <c r="M19" s="159">
        <f>'ADJ DETAIL-INPUT'!M19</f>
        <v>0</v>
      </c>
      <c r="N19" s="159">
        <f>'ADJ DETAIL-INPUT'!N19</f>
        <v>0</v>
      </c>
      <c r="O19" s="159">
        <f>'ADJ DETAIL-INPUT'!O19</f>
        <v>0</v>
      </c>
      <c r="P19" s="159">
        <f>'ADJ DETAIL-INPUT'!P19</f>
        <v>0</v>
      </c>
      <c r="Q19" s="159">
        <f>'ADJ DETAIL-INPUT'!Q19</f>
        <v>0</v>
      </c>
      <c r="R19" s="159">
        <f>'ADJ DETAIL-INPUT'!R19</f>
        <v>0</v>
      </c>
      <c r="S19" s="159">
        <f>'ADJ DETAIL-INPUT'!S19</f>
        <v>-2808</v>
      </c>
      <c r="T19" s="159">
        <f>'ADJ DETAIL-INPUT'!T19</f>
        <v>-20699</v>
      </c>
      <c r="U19" s="159">
        <f>'ADJ DETAIL-INPUT'!U19</f>
        <v>130</v>
      </c>
      <c r="V19" s="159">
        <f>'ADJ DETAIL-INPUT'!V19</f>
        <v>2655</v>
      </c>
      <c r="W19" s="159">
        <f>'ADJ DETAIL-INPUT'!W19</f>
        <v>0</v>
      </c>
      <c r="X19" s="159">
        <f>'ADJ DETAIL-INPUT'!X19</f>
        <v>0</v>
      </c>
      <c r="Y19" s="159">
        <f>'ADJ DETAIL-INPUT'!Y19</f>
        <v>0</v>
      </c>
      <c r="Z19" s="159">
        <f>'ADJ DETAIL-INPUT'!Z19</f>
        <v>0</v>
      </c>
      <c r="AA19" s="159">
        <f>'ADJ DETAIL-INPUT'!AA19</f>
        <v>-50409</v>
      </c>
    </row>
    <row r="20" spans="1:27" s="18" customFormat="1" ht="6.75" customHeight="1">
      <c r="A20" s="16"/>
      <c r="E20" s="101"/>
      <c r="F20" s="159"/>
      <c r="G20" s="159"/>
      <c r="H20" s="159"/>
      <c r="I20" s="159"/>
      <c r="J20" s="159"/>
      <c r="K20" s="159"/>
      <c r="L20" s="159"/>
      <c r="M20" s="159"/>
      <c r="N20" s="159"/>
      <c r="O20" s="159"/>
      <c r="P20" s="159"/>
      <c r="Q20" s="159"/>
      <c r="R20" s="159"/>
      <c r="S20" s="159"/>
      <c r="T20" s="159"/>
      <c r="U20" s="159"/>
      <c r="V20" s="159"/>
      <c r="W20" s="159"/>
      <c r="X20" s="159"/>
      <c r="Y20" s="159"/>
      <c r="Z20" s="159"/>
      <c r="AA20" s="159"/>
    </row>
    <row r="21" spans="1:27" s="18" customFormat="1">
      <c r="A21" s="16"/>
      <c r="B21" s="18" t="str">
        <f>'ADJ DETAIL-INPUT'!B21</f>
        <v xml:space="preserve">EXPENSES  </v>
      </c>
      <c r="E21" s="101"/>
      <c r="F21" s="159"/>
      <c r="G21" s="159"/>
      <c r="H21" s="159"/>
      <c r="I21" s="159"/>
      <c r="J21" s="159"/>
      <c r="K21" s="159"/>
      <c r="L21" s="159"/>
      <c r="M21" s="159"/>
      <c r="N21" s="159"/>
      <c r="O21" s="159"/>
      <c r="P21" s="159"/>
      <c r="Q21" s="159"/>
      <c r="R21" s="159"/>
      <c r="S21" s="159"/>
      <c r="T21" s="159"/>
      <c r="U21" s="159"/>
      <c r="V21" s="159"/>
      <c r="W21" s="159"/>
      <c r="X21" s="159"/>
      <c r="Y21" s="159"/>
      <c r="Z21" s="159"/>
      <c r="AA21" s="159"/>
    </row>
    <row r="22" spans="1:27" s="18" customFormat="1">
      <c r="A22" s="16"/>
      <c r="B22" s="18" t="str">
        <f>'ADJ DETAIL-INPUT'!B22</f>
        <v xml:space="preserve">Production and Transmission  </v>
      </c>
      <c r="E22" s="101"/>
      <c r="F22" s="159"/>
      <c r="G22" s="159"/>
      <c r="H22" s="159"/>
      <c r="I22" s="159"/>
      <c r="J22" s="159"/>
      <c r="K22" s="159"/>
      <c r="L22" s="159"/>
      <c r="M22" s="159"/>
      <c r="N22" s="159"/>
      <c r="O22" s="159"/>
      <c r="P22" s="159"/>
      <c r="Q22" s="159"/>
      <c r="R22" s="159"/>
      <c r="S22" s="159"/>
      <c r="T22" s="159"/>
      <c r="U22" s="159"/>
      <c r="V22" s="159"/>
      <c r="W22" s="159"/>
      <c r="X22" s="159"/>
      <c r="Y22" s="159"/>
      <c r="Z22" s="159"/>
      <c r="AA22" s="159"/>
    </row>
    <row r="23" spans="1:27" s="18" customFormat="1">
      <c r="A23" s="16">
        <f>'ADJ DETAIL-INPUT'!A23</f>
        <v>7</v>
      </c>
      <c r="C23" s="18" t="str">
        <f>'ADJ DETAIL-INPUT'!C23</f>
        <v xml:space="preserve">Operating Expenses  </v>
      </c>
      <c r="E23" s="101">
        <f>'ADJ DETAIL-INPUT'!E23</f>
        <v>174013</v>
      </c>
      <c r="F23" s="208">
        <f>'ADJ DETAIL-INPUT'!F23</f>
        <v>0</v>
      </c>
      <c r="G23" s="208">
        <f>'ADJ DETAIL-INPUT'!G23</f>
        <v>0</v>
      </c>
      <c r="H23" s="208">
        <f>'ADJ DETAIL-INPUT'!H23</f>
        <v>0</v>
      </c>
      <c r="I23" s="208">
        <f>'ADJ DETAIL-INPUT'!I23</f>
        <v>0</v>
      </c>
      <c r="J23" s="208">
        <f>'ADJ DETAIL-INPUT'!J23</f>
        <v>0</v>
      </c>
      <c r="K23" s="208">
        <f>'ADJ DETAIL-INPUT'!K23</f>
        <v>0</v>
      </c>
      <c r="L23" s="208">
        <f>'ADJ DETAIL-INPUT'!L23</f>
        <v>0</v>
      </c>
      <c r="M23" s="208">
        <f>'ADJ DETAIL-INPUT'!M23</f>
        <v>0</v>
      </c>
      <c r="N23" s="208">
        <f>'ADJ DETAIL-INPUT'!N23</f>
        <v>0</v>
      </c>
      <c r="O23" s="208">
        <f>'ADJ DETAIL-INPUT'!O23</f>
        <v>0</v>
      </c>
      <c r="P23" s="208">
        <f>'ADJ DETAIL-INPUT'!P23</f>
        <v>0</v>
      </c>
      <c r="Q23" s="208">
        <f>'ADJ DETAIL-INPUT'!Q23</f>
        <v>0</v>
      </c>
      <c r="R23" s="208">
        <f>'ADJ DETAIL-INPUT'!R23</f>
        <v>0</v>
      </c>
      <c r="S23" s="208">
        <f>'ADJ DETAIL-INPUT'!S23</f>
        <v>0</v>
      </c>
      <c r="T23" s="208">
        <f>'ADJ DETAIL-INPUT'!T23</f>
        <v>0</v>
      </c>
      <c r="U23" s="208">
        <f>'ADJ DETAIL-INPUT'!U23</f>
        <v>-2</v>
      </c>
      <c r="V23" s="208">
        <f>'ADJ DETAIL-INPUT'!V23</f>
        <v>-2295</v>
      </c>
      <c r="W23" s="208">
        <f>'ADJ DETAIL-INPUT'!W23</f>
        <v>-7</v>
      </c>
      <c r="X23" s="208">
        <f>'ADJ DETAIL-INPUT'!X23</f>
        <v>0</v>
      </c>
      <c r="Y23" s="208">
        <f>'ADJ DETAIL-INPUT'!Y23</f>
        <v>-476</v>
      </c>
      <c r="Z23" s="208">
        <f>'ADJ DETAIL-INPUT'!Z23</f>
        <v>0</v>
      </c>
      <c r="AA23" s="208">
        <f>'ADJ DETAIL-INPUT'!AA23</f>
        <v>-34467</v>
      </c>
    </row>
    <row r="24" spans="1:27" s="18" customFormat="1">
      <c r="A24" s="16">
        <f>'ADJ DETAIL-INPUT'!A24</f>
        <v>8</v>
      </c>
      <c r="C24" s="18" t="str">
        <f>'ADJ DETAIL-INPUT'!C24</f>
        <v xml:space="preserve">Purchased Power  </v>
      </c>
      <c r="E24" s="101">
        <f>'ADJ DETAIL-INPUT'!E24</f>
        <v>85396</v>
      </c>
      <c r="F24" s="208">
        <f>'ADJ DETAIL-INPUT'!F24</f>
        <v>0</v>
      </c>
      <c r="G24" s="208">
        <f>'ADJ DETAIL-INPUT'!G24</f>
        <v>0</v>
      </c>
      <c r="H24" s="208">
        <f>'ADJ DETAIL-INPUT'!H24</f>
        <v>0</v>
      </c>
      <c r="I24" s="208">
        <f>'ADJ DETAIL-INPUT'!I24</f>
        <v>0</v>
      </c>
      <c r="J24" s="208">
        <f>'ADJ DETAIL-INPUT'!J24</f>
        <v>0</v>
      </c>
      <c r="K24" s="208">
        <f>'ADJ DETAIL-INPUT'!K24</f>
        <v>0</v>
      </c>
      <c r="L24" s="208">
        <f>'ADJ DETAIL-INPUT'!L24</f>
        <v>0</v>
      </c>
      <c r="M24" s="208">
        <f>'ADJ DETAIL-INPUT'!M24</f>
        <v>0</v>
      </c>
      <c r="N24" s="208">
        <f>'ADJ DETAIL-INPUT'!N24</f>
        <v>0</v>
      </c>
      <c r="O24" s="208">
        <f>'ADJ DETAIL-INPUT'!O24</f>
        <v>0</v>
      </c>
      <c r="P24" s="208">
        <f>'ADJ DETAIL-INPUT'!P24</f>
        <v>0</v>
      </c>
      <c r="Q24" s="208">
        <f>'ADJ DETAIL-INPUT'!Q24</f>
        <v>0</v>
      </c>
      <c r="R24" s="208">
        <f>'ADJ DETAIL-INPUT'!R24</f>
        <v>0</v>
      </c>
      <c r="S24" s="208">
        <f>'ADJ DETAIL-INPUT'!S24</f>
        <v>0</v>
      </c>
      <c r="T24" s="208">
        <f>'ADJ DETAIL-INPUT'!T24</f>
        <v>0</v>
      </c>
      <c r="U24" s="208">
        <f>'ADJ DETAIL-INPUT'!U24</f>
        <v>0</v>
      </c>
      <c r="V24" s="208">
        <f>'ADJ DETAIL-INPUT'!V24</f>
        <v>0</v>
      </c>
      <c r="W24" s="208">
        <f>'ADJ DETAIL-INPUT'!W24</f>
        <v>0</v>
      </c>
      <c r="X24" s="208">
        <f>'ADJ DETAIL-INPUT'!X24</f>
        <v>0</v>
      </c>
      <c r="Y24" s="208">
        <f>'ADJ DETAIL-INPUT'!Y24</f>
        <v>0</v>
      </c>
      <c r="Z24" s="208">
        <f>'ADJ DETAIL-INPUT'!Z24</f>
        <v>0</v>
      </c>
      <c r="AA24" s="208">
        <f>'ADJ DETAIL-INPUT'!AA24</f>
        <v>-7501</v>
      </c>
    </row>
    <row r="25" spans="1:27" s="18" customFormat="1">
      <c r="A25" s="16">
        <f>'ADJ DETAIL-INPUT'!A25</f>
        <v>9</v>
      </c>
      <c r="C25" s="18" t="str">
        <f>'ADJ DETAIL-INPUT'!C25</f>
        <v xml:space="preserve">Depreciation/Amortization  </v>
      </c>
      <c r="E25" s="101">
        <f>'ADJ DETAIL-INPUT'!E25</f>
        <v>27841</v>
      </c>
      <c r="F25" s="208">
        <f>'ADJ DETAIL-INPUT'!F25</f>
        <v>0</v>
      </c>
      <c r="G25" s="208">
        <f>'ADJ DETAIL-INPUT'!G25</f>
        <v>0</v>
      </c>
      <c r="H25" s="208">
        <f>'ADJ DETAIL-INPUT'!H25</f>
        <v>0</v>
      </c>
      <c r="I25" s="208">
        <f>'ADJ DETAIL-INPUT'!I25</f>
        <v>0</v>
      </c>
      <c r="J25" s="208">
        <f>'ADJ DETAIL-INPUT'!J25</f>
        <v>0</v>
      </c>
      <c r="K25" s="208">
        <f>'ADJ DETAIL-INPUT'!K25</f>
        <v>0</v>
      </c>
      <c r="L25" s="208">
        <f>'ADJ DETAIL-INPUT'!L25</f>
        <v>0</v>
      </c>
      <c r="M25" s="208">
        <f>'ADJ DETAIL-INPUT'!M25</f>
        <v>0</v>
      </c>
      <c r="N25" s="208">
        <f>'ADJ DETAIL-INPUT'!N25</f>
        <v>0</v>
      </c>
      <c r="O25" s="208">
        <f>'ADJ DETAIL-INPUT'!O25</f>
        <v>0</v>
      </c>
      <c r="P25" s="208">
        <f>'ADJ DETAIL-INPUT'!P25</f>
        <v>0</v>
      </c>
      <c r="Q25" s="208">
        <f>'ADJ DETAIL-INPUT'!Q25</f>
        <v>0</v>
      </c>
      <c r="R25" s="208">
        <f>'ADJ DETAIL-INPUT'!R25</f>
        <v>0</v>
      </c>
      <c r="S25" s="208">
        <f>'ADJ DETAIL-INPUT'!S25</f>
        <v>0</v>
      </c>
      <c r="T25" s="208">
        <f>'ADJ DETAIL-INPUT'!T25</f>
        <v>0</v>
      </c>
      <c r="U25" s="208">
        <f>'ADJ DETAIL-INPUT'!U25</f>
        <v>0</v>
      </c>
      <c r="V25" s="208">
        <f>'ADJ DETAIL-INPUT'!V25</f>
        <v>0</v>
      </c>
      <c r="W25" s="208">
        <f>'ADJ DETAIL-INPUT'!W25</f>
        <v>0</v>
      </c>
      <c r="X25" s="208">
        <f>'ADJ DETAIL-INPUT'!X25</f>
        <v>0</v>
      </c>
      <c r="Y25" s="208">
        <f>'ADJ DETAIL-INPUT'!Y25</f>
        <v>0</v>
      </c>
      <c r="Z25" s="208">
        <f>'ADJ DETAIL-INPUT'!Z25</f>
        <v>0</v>
      </c>
      <c r="AA25" s="208">
        <f>'ADJ DETAIL-INPUT'!AA25</f>
        <v>0</v>
      </c>
    </row>
    <row r="26" spans="1:27" s="18" customFormat="1">
      <c r="A26" s="16">
        <f>'ADJ DETAIL-INPUT'!A26</f>
        <v>10</v>
      </c>
      <c r="C26" s="101" t="str">
        <f>'ADJ DETAIL-INPUT'!C26</f>
        <v>Regulatory Amortization</v>
      </c>
      <c r="D26" s="101"/>
      <c r="E26" s="101">
        <f>'ADJ DETAIL-INPUT'!E26</f>
        <v>2323</v>
      </c>
      <c r="F26" s="209">
        <f>'ADJ DETAIL-INPUT'!F26</f>
        <v>0</v>
      </c>
      <c r="G26" s="209">
        <f>'ADJ DETAIL-INPUT'!G26</f>
        <v>0</v>
      </c>
      <c r="H26" s="209">
        <f>'ADJ DETAIL-INPUT'!H26</f>
        <v>0</v>
      </c>
      <c r="I26" s="209">
        <f>'ADJ DETAIL-INPUT'!I26</f>
        <v>0</v>
      </c>
      <c r="J26" s="209">
        <f>'ADJ DETAIL-INPUT'!J26</f>
        <v>0</v>
      </c>
      <c r="K26" s="209">
        <f>'ADJ DETAIL-INPUT'!K26</f>
        <v>0</v>
      </c>
      <c r="L26" s="209">
        <f>'ADJ DETAIL-INPUT'!L26</f>
        <v>0</v>
      </c>
      <c r="M26" s="209">
        <f>'ADJ DETAIL-INPUT'!M26</f>
        <v>0</v>
      </c>
      <c r="N26" s="209">
        <f>'ADJ DETAIL-INPUT'!N26</f>
        <v>0</v>
      </c>
      <c r="O26" s="209">
        <f>'ADJ DETAIL-INPUT'!O26</f>
        <v>0</v>
      </c>
      <c r="P26" s="209">
        <f>'ADJ DETAIL-INPUT'!P26</f>
        <v>0</v>
      </c>
      <c r="Q26" s="209">
        <f>'ADJ DETAIL-INPUT'!Q26</f>
        <v>0</v>
      </c>
      <c r="R26" s="209">
        <f>'ADJ DETAIL-INPUT'!R26</f>
        <v>0</v>
      </c>
      <c r="S26" s="209">
        <f>'ADJ DETAIL-INPUT'!S26</f>
        <v>0</v>
      </c>
      <c r="T26" s="209">
        <f>'ADJ DETAIL-INPUT'!T26</f>
        <v>1274</v>
      </c>
      <c r="U26" s="209">
        <f>'ADJ DETAIL-INPUT'!U26</f>
        <v>0</v>
      </c>
      <c r="V26" s="209">
        <f>'ADJ DETAIL-INPUT'!V26</f>
        <v>0</v>
      </c>
      <c r="W26" s="209">
        <f>'ADJ DETAIL-INPUT'!W26</f>
        <v>0</v>
      </c>
      <c r="X26" s="209">
        <f>'ADJ DETAIL-INPUT'!X26</f>
        <v>0</v>
      </c>
      <c r="Y26" s="209">
        <f>'ADJ DETAIL-INPUT'!Y26</f>
        <v>0</v>
      </c>
      <c r="Z26" s="209">
        <f>'ADJ DETAIL-INPUT'!Z26</f>
        <v>0</v>
      </c>
      <c r="AA26" s="209">
        <f>'ADJ DETAIL-INPUT'!AA26</f>
        <v>0</v>
      </c>
    </row>
    <row r="27" spans="1:27" s="18" customFormat="1">
      <c r="A27" s="16">
        <f>'ADJ DETAIL-INPUT'!A27</f>
        <v>11</v>
      </c>
      <c r="C27" s="18" t="str">
        <f>'ADJ DETAIL-INPUT'!C27</f>
        <v xml:space="preserve">Taxes  </v>
      </c>
      <c r="E27" s="267">
        <f>'ADJ DETAIL-INPUT'!E27</f>
        <v>14744</v>
      </c>
      <c r="F27" s="210">
        <f>'ADJ DETAIL-INPUT'!F27</f>
        <v>0</v>
      </c>
      <c r="G27" s="210">
        <f>'ADJ DETAIL-INPUT'!G27</f>
        <v>0</v>
      </c>
      <c r="H27" s="210">
        <f>'ADJ DETAIL-INPUT'!H27</f>
        <v>0</v>
      </c>
      <c r="I27" s="210">
        <f>'ADJ DETAIL-INPUT'!I27</f>
        <v>0</v>
      </c>
      <c r="J27" s="210">
        <f>'ADJ DETAIL-INPUT'!J27</f>
        <v>0</v>
      </c>
      <c r="K27" s="210">
        <f>'ADJ DETAIL-INPUT'!K27</f>
        <v>-1</v>
      </c>
      <c r="L27" s="210">
        <f>'ADJ DETAIL-INPUT'!L27</f>
        <v>0</v>
      </c>
      <c r="M27" s="210">
        <f>'ADJ DETAIL-INPUT'!M27</f>
        <v>0</v>
      </c>
      <c r="N27" s="210">
        <f>'ADJ DETAIL-INPUT'!N27</f>
        <v>0</v>
      </c>
      <c r="O27" s="210">
        <f>'ADJ DETAIL-INPUT'!O27</f>
        <v>0</v>
      </c>
      <c r="P27" s="210">
        <f>'ADJ DETAIL-INPUT'!P27</f>
        <v>0</v>
      </c>
      <c r="Q27" s="210">
        <f>'ADJ DETAIL-INPUT'!Q27</f>
        <v>0</v>
      </c>
      <c r="R27" s="210">
        <f>'ADJ DETAIL-INPUT'!R27</f>
        <v>0</v>
      </c>
      <c r="S27" s="210">
        <f>'ADJ DETAIL-INPUT'!S27</f>
        <v>0</v>
      </c>
      <c r="T27" s="210">
        <f>'ADJ DETAIL-INPUT'!T27</f>
        <v>0</v>
      </c>
      <c r="U27" s="210">
        <f>'ADJ DETAIL-INPUT'!U27</f>
        <v>0</v>
      </c>
      <c r="V27" s="210">
        <f>'ADJ DETAIL-INPUT'!V27</f>
        <v>0</v>
      </c>
      <c r="W27" s="210">
        <f>'ADJ DETAIL-INPUT'!W27</f>
        <v>0</v>
      </c>
      <c r="X27" s="210">
        <f>'ADJ DETAIL-INPUT'!X27</f>
        <v>0</v>
      </c>
      <c r="Y27" s="210">
        <f>'ADJ DETAIL-INPUT'!Y27</f>
        <v>0</v>
      </c>
      <c r="Z27" s="210">
        <f>'ADJ DETAIL-INPUT'!Z27</f>
        <v>0</v>
      </c>
      <c r="AA27" s="210">
        <f>'ADJ DETAIL-INPUT'!AA27</f>
        <v>0</v>
      </c>
    </row>
    <row r="28" spans="1:27" s="18" customFormat="1">
      <c r="A28" s="16">
        <f>'ADJ DETAIL-INPUT'!A28</f>
        <v>12</v>
      </c>
      <c r="B28" s="18" t="str">
        <f>'ADJ DETAIL-INPUT'!B28</f>
        <v xml:space="preserve">Total Production &amp; Transmission  </v>
      </c>
      <c r="E28" s="101">
        <f>'ADJ DETAIL-INPUT'!E28</f>
        <v>304317</v>
      </c>
      <c r="F28" s="159">
        <f>'ADJ DETAIL-INPUT'!F28</f>
        <v>0</v>
      </c>
      <c r="G28" s="159">
        <f>'ADJ DETAIL-INPUT'!G28</f>
        <v>0</v>
      </c>
      <c r="H28" s="159">
        <f>'ADJ DETAIL-INPUT'!H28</f>
        <v>0</v>
      </c>
      <c r="I28" s="159">
        <f>'ADJ DETAIL-INPUT'!I28</f>
        <v>0</v>
      </c>
      <c r="J28" s="159">
        <f>'ADJ DETAIL-INPUT'!J28</f>
        <v>0</v>
      </c>
      <c r="K28" s="159">
        <f>'ADJ DETAIL-INPUT'!K28</f>
        <v>-1</v>
      </c>
      <c r="L28" s="159">
        <f>'ADJ DETAIL-INPUT'!L28</f>
        <v>0</v>
      </c>
      <c r="M28" s="159">
        <f>'ADJ DETAIL-INPUT'!M28</f>
        <v>0</v>
      </c>
      <c r="N28" s="159">
        <f>'ADJ DETAIL-INPUT'!N28</f>
        <v>0</v>
      </c>
      <c r="O28" s="159">
        <f>'ADJ DETAIL-INPUT'!O28</f>
        <v>0</v>
      </c>
      <c r="P28" s="159">
        <f>'ADJ DETAIL-INPUT'!P28</f>
        <v>0</v>
      </c>
      <c r="Q28" s="159">
        <f>'ADJ DETAIL-INPUT'!Q28</f>
        <v>0</v>
      </c>
      <c r="R28" s="159">
        <f>'ADJ DETAIL-INPUT'!R28</f>
        <v>0</v>
      </c>
      <c r="S28" s="159">
        <f>'ADJ DETAIL-INPUT'!S28</f>
        <v>0</v>
      </c>
      <c r="T28" s="159">
        <f>'ADJ DETAIL-INPUT'!T28</f>
        <v>1274</v>
      </c>
      <c r="U28" s="159">
        <f>'ADJ DETAIL-INPUT'!U28</f>
        <v>-2</v>
      </c>
      <c r="V28" s="159">
        <f>'ADJ DETAIL-INPUT'!V28</f>
        <v>-2295</v>
      </c>
      <c r="W28" s="159">
        <f>'ADJ DETAIL-INPUT'!W28</f>
        <v>-7</v>
      </c>
      <c r="X28" s="159">
        <f>'ADJ DETAIL-INPUT'!X28</f>
        <v>0</v>
      </c>
      <c r="Y28" s="159">
        <f>'ADJ DETAIL-INPUT'!Y28</f>
        <v>-476</v>
      </c>
      <c r="Z28" s="159">
        <f>'ADJ DETAIL-INPUT'!Z28</f>
        <v>0</v>
      </c>
      <c r="AA28" s="159">
        <f>'ADJ DETAIL-INPUT'!AA28</f>
        <v>-41968</v>
      </c>
    </row>
    <row r="29" spans="1:27" s="18" customFormat="1" ht="6.75" customHeight="1">
      <c r="A29" s="16"/>
      <c r="E29" s="101"/>
      <c r="F29" s="159"/>
      <c r="G29" s="159"/>
      <c r="H29" s="159"/>
      <c r="I29" s="159"/>
      <c r="J29" s="159"/>
      <c r="K29" s="159"/>
      <c r="L29" s="159"/>
      <c r="M29" s="159"/>
      <c r="N29" s="159"/>
      <c r="O29" s="159"/>
      <c r="P29" s="159"/>
      <c r="Q29" s="159"/>
      <c r="R29" s="159"/>
      <c r="S29" s="159"/>
      <c r="T29" s="159"/>
      <c r="U29" s="159"/>
      <c r="V29" s="159"/>
      <c r="W29" s="159"/>
      <c r="X29" s="159"/>
      <c r="Y29" s="159"/>
      <c r="Z29" s="159"/>
      <c r="AA29" s="159"/>
    </row>
    <row r="30" spans="1:27" s="18" customFormat="1">
      <c r="A30" s="16"/>
      <c r="B30" s="18" t="str">
        <f>'ADJ DETAIL-INPUT'!B30</f>
        <v xml:space="preserve">Distribution  </v>
      </c>
      <c r="E30" s="101"/>
      <c r="F30" s="159"/>
      <c r="G30" s="159"/>
      <c r="H30" s="159"/>
      <c r="I30" s="159"/>
      <c r="J30" s="159"/>
      <c r="K30" s="159"/>
      <c r="L30" s="159"/>
      <c r="M30" s="159"/>
      <c r="N30" s="159"/>
      <c r="O30" s="159"/>
      <c r="P30" s="159"/>
      <c r="Q30" s="159"/>
      <c r="R30" s="159"/>
      <c r="S30" s="159"/>
      <c r="T30" s="159"/>
      <c r="U30" s="159"/>
      <c r="V30" s="159"/>
      <c r="W30" s="159"/>
      <c r="X30" s="159"/>
      <c r="Y30" s="159"/>
      <c r="Z30" s="159"/>
      <c r="AA30" s="159"/>
    </row>
    <row r="31" spans="1:27" s="18" customFormat="1">
      <c r="A31" s="16">
        <f>'ADJ DETAIL-INPUT'!A31</f>
        <v>13</v>
      </c>
      <c r="C31" s="18" t="str">
        <f>'ADJ DETAIL-INPUT'!C31</f>
        <v xml:space="preserve">Operating Expenses  </v>
      </c>
      <c r="E31" s="137">
        <f>'ADJ DETAIL-INPUT'!E31</f>
        <v>21462</v>
      </c>
      <c r="F31" s="208">
        <f>'ADJ DETAIL-INPUT'!F31</f>
        <v>0</v>
      </c>
      <c r="G31" s="208">
        <f>'ADJ DETAIL-INPUT'!G31</f>
        <v>0</v>
      </c>
      <c r="H31" s="208">
        <f>'ADJ DETAIL-INPUT'!H31</f>
        <v>0</v>
      </c>
      <c r="I31" s="208">
        <f>'ADJ DETAIL-INPUT'!I31</f>
        <v>0</v>
      </c>
      <c r="J31" s="208">
        <f>'ADJ DETAIL-INPUT'!J31</f>
        <v>0</v>
      </c>
      <c r="K31" s="208">
        <f>'ADJ DETAIL-INPUT'!K31</f>
        <v>0</v>
      </c>
      <c r="L31" s="208">
        <f>'ADJ DETAIL-INPUT'!L31</f>
        <v>0</v>
      </c>
      <c r="M31" s="208">
        <f>'ADJ DETAIL-INPUT'!M31</f>
        <v>0</v>
      </c>
      <c r="N31" s="208">
        <f>'ADJ DETAIL-INPUT'!N31</f>
        <v>0</v>
      </c>
      <c r="O31" s="208">
        <f>'ADJ DETAIL-INPUT'!O31</f>
        <v>0</v>
      </c>
      <c r="P31" s="208">
        <f>'ADJ DETAIL-INPUT'!P31</f>
        <v>0</v>
      </c>
      <c r="Q31" s="208">
        <f>'ADJ DETAIL-INPUT'!Q31</f>
        <v>0</v>
      </c>
      <c r="R31" s="208">
        <f>'ADJ DETAIL-INPUT'!R31</f>
        <v>0</v>
      </c>
      <c r="S31" s="208">
        <f>'ADJ DETAIL-INPUT'!S31</f>
        <v>0</v>
      </c>
      <c r="T31" s="208">
        <f>'ADJ DETAIL-INPUT'!T31</f>
        <v>0</v>
      </c>
      <c r="U31" s="208">
        <f>'ADJ DETAIL-INPUT'!U31</f>
        <v>-1</v>
      </c>
      <c r="V31" s="208">
        <f>'ADJ DETAIL-INPUT'!V31</f>
        <v>0</v>
      </c>
      <c r="W31" s="208">
        <f>'ADJ DETAIL-INPUT'!W31</f>
        <v>0</v>
      </c>
      <c r="X31" s="208">
        <f>'ADJ DETAIL-INPUT'!X31</f>
        <v>0</v>
      </c>
      <c r="Y31" s="208">
        <f>'ADJ DETAIL-INPUT'!Y31</f>
        <v>0</v>
      </c>
      <c r="Z31" s="208">
        <f>'ADJ DETAIL-INPUT'!Z31</f>
        <v>0</v>
      </c>
      <c r="AA31" s="208">
        <f>'ADJ DETAIL-INPUT'!AA31</f>
        <v>0</v>
      </c>
    </row>
    <row r="32" spans="1:27" s="18" customFormat="1">
      <c r="A32" s="16">
        <f>'ADJ DETAIL-INPUT'!A32</f>
        <v>14</v>
      </c>
      <c r="C32" s="18" t="str">
        <f>'ADJ DETAIL-INPUT'!C32</f>
        <v>Depreciation/Amortization</v>
      </c>
      <c r="E32" s="137">
        <f>'ADJ DETAIL-INPUT'!E32</f>
        <v>29867</v>
      </c>
      <c r="F32" s="208">
        <f>'ADJ DETAIL-INPUT'!F32</f>
        <v>0</v>
      </c>
      <c r="G32" s="208">
        <f>'ADJ DETAIL-INPUT'!G32</f>
        <v>0</v>
      </c>
      <c r="H32" s="208">
        <f>'ADJ DETAIL-INPUT'!H32</f>
        <v>0</v>
      </c>
      <c r="I32" s="208">
        <f>'ADJ DETAIL-INPUT'!I32</f>
        <v>0</v>
      </c>
      <c r="J32" s="208">
        <f>'ADJ DETAIL-INPUT'!J32</f>
        <v>0</v>
      </c>
      <c r="K32" s="208">
        <f>'ADJ DETAIL-INPUT'!K32</f>
        <v>0</v>
      </c>
      <c r="L32" s="208">
        <f>'ADJ DETAIL-INPUT'!L32</f>
        <v>0</v>
      </c>
      <c r="M32" s="208">
        <f>'ADJ DETAIL-INPUT'!M32</f>
        <v>0</v>
      </c>
      <c r="N32" s="208">
        <f>'ADJ DETAIL-INPUT'!N32</f>
        <v>0</v>
      </c>
      <c r="O32" s="208">
        <f>'ADJ DETAIL-INPUT'!O32</f>
        <v>0</v>
      </c>
      <c r="P32" s="208">
        <f>'ADJ DETAIL-INPUT'!P32</f>
        <v>0</v>
      </c>
      <c r="Q32" s="208">
        <f>'ADJ DETAIL-INPUT'!Q32</f>
        <v>0</v>
      </c>
      <c r="R32" s="208">
        <f>'ADJ DETAIL-INPUT'!R32</f>
        <v>-81</v>
      </c>
      <c r="S32" s="208">
        <f>'ADJ DETAIL-INPUT'!S32</f>
        <v>0</v>
      </c>
      <c r="T32" s="208">
        <f>'ADJ DETAIL-INPUT'!T32</f>
        <v>0</v>
      </c>
      <c r="U32" s="208">
        <f>'ADJ DETAIL-INPUT'!U32</f>
        <v>0</v>
      </c>
      <c r="V32" s="208">
        <f>'ADJ DETAIL-INPUT'!V32</f>
        <v>0</v>
      </c>
      <c r="W32" s="208">
        <f>'ADJ DETAIL-INPUT'!W32</f>
        <v>0</v>
      </c>
      <c r="X32" s="208">
        <f>'ADJ DETAIL-INPUT'!X32</f>
        <v>0</v>
      </c>
      <c r="Y32" s="208">
        <f>'ADJ DETAIL-INPUT'!Y32</f>
        <v>0</v>
      </c>
      <c r="Z32" s="208">
        <f>'ADJ DETAIL-INPUT'!Z32</f>
        <v>0</v>
      </c>
      <c r="AA32" s="208">
        <f>'ADJ DETAIL-INPUT'!AA32</f>
        <v>0</v>
      </c>
    </row>
    <row r="33" spans="1:27" s="18" customFormat="1">
      <c r="A33" s="16">
        <f>'ADJ DETAIL-INPUT'!A33</f>
        <v>15</v>
      </c>
      <c r="C33" s="18" t="str">
        <f>'ADJ DETAIL-INPUT'!C33</f>
        <v xml:space="preserve">Taxes  </v>
      </c>
      <c r="E33" s="267">
        <f>'ADJ DETAIL-INPUT'!E33</f>
        <v>47539</v>
      </c>
      <c r="F33" s="210">
        <f>'ADJ DETAIL-INPUT'!F33</f>
        <v>0</v>
      </c>
      <c r="G33" s="210">
        <f>'ADJ DETAIL-INPUT'!G33</f>
        <v>0</v>
      </c>
      <c r="H33" s="210">
        <f>'ADJ DETAIL-INPUT'!H33</f>
        <v>0</v>
      </c>
      <c r="I33" s="210">
        <f>'ADJ DETAIL-INPUT'!I33</f>
        <v>0</v>
      </c>
      <c r="J33" s="210">
        <f>'ADJ DETAIL-INPUT'!J33</f>
        <v>-18878</v>
      </c>
      <c r="K33" s="210">
        <f>'ADJ DETAIL-INPUT'!K33</f>
        <v>-2</v>
      </c>
      <c r="L33" s="210">
        <f>'ADJ DETAIL-INPUT'!L33</f>
        <v>0</v>
      </c>
      <c r="M33" s="210">
        <f>'ADJ DETAIL-INPUT'!M33</f>
        <v>0</v>
      </c>
      <c r="N33" s="210">
        <f>'ADJ DETAIL-INPUT'!N33</f>
        <v>0</v>
      </c>
      <c r="O33" s="210">
        <f>'ADJ DETAIL-INPUT'!O33</f>
        <v>0</v>
      </c>
      <c r="P33" s="210">
        <f>'ADJ DETAIL-INPUT'!P33</f>
        <v>0</v>
      </c>
      <c r="Q33" s="210">
        <f>'ADJ DETAIL-INPUT'!Q33</f>
        <v>4</v>
      </c>
      <c r="R33" s="210">
        <f>'ADJ DETAIL-INPUT'!R33</f>
        <v>0</v>
      </c>
      <c r="S33" s="210">
        <f>'ADJ DETAIL-INPUT'!S33</f>
        <v>-486</v>
      </c>
      <c r="T33" s="210">
        <f>'ADJ DETAIL-INPUT'!T33</f>
        <v>-979</v>
      </c>
      <c r="U33" s="210">
        <f>'ADJ DETAIL-INPUT'!U33</f>
        <v>0</v>
      </c>
      <c r="V33" s="210">
        <f>'ADJ DETAIL-INPUT'!V33</f>
        <v>102</v>
      </c>
      <c r="W33" s="210">
        <f>'ADJ DETAIL-INPUT'!W33</f>
        <v>0</v>
      </c>
      <c r="X33" s="210">
        <f>'ADJ DETAIL-INPUT'!X33</f>
        <v>0</v>
      </c>
      <c r="Y33" s="210">
        <f>'ADJ DETAIL-INPUT'!Y33</f>
        <v>0</v>
      </c>
      <c r="Z33" s="210">
        <f>'ADJ DETAIL-INPUT'!Z33</f>
        <v>0</v>
      </c>
      <c r="AA33" s="210">
        <f>'ADJ DETAIL-INPUT'!AA33</f>
        <v>0</v>
      </c>
    </row>
    <row r="34" spans="1:27" s="18" customFormat="1">
      <c r="A34" s="16">
        <f>'ADJ DETAIL-INPUT'!A34</f>
        <v>16</v>
      </c>
      <c r="B34" s="18" t="str">
        <f>'ADJ DETAIL-INPUT'!B34</f>
        <v xml:space="preserve">Total Distribution  </v>
      </c>
      <c r="E34" s="101">
        <f>'ADJ DETAIL-INPUT'!E34</f>
        <v>98868</v>
      </c>
      <c r="F34" s="159">
        <f>'ADJ DETAIL-INPUT'!F34</f>
        <v>0</v>
      </c>
      <c r="G34" s="159">
        <f>'ADJ DETAIL-INPUT'!G34</f>
        <v>0</v>
      </c>
      <c r="H34" s="159">
        <f>'ADJ DETAIL-INPUT'!H34</f>
        <v>0</v>
      </c>
      <c r="I34" s="159">
        <f>'ADJ DETAIL-INPUT'!I34</f>
        <v>0</v>
      </c>
      <c r="J34" s="159">
        <f>'ADJ DETAIL-INPUT'!J34</f>
        <v>-18878</v>
      </c>
      <c r="K34" s="159">
        <f>'ADJ DETAIL-INPUT'!K34</f>
        <v>-2</v>
      </c>
      <c r="L34" s="159">
        <f>'ADJ DETAIL-INPUT'!L34</f>
        <v>0</v>
      </c>
      <c r="M34" s="159">
        <f>'ADJ DETAIL-INPUT'!M34</f>
        <v>0</v>
      </c>
      <c r="N34" s="159">
        <f>'ADJ DETAIL-INPUT'!N34</f>
        <v>0</v>
      </c>
      <c r="O34" s="159">
        <f>'ADJ DETAIL-INPUT'!O34</f>
        <v>0</v>
      </c>
      <c r="P34" s="159">
        <f>'ADJ DETAIL-INPUT'!P34</f>
        <v>0</v>
      </c>
      <c r="Q34" s="159">
        <f>'ADJ DETAIL-INPUT'!Q34</f>
        <v>4</v>
      </c>
      <c r="R34" s="159">
        <f>'ADJ DETAIL-INPUT'!R34</f>
        <v>-81</v>
      </c>
      <c r="S34" s="159">
        <f>'ADJ DETAIL-INPUT'!S34</f>
        <v>-486</v>
      </c>
      <c r="T34" s="159">
        <f>'ADJ DETAIL-INPUT'!T34</f>
        <v>-979</v>
      </c>
      <c r="U34" s="159">
        <f>'ADJ DETAIL-INPUT'!U34</f>
        <v>-1</v>
      </c>
      <c r="V34" s="159">
        <f>'ADJ DETAIL-INPUT'!V34</f>
        <v>102</v>
      </c>
      <c r="W34" s="159">
        <f>'ADJ DETAIL-INPUT'!W34</f>
        <v>0</v>
      </c>
      <c r="X34" s="159">
        <f>'ADJ DETAIL-INPUT'!X34</f>
        <v>0</v>
      </c>
      <c r="Y34" s="159">
        <f>'ADJ DETAIL-INPUT'!Y34</f>
        <v>0</v>
      </c>
      <c r="Z34" s="159">
        <f>'ADJ DETAIL-INPUT'!Z34</f>
        <v>0</v>
      </c>
      <c r="AA34" s="159">
        <f>'ADJ DETAIL-INPUT'!AA34</f>
        <v>0</v>
      </c>
    </row>
    <row r="35" spans="1:27" s="18" customFormat="1" ht="6" customHeight="1">
      <c r="E35" s="101"/>
      <c r="F35" s="159"/>
      <c r="G35" s="159"/>
      <c r="H35" s="159"/>
      <c r="I35" s="159"/>
      <c r="J35" s="159"/>
      <c r="K35" s="159"/>
      <c r="L35" s="159"/>
      <c r="M35" s="159"/>
      <c r="N35" s="159"/>
      <c r="O35" s="159"/>
      <c r="P35" s="159"/>
      <c r="Q35" s="159"/>
      <c r="R35" s="159"/>
      <c r="S35" s="159"/>
      <c r="T35" s="159"/>
      <c r="U35" s="159"/>
      <c r="V35" s="159"/>
      <c r="W35" s="159"/>
      <c r="X35" s="159"/>
      <c r="Y35" s="159"/>
      <c r="Z35" s="159"/>
      <c r="AA35" s="159"/>
    </row>
    <row r="36" spans="1:27" s="18" customFormat="1">
      <c r="A36" s="16">
        <f>'ADJ DETAIL-INPUT'!A36</f>
        <v>17</v>
      </c>
      <c r="B36" s="18" t="str">
        <f>'ADJ DETAIL-INPUT'!B36</f>
        <v xml:space="preserve">Customer Accounting  </v>
      </c>
      <c r="E36" s="137">
        <f>'ADJ DETAIL-INPUT'!E36</f>
        <v>11508</v>
      </c>
      <c r="F36" s="208">
        <f>'ADJ DETAIL-INPUT'!F36</f>
        <v>0</v>
      </c>
      <c r="G36" s="208">
        <f>'ADJ DETAIL-INPUT'!G36</f>
        <v>34</v>
      </c>
      <c r="H36" s="208">
        <f>'ADJ DETAIL-INPUT'!H36</f>
        <v>0</v>
      </c>
      <c r="I36" s="208">
        <f>'ADJ DETAIL-INPUT'!I36</f>
        <v>0</v>
      </c>
      <c r="J36" s="208">
        <f>'ADJ DETAIL-INPUT'!J36</f>
        <v>0</v>
      </c>
      <c r="K36" s="208">
        <f>'ADJ DETAIL-INPUT'!K36</f>
        <v>0</v>
      </c>
      <c r="L36" s="159">
        <f>'ADJ DETAIL-INPUT'!L36</f>
        <v>945</v>
      </c>
      <c r="M36" s="208">
        <f>'ADJ DETAIL-INPUT'!M36</f>
        <v>0</v>
      </c>
      <c r="N36" s="208">
        <f>'ADJ DETAIL-INPUT'!N36</f>
        <v>0</v>
      </c>
      <c r="O36" s="208">
        <f>'ADJ DETAIL-INPUT'!O36</f>
        <v>0</v>
      </c>
      <c r="P36" s="208">
        <f>'ADJ DETAIL-INPUT'!P36</f>
        <v>0</v>
      </c>
      <c r="Q36" s="208">
        <f>'ADJ DETAIL-INPUT'!Q36</f>
        <v>0</v>
      </c>
      <c r="R36" s="208">
        <f>'ADJ DETAIL-INPUT'!R36</f>
        <v>0</v>
      </c>
      <c r="S36" s="208">
        <f>'ADJ DETAIL-INPUT'!S36</f>
        <v>-63</v>
      </c>
      <c r="T36" s="208">
        <f>'ADJ DETAIL-INPUT'!T36</f>
        <v>-127</v>
      </c>
      <c r="U36" s="208">
        <f>'ADJ DETAIL-INPUT'!U36</f>
        <v>0</v>
      </c>
      <c r="V36" s="208">
        <f>'ADJ DETAIL-INPUT'!V36</f>
        <v>15</v>
      </c>
      <c r="W36" s="208">
        <f>'ADJ DETAIL-INPUT'!W36</f>
        <v>0</v>
      </c>
      <c r="X36" s="208">
        <f>'ADJ DETAIL-INPUT'!X36</f>
        <v>0</v>
      </c>
      <c r="Y36" s="208">
        <f>'ADJ DETAIL-INPUT'!Y36</f>
        <v>0</v>
      </c>
      <c r="Z36" s="208">
        <f>'ADJ DETAIL-INPUT'!Z36</f>
        <v>0</v>
      </c>
      <c r="AA36" s="208">
        <f>'ADJ DETAIL-INPUT'!AA36</f>
        <v>0</v>
      </c>
    </row>
    <row r="37" spans="1:27" s="18" customFormat="1">
      <c r="A37" s="16">
        <f>'ADJ DETAIL-INPUT'!A37</f>
        <v>18</v>
      </c>
      <c r="B37" s="18" t="str">
        <f>'ADJ DETAIL-INPUT'!B37</f>
        <v xml:space="preserve">Customer Service &amp; Information  </v>
      </c>
      <c r="E37" s="137">
        <f>'ADJ DETAIL-INPUT'!E37</f>
        <v>22266</v>
      </c>
      <c r="F37" s="208">
        <f>'ADJ DETAIL-INPUT'!F37</f>
        <v>0</v>
      </c>
      <c r="G37" s="208">
        <f>'ADJ DETAIL-INPUT'!G37</f>
        <v>0</v>
      </c>
      <c r="H37" s="208">
        <f>'ADJ DETAIL-INPUT'!H37</f>
        <v>0</v>
      </c>
      <c r="I37" s="208">
        <f>'ADJ DETAIL-INPUT'!I37</f>
        <v>0</v>
      </c>
      <c r="J37" s="208">
        <f>'ADJ DETAIL-INPUT'!J37</f>
        <v>0</v>
      </c>
      <c r="K37" s="208">
        <f>'ADJ DETAIL-INPUT'!K37</f>
        <v>0</v>
      </c>
      <c r="L37" s="208">
        <f>'ADJ DETAIL-INPUT'!L37</f>
        <v>0</v>
      </c>
      <c r="M37" s="208">
        <f>'ADJ DETAIL-INPUT'!M37</f>
        <v>0</v>
      </c>
      <c r="N37" s="208">
        <f>'ADJ DETAIL-INPUT'!N37</f>
        <v>0</v>
      </c>
      <c r="O37" s="208">
        <f>'ADJ DETAIL-INPUT'!O37</f>
        <v>0</v>
      </c>
      <c r="P37" s="208">
        <f>'ADJ DETAIL-INPUT'!P37</f>
        <v>0</v>
      </c>
      <c r="Q37" s="208">
        <f>'ADJ DETAIL-INPUT'!Q37</f>
        <v>0</v>
      </c>
      <c r="R37" s="208">
        <f>'ADJ DETAIL-INPUT'!R37</f>
        <v>0</v>
      </c>
      <c r="S37" s="208">
        <f>'ADJ DETAIL-INPUT'!S37</f>
        <v>0</v>
      </c>
      <c r="T37" s="208">
        <f>'ADJ DETAIL-INPUT'!T37</f>
        <v>-20816</v>
      </c>
      <c r="U37" s="208">
        <f>'ADJ DETAIL-INPUT'!U37</f>
        <v>-1</v>
      </c>
      <c r="V37" s="208">
        <f>'ADJ DETAIL-INPUT'!V37</f>
        <v>0</v>
      </c>
      <c r="W37" s="208">
        <f>'ADJ DETAIL-INPUT'!W37</f>
        <v>0</v>
      </c>
      <c r="X37" s="208">
        <f>'ADJ DETAIL-INPUT'!X37</f>
        <v>0</v>
      </c>
      <c r="Y37" s="208">
        <f>'ADJ DETAIL-INPUT'!Y37</f>
        <v>0</v>
      </c>
      <c r="Z37" s="208">
        <f>'ADJ DETAIL-INPUT'!Z37</f>
        <v>0</v>
      </c>
      <c r="AA37" s="208">
        <f>'ADJ DETAIL-INPUT'!AA37</f>
        <v>0</v>
      </c>
    </row>
    <row r="38" spans="1:27" s="18" customFormat="1">
      <c r="A38" s="16">
        <f>'ADJ DETAIL-INPUT'!A38</f>
        <v>19</v>
      </c>
      <c r="B38" s="18" t="str">
        <f>'ADJ DETAIL-INPUT'!B38</f>
        <v xml:space="preserve">Sales Expenses  </v>
      </c>
      <c r="E38" s="137">
        <f>'ADJ DETAIL-INPUT'!E38</f>
        <v>0</v>
      </c>
      <c r="F38" s="208">
        <f>'ADJ DETAIL-INPUT'!F38</f>
        <v>0</v>
      </c>
      <c r="G38" s="208">
        <f>'ADJ DETAIL-INPUT'!G38</f>
        <v>0</v>
      </c>
      <c r="H38" s="208">
        <f>'ADJ DETAIL-INPUT'!H38</f>
        <v>0</v>
      </c>
      <c r="I38" s="208">
        <f>'ADJ DETAIL-INPUT'!I38</f>
        <v>0</v>
      </c>
      <c r="J38" s="208">
        <f>'ADJ DETAIL-INPUT'!J38</f>
        <v>0</v>
      </c>
      <c r="K38" s="208">
        <f>'ADJ DETAIL-INPUT'!K38</f>
        <v>0</v>
      </c>
      <c r="L38" s="208">
        <f>'ADJ DETAIL-INPUT'!L38</f>
        <v>0</v>
      </c>
      <c r="M38" s="208">
        <f>'ADJ DETAIL-INPUT'!M38</f>
        <v>0</v>
      </c>
      <c r="N38" s="208">
        <f>'ADJ DETAIL-INPUT'!N38</f>
        <v>0</v>
      </c>
      <c r="O38" s="208">
        <f>'ADJ DETAIL-INPUT'!O38</f>
        <v>0</v>
      </c>
      <c r="P38" s="208">
        <f>'ADJ DETAIL-INPUT'!P38</f>
        <v>0</v>
      </c>
      <c r="Q38" s="208">
        <f>'ADJ DETAIL-INPUT'!Q38</f>
        <v>0</v>
      </c>
      <c r="R38" s="208">
        <f>'ADJ DETAIL-INPUT'!R38</f>
        <v>0</v>
      </c>
      <c r="S38" s="208">
        <f>'ADJ DETAIL-INPUT'!S38</f>
        <v>0</v>
      </c>
      <c r="T38" s="208">
        <f>'ADJ DETAIL-INPUT'!T38</f>
        <v>0</v>
      </c>
      <c r="U38" s="208">
        <f>'ADJ DETAIL-INPUT'!U38</f>
        <v>0</v>
      </c>
      <c r="V38" s="208">
        <f>'ADJ DETAIL-INPUT'!V38</f>
        <v>0</v>
      </c>
      <c r="W38" s="208">
        <f>'ADJ DETAIL-INPUT'!W38</f>
        <v>0</v>
      </c>
      <c r="X38" s="208">
        <f>'ADJ DETAIL-INPUT'!X38</f>
        <v>0</v>
      </c>
      <c r="Y38" s="208">
        <f>'ADJ DETAIL-INPUT'!Y38</f>
        <v>0</v>
      </c>
      <c r="Z38" s="208">
        <f>'ADJ DETAIL-INPUT'!Z38</f>
        <v>0</v>
      </c>
      <c r="AA38" s="208">
        <f>'ADJ DETAIL-INPUT'!AA38</f>
        <v>0</v>
      </c>
    </row>
    <row r="39" spans="1:27" s="18" customFormat="1" ht="6" customHeight="1">
      <c r="A39" s="16"/>
      <c r="E39" s="101"/>
      <c r="F39" s="208"/>
      <c r="G39" s="208"/>
      <c r="H39" s="208"/>
      <c r="I39" s="208"/>
      <c r="J39" s="208"/>
      <c r="K39" s="208"/>
      <c r="L39" s="208"/>
      <c r="M39" s="208"/>
      <c r="N39" s="208"/>
      <c r="O39" s="208"/>
      <c r="P39" s="208"/>
      <c r="Q39" s="208"/>
      <c r="R39" s="208"/>
      <c r="S39" s="208"/>
      <c r="T39" s="208"/>
      <c r="U39" s="208"/>
      <c r="V39" s="208"/>
      <c r="W39" s="208"/>
      <c r="X39" s="208"/>
      <c r="Y39" s="208"/>
      <c r="Z39" s="208"/>
      <c r="AA39" s="208"/>
    </row>
    <row r="40" spans="1:27" s="18" customFormat="1">
      <c r="B40" s="18" t="str">
        <f>'ADJ DETAIL-INPUT'!B40</f>
        <v xml:space="preserve">Administrative &amp; General  </v>
      </c>
      <c r="E40" s="101"/>
      <c r="F40" s="208"/>
      <c r="G40" s="208"/>
      <c r="H40" s="208"/>
      <c r="I40" s="208"/>
      <c r="J40" s="208"/>
      <c r="K40" s="208"/>
      <c r="L40" s="208"/>
      <c r="M40" s="208"/>
      <c r="N40" s="208"/>
      <c r="O40" s="208"/>
      <c r="P40" s="208"/>
      <c r="Q40" s="208"/>
      <c r="R40" s="208"/>
      <c r="S40" s="208"/>
      <c r="T40" s="208"/>
      <c r="U40" s="208"/>
      <c r="V40" s="208"/>
      <c r="W40" s="208"/>
      <c r="X40" s="208"/>
      <c r="Y40" s="208"/>
      <c r="Z40" s="208"/>
      <c r="AA40" s="208"/>
    </row>
    <row r="41" spans="1:27" s="18" customFormat="1">
      <c r="A41" s="16">
        <f>'ADJ DETAIL-INPUT'!A41</f>
        <v>20</v>
      </c>
      <c r="C41" s="18" t="str">
        <f>'ADJ DETAIL-INPUT'!C41</f>
        <v xml:space="preserve">Operating Expenses  </v>
      </c>
      <c r="E41" s="137">
        <f>'ADJ DETAIL-INPUT'!E41</f>
        <v>49007</v>
      </c>
      <c r="F41" s="208">
        <f>'ADJ DETAIL-INPUT'!F41</f>
        <v>0</v>
      </c>
      <c r="G41" s="208">
        <f>'ADJ DETAIL-INPUT'!G41</f>
        <v>0</v>
      </c>
      <c r="H41" s="208">
        <f>'ADJ DETAIL-INPUT'!H41</f>
        <v>0</v>
      </c>
      <c r="I41" s="208">
        <f>'ADJ DETAIL-INPUT'!I41</f>
        <v>0</v>
      </c>
      <c r="J41" s="208">
        <f>'ADJ DETAIL-INPUT'!J41</f>
        <v>0</v>
      </c>
      <c r="K41" s="208">
        <f>'ADJ DETAIL-INPUT'!K41</f>
        <v>0</v>
      </c>
      <c r="L41" s="208">
        <f>'ADJ DETAIL-INPUT'!L41</f>
        <v>0</v>
      </c>
      <c r="M41" s="208">
        <f>'ADJ DETAIL-INPUT'!M41</f>
        <v>64</v>
      </c>
      <c r="N41" s="208">
        <f>'ADJ DETAIL-INPUT'!N41</f>
        <v>106</v>
      </c>
      <c r="O41" s="208">
        <f>'ADJ DETAIL-INPUT'!O41</f>
        <v>0</v>
      </c>
      <c r="P41" s="208">
        <f>'ADJ DETAIL-INPUT'!P41</f>
        <v>-50</v>
      </c>
      <c r="Q41" s="208">
        <f>'ADJ DETAIL-INPUT'!Q41</f>
        <v>0</v>
      </c>
      <c r="R41" s="208">
        <f>'ADJ DETAIL-INPUT'!R41</f>
        <v>0</v>
      </c>
      <c r="S41" s="208">
        <f>'ADJ DETAIL-INPUT'!S41</f>
        <v>-25</v>
      </c>
      <c r="T41" s="208">
        <f>'ADJ DETAIL-INPUT'!T41</f>
        <v>-51</v>
      </c>
      <c r="U41" s="208">
        <f>'ADJ DETAIL-INPUT'!U41</f>
        <v>-1153</v>
      </c>
      <c r="V41" s="208">
        <f>'ADJ DETAIL-INPUT'!V41</f>
        <v>5</v>
      </c>
      <c r="W41" s="208">
        <f>'ADJ DETAIL-INPUT'!W41</f>
        <v>0</v>
      </c>
      <c r="X41" s="208">
        <f>'ADJ DETAIL-INPUT'!X41</f>
        <v>-737</v>
      </c>
      <c r="Y41" s="208">
        <f>'ADJ DETAIL-INPUT'!Y41</f>
        <v>0</v>
      </c>
      <c r="Z41" s="208">
        <f>'ADJ DETAIL-INPUT'!Z41</f>
        <v>0</v>
      </c>
      <c r="AA41" s="208">
        <f>'ADJ DETAIL-INPUT'!AA41</f>
        <v>0</v>
      </c>
    </row>
    <row r="42" spans="1:27" s="18" customFormat="1">
      <c r="A42" s="16">
        <f>'ADJ DETAIL-INPUT'!A42</f>
        <v>21</v>
      </c>
      <c r="C42" s="18" t="str">
        <f>'ADJ DETAIL-INPUT'!C42</f>
        <v>Depreciation/Amortization</v>
      </c>
      <c r="E42" s="137">
        <f>'ADJ DETAIL-INPUT'!E42</f>
        <v>24993</v>
      </c>
      <c r="F42" s="208">
        <f>'ADJ DETAIL-INPUT'!F42</f>
        <v>0</v>
      </c>
      <c r="G42" s="208">
        <f>'ADJ DETAIL-INPUT'!G42</f>
        <v>0</v>
      </c>
      <c r="H42" s="208">
        <f>'ADJ DETAIL-INPUT'!H42</f>
        <v>0</v>
      </c>
      <c r="I42" s="208">
        <f>'ADJ DETAIL-INPUT'!I42</f>
        <v>0</v>
      </c>
      <c r="J42" s="208">
        <f>'ADJ DETAIL-INPUT'!J42</f>
        <v>0</v>
      </c>
      <c r="K42" s="208">
        <f>'ADJ DETAIL-INPUT'!K42</f>
        <v>0</v>
      </c>
      <c r="L42" s="208">
        <f>'ADJ DETAIL-INPUT'!L42</f>
        <v>0</v>
      </c>
      <c r="M42" s="208">
        <f>'ADJ DETAIL-INPUT'!M42</f>
        <v>0</v>
      </c>
      <c r="N42" s="208">
        <f>'ADJ DETAIL-INPUT'!N42</f>
        <v>0</v>
      </c>
      <c r="O42" s="208">
        <f>'ADJ DETAIL-INPUT'!O42</f>
        <v>0</v>
      </c>
      <c r="P42" s="208">
        <f>'ADJ DETAIL-INPUT'!P42</f>
        <v>0</v>
      </c>
      <c r="Q42" s="208">
        <f>'ADJ DETAIL-INPUT'!Q42</f>
        <v>0</v>
      </c>
      <c r="R42" s="208">
        <f>'ADJ DETAIL-INPUT'!R42</f>
        <v>0</v>
      </c>
      <c r="S42" s="208">
        <f>'ADJ DETAIL-INPUT'!S42</f>
        <v>0</v>
      </c>
      <c r="T42" s="208">
        <f>'ADJ DETAIL-INPUT'!T42</f>
        <v>0</v>
      </c>
      <c r="U42" s="208">
        <f>'ADJ DETAIL-INPUT'!U42</f>
        <v>0</v>
      </c>
      <c r="V42" s="208">
        <f>'ADJ DETAIL-INPUT'!V42</f>
        <v>0</v>
      </c>
      <c r="W42" s="208">
        <f>'ADJ DETAIL-INPUT'!W42</f>
        <v>0</v>
      </c>
      <c r="X42" s="208">
        <f>'ADJ DETAIL-INPUT'!X42</f>
        <v>0</v>
      </c>
      <c r="Y42" s="208">
        <f>'ADJ DETAIL-INPUT'!Y42</f>
        <v>0</v>
      </c>
      <c r="Z42" s="208">
        <f>'ADJ DETAIL-INPUT'!Z42</f>
        <v>0</v>
      </c>
      <c r="AA42" s="208">
        <f>'ADJ DETAIL-INPUT'!AA42</f>
        <v>0</v>
      </c>
    </row>
    <row r="43" spans="1:27" s="18" customFormat="1">
      <c r="A43" s="176">
        <f>'ADJ DETAIL-INPUT'!A43</f>
        <v>22</v>
      </c>
      <c r="C43" s="18" t="str">
        <f>'ADJ DETAIL-INPUT'!C43</f>
        <v xml:space="preserve">Taxes  </v>
      </c>
      <c r="E43" s="267">
        <f>'ADJ DETAIL-INPUT'!E43</f>
        <v>0</v>
      </c>
      <c r="F43" s="210">
        <f>'ADJ DETAIL-INPUT'!F43</f>
        <v>0</v>
      </c>
      <c r="G43" s="210">
        <f>'ADJ DETAIL-INPUT'!G43</f>
        <v>0</v>
      </c>
      <c r="H43" s="210">
        <f>'ADJ DETAIL-INPUT'!H43</f>
        <v>0</v>
      </c>
      <c r="I43" s="210">
        <f>'ADJ DETAIL-INPUT'!I43</f>
        <v>0</v>
      </c>
      <c r="J43" s="210">
        <f>'ADJ DETAIL-INPUT'!J43</f>
        <v>0</v>
      </c>
      <c r="K43" s="210">
        <f>'ADJ DETAIL-INPUT'!K43</f>
        <v>0</v>
      </c>
      <c r="L43" s="210">
        <f>'ADJ DETAIL-INPUT'!L43</f>
        <v>0</v>
      </c>
      <c r="M43" s="210">
        <f>'ADJ DETAIL-INPUT'!M43</f>
        <v>0</v>
      </c>
      <c r="N43" s="210">
        <f>'ADJ DETAIL-INPUT'!N43</f>
        <v>0</v>
      </c>
      <c r="O43" s="210">
        <f>'ADJ DETAIL-INPUT'!O43</f>
        <v>0</v>
      </c>
      <c r="P43" s="210">
        <f>'ADJ DETAIL-INPUT'!P43</f>
        <v>0</v>
      </c>
      <c r="Q43" s="210">
        <f>'ADJ DETAIL-INPUT'!Q43</f>
        <v>0</v>
      </c>
      <c r="R43" s="210">
        <f>'ADJ DETAIL-INPUT'!R43</f>
        <v>0</v>
      </c>
      <c r="S43" s="210">
        <f>'ADJ DETAIL-INPUT'!S43</f>
        <v>0</v>
      </c>
      <c r="T43" s="210">
        <f>'ADJ DETAIL-INPUT'!T43</f>
        <v>0</v>
      </c>
      <c r="U43" s="210">
        <f>'ADJ DETAIL-INPUT'!U43</f>
        <v>0</v>
      </c>
      <c r="V43" s="210">
        <f>'ADJ DETAIL-INPUT'!V43</f>
        <v>0</v>
      </c>
      <c r="W43" s="210">
        <f>'ADJ DETAIL-INPUT'!W43</f>
        <v>0</v>
      </c>
      <c r="X43" s="210">
        <f>'ADJ DETAIL-INPUT'!X43</f>
        <v>0</v>
      </c>
      <c r="Y43" s="210">
        <f>'ADJ DETAIL-INPUT'!Y43</f>
        <v>0</v>
      </c>
      <c r="Z43" s="210">
        <f>'ADJ DETAIL-INPUT'!Z43</f>
        <v>0</v>
      </c>
      <c r="AA43" s="210">
        <f>'ADJ DETAIL-INPUT'!AA43</f>
        <v>0</v>
      </c>
    </row>
    <row r="44" spans="1:27" s="18" customFormat="1">
      <c r="A44" s="16">
        <f>'ADJ DETAIL-INPUT'!A44</f>
        <v>23</v>
      </c>
      <c r="B44" s="18" t="str">
        <f>'ADJ DETAIL-INPUT'!B44</f>
        <v xml:space="preserve">Total Admin. &amp; General  </v>
      </c>
      <c r="E44" s="267">
        <f>'ADJ DETAIL-INPUT'!E44</f>
        <v>74000</v>
      </c>
      <c r="F44" s="173">
        <f>'ADJ DETAIL-INPUT'!F44</f>
        <v>0</v>
      </c>
      <c r="G44" s="173">
        <f>'ADJ DETAIL-INPUT'!G44</f>
        <v>0</v>
      </c>
      <c r="H44" s="173">
        <f>'ADJ DETAIL-INPUT'!H44</f>
        <v>0</v>
      </c>
      <c r="I44" s="173">
        <f>'ADJ DETAIL-INPUT'!I44</f>
        <v>0</v>
      </c>
      <c r="J44" s="173">
        <f>'ADJ DETAIL-INPUT'!J44</f>
        <v>0</v>
      </c>
      <c r="K44" s="173">
        <f>'ADJ DETAIL-INPUT'!K44</f>
        <v>0</v>
      </c>
      <c r="L44" s="173">
        <f>'ADJ DETAIL-INPUT'!L44</f>
        <v>0</v>
      </c>
      <c r="M44" s="173">
        <f>'ADJ DETAIL-INPUT'!M44</f>
        <v>64</v>
      </c>
      <c r="N44" s="173">
        <f>'ADJ DETAIL-INPUT'!N44</f>
        <v>106</v>
      </c>
      <c r="O44" s="173">
        <f>'ADJ DETAIL-INPUT'!O44</f>
        <v>0</v>
      </c>
      <c r="P44" s="173">
        <f>'ADJ DETAIL-INPUT'!P44</f>
        <v>-50</v>
      </c>
      <c r="Q44" s="173">
        <f>'ADJ DETAIL-INPUT'!Q44</f>
        <v>0</v>
      </c>
      <c r="R44" s="173">
        <f>'ADJ DETAIL-INPUT'!R44</f>
        <v>0</v>
      </c>
      <c r="S44" s="173">
        <f>'ADJ DETAIL-INPUT'!S44</f>
        <v>-25</v>
      </c>
      <c r="T44" s="173">
        <f>'ADJ DETAIL-INPUT'!T44</f>
        <v>-51</v>
      </c>
      <c r="U44" s="173">
        <f>'ADJ DETAIL-INPUT'!U44</f>
        <v>-1153</v>
      </c>
      <c r="V44" s="173">
        <f>'ADJ DETAIL-INPUT'!V44</f>
        <v>5</v>
      </c>
      <c r="W44" s="173">
        <f>'ADJ DETAIL-INPUT'!W44</f>
        <v>0</v>
      </c>
      <c r="X44" s="173">
        <f>'ADJ DETAIL-INPUT'!X44</f>
        <v>-737</v>
      </c>
      <c r="Y44" s="173">
        <f>'ADJ DETAIL-INPUT'!Y44</f>
        <v>0</v>
      </c>
      <c r="Z44" s="173">
        <f>'ADJ DETAIL-INPUT'!Z44</f>
        <v>0</v>
      </c>
      <c r="AA44" s="173">
        <f>'ADJ DETAIL-INPUT'!AA44</f>
        <v>0</v>
      </c>
    </row>
    <row r="45" spans="1:27" s="18" customFormat="1">
      <c r="A45" s="16">
        <f>'ADJ DETAIL-INPUT'!A45</f>
        <v>24</v>
      </c>
      <c r="B45" s="18" t="str">
        <f>'ADJ DETAIL-INPUT'!B45</f>
        <v xml:space="preserve">Total Electric Expenses  </v>
      </c>
      <c r="E45" s="267">
        <f>'ADJ DETAIL-INPUT'!E45</f>
        <v>510959</v>
      </c>
      <c r="F45" s="173">
        <f>'ADJ DETAIL-INPUT'!F45</f>
        <v>0</v>
      </c>
      <c r="G45" s="173">
        <f>'ADJ DETAIL-INPUT'!G45</f>
        <v>34</v>
      </c>
      <c r="H45" s="173">
        <f>'ADJ DETAIL-INPUT'!H45</f>
        <v>0</v>
      </c>
      <c r="I45" s="173">
        <f>'ADJ DETAIL-INPUT'!I45</f>
        <v>0</v>
      </c>
      <c r="J45" s="173">
        <f>'ADJ DETAIL-INPUT'!J45</f>
        <v>-18878</v>
      </c>
      <c r="K45" s="173">
        <f>'ADJ DETAIL-INPUT'!K45</f>
        <v>-3</v>
      </c>
      <c r="L45" s="173">
        <f>'ADJ DETAIL-INPUT'!L45</f>
        <v>945</v>
      </c>
      <c r="M45" s="173">
        <f>'ADJ DETAIL-INPUT'!M45</f>
        <v>64</v>
      </c>
      <c r="N45" s="173">
        <f>'ADJ DETAIL-INPUT'!N45</f>
        <v>106</v>
      </c>
      <c r="O45" s="173">
        <f>'ADJ DETAIL-INPUT'!O45</f>
        <v>0</v>
      </c>
      <c r="P45" s="173">
        <f>'ADJ DETAIL-INPUT'!P45</f>
        <v>-50</v>
      </c>
      <c r="Q45" s="173">
        <f>'ADJ DETAIL-INPUT'!Q45</f>
        <v>4</v>
      </c>
      <c r="R45" s="173">
        <f>'ADJ DETAIL-INPUT'!R45</f>
        <v>-81</v>
      </c>
      <c r="S45" s="173">
        <f>'ADJ DETAIL-INPUT'!S45</f>
        <v>-574</v>
      </c>
      <c r="T45" s="173">
        <f>'ADJ DETAIL-INPUT'!T45</f>
        <v>-20699</v>
      </c>
      <c r="U45" s="173">
        <f>'ADJ DETAIL-INPUT'!U45</f>
        <v>-1157</v>
      </c>
      <c r="V45" s="173">
        <f>'ADJ DETAIL-INPUT'!V45</f>
        <v>-2173</v>
      </c>
      <c r="W45" s="173">
        <f>'ADJ DETAIL-INPUT'!W45</f>
        <v>-7</v>
      </c>
      <c r="X45" s="173">
        <f>'ADJ DETAIL-INPUT'!X45</f>
        <v>-737</v>
      </c>
      <c r="Y45" s="173">
        <f>'ADJ DETAIL-INPUT'!Y45</f>
        <v>-476</v>
      </c>
      <c r="Z45" s="173">
        <f>'ADJ DETAIL-INPUT'!Z45</f>
        <v>0</v>
      </c>
      <c r="AA45" s="173">
        <f>'ADJ DETAIL-INPUT'!AA45</f>
        <v>-41968</v>
      </c>
    </row>
    <row r="46" spans="1:27" s="18" customFormat="1" ht="6.75" customHeight="1">
      <c r="E46" s="101"/>
      <c r="F46" s="159"/>
      <c r="G46" s="159"/>
      <c r="H46" s="159"/>
      <c r="I46" s="159"/>
      <c r="J46" s="159"/>
      <c r="K46" s="159"/>
      <c r="L46" s="159"/>
      <c r="M46" s="159"/>
      <c r="N46" s="159"/>
      <c r="O46" s="159"/>
      <c r="P46" s="159"/>
      <c r="Q46" s="159"/>
      <c r="R46" s="159"/>
      <c r="S46" s="159"/>
      <c r="T46" s="159"/>
      <c r="U46" s="159"/>
      <c r="V46" s="159"/>
      <c r="W46" s="159"/>
      <c r="X46" s="159"/>
      <c r="Y46" s="159"/>
      <c r="Z46" s="159"/>
      <c r="AA46" s="159"/>
    </row>
    <row r="47" spans="1:27" s="18" customFormat="1">
      <c r="A47" s="16">
        <f>'ADJ DETAIL-INPUT'!A47</f>
        <v>25</v>
      </c>
      <c r="B47" s="18" t="str">
        <f>'ADJ DETAIL-INPUT'!B47</f>
        <v xml:space="preserve">OPERATING INCOME BEFORE FIT  </v>
      </c>
      <c r="E47" s="101">
        <f>'ADJ DETAIL-INPUT'!E47</f>
        <v>153873</v>
      </c>
      <c r="F47" s="159">
        <f>'ADJ DETAIL-INPUT'!F47</f>
        <v>0</v>
      </c>
      <c r="G47" s="159">
        <f>'ADJ DETAIL-INPUT'!G47</f>
        <v>-34</v>
      </c>
      <c r="H47" s="159">
        <f>'ADJ DETAIL-INPUT'!H47</f>
        <v>0</v>
      </c>
      <c r="I47" s="159">
        <f>'ADJ DETAIL-INPUT'!I47</f>
        <v>0</v>
      </c>
      <c r="J47" s="159">
        <f>'ADJ DETAIL-INPUT'!J47</f>
        <v>-102</v>
      </c>
      <c r="K47" s="159">
        <f>'ADJ DETAIL-INPUT'!K47</f>
        <v>3</v>
      </c>
      <c r="L47" s="159">
        <f>'ADJ DETAIL-INPUT'!L47</f>
        <v>-945</v>
      </c>
      <c r="M47" s="159">
        <f>'ADJ DETAIL-INPUT'!M47</f>
        <v>-64</v>
      </c>
      <c r="N47" s="159">
        <f>'ADJ DETAIL-INPUT'!N47</f>
        <v>-106</v>
      </c>
      <c r="O47" s="159">
        <f>'ADJ DETAIL-INPUT'!O47</f>
        <v>0</v>
      </c>
      <c r="P47" s="159">
        <f>'ADJ DETAIL-INPUT'!P47</f>
        <v>50</v>
      </c>
      <c r="Q47" s="159">
        <f>'ADJ DETAIL-INPUT'!Q47</f>
        <v>-4</v>
      </c>
      <c r="R47" s="159">
        <f>'ADJ DETAIL-INPUT'!R47</f>
        <v>81</v>
      </c>
      <c r="S47" s="159">
        <f>'ADJ DETAIL-INPUT'!S47</f>
        <v>-2234</v>
      </c>
      <c r="T47" s="159">
        <f>'ADJ DETAIL-INPUT'!T47</f>
        <v>0</v>
      </c>
      <c r="U47" s="159">
        <f>'ADJ DETAIL-INPUT'!U47</f>
        <v>1287</v>
      </c>
      <c r="V47" s="159">
        <f>'ADJ DETAIL-INPUT'!V47</f>
        <v>4828</v>
      </c>
      <c r="W47" s="159">
        <f>'ADJ DETAIL-INPUT'!W47</f>
        <v>7</v>
      </c>
      <c r="X47" s="159">
        <f>'ADJ DETAIL-INPUT'!X47</f>
        <v>737</v>
      </c>
      <c r="Y47" s="159">
        <f>'ADJ DETAIL-INPUT'!Y47</f>
        <v>476</v>
      </c>
      <c r="Z47" s="159">
        <f>'ADJ DETAIL-INPUT'!Z47</f>
        <v>0</v>
      </c>
      <c r="AA47" s="159">
        <f>'ADJ DETAIL-INPUT'!AA47</f>
        <v>-8441</v>
      </c>
    </row>
    <row r="48" spans="1:27" s="18" customFormat="1" ht="6.75" customHeight="1">
      <c r="A48" s="16"/>
      <c r="E48" s="101"/>
      <c r="F48" s="159"/>
      <c r="G48" s="159"/>
      <c r="H48" s="159"/>
      <c r="I48" s="159"/>
      <c r="J48" s="159"/>
      <c r="K48" s="159"/>
      <c r="L48" s="159"/>
      <c r="M48" s="159"/>
      <c r="N48" s="159"/>
      <c r="O48" s="159"/>
      <c r="P48" s="159"/>
      <c r="Q48" s="159"/>
      <c r="R48" s="159"/>
      <c r="S48" s="159"/>
      <c r="T48" s="159"/>
      <c r="U48" s="159"/>
      <c r="V48" s="159"/>
      <c r="W48" s="159"/>
      <c r="X48" s="159"/>
      <c r="Y48" s="159"/>
      <c r="Z48" s="159"/>
      <c r="AA48" s="159"/>
    </row>
    <row r="49" spans="1:27" s="18" customFormat="1">
      <c r="A49" s="21"/>
      <c r="B49" s="18" t="str">
        <f>'ADJ DETAIL-INPUT'!B49</f>
        <v xml:space="preserve">FEDERAL INCOME TAX  </v>
      </c>
      <c r="E49" s="101">
        <f>'ADJ DETAIL-INPUT'!E49</f>
        <v>0</v>
      </c>
      <c r="F49" s="159">
        <f>'ADJ DETAIL-INPUT'!F49</f>
        <v>0</v>
      </c>
      <c r="G49" s="159">
        <f>'ADJ DETAIL-INPUT'!G49</f>
        <v>0</v>
      </c>
      <c r="H49" s="159">
        <f>'ADJ DETAIL-INPUT'!H49</f>
        <v>0</v>
      </c>
      <c r="I49" s="159">
        <f>'ADJ DETAIL-INPUT'!I49</f>
        <v>0</v>
      </c>
      <c r="J49" s="159">
        <f>'ADJ DETAIL-INPUT'!J49</f>
        <v>0</v>
      </c>
      <c r="K49" s="159">
        <f>'ADJ DETAIL-INPUT'!K49</f>
        <v>0</v>
      </c>
      <c r="L49" s="159">
        <f>'ADJ DETAIL-INPUT'!L49</f>
        <v>0</v>
      </c>
      <c r="M49" s="159">
        <f>'ADJ DETAIL-INPUT'!M49</f>
        <v>0</v>
      </c>
      <c r="N49" s="159">
        <f>'ADJ DETAIL-INPUT'!N49</f>
        <v>0</v>
      </c>
      <c r="O49" s="159">
        <f>'ADJ DETAIL-INPUT'!O49</f>
        <v>0</v>
      </c>
      <c r="P49" s="159">
        <f>'ADJ DETAIL-INPUT'!P49</f>
        <v>0</v>
      </c>
      <c r="Q49" s="159">
        <f>'ADJ DETAIL-INPUT'!Q49</f>
        <v>0</v>
      </c>
      <c r="R49" s="159">
        <f>'ADJ DETAIL-INPUT'!R49</f>
        <v>0</v>
      </c>
      <c r="S49" s="159">
        <f>'ADJ DETAIL-INPUT'!S49</f>
        <v>0</v>
      </c>
      <c r="T49" s="159">
        <f>'ADJ DETAIL-INPUT'!T49</f>
        <v>0</v>
      </c>
      <c r="U49" s="159">
        <f>'ADJ DETAIL-INPUT'!U49</f>
        <v>0</v>
      </c>
      <c r="V49" s="159">
        <f>'ADJ DETAIL-INPUT'!V49</f>
        <v>0</v>
      </c>
      <c r="W49" s="159">
        <f>'ADJ DETAIL-INPUT'!W49</f>
        <v>0</v>
      </c>
      <c r="X49" s="159">
        <f>'ADJ DETAIL-INPUT'!X49</f>
        <v>0</v>
      </c>
      <c r="Y49" s="159">
        <f>'ADJ DETAIL-INPUT'!Y49</f>
        <v>0</v>
      </c>
      <c r="Z49" s="159">
        <f>'ADJ DETAIL-INPUT'!Z49</f>
        <v>0</v>
      </c>
      <c r="AA49" s="159">
        <f>'ADJ DETAIL-INPUT'!AA49</f>
        <v>0</v>
      </c>
    </row>
    <row r="50" spans="1:27" s="18" customFormat="1">
      <c r="A50" s="176">
        <f>'ADJ DETAIL-INPUT'!A50</f>
        <v>26</v>
      </c>
      <c r="B50" s="18" t="str">
        <f>'ADJ DETAIL-INPUT'!B50</f>
        <v xml:space="preserve">Current Accrual </v>
      </c>
      <c r="E50" s="137">
        <f>'ADJ DETAIL-INPUT'!E50</f>
        <v>9592</v>
      </c>
      <c r="F50" s="159">
        <f>'ADJ DETAIL-INPUT'!F50</f>
        <v>0</v>
      </c>
      <c r="G50" s="159">
        <f>'ADJ DETAIL-INPUT'!G50</f>
        <v>-11.899999999999999</v>
      </c>
      <c r="H50" s="159">
        <f>'ADJ DETAIL-INPUT'!H50</f>
        <v>0</v>
      </c>
      <c r="I50" s="159">
        <f>'ADJ DETAIL-INPUT'!I50</f>
        <v>0</v>
      </c>
      <c r="J50" s="159">
        <f>'ADJ DETAIL-INPUT'!J50</f>
        <v>-35.699999999999996</v>
      </c>
      <c r="K50" s="159">
        <f>'ADJ DETAIL-INPUT'!K50</f>
        <v>1.0499999999999998</v>
      </c>
      <c r="L50" s="159">
        <f>'ADJ DETAIL-INPUT'!L50</f>
        <v>-330.75</v>
      </c>
      <c r="M50" s="159">
        <f>'ADJ DETAIL-INPUT'!M50</f>
        <v>-22.4</v>
      </c>
      <c r="N50" s="159">
        <f>'ADJ DETAIL-INPUT'!N50</f>
        <v>-37.099999999999994</v>
      </c>
      <c r="O50" s="159">
        <f>'ADJ DETAIL-INPUT'!O50</f>
        <v>0</v>
      </c>
      <c r="P50" s="159">
        <f>'ADJ DETAIL-INPUT'!P50</f>
        <v>17.5</v>
      </c>
      <c r="Q50" s="159">
        <f>'ADJ DETAIL-INPUT'!Q50</f>
        <v>-1.4</v>
      </c>
      <c r="R50" s="159">
        <f>'ADJ DETAIL-INPUT'!R50</f>
        <v>28.349999999999998</v>
      </c>
      <c r="S50" s="159">
        <f>'ADJ DETAIL-INPUT'!S50</f>
        <v>-781.9</v>
      </c>
      <c r="T50" s="159">
        <f>'ADJ DETAIL-INPUT'!T50</f>
        <v>0</v>
      </c>
      <c r="U50" s="159">
        <f>'ADJ DETAIL-INPUT'!U50</f>
        <v>450.45</v>
      </c>
      <c r="V50" s="159">
        <f>'ADJ DETAIL-INPUT'!V50</f>
        <v>887</v>
      </c>
      <c r="W50" s="159">
        <f>'ADJ DETAIL-INPUT'!W50</f>
        <v>2.4499999999999997</v>
      </c>
      <c r="X50" s="159">
        <f>'ADJ DETAIL-INPUT'!X50</f>
        <v>257.95</v>
      </c>
      <c r="Y50" s="159">
        <f>'ADJ DETAIL-INPUT'!Y50</f>
        <v>166.6</v>
      </c>
      <c r="Z50" s="159">
        <f>'ADJ DETAIL-INPUT'!Z50</f>
        <v>393</v>
      </c>
      <c r="AA50" s="159">
        <f>'ADJ DETAIL-INPUT'!AA50</f>
        <v>-2954.35</v>
      </c>
    </row>
    <row r="51" spans="1:27" s="101" customFormat="1">
      <c r="A51" s="16">
        <f>'ADJ DETAIL-INPUT'!A51</f>
        <v>27</v>
      </c>
      <c r="B51" s="101" t="str">
        <f>'ADJ DETAIL-INPUT'!B51</f>
        <v>Debt Interest</v>
      </c>
      <c r="E51" s="137">
        <f>'ADJ DETAIL-INPUT'!E51</f>
        <v>0</v>
      </c>
      <c r="F51" s="160">
        <f>'ADJ DETAIL-INPUT'!F51</f>
        <v>-7.6826294999999991</v>
      </c>
      <c r="G51" s="160">
        <f>'ADJ DETAIL-INPUT'!G51</f>
        <v>0</v>
      </c>
      <c r="H51" s="160">
        <f>'ADJ DETAIL-INPUT'!H51</f>
        <v>0</v>
      </c>
      <c r="I51" s="160">
        <f>'ADJ DETAIL-INPUT'!I51</f>
        <v>34.517027999999996</v>
      </c>
      <c r="J51" s="160">
        <f>'ADJ DETAIL-INPUT'!J51</f>
        <v>0</v>
      </c>
      <c r="K51" s="160">
        <f>'ADJ DETAIL-INPUT'!K51</f>
        <v>0</v>
      </c>
      <c r="L51" s="160">
        <f>'ADJ DETAIL-INPUT'!L51</f>
        <v>0</v>
      </c>
      <c r="M51" s="160">
        <f>'ADJ DETAIL-INPUT'!M51</f>
        <v>0</v>
      </c>
      <c r="N51" s="160">
        <f>'ADJ DETAIL-INPUT'!N51</f>
        <v>0</v>
      </c>
      <c r="O51" s="160">
        <f>'ADJ DETAIL-INPUT'!O51</f>
        <v>0</v>
      </c>
      <c r="P51" s="160">
        <f>'ADJ DETAIL-INPUT'!P51</f>
        <v>0</v>
      </c>
      <c r="Q51" s="160">
        <f>'ADJ DETAIL-INPUT'!Q51</f>
        <v>0</v>
      </c>
      <c r="R51" s="160">
        <f>'ADJ DETAIL-INPUT'!R51</f>
        <v>0</v>
      </c>
      <c r="S51" s="160">
        <f>'ADJ DETAIL-INPUT'!S51</f>
        <v>0</v>
      </c>
      <c r="T51" s="160">
        <f>'ADJ DETAIL-INPUT'!T51</f>
        <v>0</v>
      </c>
      <c r="U51" s="160">
        <f>'ADJ DETAIL-INPUT'!U51</f>
        <v>0</v>
      </c>
      <c r="V51" s="160">
        <f>'ADJ DETAIL-INPUT'!V51</f>
        <v>0</v>
      </c>
      <c r="W51" s="160">
        <f>'ADJ DETAIL-INPUT'!W51</f>
        <v>0</v>
      </c>
      <c r="X51" s="160">
        <f>'ADJ DETAIL-INPUT'!X51</f>
        <v>0</v>
      </c>
      <c r="Y51" s="160">
        <f>'ADJ DETAIL-INPUT'!Y51</f>
        <v>0</v>
      </c>
      <c r="Z51" s="160">
        <f>'ADJ DETAIL-INPUT'!Z51</f>
        <v>0</v>
      </c>
      <c r="AA51" s="160">
        <f>'ADJ DETAIL-INPUT'!AA51</f>
        <v>0</v>
      </c>
    </row>
    <row r="52" spans="1:27" s="18" customFormat="1">
      <c r="A52" s="16">
        <f>'ADJ DETAIL-INPUT'!A52</f>
        <v>28</v>
      </c>
      <c r="B52" s="18" t="str">
        <f>'ADJ DETAIL-INPUT'!B52</f>
        <v xml:space="preserve">Deferred Income Taxes  </v>
      </c>
      <c r="E52" s="137">
        <f>'ADJ DETAIL-INPUT'!E52</f>
        <v>30100</v>
      </c>
      <c r="F52" s="208">
        <f>'ADJ DETAIL-INPUT'!F52</f>
        <v>0</v>
      </c>
      <c r="G52" s="208">
        <f>'ADJ DETAIL-INPUT'!G52</f>
        <v>0</v>
      </c>
      <c r="H52" s="208">
        <f>'ADJ DETAIL-INPUT'!H52</f>
        <v>0</v>
      </c>
      <c r="I52" s="208">
        <f>'ADJ DETAIL-INPUT'!I52</f>
        <v>0</v>
      </c>
      <c r="J52" s="208">
        <f>'ADJ DETAIL-INPUT'!J52</f>
        <v>0</v>
      </c>
      <c r="K52" s="208">
        <f>'ADJ DETAIL-INPUT'!K52</f>
        <v>0</v>
      </c>
      <c r="L52" s="208">
        <f>'ADJ DETAIL-INPUT'!L52</f>
        <v>0</v>
      </c>
      <c r="M52" s="208">
        <f>'ADJ DETAIL-INPUT'!M52</f>
        <v>0</v>
      </c>
      <c r="N52" s="208">
        <f>'ADJ DETAIL-INPUT'!N52</f>
        <v>0</v>
      </c>
      <c r="O52" s="208">
        <f>'ADJ DETAIL-INPUT'!O52</f>
        <v>-36</v>
      </c>
      <c r="P52" s="208">
        <f>'ADJ DETAIL-INPUT'!P52</f>
        <v>0</v>
      </c>
      <c r="Q52" s="208">
        <f>'ADJ DETAIL-INPUT'!Q52</f>
        <v>0</v>
      </c>
      <c r="R52" s="208">
        <f>'ADJ DETAIL-INPUT'!R52</f>
        <v>0</v>
      </c>
      <c r="S52" s="208">
        <f>'ADJ DETAIL-INPUT'!S52</f>
        <v>0</v>
      </c>
      <c r="T52" s="208">
        <f>'ADJ DETAIL-INPUT'!T52</f>
        <v>0</v>
      </c>
      <c r="U52" s="208">
        <f>'ADJ DETAIL-INPUT'!U52</f>
        <v>0</v>
      </c>
      <c r="V52" s="208">
        <f>'ADJ DETAIL-INPUT'!V52</f>
        <v>803</v>
      </c>
      <c r="W52" s="208">
        <f>'ADJ DETAIL-INPUT'!W52</f>
        <v>0</v>
      </c>
      <c r="X52" s="208">
        <f>'ADJ DETAIL-INPUT'!X52</f>
        <v>0</v>
      </c>
      <c r="Y52" s="208">
        <f>'ADJ DETAIL-INPUT'!Y52</f>
        <v>0</v>
      </c>
      <c r="Z52" s="208">
        <f>'ADJ DETAIL-INPUT'!Z52</f>
        <v>0</v>
      </c>
      <c r="AA52" s="208">
        <f>'ADJ DETAIL-INPUT'!AA52</f>
        <v>0</v>
      </c>
    </row>
    <row r="53" spans="1:27" s="18" customFormat="1">
      <c r="A53" s="21">
        <f>'ADJ DETAIL-INPUT'!A53</f>
        <v>29</v>
      </c>
      <c r="B53" s="18" t="str">
        <f>'ADJ DETAIL-INPUT'!B53</f>
        <v>Amortized ITC - Noxon</v>
      </c>
      <c r="E53" s="267">
        <f>'ADJ DETAIL-INPUT'!E53</f>
        <v>-226</v>
      </c>
      <c r="F53" s="210">
        <f>'ADJ DETAIL-INPUT'!F53</f>
        <v>0</v>
      </c>
      <c r="G53" s="210">
        <f>'ADJ DETAIL-INPUT'!G53</f>
        <v>0</v>
      </c>
      <c r="H53" s="210">
        <f>'ADJ DETAIL-INPUT'!H53</f>
        <v>0</v>
      </c>
      <c r="I53" s="210">
        <f>'ADJ DETAIL-INPUT'!I53</f>
        <v>0</v>
      </c>
      <c r="J53" s="210">
        <f>'ADJ DETAIL-INPUT'!J53</f>
        <v>0</v>
      </c>
      <c r="K53" s="210">
        <f>'ADJ DETAIL-INPUT'!K53</f>
        <v>0</v>
      </c>
      <c r="L53" s="210">
        <f>'ADJ DETAIL-INPUT'!L53</f>
        <v>0</v>
      </c>
      <c r="M53" s="210">
        <f>'ADJ DETAIL-INPUT'!M53</f>
        <v>0</v>
      </c>
      <c r="N53" s="210">
        <f>'ADJ DETAIL-INPUT'!N53</f>
        <v>0</v>
      </c>
      <c r="O53" s="210">
        <f>'ADJ DETAIL-INPUT'!O53</f>
        <v>0</v>
      </c>
      <c r="P53" s="210">
        <f>'ADJ DETAIL-INPUT'!P53</f>
        <v>0</v>
      </c>
      <c r="Q53" s="210">
        <f>'ADJ DETAIL-INPUT'!Q53</f>
        <v>0</v>
      </c>
      <c r="R53" s="210">
        <f>'ADJ DETAIL-INPUT'!R53</f>
        <v>0</v>
      </c>
      <c r="S53" s="210">
        <f>'ADJ DETAIL-INPUT'!S53</f>
        <v>0</v>
      </c>
      <c r="T53" s="210">
        <f>'ADJ DETAIL-INPUT'!T53</f>
        <v>0</v>
      </c>
      <c r="U53" s="210">
        <f>'ADJ DETAIL-INPUT'!U53</f>
        <v>0</v>
      </c>
      <c r="V53" s="210">
        <f>'ADJ DETAIL-INPUT'!V53</f>
        <v>0</v>
      </c>
      <c r="W53" s="210">
        <f>'ADJ DETAIL-INPUT'!W53</f>
        <v>0</v>
      </c>
      <c r="X53" s="210">
        <f>'ADJ DETAIL-INPUT'!X53</f>
        <v>0</v>
      </c>
      <c r="Y53" s="210">
        <f>'ADJ DETAIL-INPUT'!Y53</f>
        <v>0</v>
      </c>
      <c r="Z53" s="210">
        <f>'ADJ DETAIL-INPUT'!Z53</f>
        <v>0</v>
      </c>
      <c r="AA53" s="210">
        <f>'ADJ DETAIL-INPUT'!AA53</f>
        <v>0</v>
      </c>
    </row>
    <row r="54" spans="1:27" ht="6.75" customHeight="1"/>
    <row r="55" spans="1:27" s="17" customFormat="1" ht="12.6" thickBot="1">
      <c r="A55" s="20">
        <f>'ADJ DETAIL-INPUT'!A55</f>
        <v>30</v>
      </c>
      <c r="B55" s="17" t="str">
        <f>'ADJ DETAIL-INPUT'!B55</f>
        <v xml:space="preserve">NET OPERATING INCOME  </v>
      </c>
      <c r="E55" s="268">
        <f>'ADJ DETAIL-INPUT'!E55</f>
        <v>114407</v>
      </c>
      <c r="F55" s="270">
        <f>'ADJ DETAIL-INPUT'!F55</f>
        <v>7.6826294999999991</v>
      </c>
      <c r="G55" s="270">
        <f>'ADJ DETAIL-INPUT'!G55</f>
        <v>-22.1</v>
      </c>
      <c r="H55" s="270">
        <f>'ADJ DETAIL-INPUT'!H55</f>
        <v>0</v>
      </c>
      <c r="I55" s="270">
        <f>'ADJ DETAIL-INPUT'!I55</f>
        <v>-34.517027999999996</v>
      </c>
      <c r="J55" s="270">
        <f>'ADJ DETAIL-INPUT'!J55</f>
        <v>-66.300000000000011</v>
      </c>
      <c r="K55" s="270">
        <f>'ADJ DETAIL-INPUT'!K55</f>
        <v>1.9500000000000002</v>
      </c>
      <c r="L55" s="270">
        <f>'ADJ DETAIL-INPUT'!L55</f>
        <v>-614.25</v>
      </c>
      <c r="M55" s="270">
        <f>'ADJ DETAIL-INPUT'!M55</f>
        <v>-41.6</v>
      </c>
      <c r="N55" s="270">
        <f>'ADJ DETAIL-INPUT'!N55</f>
        <v>-68.900000000000006</v>
      </c>
      <c r="O55" s="270">
        <f>'ADJ DETAIL-INPUT'!O55</f>
        <v>36</v>
      </c>
      <c r="P55" s="270">
        <f>'ADJ DETAIL-INPUT'!P55</f>
        <v>32.5</v>
      </c>
      <c r="Q55" s="270">
        <f>'ADJ DETAIL-INPUT'!Q55</f>
        <v>-2.6</v>
      </c>
      <c r="R55" s="270">
        <f>'ADJ DETAIL-INPUT'!R55</f>
        <v>52.650000000000006</v>
      </c>
      <c r="S55" s="270">
        <f>'ADJ DETAIL-INPUT'!S55</f>
        <v>-1452.1</v>
      </c>
      <c r="T55" s="270">
        <f>'ADJ DETAIL-INPUT'!T55</f>
        <v>0</v>
      </c>
      <c r="U55" s="270">
        <f>'ADJ DETAIL-INPUT'!U55</f>
        <v>836.55</v>
      </c>
      <c r="V55" s="270">
        <f>'ADJ DETAIL-INPUT'!V55</f>
        <v>3138</v>
      </c>
      <c r="W55" s="270">
        <f>'ADJ DETAIL-INPUT'!W55</f>
        <v>4.5500000000000007</v>
      </c>
      <c r="X55" s="270">
        <f>'ADJ DETAIL-INPUT'!X55</f>
        <v>479.05</v>
      </c>
      <c r="Y55" s="270">
        <f>'ADJ DETAIL-INPUT'!Y55</f>
        <v>309.39999999999998</v>
      </c>
      <c r="Z55" s="270">
        <f>'ADJ DETAIL-INPUT'!Z55</f>
        <v>-393</v>
      </c>
      <c r="AA55" s="270">
        <f>'ADJ DETAIL-INPUT'!AA55</f>
        <v>-5486.65</v>
      </c>
    </row>
    <row r="56" spans="1:27" ht="8.25" customHeight="1" thickTop="1">
      <c r="A56" s="20"/>
    </row>
    <row r="57" spans="1:27">
      <c r="A57" s="20"/>
      <c r="B57" s="2" t="str">
        <f>'ADJ DETAIL-INPUT'!B57</f>
        <v xml:space="preserve">RATE BASE  </v>
      </c>
    </row>
    <row r="58" spans="1:27">
      <c r="B58" s="2" t="str">
        <f>'ADJ DETAIL-INPUT'!B58</f>
        <v xml:space="preserve">PLANT IN SERVICE  </v>
      </c>
    </row>
    <row r="59" spans="1:27" s="17" customFormat="1">
      <c r="A59" s="241">
        <f>'ADJ DETAIL-INPUT'!A59</f>
        <v>31</v>
      </c>
      <c r="C59" s="17" t="str">
        <f>'ADJ DETAIL-INPUT'!C59</f>
        <v xml:space="preserve">Intangible  </v>
      </c>
      <c r="E59" s="155">
        <f>'ADJ DETAIL-INPUT'!E59</f>
        <v>167075</v>
      </c>
      <c r="F59" s="269">
        <f>'ADJ DETAIL-INPUT'!F59</f>
        <v>0</v>
      </c>
      <c r="G59" s="269">
        <f>'ADJ DETAIL-INPUT'!G59</f>
        <v>0</v>
      </c>
      <c r="H59" s="269">
        <f>'ADJ DETAIL-INPUT'!H59</f>
        <v>0</v>
      </c>
      <c r="I59" s="269">
        <f>'ADJ DETAIL-INPUT'!I59</f>
        <v>-3601</v>
      </c>
      <c r="J59" s="269">
        <f>'ADJ DETAIL-INPUT'!J59</f>
        <v>0</v>
      </c>
      <c r="K59" s="269">
        <f>'ADJ DETAIL-INPUT'!K59</f>
        <v>0</v>
      </c>
      <c r="L59" s="269">
        <f>'ADJ DETAIL-INPUT'!L59</f>
        <v>0</v>
      </c>
      <c r="M59" s="269">
        <f>'ADJ DETAIL-INPUT'!M59</f>
        <v>0</v>
      </c>
      <c r="N59" s="269">
        <f>'ADJ DETAIL-INPUT'!N59</f>
        <v>0</v>
      </c>
      <c r="O59" s="269">
        <f>'ADJ DETAIL-INPUT'!O59</f>
        <v>0</v>
      </c>
      <c r="P59" s="269">
        <f>'ADJ DETAIL-INPUT'!P59</f>
        <v>0</v>
      </c>
      <c r="Q59" s="269">
        <f>'ADJ DETAIL-INPUT'!Q59</f>
        <v>0</v>
      </c>
      <c r="R59" s="269">
        <f>'ADJ DETAIL-INPUT'!R59</f>
        <v>0</v>
      </c>
      <c r="S59" s="269">
        <f>'ADJ DETAIL-INPUT'!S59</f>
        <v>0</v>
      </c>
      <c r="T59" s="269">
        <f>'ADJ DETAIL-INPUT'!T59</f>
        <v>0</v>
      </c>
      <c r="U59" s="269">
        <f>'ADJ DETAIL-INPUT'!U59</f>
        <v>0</v>
      </c>
      <c r="V59" s="269">
        <f>'ADJ DETAIL-INPUT'!V59</f>
        <v>0</v>
      </c>
      <c r="W59" s="269">
        <f>'ADJ DETAIL-INPUT'!W59</f>
        <v>0</v>
      </c>
      <c r="X59" s="269">
        <f>'ADJ DETAIL-INPUT'!X59</f>
        <v>0</v>
      </c>
      <c r="Y59" s="269">
        <f>'ADJ DETAIL-INPUT'!Y59</f>
        <v>0</v>
      </c>
      <c r="Z59" s="269">
        <f>'ADJ DETAIL-INPUT'!Z59</f>
        <v>0</v>
      </c>
      <c r="AA59" s="269">
        <f>'ADJ DETAIL-INPUT'!AA59</f>
        <v>0</v>
      </c>
    </row>
    <row r="60" spans="1:27" s="18" customFormat="1">
      <c r="A60" s="20">
        <f>'ADJ DETAIL-INPUT'!A60</f>
        <v>32</v>
      </c>
      <c r="C60" s="18" t="str">
        <f>'ADJ DETAIL-INPUT'!C60</f>
        <v xml:space="preserve">Production  </v>
      </c>
      <c r="E60" s="137">
        <f>'ADJ DETAIL-INPUT'!E60</f>
        <v>879704</v>
      </c>
      <c r="F60" s="208">
        <f>'ADJ DETAIL-INPUT'!F60</f>
        <v>0</v>
      </c>
      <c r="G60" s="208">
        <f>'ADJ DETAIL-INPUT'!G60</f>
        <v>0</v>
      </c>
      <c r="H60" s="208">
        <f>'ADJ DETAIL-INPUT'!H60</f>
        <v>0</v>
      </c>
      <c r="I60" s="208">
        <f>'ADJ DETAIL-INPUT'!I60</f>
        <v>0</v>
      </c>
      <c r="J60" s="208">
        <f>'ADJ DETAIL-INPUT'!J60</f>
        <v>0</v>
      </c>
      <c r="K60" s="208">
        <f>'ADJ DETAIL-INPUT'!K60</f>
        <v>0</v>
      </c>
      <c r="L60" s="208">
        <f>'ADJ DETAIL-INPUT'!L60</f>
        <v>0</v>
      </c>
      <c r="M60" s="208">
        <f>'ADJ DETAIL-INPUT'!M60</f>
        <v>0</v>
      </c>
      <c r="N60" s="208">
        <f>'ADJ DETAIL-INPUT'!N60</f>
        <v>0</v>
      </c>
      <c r="O60" s="208">
        <f>'ADJ DETAIL-INPUT'!O60</f>
        <v>0</v>
      </c>
      <c r="P60" s="208">
        <f>'ADJ DETAIL-INPUT'!P60</f>
        <v>0</v>
      </c>
      <c r="Q60" s="208">
        <f>'ADJ DETAIL-INPUT'!Q60</f>
        <v>0</v>
      </c>
      <c r="R60" s="208">
        <f>'ADJ DETAIL-INPUT'!R60</f>
        <v>0</v>
      </c>
      <c r="S60" s="208">
        <f>'ADJ DETAIL-INPUT'!S60</f>
        <v>0</v>
      </c>
      <c r="T60" s="208">
        <f>'ADJ DETAIL-INPUT'!T60</f>
        <v>0</v>
      </c>
      <c r="U60" s="208">
        <f>'ADJ DETAIL-INPUT'!U60</f>
        <v>0</v>
      </c>
      <c r="V60" s="208">
        <f>'ADJ DETAIL-INPUT'!V60</f>
        <v>0</v>
      </c>
      <c r="W60" s="208">
        <f>'ADJ DETAIL-INPUT'!W60</f>
        <v>0</v>
      </c>
      <c r="X60" s="208">
        <f>'ADJ DETAIL-INPUT'!X60</f>
        <v>0</v>
      </c>
      <c r="Y60" s="208">
        <f>'ADJ DETAIL-INPUT'!Y60</f>
        <v>0</v>
      </c>
      <c r="Z60" s="208">
        <f>'ADJ DETAIL-INPUT'!Z60</f>
        <v>0</v>
      </c>
      <c r="AA60" s="208">
        <f>'ADJ DETAIL-INPUT'!AA60</f>
        <v>0</v>
      </c>
    </row>
    <row r="61" spans="1:27" s="18" customFormat="1">
      <c r="A61" s="20">
        <f>'ADJ DETAIL-INPUT'!A61</f>
        <v>33</v>
      </c>
      <c r="C61" s="18" t="str">
        <f>'ADJ DETAIL-INPUT'!C61</f>
        <v xml:space="preserve">Transmission  </v>
      </c>
      <c r="E61" s="137">
        <f>'ADJ DETAIL-INPUT'!E61</f>
        <v>451003</v>
      </c>
      <c r="F61" s="208">
        <f>'ADJ DETAIL-INPUT'!F61</f>
        <v>0</v>
      </c>
      <c r="G61" s="208">
        <f>'ADJ DETAIL-INPUT'!G61</f>
        <v>0</v>
      </c>
      <c r="H61" s="208">
        <f>'ADJ DETAIL-INPUT'!H61</f>
        <v>0</v>
      </c>
      <c r="I61" s="208">
        <f>'ADJ DETAIL-INPUT'!I61</f>
        <v>0</v>
      </c>
      <c r="J61" s="208">
        <f>'ADJ DETAIL-INPUT'!J61</f>
        <v>0</v>
      </c>
      <c r="K61" s="208">
        <f>'ADJ DETAIL-INPUT'!K61</f>
        <v>0</v>
      </c>
      <c r="L61" s="208">
        <f>'ADJ DETAIL-INPUT'!L61</f>
        <v>0</v>
      </c>
      <c r="M61" s="208">
        <f>'ADJ DETAIL-INPUT'!M61</f>
        <v>0</v>
      </c>
      <c r="N61" s="208">
        <f>'ADJ DETAIL-INPUT'!N61</f>
        <v>0</v>
      </c>
      <c r="O61" s="208">
        <f>'ADJ DETAIL-INPUT'!O61</f>
        <v>0</v>
      </c>
      <c r="P61" s="208">
        <f>'ADJ DETAIL-INPUT'!P61</f>
        <v>0</v>
      </c>
      <c r="Q61" s="208">
        <f>'ADJ DETAIL-INPUT'!Q61</f>
        <v>0</v>
      </c>
      <c r="R61" s="208">
        <f>'ADJ DETAIL-INPUT'!R61</f>
        <v>0</v>
      </c>
      <c r="S61" s="208">
        <f>'ADJ DETAIL-INPUT'!S61</f>
        <v>0</v>
      </c>
      <c r="T61" s="208">
        <f>'ADJ DETAIL-INPUT'!T61</f>
        <v>0</v>
      </c>
      <c r="U61" s="208">
        <f>'ADJ DETAIL-INPUT'!U61</f>
        <v>0</v>
      </c>
      <c r="V61" s="208">
        <f>'ADJ DETAIL-INPUT'!V61</f>
        <v>0</v>
      </c>
      <c r="W61" s="208">
        <f>'ADJ DETAIL-INPUT'!W61</f>
        <v>0</v>
      </c>
      <c r="X61" s="208">
        <f>'ADJ DETAIL-INPUT'!X61</f>
        <v>0</v>
      </c>
      <c r="Y61" s="208">
        <f>'ADJ DETAIL-INPUT'!Y61</f>
        <v>0</v>
      </c>
      <c r="Z61" s="208">
        <f>'ADJ DETAIL-INPUT'!Z61</f>
        <v>0</v>
      </c>
      <c r="AA61" s="208">
        <f>'ADJ DETAIL-INPUT'!AA61</f>
        <v>0</v>
      </c>
    </row>
    <row r="62" spans="1:27" s="18" customFormat="1">
      <c r="A62" s="20">
        <f>'ADJ DETAIL-INPUT'!A62</f>
        <v>34</v>
      </c>
      <c r="C62" s="18" t="str">
        <f>'ADJ DETAIL-INPUT'!C62</f>
        <v xml:space="preserve">Distribution  </v>
      </c>
      <c r="E62" s="137">
        <f>'ADJ DETAIL-INPUT'!E62</f>
        <v>1033739</v>
      </c>
      <c r="F62" s="208">
        <f>'ADJ DETAIL-INPUT'!F62</f>
        <v>0</v>
      </c>
      <c r="G62" s="208">
        <f>'ADJ DETAIL-INPUT'!G62</f>
        <v>0</v>
      </c>
      <c r="H62" s="208">
        <f>'ADJ DETAIL-INPUT'!H62</f>
        <v>0</v>
      </c>
      <c r="I62" s="208">
        <f>'ADJ DETAIL-INPUT'!I62</f>
        <v>0</v>
      </c>
      <c r="J62" s="208">
        <f>'ADJ DETAIL-INPUT'!J62</f>
        <v>0</v>
      </c>
      <c r="K62" s="208">
        <f>'ADJ DETAIL-INPUT'!K62</f>
        <v>0</v>
      </c>
      <c r="L62" s="208">
        <f>'ADJ DETAIL-INPUT'!L62</f>
        <v>0</v>
      </c>
      <c r="M62" s="208">
        <f>'ADJ DETAIL-INPUT'!M62</f>
        <v>0</v>
      </c>
      <c r="N62" s="208">
        <f>'ADJ DETAIL-INPUT'!N62</f>
        <v>0</v>
      </c>
      <c r="O62" s="208">
        <f>'ADJ DETAIL-INPUT'!O62</f>
        <v>0</v>
      </c>
      <c r="P62" s="208">
        <f>'ADJ DETAIL-INPUT'!P62</f>
        <v>0</v>
      </c>
      <c r="Q62" s="208">
        <f>'ADJ DETAIL-INPUT'!Q62</f>
        <v>0</v>
      </c>
      <c r="R62" s="208">
        <f>'ADJ DETAIL-INPUT'!R62</f>
        <v>0</v>
      </c>
      <c r="S62" s="208">
        <f>'ADJ DETAIL-INPUT'!S62</f>
        <v>0</v>
      </c>
      <c r="T62" s="208">
        <f>'ADJ DETAIL-INPUT'!T62</f>
        <v>0</v>
      </c>
      <c r="U62" s="208">
        <f>'ADJ DETAIL-INPUT'!U62</f>
        <v>0</v>
      </c>
      <c r="V62" s="208">
        <f>'ADJ DETAIL-INPUT'!V62</f>
        <v>0</v>
      </c>
      <c r="W62" s="208">
        <f>'ADJ DETAIL-INPUT'!W62</f>
        <v>0</v>
      </c>
      <c r="X62" s="208">
        <f>'ADJ DETAIL-INPUT'!X62</f>
        <v>0</v>
      </c>
      <c r="Y62" s="208">
        <f>'ADJ DETAIL-INPUT'!Y62</f>
        <v>0</v>
      </c>
      <c r="Z62" s="208">
        <f>'ADJ DETAIL-INPUT'!Z62</f>
        <v>0</v>
      </c>
      <c r="AA62" s="208">
        <f>'ADJ DETAIL-INPUT'!AA62</f>
        <v>0</v>
      </c>
    </row>
    <row r="63" spans="1:27" s="18" customFormat="1">
      <c r="A63" s="20">
        <f>'ADJ DETAIL-INPUT'!A63</f>
        <v>35</v>
      </c>
      <c r="C63" s="18" t="str">
        <f>'ADJ DETAIL-INPUT'!C63</f>
        <v xml:space="preserve">General  </v>
      </c>
      <c r="E63" s="267">
        <f>'ADJ DETAIL-INPUT'!E63</f>
        <v>242339</v>
      </c>
      <c r="F63" s="210">
        <f>'ADJ DETAIL-INPUT'!F63</f>
        <v>0</v>
      </c>
      <c r="G63" s="210">
        <f>'ADJ DETAIL-INPUT'!G63</f>
        <v>0</v>
      </c>
      <c r="H63" s="210">
        <f>'ADJ DETAIL-INPUT'!H63</f>
        <v>0</v>
      </c>
      <c r="I63" s="210">
        <f>'ADJ DETAIL-INPUT'!I63</f>
        <v>0</v>
      </c>
      <c r="J63" s="210">
        <f>'ADJ DETAIL-INPUT'!J63</f>
        <v>0</v>
      </c>
      <c r="K63" s="210">
        <f>'ADJ DETAIL-INPUT'!K63</f>
        <v>0</v>
      </c>
      <c r="L63" s="210">
        <f>'ADJ DETAIL-INPUT'!L63</f>
        <v>0</v>
      </c>
      <c r="M63" s="210">
        <f>'ADJ DETAIL-INPUT'!M63</f>
        <v>0</v>
      </c>
      <c r="N63" s="210">
        <f>'ADJ DETAIL-INPUT'!N63</f>
        <v>0</v>
      </c>
      <c r="O63" s="210">
        <f>'ADJ DETAIL-INPUT'!O63</f>
        <v>0</v>
      </c>
      <c r="P63" s="210">
        <f>'ADJ DETAIL-INPUT'!P63</f>
        <v>0</v>
      </c>
      <c r="Q63" s="210">
        <f>'ADJ DETAIL-INPUT'!Q63</f>
        <v>0</v>
      </c>
      <c r="R63" s="210">
        <f>'ADJ DETAIL-INPUT'!R63</f>
        <v>0</v>
      </c>
      <c r="S63" s="210">
        <f>'ADJ DETAIL-INPUT'!S63</f>
        <v>0</v>
      </c>
      <c r="T63" s="210">
        <f>'ADJ DETAIL-INPUT'!T63</f>
        <v>0</v>
      </c>
      <c r="U63" s="210">
        <f>'ADJ DETAIL-INPUT'!U63</f>
        <v>0</v>
      </c>
      <c r="V63" s="210">
        <f>'ADJ DETAIL-INPUT'!V63</f>
        <v>0</v>
      </c>
      <c r="W63" s="210">
        <f>'ADJ DETAIL-INPUT'!W63</f>
        <v>0</v>
      </c>
      <c r="X63" s="210">
        <f>'ADJ DETAIL-INPUT'!X63</f>
        <v>0</v>
      </c>
      <c r="Y63" s="210">
        <f>'ADJ DETAIL-INPUT'!Y63</f>
        <v>0</v>
      </c>
      <c r="Z63" s="210">
        <f>'ADJ DETAIL-INPUT'!Z63</f>
        <v>0</v>
      </c>
      <c r="AA63" s="210">
        <f>'ADJ DETAIL-INPUT'!AA63</f>
        <v>0</v>
      </c>
    </row>
    <row r="64" spans="1:27" s="18" customFormat="1">
      <c r="A64" s="20">
        <f>'ADJ DETAIL-INPUT'!A64</f>
        <v>36</v>
      </c>
      <c r="B64" s="18" t="str">
        <f>'ADJ DETAIL-INPUT'!B64</f>
        <v xml:space="preserve">Total Plant in Service  </v>
      </c>
      <c r="E64" s="160">
        <f>'ADJ DETAIL-INPUT'!E64</f>
        <v>2773860</v>
      </c>
      <c r="F64" s="159">
        <f>'ADJ DETAIL-INPUT'!F64</f>
        <v>0</v>
      </c>
      <c r="G64" s="159">
        <f>'ADJ DETAIL-INPUT'!G64</f>
        <v>0</v>
      </c>
      <c r="H64" s="159">
        <f>'ADJ DETAIL-INPUT'!H64</f>
        <v>0</v>
      </c>
      <c r="I64" s="159">
        <f>'ADJ DETAIL-INPUT'!I64</f>
        <v>-3601</v>
      </c>
      <c r="J64" s="159">
        <f>'ADJ DETAIL-INPUT'!J64</f>
        <v>0</v>
      </c>
      <c r="K64" s="159">
        <f>'ADJ DETAIL-INPUT'!K64</f>
        <v>0</v>
      </c>
      <c r="L64" s="159">
        <f>'ADJ DETAIL-INPUT'!L64</f>
        <v>0</v>
      </c>
      <c r="M64" s="159">
        <f>'ADJ DETAIL-INPUT'!M64</f>
        <v>0</v>
      </c>
      <c r="N64" s="159">
        <f>'ADJ DETAIL-INPUT'!N64</f>
        <v>0</v>
      </c>
      <c r="O64" s="159">
        <f>'ADJ DETAIL-INPUT'!O64</f>
        <v>0</v>
      </c>
      <c r="P64" s="159">
        <f>'ADJ DETAIL-INPUT'!P64</f>
        <v>0</v>
      </c>
      <c r="Q64" s="159">
        <f>'ADJ DETAIL-INPUT'!Q64</f>
        <v>0</v>
      </c>
      <c r="R64" s="159">
        <f>'ADJ DETAIL-INPUT'!R64</f>
        <v>0</v>
      </c>
      <c r="S64" s="159">
        <f>'ADJ DETAIL-INPUT'!S64</f>
        <v>0</v>
      </c>
      <c r="T64" s="159">
        <f>'ADJ DETAIL-INPUT'!T64</f>
        <v>0</v>
      </c>
      <c r="U64" s="159">
        <f>'ADJ DETAIL-INPUT'!U64</f>
        <v>0</v>
      </c>
      <c r="V64" s="159">
        <f>'ADJ DETAIL-INPUT'!V64</f>
        <v>0</v>
      </c>
      <c r="W64" s="159">
        <f>'ADJ DETAIL-INPUT'!W64</f>
        <v>0</v>
      </c>
      <c r="X64" s="159">
        <f>'ADJ DETAIL-INPUT'!X64</f>
        <v>0</v>
      </c>
      <c r="Y64" s="159">
        <f>'ADJ DETAIL-INPUT'!Y64</f>
        <v>0</v>
      </c>
      <c r="Z64" s="159">
        <f>'ADJ DETAIL-INPUT'!Z64</f>
        <v>0</v>
      </c>
      <c r="AA64" s="159">
        <f>'ADJ DETAIL-INPUT'!AA64</f>
        <v>0</v>
      </c>
    </row>
    <row r="65" spans="1:27" s="18" customFormat="1">
      <c r="A65" s="20"/>
      <c r="B65" s="18" t="str">
        <f>'ADJ DETAIL-INPUT'!B65</f>
        <v>ACCUMULATED DEPRECIATION/AMORT</v>
      </c>
      <c r="E65" s="160"/>
      <c r="F65" s="208"/>
      <c r="G65" s="208"/>
      <c r="H65" s="208"/>
      <c r="I65" s="208"/>
      <c r="J65" s="208"/>
      <c r="K65" s="208"/>
      <c r="L65" s="208"/>
      <c r="M65" s="208"/>
      <c r="N65" s="208"/>
      <c r="O65" s="208"/>
      <c r="P65" s="208"/>
      <c r="Q65" s="208"/>
      <c r="R65" s="208"/>
      <c r="S65" s="208"/>
      <c r="T65" s="208"/>
      <c r="U65" s="208"/>
      <c r="V65" s="208"/>
      <c r="W65" s="208"/>
      <c r="X65" s="208"/>
      <c r="Y65" s="208"/>
      <c r="Z65" s="208"/>
      <c r="AA65" s="208"/>
    </row>
    <row r="66" spans="1:27" s="18" customFormat="1">
      <c r="A66" s="20">
        <f>'ADJ DETAIL-INPUT'!A66</f>
        <v>37</v>
      </c>
      <c r="C66" s="17" t="str">
        <f>'ADJ DETAIL-INPUT'!C66</f>
        <v xml:space="preserve">Intangible  </v>
      </c>
      <c r="E66" s="137">
        <f>'ADJ DETAIL-INPUT'!E66</f>
        <v>-37161</v>
      </c>
      <c r="F66" s="208">
        <f>'ADJ DETAIL-INPUT'!F66</f>
        <v>0</v>
      </c>
      <c r="G66" s="208">
        <f>'ADJ DETAIL-INPUT'!G66</f>
        <v>0</v>
      </c>
      <c r="H66" s="208">
        <f>'ADJ DETAIL-INPUT'!H66</f>
        <v>0</v>
      </c>
      <c r="I66" s="208">
        <f>'ADJ DETAIL-INPUT'!I66</f>
        <v>102</v>
      </c>
      <c r="J66" s="208">
        <f>'ADJ DETAIL-INPUT'!J66</f>
        <v>0</v>
      </c>
      <c r="K66" s="208">
        <f>'ADJ DETAIL-INPUT'!K66</f>
        <v>0</v>
      </c>
      <c r="L66" s="208">
        <f>'ADJ DETAIL-INPUT'!L66</f>
        <v>0</v>
      </c>
      <c r="M66" s="208">
        <f>'ADJ DETAIL-INPUT'!M66</f>
        <v>0</v>
      </c>
      <c r="N66" s="208">
        <f>'ADJ DETAIL-INPUT'!N66</f>
        <v>0</v>
      </c>
      <c r="O66" s="208">
        <f>'ADJ DETAIL-INPUT'!O66</f>
        <v>0</v>
      </c>
      <c r="P66" s="208">
        <f>'ADJ DETAIL-INPUT'!P66</f>
        <v>0</v>
      </c>
      <c r="Q66" s="208">
        <f>'ADJ DETAIL-INPUT'!Q66</f>
        <v>0</v>
      </c>
      <c r="R66" s="208">
        <f>'ADJ DETAIL-INPUT'!R66</f>
        <v>0</v>
      </c>
      <c r="S66" s="208">
        <f>'ADJ DETAIL-INPUT'!S66</f>
        <v>0</v>
      </c>
      <c r="T66" s="208">
        <f>'ADJ DETAIL-INPUT'!T66</f>
        <v>0</v>
      </c>
      <c r="U66" s="208">
        <f>'ADJ DETAIL-INPUT'!U66</f>
        <v>0</v>
      </c>
      <c r="V66" s="208">
        <f>'ADJ DETAIL-INPUT'!V66</f>
        <v>0</v>
      </c>
      <c r="W66" s="208">
        <f>'ADJ DETAIL-INPUT'!W66</f>
        <v>0</v>
      </c>
      <c r="X66" s="208">
        <f>'ADJ DETAIL-INPUT'!X66</f>
        <v>0</v>
      </c>
      <c r="Y66" s="208">
        <f>'ADJ DETAIL-INPUT'!Y66</f>
        <v>0</v>
      </c>
      <c r="Z66" s="208">
        <f>'ADJ DETAIL-INPUT'!Z66</f>
        <v>0</v>
      </c>
      <c r="AA66" s="208">
        <f>'ADJ DETAIL-INPUT'!AA66</f>
        <v>0</v>
      </c>
    </row>
    <row r="67" spans="1:27" s="18" customFormat="1">
      <c r="A67" s="20">
        <f>'ADJ DETAIL-INPUT'!A67</f>
        <v>38</v>
      </c>
      <c r="C67" s="18" t="str">
        <f>'ADJ DETAIL-INPUT'!C67</f>
        <v xml:space="preserve">Production  </v>
      </c>
      <c r="E67" s="137">
        <f>'ADJ DETAIL-INPUT'!E67</f>
        <v>-352091</v>
      </c>
      <c r="F67" s="208">
        <f>'ADJ DETAIL-INPUT'!F67</f>
        <v>0</v>
      </c>
      <c r="G67" s="208">
        <f>'ADJ DETAIL-INPUT'!G67</f>
        <v>0</v>
      </c>
      <c r="H67" s="208">
        <f>'ADJ DETAIL-INPUT'!H67</f>
        <v>0</v>
      </c>
      <c r="I67" s="208">
        <f>'ADJ DETAIL-INPUT'!I67</f>
        <v>0</v>
      </c>
      <c r="J67" s="208">
        <f>'ADJ DETAIL-INPUT'!J67</f>
        <v>0</v>
      </c>
      <c r="K67" s="208">
        <f>'ADJ DETAIL-INPUT'!K67</f>
        <v>0</v>
      </c>
      <c r="L67" s="208">
        <f>'ADJ DETAIL-INPUT'!L67</f>
        <v>0</v>
      </c>
      <c r="M67" s="208">
        <f>'ADJ DETAIL-INPUT'!M67</f>
        <v>0</v>
      </c>
      <c r="N67" s="208">
        <f>'ADJ DETAIL-INPUT'!N67</f>
        <v>0</v>
      </c>
      <c r="O67" s="208">
        <f>'ADJ DETAIL-INPUT'!O67</f>
        <v>0</v>
      </c>
      <c r="P67" s="208">
        <f>'ADJ DETAIL-INPUT'!P67</f>
        <v>0</v>
      </c>
      <c r="Q67" s="208">
        <f>'ADJ DETAIL-INPUT'!Q67</f>
        <v>0</v>
      </c>
      <c r="R67" s="208">
        <f>'ADJ DETAIL-INPUT'!R67</f>
        <v>0</v>
      </c>
      <c r="S67" s="208">
        <f>'ADJ DETAIL-INPUT'!S67</f>
        <v>0</v>
      </c>
      <c r="T67" s="208">
        <f>'ADJ DETAIL-INPUT'!T67</f>
        <v>0</v>
      </c>
      <c r="U67" s="208">
        <f>'ADJ DETAIL-INPUT'!U67</f>
        <v>0</v>
      </c>
      <c r="V67" s="208">
        <f>'ADJ DETAIL-INPUT'!V67</f>
        <v>0</v>
      </c>
      <c r="W67" s="208">
        <f>'ADJ DETAIL-INPUT'!W67</f>
        <v>0</v>
      </c>
      <c r="X67" s="208">
        <f>'ADJ DETAIL-INPUT'!X67</f>
        <v>0</v>
      </c>
      <c r="Y67" s="208">
        <f>'ADJ DETAIL-INPUT'!Y67</f>
        <v>0</v>
      </c>
      <c r="Z67" s="208">
        <f>'ADJ DETAIL-INPUT'!Z67</f>
        <v>0</v>
      </c>
      <c r="AA67" s="208">
        <f>'ADJ DETAIL-INPUT'!AA67</f>
        <v>0</v>
      </c>
    </row>
    <row r="68" spans="1:27" s="18" customFormat="1">
      <c r="A68" s="20">
        <f>'ADJ DETAIL-INPUT'!A68</f>
        <v>39</v>
      </c>
      <c r="C68" s="18" t="str">
        <f>'ADJ DETAIL-INPUT'!C68</f>
        <v xml:space="preserve">Transmission  </v>
      </c>
      <c r="E68" s="137">
        <f>'ADJ DETAIL-INPUT'!E68</f>
        <v>-136838</v>
      </c>
      <c r="F68" s="208">
        <f>'ADJ DETAIL-INPUT'!F68</f>
        <v>0</v>
      </c>
      <c r="G68" s="208">
        <f>'ADJ DETAIL-INPUT'!G68</f>
        <v>0</v>
      </c>
      <c r="H68" s="208">
        <f>'ADJ DETAIL-INPUT'!H68</f>
        <v>0</v>
      </c>
      <c r="I68" s="208">
        <f>'ADJ DETAIL-INPUT'!I68</f>
        <v>0</v>
      </c>
      <c r="J68" s="208">
        <f>'ADJ DETAIL-INPUT'!J68</f>
        <v>0</v>
      </c>
      <c r="K68" s="208">
        <f>'ADJ DETAIL-INPUT'!K68</f>
        <v>0</v>
      </c>
      <c r="L68" s="208">
        <f>'ADJ DETAIL-INPUT'!L68</f>
        <v>0</v>
      </c>
      <c r="M68" s="208">
        <f>'ADJ DETAIL-INPUT'!M68</f>
        <v>0</v>
      </c>
      <c r="N68" s="208">
        <f>'ADJ DETAIL-INPUT'!N68</f>
        <v>0</v>
      </c>
      <c r="O68" s="208">
        <f>'ADJ DETAIL-INPUT'!O68</f>
        <v>0</v>
      </c>
      <c r="P68" s="208">
        <f>'ADJ DETAIL-INPUT'!P68</f>
        <v>0</v>
      </c>
      <c r="Q68" s="208">
        <f>'ADJ DETAIL-INPUT'!Q68</f>
        <v>0</v>
      </c>
      <c r="R68" s="208">
        <f>'ADJ DETAIL-INPUT'!R68</f>
        <v>0</v>
      </c>
      <c r="S68" s="208">
        <f>'ADJ DETAIL-INPUT'!S68</f>
        <v>0</v>
      </c>
      <c r="T68" s="208">
        <f>'ADJ DETAIL-INPUT'!T68</f>
        <v>0</v>
      </c>
      <c r="U68" s="208">
        <f>'ADJ DETAIL-INPUT'!U68</f>
        <v>0</v>
      </c>
      <c r="V68" s="208">
        <f>'ADJ DETAIL-INPUT'!V68</f>
        <v>0</v>
      </c>
      <c r="W68" s="208">
        <f>'ADJ DETAIL-INPUT'!W68</f>
        <v>0</v>
      </c>
      <c r="X68" s="208">
        <f>'ADJ DETAIL-INPUT'!X68</f>
        <v>0</v>
      </c>
      <c r="Y68" s="208">
        <f>'ADJ DETAIL-INPUT'!Y68</f>
        <v>0</v>
      </c>
      <c r="Z68" s="208">
        <f>'ADJ DETAIL-INPUT'!Z68</f>
        <v>0</v>
      </c>
      <c r="AA68" s="208">
        <f>'ADJ DETAIL-INPUT'!AA68</f>
        <v>0</v>
      </c>
    </row>
    <row r="69" spans="1:27" s="18" customFormat="1">
      <c r="A69" s="20">
        <f>'ADJ DETAIL-INPUT'!A69</f>
        <v>40</v>
      </c>
      <c r="C69" s="18" t="str">
        <f>'ADJ DETAIL-INPUT'!C69</f>
        <v xml:space="preserve">Distribution  </v>
      </c>
      <c r="E69" s="137">
        <f>'ADJ DETAIL-INPUT'!E69</f>
        <v>-314013</v>
      </c>
      <c r="F69" s="208">
        <f>'ADJ DETAIL-INPUT'!F69</f>
        <v>0</v>
      </c>
      <c r="G69" s="208">
        <f>'ADJ DETAIL-INPUT'!G69</f>
        <v>0</v>
      </c>
      <c r="H69" s="208">
        <f>'ADJ DETAIL-INPUT'!H69</f>
        <v>0</v>
      </c>
      <c r="I69" s="208">
        <f>'ADJ DETAIL-INPUT'!I69</f>
        <v>0</v>
      </c>
      <c r="J69" s="208">
        <f>'ADJ DETAIL-INPUT'!J69</f>
        <v>0</v>
      </c>
      <c r="K69" s="208">
        <f>'ADJ DETAIL-INPUT'!K69</f>
        <v>0</v>
      </c>
      <c r="L69" s="208">
        <f>'ADJ DETAIL-INPUT'!L69</f>
        <v>0</v>
      </c>
      <c r="M69" s="208">
        <f>'ADJ DETAIL-INPUT'!M69</f>
        <v>0</v>
      </c>
      <c r="N69" s="208">
        <f>'ADJ DETAIL-INPUT'!N69</f>
        <v>0</v>
      </c>
      <c r="O69" s="208">
        <f>'ADJ DETAIL-INPUT'!O69</f>
        <v>0</v>
      </c>
      <c r="P69" s="208">
        <f>'ADJ DETAIL-INPUT'!P69</f>
        <v>0</v>
      </c>
      <c r="Q69" s="208">
        <f>'ADJ DETAIL-INPUT'!Q69</f>
        <v>0</v>
      </c>
      <c r="R69" s="208">
        <f>'ADJ DETAIL-INPUT'!R69</f>
        <v>0</v>
      </c>
      <c r="S69" s="208">
        <f>'ADJ DETAIL-INPUT'!S69</f>
        <v>0</v>
      </c>
      <c r="T69" s="208">
        <f>'ADJ DETAIL-INPUT'!T69</f>
        <v>0</v>
      </c>
      <c r="U69" s="208">
        <f>'ADJ DETAIL-INPUT'!U69</f>
        <v>0</v>
      </c>
      <c r="V69" s="208">
        <f>'ADJ DETAIL-INPUT'!V69</f>
        <v>0</v>
      </c>
      <c r="W69" s="208">
        <f>'ADJ DETAIL-INPUT'!W69</f>
        <v>0</v>
      </c>
      <c r="X69" s="208">
        <f>'ADJ DETAIL-INPUT'!X69</f>
        <v>0</v>
      </c>
      <c r="Y69" s="208">
        <f>'ADJ DETAIL-INPUT'!Y69</f>
        <v>0</v>
      </c>
      <c r="Z69" s="208">
        <f>'ADJ DETAIL-INPUT'!Z69</f>
        <v>0</v>
      </c>
      <c r="AA69" s="208">
        <f>'ADJ DETAIL-INPUT'!AA69</f>
        <v>0</v>
      </c>
    </row>
    <row r="70" spans="1:27" s="18" customFormat="1">
      <c r="A70" s="20">
        <f>'ADJ DETAIL-INPUT'!A70</f>
        <v>41</v>
      </c>
      <c r="C70" s="18" t="str">
        <f>'ADJ DETAIL-INPUT'!C70</f>
        <v xml:space="preserve">General  </v>
      </c>
      <c r="E70" s="137">
        <f>'ADJ DETAIL-INPUT'!E70</f>
        <v>-85360</v>
      </c>
      <c r="F70" s="208">
        <f>'ADJ DETAIL-INPUT'!F70</f>
        <v>0</v>
      </c>
      <c r="G70" s="208">
        <f>'ADJ DETAIL-INPUT'!G70</f>
        <v>0</v>
      </c>
      <c r="H70" s="208">
        <f>'ADJ DETAIL-INPUT'!H70</f>
        <v>0</v>
      </c>
      <c r="I70" s="208">
        <f>'ADJ DETAIL-INPUT'!I70</f>
        <v>0</v>
      </c>
      <c r="J70" s="208">
        <f>'ADJ DETAIL-INPUT'!J70</f>
        <v>0</v>
      </c>
      <c r="K70" s="208">
        <f>'ADJ DETAIL-INPUT'!K70</f>
        <v>0</v>
      </c>
      <c r="L70" s="208">
        <f>'ADJ DETAIL-INPUT'!L70</f>
        <v>0</v>
      </c>
      <c r="M70" s="208">
        <f>'ADJ DETAIL-INPUT'!M70</f>
        <v>0</v>
      </c>
      <c r="N70" s="208">
        <f>'ADJ DETAIL-INPUT'!N70</f>
        <v>0</v>
      </c>
      <c r="O70" s="208">
        <f>'ADJ DETAIL-INPUT'!O70</f>
        <v>0</v>
      </c>
      <c r="P70" s="208">
        <f>'ADJ DETAIL-INPUT'!P70</f>
        <v>0</v>
      </c>
      <c r="Q70" s="208">
        <f>'ADJ DETAIL-INPUT'!Q70</f>
        <v>0</v>
      </c>
      <c r="R70" s="208">
        <f>'ADJ DETAIL-INPUT'!R70</f>
        <v>0</v>
      </c>
      <c r="S70" s="208">
        <f>'ADJ DETAIL-INPUT'!S70</f>
        <v>0</v>
      </c>
      <c r="T70" s="208">
        <f>'ADJ DETAIL-INPUT'!T70</f>
        <v>0</v>
      </c>
      <c r="U70" s="208">
        <f>'ADJ DETAIL-INPUT'!U70</f>
        <v>0</v>
      </c>
      <c r="V70" s="208">
        <f>'ADJ DETAIL-INPUT'!V70</f>
        <v>0</v>
      </c>
      <c r="W70" s="208">
        <f>'ADJ DETAIL-INPUT'!W70</f>
        <v>0</v>
      </c>
      <c r="X70" s="208">
        <f>'ADJ DETAIL-INPUT'!X70</f>
        <v>0</v>
      </c>
      <c r="Y70" s="208">
        <f>'ADJ DETAIL-INPUT'!Y70</f>
        <v>0</v>
      </c>
      <c r="Z70" s="208">
        <f>'ADJ DETAIL-INPUT'!Z70</f>
        <v>0</v>
      </c>
      <c r="AA70" s="208">
        <f>'ADJ DETAIL-INPUT'!AA70</f>
        <v>0</v>
      </c>
    </row>
    <row r="71" spans="1:27" s="18" customFormat="1">
      <c r="A71" s="20">
        <f>'ADJ DETAIL-INPUT'!A71</f>
        <v>42</v>
      </c>
      <c r="B71" s="18" t="str">
        <f>'ADJ DETAIL-INPUT'!B71</f>
        <v>Total Accumulated Depreciation</v>
      </c>
      <c r="E71" s="265">
        <f>'ADJ DETAIL-INPUT'!E71</f>
        <v>-925463</v>
      </c>
      <c r="F71" s="265">
        <f>'ADJ DETAIL-INPUT'!F71</f>
        <v>0</v>
      </c>
      <c r="G71" s="265">
        <f>'ADJ DETAIL-INPUT'!G71</f>
        <v>0</v>
      </c>
      <c r="H71" s="265">
        <f>'ADJ DETAIL-INPUT'!H71</f>
        <v>0</v>
      </c>
      <c r="I71" s="265">
        <f>'ADJ DETAIL-INPUT'!I71</f>
        <v>102</v>
      </c>
      <c r="J71" s="265">
        <f>'ADJ DETAIL-INPUT'!J71</f>
        <v>0</v>
      </c>
      <c r="K71" s="265">
        <f>'ADJ DETAIL-INPUT'!K71</f>
        <v>0</v>
      </c>
      <c r="L71" s="265">
        <f>'ADJ DETAIL-INPUT'!L71</f>
        <v>0</v>
      </c>
      <c r="M71" s="265">
        <f>'ADJ DETAIL-INPUT'!M71</f>
        <v>0</v>
      </c>
      <c r="N71" s="265">
        <f>'ADJ DETAIL-INPUT'!N71</f>
        <v>0</v>
      </c>
      <c r="O71" s="265">
        <f>'ADJ DETAIL-INPUT'!O71</f>
        <v>0</v>
      </c>
      <c r="P71" s="265">
        <f>'ADJ DETAIL-INPUT'!P71</f>
        <v>0</v>
      </c>
      <c r="Q71" s="265">
        <f>'ADJ DETAIL-INPUT'!Q71</f>
        <v>0</v>
      </c>
      <c r="R71" s="265">
        <f>'ADJ DETAIL-INPUT'!R71</f>
        <v>0</v>
      </c>
      <c r="S71" s="265">
        <f>'ADJ DETAIL-INPUT'!S71</f>
        <v>0</v>
      </c>
      <c r="T71" s="265">
        <f>'ADJ DETAIL-INPUT'!T71</f>
        <v>0</v>
      </c>
      <c r="U71" s="265">
        <f>'ADJ DETAIL-INPUT'!U71</f>
        <v>0</v>
      </c>
      <c r="V71" s="265">
        <f>'ADJ DETAIL-INPUT'!V71</f>
        <v>0</v>
      </c>
      <c r="W71" s="265">
        <f>'ADJ DETAIL-INPUT'!W71</f>
        <v>0</v>
      </c>
      <c r="X71" s="265">
        <f>'ADJ DETAIL-INPUT'!X71</f>
        <v>0</v>
      </c>
      <c r="Y71" s="265">
        <f>'ADJ DETAIL-INPUT'!Y71</f>
        <v>0</v>
      </c>
      <c r="Z71" s="265">
        <f>'ADJ DETAIL-INPUT'!Z71</f>
        <v>0</v>
      </c>
      <c r="AA71" s="265">
        <f>'ADJ DETAIL-INPUT'!AA71</f>
        <v>0</v>
      </c>
    </row>
    <row r="72" spans="1:27" s="18" customFormat="1">
      <c r="A72" s="20">
        <f>'ADJ DETAIL-INPUT'!A72</f>
        <v>43</v>
      </c>
      <c r="B72" s="18" t="str">
        <f>'ADJ DETAIL-INPUT'!B72</f>
        <v xml:space="preserve">NET PLANT </v>
      </c>
      <c r="E72" s="265">
        <f>'ADJ DETAIL-INPUT'!E72</f>
        <v>1848397</v>
      </c>
      <c r="F72" s="265">
        <f>'ADJ DETAIL-INPUT'!F72</f>
        <v>0</v>
      </c>
      <c r="G72" s="265">
        <f>'ADJ DETAIL-INPUT'!G72</f>
        <v>0</v>
      </c>
      <c r="H72" s="265">
        <f>'ADJ DETAIL-INPUT'!H72</f>
        <v>0</v>
      </c>
      <c r="I72" s="265">
        <f>'ADJ DETAIL-INPUT'!I72</f>
        <v>-3499</v>
      </c>
      <c r="J72" s="265">
        <f>'ADJ DETAIL-INPUT'!J72</f>
        <v>0</v>
      </c>
      <c r="K72" s="265">
        <f>'ADJ DETAIL-INPUT'!K72</f>
        <v>0</v>
      </c>
      <c r="L72" s="265">
        <f>'ADJ DETAIL-INPUT'!L72</f>
        <v>0</v>
      </c>
      <c r="M72" s="265">
        <f>'ADJ DETAIL-INPUT'!M72</f>
        <v>0</v>
      </c>
      <c r="N72" s="265">
        <f>'ADJ DETAIL-INPUT'!N72</f>
        <v>0</v>
      </c>
      <c r="O72" s="265">
        <f>'ADJ DETAIL-INPUT'!O72</f>
        <v>0</v>
      </c>
      <c r="P72" s="265">
        <f>'ADJ DETAIL-INPUT'!P72</f>
        <v>0</v>
      </c>
      <c r="Q72" s="265">
        <f>'ADJ DETAIL-INPUT'!Q72</f>
        <v>0</v>
      </c>
      <c r="R72" s="265">
        <f>'ADJ DETAIL-INPUT'!R72</f>
        <v>0</v>
      </c>
      <c r="S72" s="265">
        <f>'ADJ DETAIL-INPUT'!S72</f>
        <v>0</v>
      </c>
      <c r="T72" s="265">
        <f>'ADJ DETAIL-INPUT'!T72</f>
        <v>0</v>
      </c>
      <c r="U72" s="265">
        <f>'ADJ DETAIL-INPUT'!U72</f>
        <v>0</v>
      </c>
      <c r="V72" s="265">
        <f>'ADJ DETAIL-INPUT'!V72</f>
        <v>0</v>
      </c>
      <c r="W72" s="265">
        <f>'ADJ DETAIL-INPUT'!W72</f>
        <v>0</v>
      </c>
      <c r="X72" s="265">
        <f>'ADJ DETAIL-INPUT'!X72</f>
        <v>0</v>
      </c>
      <c r="Y72" s="265">
        <f>'ADJ DETAIL-INPUT'!Y72</f>
        <v>0</v>
      </c>
      <c r="Z72" s="265">
        <f>'ADJ DETAIL-INPUT'!Z72</f>
        <v>0</v>
      </c>
      <c r="AA72" s="265">
        <f>'ADJ DETAIL-INPUT'!AA72</f>
        <v>0</v>
      </c>
    </row>
    <row r="73" spans="1:27" s="18" customFormat="1" ht="6.75" customHeight="1">
      <c r="A73" s="20"/>
      <c r="E73" s="171"/>
      <c r="F73" s="171"/>
      <c r="G73" s="171"/>
      <c r="H73" s="171"/>
      <c r="I73" s="171"/>
      <c r="J73" s="171"/>
      <c r="K73" s="171"/>
      <c r="L73" s="171"/>
      <c r="M73" s="171"/>
      <c r="N73" s="171"/>
      <c r="O73" s="171"/>
      <c r="P73" s="171"/>
      <c r="Q73" s="171"/>
      <c r="R73" s="171"/>
      <c r="S73" s="171"/>
      <c r="T73" s="171"/>
      <c r="U73" s="171"/>
      <c r="V73" s="171"/>
      <c r="W73" s="171"/>
      <c r="X73" s="171"/>
      <c r="Y73" s="171"/>
      <c r="Z73" s="171"/>
      <c r="AA73" s="171"/>
    </row>
    <row r="74" spans="1:27" s="18" customFormat="1">
      <c r="A74" s="21">
        <f>'ADJ DETAIL-INPUT'!A74</f>
        <v>44</v>
      </c>
      <c r="B74" s="18" t="str">
        <f>'ADJ DETAIL-INPUT'!B74</f>
        <v xml:space="preserve">DEFERRED TAXES  </v>
      </c>
      <c r="E74" s="172">
        <f>'ADJ DETAIL-INPUT'!E74</f>
        <v>-397657</v>
      </c>
      <c r="F74" s="210">
        <f>'ADJ DETAIL-INPUT'!F74</f>
        <v>771</v>
      </c>
      <c r="G74" s="210">
        <f>'ADJ DETAIL-INPUT'!G74</f>
        <v>0</v>
      </c>
      <c r="H74" s="210">
        <f>'ADJ DETAIL-INPUT'!H74</f>
        <v>0</v>
      </c>
      <c r="I74" s="210">
        <f>'ADJ DETAIL-INPUT'!I74</f>
        <v>35</v>
      </c>
      <c r="J74" s="210">
        <f>'ADJ DETAIL-INPUT'!J74</f>
        <v>0</v>
      </c>
      <c r="K74" s="210">
        <f>'ADJ DETAIL-INPUT'!K74</f>
        <v>0</v>
      </c>
      <c r="L74" s="210">
        <f>'ADJ DETAIL-INPUT'!L74</f>
        <v>0</v>
      </c>
      <c r="M74" s="210">
        <f>'ADJ DETAIL-INPUT'!M74</f>
        <v>0</v>
      </c>
      <c r="N74" s="210">
        <f>'ADJ DETAIL-INPUT'!N74</f>
        <v>0</v>
      </c>
      <c r="O74" s="210">
        <f>'ADJ DETAIL-INPUT'!O74</f>
        <v>0</v>
      </c>
      <c r="P74" s="210">
        <f>'ADJ DETAIL-INPUT'!P74</f>
        <v>0</v>
      </c>
      <c r="Q74" s="210">
        <f>'ADJ DETAIL-INPUT'!Q74</f>
        <v>0</v>
      </c>
      <c r="R74" s="210">
        <f>'ADJ DETAIL-INPUT'!R74</f>
        <v>0</v>
      </c>
      <c r="S74" s="210">
        <f>'ADJ DETAIL-INPUT'!S74</f>
        <v>0</v>
      </c>
      <c r="T74" s="210">
        <f>'ADJ DETAIL-INPUT'!T74</f>
        <v>0</v>
      </c>
      <c r="U74" s="210">
        <f>'ADJ DETAIL-INPUT'!U74</f>
        <v>0</v>
      </c>
      <c r="V74" s="210">
        <f>'ADJ DETAIL-INPUT'!V74</f>
        <v>0</v>
      </c>
      <c r="W74" s="210">
        <f>'ADJ DETAIL-INPUT'!W74</f>
        <v>0</v>
      </c>
      <c r="X74" s="210">
        <f>'ADJ DETAIL-INPUT'!X74</f>
        <v>0</v>
      </c>
      <c r="Y74" s="210">
        <f>'ADJ DETAIL-INPUT'!Y74</f>
        <v>0</v>
      </c>
      <c r="Z74" s="210">
        <f>'ADJ DETAIL-INPUT'!Z74</f>
        <v>0</v>
      </c>
      <c r="AA74" s="210">
        <f>'ADJ DETAIL-INPUT'!AA74</f>
        <v>0</v>
      </c>
    </row>
    <row r="75" spans="1:27" s="18" customFormat="1">
      <c r="A75" s="21">
        <f>'ADJ DETAIL-INPUT'!A75</f>
        <v>45</v>
      </c>
      <c r="C75" s="18" t="str">
        <f>'ADJ DETAIL-INPUT'!C75</f>
        <v>Net Plant After DFIT</v>
      </c>
      <c r="E75" s="171">
        <f>'ADJ DETAIL-INPUT'!E75</f>
        <v>1450740</v>
      </c>
      <c r="F75" s="171">
        <f>'ADJ DETAIL-INPUT'!F75</f>
        <v>771</v>
      </c>
      <c r="G75" s="171">
        <f>'ADJ DETAIL-INPUT'!G75</f>
        <v>0</v>
      </c>
      <c r="H75" s="171">
        <f>'ADJ DETAIL-INPUT'!H75</f>
        <v>0</v>
      </c>
      <c r="I75" s="171">
        <f>'ADJ DETAIL-INPUT'!I75</f>
        <v>-3464</v>
      </c>
      <c r="J75" s="171">
        <f>'ADJ DETAIL-INPUT'!J75</f>
        <v>0</v>
      </c>
      <c r="K75" s="171">
        <f>'ADJ DETAIL-INPUT'!K75</f>
        <v>0</v>
      </c>
      <c r="L75" s="171">
        <f>'ADJ DETAIL-INPUT'!L75</f>
        <v>0</v>
      </c>
      <c r="M75" s="171">
        <f>'ADJ DETAIL-INPUT'!M75</f>
        <v>0</v>
      </c>
      <c r="N75" s="171">
        <f>'ADJ DETAIL-INPUT'!N75</f>
        <v>0</v>
      </c>
      <c r="O75" s="171">
        <f>'ADJ DETAIL-INPUT'!O75</f>
        <v>0</v>
      </c>
      <c r="P75" s="171">
        <f>'ADJ DETAIL-INPUT'!P75</f>
        <v>0</v>
      </c>
      <c r="Q75" s="171">
        <f>'ADJ DETAIL-INPUT'!Q75</f>
        <v>0</v>
      </c>
      <c r="R75" s="171">
        <f>'ADJ DETAIL-INPUT'!R75</f>
        <v>0</v>
      </c>
      <c r="S75" s="171">
        <f>'ADJ DETAIL-INPUT'!S75</f>
        <v>0</v>
      </c>
      <c r="T75" s="171">
        <f>'ADJ DETAIL-INPUT'!T75</f>
        <v>0</v>
      </c>
      <c r="U75" s="171">
        <f>'ADJ DETAIL-INPUT'!U75</f>
        <v>0</v>
      </c>
      <c r="V75" s="171">
        <f>'ADJ DETAIL-INPUT'!V75</f>
        <v>0</v>
      </c>
      <c r="W75" s="171">
        <f>'ADJ DETAIL-INPUT'!W75</f>
        <v>0</v>
      </c>
      <c r="X75" s="171">
        <f>'ADJ DETAIL-INPUT'!X75</f>
        <v>0</v>
      </c>
      <c r="Y75" s="171">
        <f>'ADJ DETAIL-INPUT'!Y75</f>
        <v>0</v>
      </c>
      <c r="Z75" s="171">
        <f>'ADJ DETAIL-INPUT'!Z75</f>
        <v>0</v>
      </c>
      <c r="AA75" s="171">
        <f>'ADJ DETAIL-INPUT'!AA75</f>
        <v>0</v>
      </c>
    </row>
    <row r="76" spans="1:27" s="18" customFormat="1">
      <c r="A76" s="20">
        <f>'ADJ DETAIL-INPUT'!A76</f>
        <v>46</v>
      </c>
      <c r="B76" s="18" t="str">
        <f>'ADJ DETAIL-INPUT'!B76</f>
        <v xml:space="preserve">DEFERRED DEBITS AND CREDITS </v>
      </c>
      <c r="E76" s="171">
        <f>'ADJ DETAIL-INPUT'!E76</f>
        <v>2110</v>
      </c>
      <c r="F76" s="208">
        <f>'ADJ DETAIL-INPUT'!F76</f>
        <v>0</v>
      </c>
      <c r="G76" s="208">
        <f>'ADJ DETAIL-INPUT'!G76</f>
        <v>0</v>
      </c>
      <c r="H76" s="208">
        <f>'ADJ DETAIL-INPUT'!H76</f>
        <v>0</v>
      </c>
      <c r="I76" s="208">
        <f>'ADJ DETAIL-INPUT'!I76</f>
        <v>0</v>
      </c>
      <c r="J76" s="208">
        <f>'ADJ DETAIL-INPUT'!J76</f>
        <v>0</v>
      </c>
      <c r="K76" s="208">
        <f>'ADJ DETAIL-INPUT'!K76</f>
        <v>0</v>
      </c>
      <c r="L76" s="208">
        <f>'ADJ DETAIL-INPUT'!L76</f>
        <v>0</v>
      </c>
      <c r="M76" s="208">
        <f>'ADJ DETAIL-INPUT'!M76</f>
        <v>0</v>
      </c>
      <c r="N76" s="208">
        <f>'ADJ DETAIL-INPUT'!N76</f>
        <v>0</v>
      </c>
      <c r="O76" s="208">
        <f>'ADJ DETAIL-INPUT'!O76</f>
        <v>0</v>
      </c>
      <c r="P76" s="208">
        <f>'ADJ DETAIL-INPUT'!P76</f>
        <v>0</v>
      </c>
      <c r="Q76" s="208">
        <f>'ADJ DETAIL-INPUT'!Q76</f>
        <v>0</v>
      </c>
      <c r="R76" s="208">
        <f>'ADJ DETAIL-INPUT'!R76</f>
        <v>0</v>
      </c>
      <c r="S76" s="208">
        <f>'ADJ DETAIL-INPUT'!S76</f>
        <v>0</v>
      </c>
      <c r="T76" s="208">
        <f>'ADJ DETAIL-INPUT'!T76</f>
        <v>0</v>
      </c>
      <c r="U76" s="208">
        <f>'ADJ DETAIL-INPUT'!U76</f>
        <v>0</v>
      </c>
      <c r="V76" s="208">
        <f>'ADJ DETAIL-INPUT'!V76</f>
        <v>0</v>
      </c>
      <c r="W76" s="208">
        <f>'ADJ DETAIL-INPUT'!W76</f>
        <v>0</v>
      </c>
      <c r="X76" s="208">
        <f>'ADJ DETAIL-INPUT'!X76</f>
        <v>0</v>
      </c>
      <c r="Y76" s="208">
        <f>'ADJ DETAIL-INPUT'!Y76</f>
        <v>0</v>
      </c>
      <c r="Z76" s="208">
        <f>'ADJ DETAIL-INPUT'!Z76</f>
        <v>0</v>
      </c>
      <c r="AA76" s="208">
        <f>'ADJ DETAIL-INPUT'!AA76</f>
        <v>0</v>
      </c>
    </row>
    <row r="77" spans="1:27" s="18" customFormat="1">
      <c r="A77" s="20">
        <f>'ADJ DETAIL-INPUT'!A77</f>
        <v>47</v>
      </c>
      <c r="B77" s="18" t="str">
        <f>'ADJ DETAIL-INPUT'!B77</f>
        <v xml:space="preserve">WORKING CAPITAL </v>
      </c>
      <c r="E77" s="171">
        <f>'ADJ DETAIL-INPUT'!E77</f>
        <v>63549</v>
      </c>
      <c r="F77" s="210">
        <f>'ADJ DETAIL-INPUT'!F77</f>
        <v>0</v>
      </c>
      <c r="G77" s="210">
        <f>'ADJ DETAIL-INPUT'!G77</f>
        <v>0</v>
      </c>
      <c r="H77" s="210">
        <f>'ADJ DETAIL-INPUT'!H77</f>
        <v>0</v>
      </c>
      <c r="I77" s="210">
        <f>'ADJ DETAIL-INPUT'!I77</f>
        <v>0</v>
      </c>
      <c r="J77" s="210">
        <f>'ADJ DETAIL-INPUT'!J77</f>
        <v>0</v>
      </c>
      <c r="K77" s="210">
        <f>'ADJ DETAIL-INPUT'!K77</f>
        <v>0</v>
      </c>
      <c r="L77" s="210">
        <f>'ADJ DETAIL-INPUT'!L77</f>
        <v>0</v>
      </c>
      <c r="M77" s="210">
        <f>'ADJ DETAIL-INPUT'!M77</f>
        <v>0</v>
      </c>
      <c r="N77" s="210">
        <f>'ADJ DETAIL-INPUT'!N77</f>
        <v>0</v>
      </c>
      <c r="O77" s="210">
        <f>'ADJ DETAIL-INPUT'!O77</f>
        <v>0</v>
      </c>
      <c r="P77" s="210">
        <f>'ADJ DETAIL-INPUT'!P77</f>
        <v>0</v>
      </c>
      <c r="Q77" s="210">
        <f>'ADJ DETAIL-INPUT'!Q77</f>
        <v>0</v>
      </c>
      <c r="R77" s="210">
        <f>'ADJ DETAIL-INPUT'!R77</f>
        <v>0</v>
      </c>
      <c r="S77" s="210">
        <f>'ADJ DETAIL-INPUT'!S77</f>
        <v>0</v>
      </c>
      <c r="T77" s="210">
        <f>'ADJ DETAIL-INPUT'!T77</f>
        <v>0</v>
      </c>
      <c r="U77" s="210">
        <f>'ADJ DETAIL-INPUT'!U77</f>
        <v>0</v>
      </c>
      <c r="V77" s="210">
        <f>'ADJ DETAIL-INPUT'!V77</f>
        <v>0</v>
      </c>
      <c r="W77" s="210">
        <f>'ADJ DETAIL-INPUT'!W77</f>
        <v>0</v>
      </c>
      <c r="X77" s="210">
        <f>'ADJ DETAIL-INPUT'!X77</f>
        <v>0</v>
      </c>
      <c r="Y77" s="210">
        <f>'ADJ DETAIL-INPUT'!Y77</f>
        <v>0</v>
      </c>
      <c r="Z77" s="210">
        <f>'ADJ DETAIL-INPUT'!Z77</f>
        <v>0</v>
      </c>
      <c r="AA77" s="210">
        <f>'ADJ DETAIL-INPUT'!AA77</f>
        <v>0</v>
      </c>
    </row>
    <row r="78" spans="1:27" s="18" customFormat="1" ht="6.75" customHeight="1">
      <c r="A78" s="21"/>
      <c r="E78" s="265">
        <f>'ADJ DETAIL-INPUT'!E78</f>
        <v>0</v>
      </c>
      <c r="F78" s="159">
        <f>'ADJ DETAIL-INPUT'!F78</f>
        <v>0</v>
      </c>
      <c r="G78" s="159">
        <f>'ADJ DETAIL-INPUT'!G78</f>
        <v>0</v>
      </c>
      <c r="H78" s="159">
        <f>'ADJ DETAIL-INPUT'!H78</f>
        <v>0</v>
      </c>
      <c r="I78" s="159">
        <f>'ADJ DETAIL-INPUT'!I78</f>
        <v>0</v>
      </c>
      <c r="J78" s="159">
        <f>'ADJ DETAIL-INPUT'!J78</f>
        <v>0</v>
      </c>
      <c r="K78" s="159">
        <f>'ADJ DETAIL-INPUT'!K78</f>
        <v>0</v>
      </c>
      <c r="L78" s="159">
        <f>'ADJ DETAIL-INPUT'!L78</f>
        <v>0</v>
      </c>
      <c r="M78" s="159">
        <f>'ADJ DETAIL-INPUT'!M78</f>
        <v>0</v>
      </c>
      <c r="N78" s="159">
        <f>'ADJ DETAIL-INPUT'!N78</f>
        <v>0</v>
      </c>
      <c r="O78" s="159">
        <f>'ADJ DETAIL-INPUT'!O78</f>
        <v>0</v>
      </c>
      <c r="P78" s="159">
        <f>'ADJ DETAIL-INPUT'!P78</f>
        <v>0</v>
      </c>
      <c r="Q78" s="159">
        <f>'ADJ DETAIL-INPUT'!Q78</f>
        <v>0</v>
      </c>
      <c r="R78" s="159">
        <f>'ADJ DETAIL-INPUT'!R78</f>
        <v>0</v>
      </c>
      <c r="S78" s="159">
        <f>'ADJ DETAIL-INPUT'!S78</f>
        <v>0</v>
      </c>
      <c r="T78" s="159">
        <f>'ADJ DETAIL-INPUT'!T78</f>
        <v>0</v>
      </c>
      <c r="U78" s="159">
        <f>'ADJ DETAIL-INPUT'!U78</f>
        <v>0</v>
      </c>
      <c r="V78" s="159">
        <f>'ADJ DETAIL-INPUT'!V78</f>
        <v>0</v>
      </c>
      <c r="W78" s="159">
        <f>'ADJ DETAIL-INPUT'!W78</f>
        <v>0</v>
      </c>
      <c r="X78" s="159">
        <f>'ADJ DETAIL-INPUT'!X78</f>
        <v>0</v>
      </c>
      <c r="Y78" s="159">
        <f>'ADJ DETAIL-INPUT'!Y78</f>
        <v>0</v>
      </c>
      <c r="Z78" s="159">
        <f>'ADJ DETAIL-INPUT'!Z78</f>
        <v>0</v>
      </c>
      <c r="AA78" s="159">
        <f>'ADJ DETAIL-INPUT'!AA78</f>
        <v>0</v>
      </c>
    </row>
    <row r="79" spans="1:27" s="17" customFormat="1" ht="12.6" thickBot="1">
      <c r="A79" s="16">
        <f>'ADJ DETAIL-INPUT'!A79</f>
        <v>48</v>
      </c>
      <c r="B79" s="17" t="str">
        <f>'ADJ DETAIL-INPUT'!B79</f>
        <v xml:space="preserve">TOTAL RATE BASE  </v>
      </c>
      <c r="E79" s="268">
        <f>'ADJ DETAIL-INPUT'!E79</f>
        <v>1516399</v>
      </c>
      <c r="F79" s="268">
        <f>'ADJ DETAIL-INPUT'!F79</f>
        <v>771</v>
      </c>
      <c r="G79" s="268">
        <f>'ADJ DETAIL-INPUT'!G79</f>
        <v>0</v>
      </c>
      <c r="H79" s="268">
        <f>'ADJ DETAIL-INPUT'!H79</f>
        <v>0</v>
      </c>
      <c r="I79" s="268">
        <f>'ADJ DETAIL-INPUT'!I79</f>
        <v>-3464</v>
      </c>
      <c r="J79" s="268">
        <f>'ADJ DETAIL-INPUT'!J79</f>
        <v>0</v>
      </c>
      <c r="K79" s="268">
        <f>'ADJ DETAIL-INPUT'!K79</f>
        <v>0</v>
      </c>
      <c r="L79" s="268">
        <f>'ADJ DETAIL-INPUT'!L79</f>
        <v>0</v>
      </c>
      <c r="M79" s="268">
        <f>'ADJ DETAIL-INPUT'!M79</f>
        <v>0</v>
      </c>
      <c r="N79" s="268">
        <f>'ADJ DETAIL-INPUT'!N79</f>
        <v>0</v>
      </c>
      <c r="O79" s="268">
        <f>'ADJ DETAIL-INPUT'!O79</f>
        <v>0</v>
      </c>
      <c r="P79" s="268">
        <f>'ADJ DETAIL-INPUT'!P79</f>
        <v>0</v>
      </c>
      <c r="Q79" s="268">
        <f>'ADJ DETAIL-INPUT'!Q79</f>
        <v>0</v>
      </c>
      <c r="R79" s="268">
        <f>'ADJ DETAIL-INPUT'!R79</f>
        <v>0</v>
      </c>
      <c r="S79" s="268">
        <f>'ADJ DETAIL-INPUT'!S79</f>
        <v>0</v>
      </c>
      <c r="T79" s="268">
        <f>'ADJ DETAIL-INPUT'!T79</f>
        <v>0</v>
      </c>
      <c r="U79" s="268">
        <f>'ADJ DETAIL-INPUT'!U79</f>
        <v>0</v>
      </c>
      <c r="V79" s="268">
        <f>'ADJ DETAIL-INPUT'!V79</f>
        <v>0</v>
      </c>
      <c r="W79" s="268">
        <f>'ADJ DETAIL-INPUT'!W79</f>
        <v>0</v>
      </c>
      <c r="X79" s="268">
        <f>'ADJ DETAIL-INPUT'!X79</f>
        <v>0</v>
      </c>
      <c r="Y79" s="268">
        <f>'ADJ DETAIL-INPUT'!Y79</f>
        <v>0</v>
      </c>
      <c r="Z79" s="268">
        <f>'ADJ DETAIL-INPUT'!Z79</f>
        <v>0</v>
      </c>
      <c r="AA79" s="268">
        <f>'ADJ DETAIL-INPUT'!AA79</f>
        <v>0</v>
      </c>
    </row>
    <row r="80" spans="1:27" ht="12.6" thickTop="1">
      <c r="D80" s="102"/>
      <c r="E80" s="159"/>
    </row>
    <row r="81" spans="5:5">
      <c r="E81" s="159"/>
    </row>
  </sheetData>
  <sheetProtection formatCells="0" formatColumns="0" formatRows="0" insertColumns="0" insertRows="0" insertHyperlinks="0" deleteColumns="0" deleteRows="0" sort="0" autoFilter="0" pivotTables="0"/>
  <pageMargins left="1.25" right="0.51" top="0.4" bottom="0.5" header="0.27" footer="0.5"/>
  <pageSetup scale="83" firstPageNumber="4" fitToWidth="3" orientation="portrait" r:id="rId1"/>
  <headerFooter scaleWithDoc="0" alignWithMargins="0"/>
  <colBreaks count="22" manualBreakCount="22">
    <brk id="5" min="1" max="78" man="1"/>
    <brk id="6" min="1" max="78" man="1"/>
    <brk id="7" min="1" max="78" man="1"/>
    <brk id="8" min="1" max="78" man="1"/>
    <brk id="9" min="1" max="78" man="1"/>
    <brk id="10" min="1" max="78" man="1"/>
    <brk id="11" min="1" max="78" man="1"/>
    <brk id="12" min="1" max="78" man="1"/>
    <brk id="13" min="1" max="78" man="1"/>
    <brk id="14" min="1" max="78" man="1"/>
    <brk id="15" min="1" max="78" man="1"/>
    <brk id="16" min="1" max="78" man="1"/>
    <brk id="17" min="1" max="78" man="1"/>
    <brk id="18" min="1" max="78" man="1"/>
    <brk id="19" min="1" max="78" man="1"/>
    <brk id="20" min="1" max="78" man="1"/>
    <brk id="21" min="1" max="78" man="1"/>
    <brk id="22" min="1" max="78" man="1"/>
    <brk id="23" min="1" max="78" man="1"/>
    <brk id="24" min="1" max="78" man="1"/>
    <brk id="25" min="1" max="78" man="1"/>
    <brk id="2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54"/>
  <sheetViews>
    <sheetView topLeftCell="A21" workbookViewId="0">
      <selection activeCell="D36" sqref="D36:D39"/>
    </sheetView>
  </sheetViews>
  <sheetFormatPr defaultColWidth="11.44140625" defaultRowHeight="13.2"/>
  <cols>
    <col min="1" max="2" width="8.109375" style="22" customWidth="1"/>
    <col min="3" max="3" width="38.109375" style="22" customWidth="1"/>
    <col min="4" max="4" width="11.44140625" style="184" customWidth="1"/>
    <col min="5" max="5" width="12.5546875" style="184" customWidth="1"/>
    <col min="6" max="6" width="8.44140625" style="35" customWidth="1"/>
    <col min="7" max="7" width="8.44140625" style="35" bestFit="1" customWidth="1"/>
    <col min="8" max="8" width="7.44140625" style="26" customWidth="1"/>
    <col min="9" max="9" width="8.33203125" style="311" bestFit="1" customWidth="1"/>
    <col min="10" max="10" width="1.88671875" style="380" customWidth="1"/>
    <col min="11" max="11" width="8.44140625" style="22" bestFit="1" customWidth="1"/>
    <col min="12" max="12" width="15" style="22" customWidth="1"/>
    <col min="13" max="16384" width="11.44140625" style="22"/>
  </cols>
  <sheetData>
    <row r="1" spans="1:16">
      <c r="A1" s="471" t="str">
        <f>'ADJ DETAIL-INPUT'!A2</f>
        <v xml:space="preserve">AVISTA UTILITIES  </v>
      </c>
      <c r="B1" s="471"/>
      <c r="C1" s="471"/>
      <c r="D1" s="471"/>
      <c r="E1" s="471"/>
      <c r="F1" s="471"/>
      <c r="G1" s="412"/>
    </row>
    <row r="2" spans="1:16">
      <c r="A2" s="486" t="s">
        <v>50</v>
      </c>
      <c r="B2" s="486"/>
      <c r="C2" s="486"/>
      <c r="D2" s="486"/>
      <c r="E2" s="486"/>
      <c r="F2" s="486"/>
      <c r="G2" s="413"/>
    </row>
    <row r="3" spans="1:16">
      <c r="A3" s="486" t="s">
        <v>51</v>
      </c>
      <c r="B3" s="486"/>
      <c r="C3" s="486"/>
      <c r="D3" s="486"/>
      <c r="E3" s="486"/>
      <c r="F3" s="486"/>
      <c r="G3" s="413"/>
    </row>
    <row r="4" spans="1:16">
      <c r="A4" s="487" t="str">
        <f>'ADJ DETAIL-INPUT'!A4</f>
        <v>TWELVE MONTHS ENDED DECEMBER 31, 2017</v>
      </c>
      <c r="B4" s="487"/>
      <c r="C4" s="487"/>
      <c r="D4" s="487"/>
      <c r="E4" s="487"/>
      <c r="F4" s="487"/>
      <c r="G4" s="414"/>
    </row>
    <row r="5" spans="1:16" ht="5.25" customHeight="1"/>
    <row r="6" spans="1:16">
      <c r="A6" s="22" t="s">
        <v>636</v>
      </c>
    </row>
    <row r="7" spans="1:16">
      <c r="D7" s="185"/>
      <c r="E7" s="186" t="s">
        <v>51</v>
      </c>
      <c r="F7" s="36"/>
      <c r="G7" s="437" t="s">
        <v>209</v>
      </c>
      <c r="H7" s="32" t="s">
        <v>208</v>
      </c>
      <c r="I7" s="22" t="s">
        <v>539</v>
      </c>
    </row>
    <row r="8" spans="1:16">
      <c r="A8" s="27" t="s">
        <v>52</v>
      </c>
      <c r="B8" s="295" t="s">
        <v>522</v>
      </c>
      <c r="C8" s="36" t="s">
        <v>114</v>
      </c>
      <c r="D8" s="186" t="s">
        <v>54</v>
      </c>
      <c r="E8" s="186" t="s">
        <v>20</v>
      </c>
      <c r="F8" s="36" t="s">
        <v>55</v>
      </c>
      <c r="G8" s="38"/>
    </row>
    <row r="9" spans="1:16">
      <c r="A9" s="140" t="s">
        <v>222</v>
      </c>
      <c r="B9" s="140"/>
      <c r="C9" s="38"/>
      <c r="D9" s="187"/>
      <c r="E9" s="187"/>
      <c r="F9" s="38"/>
      <c r="G9" s="38"/>
      <c r="I9" s="312"/>
      <c r="J9" s="387"/>
    </row>
    <row r="10" spans="1:16">
      <c r="A10" s="178">
        <f>'ADJ DETAIL-INPUT'!E$10</f>
        <v>1</v>
      </c>
      <c r="B10" s="309" t="str">
        <f>'ADJ DETAIL-INPUT'!E$11</f>
        <v>E-ROO</v>
      </c>
      <c r="C10" s="29" t="str">
        <f>TRIM(CONCATENATE('ADJ DETAIL-INPUT'!E$7," ",'ADJ DETAIL-INPUT'!E$8," ",'ADJ DETAIL-INPUT'!E$9))</f>
        <v>Results of Operations</v>
      </c>
      <c r="D10" s="184">
        <f>'ADJ DETAIL-INPUT'!E$55</f>
        <v>114407</v>
      </c>
      <c r="E10" s="184">
        <f>'ADJ DETAIL-INPUT'!E$79</f>
        <v>1516399</v>
      </c>
      <c r="F10" s="444">
        <f>D10/E10</f>
        <v>7.5446501877144467E-2</v>
      </c>
      <c r="G10" s="433"/>
      <c r="H10" s="439" t="s">
        <v>210</v>
      </c>
      <c r="I10" s="35"/>
      <c r="J10" s="143"/>
    </row>
    <row r="11" spans="1:16" s="34" customFormat="1">
      <c r="A11" s="178">
        <f>'ADJ DETAIL-INPUT'!F$10</f>
        <v>1.01</v>
      </c>
      <c r="B11" s="309" t="str">
        <f>'ADJ DETAIL-INPUT'!F$11</f>
        <v>E-DFIT</v>
      </c>
      <c r="C11" s="29" t="str">
        <f>TRIM(CONCATENATE('ADJ DETAIL-INPUT'!F$7," ",'ADJ DETAIL-INPUT'!F$8," ",'ADJ DETAIL-INPUT'!F$9))</f>
        <v>Deferred FIT Rate Base</v>
      </c>
      <c r="D11" s="184">
        <f>'ADJ DETAIL-INPUT'!F$55</f>
        <v>7.6826294999999991</v>
      </c>
      <c r="E11" s="184">
        <f>'ADJ DETAIL-INPUT'!F$79</f>
        <v>771</v>
      </c>
      <c r="F11" s="107"/>
      <c r="G11" s="434"/>
      <c r="H11" s="442" t="s">
        <v>593</v>
      </c>
      <c r="I11" s="35"/>
      <c r="J11" s="143"/>
      <c r="L11" s="386"/>
    </row>
    <row r="12" spans="1:16" s="34" customFormat="1">
      <c r="A12" s="178">
        <f>'ADJ DETAIL-INPUT'!G$10</f>
        <v>1.02</v>
      </c>
      <c r="B12" s="309" t="str">
        <f>'ADJ DETAIL-INPUT'!G$11</f>
        <v>E-DDC</v>
      </c>
      <c r="C12" s="29" t="str">
        <f>TRIM(CONCATENATE('ADJ DETAIL-INPUT'!G$7," ",'ADJ DETAIL-INPUT'!G$8," ",'ADJ DETAIL-INPUT'!G$9))</f>
        <v>Deferred Debits and Credits</v>
      </c>
      <c r="D12" s="184">
        <f>'ADJ DETAIL-INPUT'!G$55</f>
        <v>-22.1</v>
      </c>
      <c r="E12" s="184">
        <f>'ADJ DETAIL-INPUT'!G$79</f>
        <v>0</v>
      </c>
      <c r="F12" s="107"/>
      <c r="G12" s="433"/>
      <c r="H12" s="443" t="s">
        <v>618</v>
      </c>
      <c r="I12" s="35"/>
      <c r="J12" s="143"/>
      <c r="K12" s="22"/>
      <c r="L12" s="386"/>
    </row>
    <row r="13" spans="1:16" s="105" customFormat="1">
      <c r="A13" s="178">
        <f>'ADJ DETAIL-INPUT'!H$10</f>
        <v>1.03</v>
      </c>
      <c r="B13" s="309" t="str">
        <f>'ADJ DETAIL-INPUT'!H$11</f>
        <v xml:space="preserve">E-WC </v>
      </c>
      <c r="C13" s="29" t="str">
        <f>TRIM(CONCATENATE('ADJ DETAIL-INPUT'!H$7," ",'ADJ DETAIL-INPUT'!H$8," ",'ADJ DETAIL-INPUT'!H$9))</f>
        <v>Working Capital</v>
      </c>
      <c r="D13" s="30">
        <f>'ADJ DETAIL-INPUT'!H$55</f>
        <v>0</v>
      </c>
      <c r="E13" s="184">
        <f>'ADJ DETAIL-INPUT'!H$79</f>
        <v>0</v>
      </c>
      <c r="F13" s="106"/>
      <c r="G13" s="433"/>
      <c r="H13" s="440" t="s">
        <v>210</v>
      </c>
      <c r="I13" s="35"/>
      <c r="J13" s="143"/>
      <c r="K13" s="22"/>
    </row>
    <row r="14" spans="1:16" s="105" customFormat="1">
      <c r="A14" s="178">
        <f>'ADJ DETAIL-INPUT'!I$10</f>
        <v>1.04</v>
      </c>
      <c r="B14" s="309" t="str">
        <f>'ADJ DETAIL-INPUT'!I$11</f>
        <v xml:space="preserve">E-AMI </v>
      </c>
      <c r="C14" s="29" t="str">
        <f>TRIM(CONCATENATE('ADJ DETAIL-INPUT'!I$7," ",'ADJ DETAIL-INPUT'!I$8," ",'ADJ DETAIL-INPUT'!I$9))</f>
        <v>AMI Rate Base</v>
      </c>
      <c r="D14" s="184">
        <f>'ADJ DETAIL-INPUT'!I$55</f>
        <v>-34.517027999999996</v>
      </c>
      <c r="E14" s="184">
        <f>'ADJ DETAIL-INPUT'!I$79</f>
        <v>-3464</v>
      </c>
      <c r="F14" s="106"/>
      <c r="G14" s="461"/>
      <c r="H14" s="461" t="s">
        <v>210</v>
      </c>
      <c r="I14" s="35"/>
      <c r="J14" s="143"/>
      <c r="K14" s="22"/>
    </row>
    <row r="15" spans="1:16" s="33" customFormat="1">
      <c r="A15" s="178">
        <f>'ADJ DETAIL-INPUT'!J$10</f>
        <v>2.0099999999999998</v>
      </c>
      <c r="B15" s="309" t="str">
        <f>'ADJ DETAIL-INPUT'!J$11</f>
        <v>E-EBO</v>
      </c>
      <c r="C15" s="29" t="str">
        <f>TRIM(CONCATENATE('ADJ DETAIL-INPUT'!J$7," ",'ADJ DETAIL-INPUT'!J$8," ",'ADJ DETAIL-INPUT'!J$9))</f>
        <v>Eliminate B &amp; O Taxes</v>
      </c>
      <c r="D15" s="184">
        <f>'ADJ DETAIL-INPUT'!J$55</f>
        <v>-66.300000000000011</v>
      </c>
      <c r="E15" s="184">
        <f>'ADJ DETAIL-INPUT'!J$79</f>
        <v>0</v>
      </c>
      <c r="F15" s="35"/>
      <c r="G15" s="31"/>
      <c r="H15" s="31" t="s">
        <v>593</v>
      </c>
      <c r="I15" s="35"/>
      <c r="J15" s="143"/>
      <c r="K15" s="22"/>
    </row>
    <row r="16" spans="1:16" s="33" customFormat="1">
      <c r="A16" s="178">
        <f>'ADJ DETAIL-INPUT'!K$10</f>
        <v>2.0199999999999996</v>
      </c>
      <c r="B16" s="309" t="str">
        <f>'ADJ DETAIL-INPUT'!K$11</f>
        <v>E-PT</v>
      </c>
      <c r="C16" s="29" t="str">
        <f>TRIM(CONCATENATE('ADJ DETAIL-INPUT'!K$7," ",'ADJ DETAIL-INPUT'!K$8," ",'ADJ DETAIL-INPUT'!K$9))</f>
        <v>Restate Property Tax</v>
      </c>
      <c r="D16" s="184">
        <f>'ADJ DETAIL-INPUT'!K$55</f>
        <v>1.9500000000000002</v>
      </c>
      <c r="E16" s="184">
        <f>'ADJ DETAIL-INPUT'!K$79</f>
        <v>0</v>
      </c>
      <c r="F16" s="35"/>
      <c r="G16" s="31"/>
      <c r="H16" s="31" t="s">
        <v>593</v>
      </c>
      <c r="I16" s="35"/>
      <c r="J16" s="143"/>
      <c r="K16" s="22"/>
      <c r="L16" s="126"/>
      <c r="M16" s="126"/>
      <c r="N16" s="126"/>
      <c r="O16" s="126"/>
      <c r="P16" s="126"/>
    </row>
    <row r="17" spans="1:12" s="33" customFormat="1">
      <c r="A17" s="178">
        <f>'ADJ DETAIL-INPUT'!L$10</f>
        <v>2.0299999999999994</v>
      </c>
      <c r="B17" s="309" t="str">
        <f>'ADJ DETAIL-INPUT'!L$11</f>
        <v>E-UE</v>
      </c>
      <c r="C17" s="29" t="str">
        <f>TRIM(CONCATENATE('ADJ DETAIL-INPUT'!L$7," ",'ADJ DETAIL-INPUT'!L$8," ",'ADJ DETAIL-INPUT'!L$9))</f>
        <v>Uncollectible Expense</v>
      </c>
      <c r="D17" s="184">
        <f>'ADJ DETAIL-INPUT'!L$55</f>
        <v>-614.25</v>
      </c>
      <c r="E17" s="184">
        <f>'ADJ DETAIL-INPUT'!L$79</f>
        <v>0</v>
      </c>
      <c r="F17" s="35"/>
      <c r="G17" s="31"/>
      <c r="H17" s="31" t="s">
        <v>618</v>
      </c>
      <c r="I17" s="35"/>
      <c r="J17" s="143"/>
      <c r="K17" s="22"/>
    </row>
    <row r="18" spans="1:12" s="33" customFormat="1">
      <c r="A18" s="178">
        <f>'ADJ DETAIL-INPUT'!M$10</f>
        <v>2.0399999999999991</v>
      </c>
      <c r="B18" s="309" t="str">
        <f>'ADJ DETAIL-INPUT'!M$11</f>
        <v>E-RE</v>
      </c>
      <c r="C18" s="29" t="str">
        <f>TRIM(CONCATENATE('ADJ DETAIL-INPUT'!M$7," ",'ADJ DETAIL-INPUT'!M$8," ",'ADJ DETAIL-INPUT'!M$9))</f>
        <v>Regulatory Expense</v>
      </c>
      <c r="D18" s="184">
        <f>'ADJ DETAIL-INPUT'!M$55</f>
        <v>-41.6</v>
      </c>
      <c r="E18" s="184">
        <f>'ADJ DETAIL-INPUT'!M$79</f>
        <v>0</v>
      </c>
      <c r="F18" s="35"/>
      <c r="G18" s="31"/>
      <c r="H18" s="31" t="s">
        <v>618</v>
      </c>
      <c r="I18" s="35"/>
      <c r="J18" s="143"/>
      <c r="K18" s="22"/>
    </row>
    <row r="19" spans="1:12" s="33" customFormat="1">
      <c r="A19" s="178">
        <f>'ADJ DETAIL-INPUT'!N$10</f>
        <v>2.0499999999999989</v>
      </c>
      <c r="B19" s="309" t="str">
        <f>'ADJ DETAIL-INPUT'!N$11</f>
        <v>E-ID</v>
      </c>
      <c r="C19" s="29" t="str">
        <f>TRIM(CONCATENATE('ADJ DETAIL-INPUT'!N$7," ",'ADJ DETAIL-INPUT'!N$8," ",'ADJ DETAIL-INPUT'!N$9))</f>
        <v>Injuries and Damages</v>
      </c>
      <c r="D19" s="184">
        <f>'ADJ DETAIL-INPUT'!N$55</f>
        <v>-68.900000000000006</v>
      </c>
      <c r="E19" s="184">
        <f>'ADJ DETAIL-INPUT'!N$79</f>
        <v>0</v>
      </c>
      <c r="F19" s="35"/>
      <c r="G19" s="31"/>
      <c r="H19" s="31" t="s">
        <v>618</v>
      </c>
      <c r="I19" s="35"/>
      <c r="J19" s="143"/>
      <c r="K19" s="22"/>
    </row>
    <row r="20" spans="1:12" s="105" customFormat="1">
      <c r="A20" s="178">
        <f>'ADJ DETAIL-INPUT'!O$10</f>
        <v>2.0599999999999987</v>
      </c>
      <c r="B20" s="309" t="str">
        <f>'ADJ DETAIL-INPUT'!O$11</f>
        <v xml:space="preserve">E-FIT </v>
      </c>
      <c r="C20" s="29" t="str">
        <f>TRIM(CONCATENATE('ADJ DETAIL-INPUT'!O$7," ",'ADJ DETAIL-INPUT'!O$8," ",'ADJ DETAIL-INPUT'!O$9))</f>
        <v>FIT/DFIT Expense</v>
      </c>
      <c r="D20" s="184">
        <f>'ADJ DETAIL-INPUT'!O$55</f>
        <v>36</v>
      </c>
      <c r="E20" s="184">
        <f>'ADJ DETAIL-INPUT'!O$79</f>
        <v>0</v>
      </c>
      <c r="F20" s="106"/>
      <c r="G20" s="31"/>
      <c r="H20" s="31" t="s">
        <v>593</v>
      </c>
      <c r="I20" s="35"/>
      <c r="J20" s="143"/>
      <c r="K20" s="34"/>
      <c r="L20" s="386"/>
    </row>
    <row r="21" spans="1:12">
      <c r="A21" s="178">
        <f>'ADJ DETAIL-INPUT'!P$10</f>
        <v>2.0699999999999985</v>
      </c>
      <c r="B21" s="309" t="str">
        <f>'ADJ DETAIL-INPUT'!P$11</f>
        <v>E-OSC</v>
      </c>
      <c r="C21" s="29" t="str">
        <f>TRIM(CONCATENATE('ADJ DETAIL-INPUT'!P$7," ",'ADJ DETAIL-INPUT'!P$8," ",'ADJ DETAIL-INPUT'!P$9))</f>
        <v>Office Space Charges to Non-Utility</v>
      </c>
      <c r="D21" s="184">
        <f>'ADJ DETAIL-INPUT'!P$55</f>
        <v>32.5</v>
      </c>
      <c r="E21" s="184">
        <f>'ADJ DETAIL-INPUT'!P$79</f>
        <v>0</v>
      </c>
      <c r="G21" s="31"/>
      <c r="H21" s="31" t="s">
        <v>618</v>
      </c>
      <c r="I21" s="35"/>
      <c r="J21" s="143"/>
    </row>
    <row r="22" spans="1:12" s="105" customFormat="1">
      <c r="A22" s="178">
        <f>'ADJ DETAIL-INPUT'!Q$10</f>
        <v>2.0799999999999983</v>
      </c>
      <c r="B22" s="309" t="str">
        <f>'ADJ DETAIL-INPUT'!Q$11</f>
        <v>E-RET</v>
      </c>
      <c r="C22" s="29" t="str">
        <f>TRIM(CONCATENATE('ADJ DETAIL-INPUT'!Q$7," ",'ADJ DETAIL-INPUT'!Q$8," ",'ADJ DETAIL-INPUT'!Q$9))</f>
        <v>Restate Excise Taxes</v>
      </c>
      <c r="D22" s="184">
        <f>'ADJ DETAIL-INPUT'!Q$55</f>
        <v>-2.6</v>
      </c>
      <c r="E22" s="184">
        <f>'ADJ DETAIL-INPUT'!Q$79</f>
        <v>0</v>
      </c>
      <c r="F22" s="107"/>
      <c r="G22" s="31"/>
      <c r="H22" s="31" t="s">
        <v>593</v>
      </c>
      <c r="I22" s="35"/>
      <c r="J22" s="143"/>
      <c r="K22" s="22"/>
    </row>
    <row r="23" spans="1:12" s="105" customFormat="1">
      <c r="A23" s="178">
        <f>'ADJ DETAIL-INPUT'!R$10</f>
        <v>2.0899999999999981</v>
      </c>
      <c r="B23" s="309" t="str">
        <f>'ADJ DETAIL-INPUT'!R$11</f>
        <v>E-NGL</v>
      </c>
      <c r="C23" s="29" t="str">
        <f>TRIM(CONCATENATE('ADJ DETAIL-INPUT'!R$7," ",'ADJ DETAIL-INPUT'!R$8," ",'ADJ DETAIL-INPUT'!R$9))</f>
        <v>Net Gains / Losses</v>
      </c>
      <c r="D23" s="184">
        <f>'ADJ DETAIL-INPUT'!R$55</f>
        <v>52.650000000000006</v>
      </c>
      <c r="E23" s="184">
        <f>'ADJ DETAIL-INPUT'!R$79</f>
        <v>0</v>
      </c>
      <c r="F23" s="107"/>
      <c r="G23" s="31"/>
      <c r="H23" s="31" t="s">
        <v>618</v>
      </c>
      <c r="I23" s="35"/>
      <c r="J23" s="143"/>
      <c r="K23" s="22"/>
    </row>
    <row r="24" spans="1:12">
      <c r="A24" s="178">
        <f>'ADJ DETAIL-INPUT'!S$10</f>
        <v>2.0999999999999979</v>
      </c>
      <c r="B24" s="309" t="str">
        <f>'ADJ DETAIL-INPUT'!S$11</f>
        <v>E-WN</v>
      </c>
      <c r="C24" s="29" t="str">
        <f>TRIM(CONCATENATE('ADJ DETAIL-INPUT'!S$7," ",'ADJ DETAIL-INPUT'!S$8," ",'ADJ DETAIL-INPUT'!S$9))</f>
        <v>Weather Normalization</v>
      </c>
      <c r="D24" s="184">
        <f>'ADJ DETAIL-INPUT'!S$55</f>
        <v>-1452.1</v>
      </c>
      <c r="E24" s="184">
        <f>'ADJ DETAIL-INPUT'!S$79</f>
        <v>0</v>
      </c>
      <c r="F24" s="37"/>
      <c r="G24" s="31"/>
      <c r="H24" s="31" t="s">
        <v>593</v>
      </c>
      <c r="I24" s="35"/>
      <c r="J24" s="143"/>
    </row>
    <row r="25" spans="1:12" s="33" customFormat="1">
      <c r="A25" s="178">
        <f>'ADJ DETAIL-INPUT'!T$10</f>
        <v>2.1099999999999977</v>
      </c>
      <c r="B25" s="309" t="str">
        <f>'ADJ DETAIL-INPUT'!T$11</f>
        <v>E-EAS</v>
      </c>
      <c r="C25" s="29" t="str">
        <f>TRIM(CONCATENATE('ADJ DETAIL-INPUT'!T$7," ",'ADJ DETAIL-INPUT'!T$8," ",'ADJ DETAIL-INPUT'!T$9))</f>
        <v>Eliminate Adder Schedules</v>
      </c>
      <c r="D25" s="184">
        <f>'ADJ DETAIL-INPUT'!T$55</f>
        <v>0</v>
      </c>
      <c r="E25" s="184">
        <f>'ADJ DETAIL-INPUT'!T$79</f>
        <v>0</v>
      </c>
      <c r="F25" s="35"/>
      <c r="G25" s="31"/>
      <c r="H25" s="31" t="s">
        <v>618</v>
      </c>
      <c r="I25" s="35"/>
      <c r="J25" s="143"/>
      <c r="K25" s="22"/>
    </row>
    <row r="26" spans="1:12" s="33" customFormat="1">
      <c r="A26" s="178">
        <f>'ADJ DETAIL-INPUT'!U$10</f>
        <v>2.1199999999999974</v>
      </c>
      <c r="B26" s="309" t="str">
        <f>'ADJ DETAIL-INPUT'!U$11</f>
        <v>E-MR</v>
      </c>
      <c r="C26" s="29" t="str">
        <f>TRIM(CONCATENATE('ADJ DETAIL-INPUT'!U$7," ",'ADJ DETAIL-INPUT'!U$8," ",'ADJ DETAIL-INPUT'!U$9))</f>
        <v>Miscellaneous Restating</v>
      </c>
      <c r="D26" s="184">
        <f>'ADJ DETAIL-INPUT'!U$55</f>
        <v>836.55</v>
      </c>
      <c r="E26" s="184">
        <f>'ADJ DETAIL-INPUT'!U$79</f>
        <v>0</v>
      </c>
      <c r="F26" s="35"/>
      <c r="G26" s="31"/>
      <c r="H26" s="31" t="s">
        <v>618</v>
      </c>
      <c r="I26" s="428"/>
      <c r="J26" s="143"/>
      <c r="K26" s="22"/>
    </row>
    <row r="27" spans="1:12" s="33" customFormat="1">
      <c r="A27" s="178">
        <f>'ADJ DETAIL-INPUT'!V$10</f>
        <v>2.1299999999999972</v>
      </c>
      <c r="B27" s="309" t="str">
        <f>'ADJ DETAIL-INPUT'!V$11</f>
        <v>E-EWPC</v>
      </c>
      <c r="C27" s="29" t="str">
        <f>TRIM(CONCATENATE('ADJ DETAIL-INPUT'!V$7," ",'ADJ DETAIL-INPUT'!V$8," ",'ADJ DETAIL-INPUT'!V$9))</f>
        <v>Eliminate WA Power Cost Defer</v>
      </c>
      <c r="D27" s="184">
        <f>'ADJ DETAIL-INPUT'!V$55</f>
        <v>3138</v>
      </c>
      <c r="E27" s="184">
        <f>'ADJ DETAIL-INPUT'!V$79</f>
        <v>0</v>
      </c>
      <c r="F27" s="35"/>
      <c r="G27" s="31"/>
      <c r="H27" s="31" t="s">
        <v>608</v>
      </c>
      <c r="I27" s="35"/>
      <c r="J27" s="142"/>
      <c r="K27" s="22"/>
    </row>
    <row r="28" spans="1:12" s="33" customFormat="1">
      <c r="A28" s="178">
        <f>'ADJ DETAIL-INPUT'!W$10</f>
        <v>2.139999999999997</v>
      </c>
      <c r="B28" s="309" t="str">
        <f>'ADJ DETAIL-INPUT'!W$11</f>
        <v>E-NPS</v>
      </c>
      <c r="C28" s="29" t="str">
        <f>TRIM(CONCATENATE('ADJ DETAIL-INPUT'!W$7," ",'ADJ DETAIL-INPUT'!W$8," ",'ADJ DETAIL-INPUT'!W$9))</f>
        <v>Nez Perce Settlement Adjustment</v>
      </c>
      <c r="D28" s="184">
        <f>'ADJ DETAIL-INPUT'!W$55</f>
        <v>4.5500000000000007</v>
      </c>
      <c r="E28" s="184">
        <f>'ADJ DETAIL-INPUT'!W$79</f>
        <v>0</v>
      </c>
      <c r="F28" s="35"/>
      <c r="G28" s="31"/>
      <c r="H28" s="31" t="s">
        <v>618</v>
      </c>
      <c r="I28" s="35"/>
      <c r="J28" s="143"/>
      <c r="K28" s="22"/>
    </row>
    <row r="29" spans="1:12" s="33" customFormat="1">
      <c r="A29" s="178">
        <f>'ADJ DETAIL-INPUT'!X$10</f>
        <v>2.1499999999999968</v>
      </c>
      <c r="B29" s="309" t="str">
        <f>'ADJ DETAIL-INPUT'!X$11</f>
        <v>E-RI</v>
      </c>
      <c r="C29" s="29" t="str">
        <f>TRIM(CONCATENATE('ADJ DETAIL-INPUT'!X$7," ",'ADJ DETAIL-INPUT'!X$8," ",'ADJ DETAIL-INPUT'!X$9))</f>
        <v>Restate Incentives</v>
      </c>
      <c r="D29" s="184">
        <f>'ADJ DETAIL-INPUT'!X$55</f>
        <v>479.05</v>
      </c>
      <c r="E29" s="184">
        <f>'ADJ DETAIL-INPUT'!X$79</f>
        <v>0</v>
      </c>
      <c r="F29" s="35"/>
      <c r="G29" s="31"/>
      <c r="H29" s="31" t="s">
        <v>608</v>
      </c>
      <c r="I29" s="35"/>
      <c r="J29" s="143"/>
      <c r="K29" s="22"/>
    </row>
    <row r="30" spans="1:12" s="33" customFormat="1">
      <c r="A30" s="179">
        <f>'ADJ DETAIL-INPUT'!Y$10</f>
        <v>2.1599999999999966</v>
      </c>
      <c r="B30" s="429" t="str">
        <f>'ADJ DETAIL-INPUT'!Y$11</f>
        <v>E-RDI</v>
      </c>
      <c r="C30" s="144" t="str">
        <f>TRIM(CONCATENATE('ADJ DETAIL-INPUT'!Y$7," ",'ADJ DETAIL-INPUT'!Y$8," ",'ADJ DETAIL-INPUT'!Y$9))</f>
        <v>Normalize CS2/Colstrip Major Maint</v>
      </c>
      <c r="D30" s="184">
        <f>'ADJ DETAIL-INPUT'!Y$55</f>
        <v>309.39999999999998</v>
      </c>
      <c r="E30" s="184">
        <f>'ADJ DETAIL-INPUT'!Y$79</f>
        <v>0</v>
      </c>
      <c r="F30" s="35"/>
      <c r="G30" s="31"/>
      <c r="H30" s="31" t="s">
        <v>593</v>
      </c>
      <c r="I30" s="35"/>
      <c r="J30" s="143"/>
      <c r="K30" s="22"/>
    </row>
    <row r="31" spans="1:12" s="121" customFormat="1">
      <c r="A31" s="179">
        <f>'ADJ DETAIL-INPUT'!Z$10</f>
        <v>2.1699999999999964</v>
      </c>
      <c r="B31" s="309" t="str">
        <f>'ADJ DETAIL-INPUT'!Z$11</f>
        <v>E-RDI</v>
      </c>
      <c r="C31" s="144" t="str">
        <f>TRIM(CONCATENATE('ADJ DETAIL-INPUT'!Z$7," ",'ADJ DETAIL-INPUT'!Z$8," ",'ADJ DETAIL-INPUT'!Z$9))</f>
        <v>Restate Debt Interest</v>
      </c>
      <c r="D31" s="184">
        <f>'ADJ DETAIL-INPUT'!Z$55</f>
        <v>-393</v>
      </c>
      <c r="E31" s="184">
        <f>'ADJ DETAIL-INPUT'!Z$79</f>
        <v>0</v>
      </c>
      <c r="F31" s="122"/>
      <c r="G31" s="31"/>
      <c r="H31" s="31" t="s">
        <v>210</v>
      </c>
      <c r="I31" s="35"/>
      <c r="J31" s="143"/>
      <c r="K31" s="34"/>
    </row>
    <row r="32" spans="1:12">
      <c r="A32" s="179" t="s">
        <v>627</v>
      </c>
      <c r="B32" s="309" t="str">
        <f>'ADJ DETAIL-INPUT'!AA$11</f>
        <v>E-CBPS</v>
      </c>
      <c r="C32" s="144" t="str">
        <f>TRIM(CONCATENATE('ADJ DETAIL-INPUT'!AA$7," ",'ADJ DETAIL-INPUT'!AA$8," ",'ADJ DETAIL-INPUT'!AA$9))</f>
        <v>CB Power Supply</v>
      </c>
      <c r="D32" s="185">
        <f>'ADJ DETAIL-INPUT'!AA$55</f>
        <v>-5486.65</v>
      </c>
      <c r="E32" s="185">
        <f>'ADJ DETAIL-INPUT'!AA$79</f>
        <v>0</v>
      </c>
      <c r="F32" s="390"/>
      <c r="G32" s="31"/>
      <c r="H32" s="31" t="s">
        <v>593</v>
      </c>
      <c r="I32" s="35"/>
      <c r="J32" s="143"/>
    </row>
    <row r="33" spans="1:11" s="105" customFormat="1" hidden="1">
      <c r="A33" s="178">
        <f>'ADJ DETAIL-INPUT'!AB$10</f>
        <v>0</v>
      </c>
      <c r="B33" s="309" t="str">
        <f>'ADJ DETAIL-INPUT'!AB$11</f>
        <v>OPEN</v>
      </c>
      <c r="C33" s="29" t="str">
        <f>TRIM(CONCATENATE('ADJ DETAIL-INPUT'!AB$7," ",'ADJ DETAIL-INPUT'!AB$8," ",'ADJ DETAIL-INPUT'!AB$9))</f>
        <v>OPEN</v>
      </c>
      <c r="D33" s="184">
        <f>'ADJ DETAIL-INPUT'!AB$55</f>
        <v>0</v>
      </c>
      <c r="E33" s="184">
        <f>'ADJ DETAIL-INPUT'!AB$79</f>
        <v>0</v>
      </c>
      <c r="F33" s="106"/>
      <c r="G33" s="122"/>
      <c r="H33" s="26"/>
      <c r="I33" s="386"/>
      <c r="J33" s="380"/>
      <c r="K33" s="34"/>
    </row>
    <row r="34" spans="1:11" s="89" customFormat="1" ht="12.75" hidden="1" customHeight="1">
      <c r="A34" s="145"/>
      <c r="B34" s="145"/>
      <c r="C34" s="120"/>
      <c r="D34" s="467"/>
      <c r="E34" s="467"/>
      <c r="F34" s="123"/>
      <c r="G34" s="123"/>
      <c r="H34" s="31"/>
      <c r="I34" s="386"/>
      <c r="J34" s="380"/>
    </row>
    <row r="35" spans="1:11" ht="15" customHeight="1" thickBot="1">
      <c r="A35" s="31"/>
      <c r="B35" s="31"/>
      <c r="C35" s="407" t="s">
        <v>585</v>
      </c>
      <c r="D35" s="464">
        <f>SUM(D10:D34)</f>
        <v>111123.31560149998</v>
      </c>
      <c r="E35" s="464">
        <f>SUM(E10:E34)</f>
        <v>1513706</v>
      </c>
      <c r="F35" s="468">
        <f>D35/E35</f>
        <v>7.3411425733596866E-2</v>
      </c>
      <c r="G35" s="462"/>
      <c r="H35" s="416"/>
      <c r="I35" s="408"/>
      <c r="J35" s="24"/>
      <c r="K35" s="24"/>
    </row>
    <row r="36" spans="1:11" ht="15" customHeight="1" thickTop="1">
      <c r="A36" s="179">
        <f>'ADJ DETAIL-INPUT'!AE$10</f>
        <v>3</v>
      </c>
      <c r="B36" s="309" t="str">
        <f>'ADJ DETAIL-INPUT'!AE$11</f>
        <v xml:space="preserve"> </v>
      </c>
      <c r="C36" s="144" t="str">
        <f>TRIM(CONCATENATE('ADJ DETAIL-INPUT'!AE$7," ",'ADJ DETAIL-INPUT'!AE$8," ",'ADJ DETAIL-INPUT'!AE$9))</f>
        <v>Eliminate Weather Adjustment</v>
      </c>
      <c r="D36" s="466">
        <f>'ADJ DETAIL-INPUT'!AE$55</f>
        <v>1452</v>
      </c>
      <c r="E36" s="466">
        <f>'ADJ DETAIL-INPUT'!AE$79</f>
        <v>0</v>
      </c>
      <c r="F36" s="463"/>
      <c r="G36" s="462"/>
      <c r="H36" s="416"/>
      <c r="I36" s="408"/>
      <c r="J36" s="24"/>
      <c r="K36" s="24"/>
    </row>
    <row r="37" spans="1:11" ht="15" customHeight="1">
      <c r="A37" s="179">
        <f>'ADJ DETAIL-INPUT'!AF$10</f>
        <v>3.01</v>
      </c>
      <c r="B37" s="309" t="str">
        <f>'ADJ DETAIL-INPUT'!AF$11</f>
        <v xml:space="preserve"> </v>
      </c>
      <c r="C37" s="144" t="str">
        <f>TRIM(CONCATENATE('ADJ DETAIL-INPUT'!AF$7," ",'ADJ DETAIL-INPUT'!AF$8," ",'ADJ DETAIL-INPUT'!AF$9))</f>
        <v>Eliminate Provision for Earnings Test Refund</v>
      </c>
      <c r="D37" s="466">
        <f>'ADJ DETAIL-INPUT'!AF$55</f>
        <v>683</v>
      </c>
      <c r="E37" s="466">
        <f>'ADJ DETAIL-INPUT'!AF$79</f>
        <v>0</v>
      </c>
      <c r="F37" s="463"/>
      <c r="G37" s="462"/>
      <c r="H37" s="416"/>
      <c r="I37" s="408"/>
      <c r="J37" s="24"/>
      <c r="K37" s="24"/>
    </row>
    <row r="38" spans="1:11" ht="15" customHeight="1">
      <c r="A38" s="179">
        <f>'ADJ DETAIL-INPUT'!AG$10</f>
        <v>3.0199999999999996</v>
      </c>
      <c r="B38" s="309" t="str">
        <f>'ADJ DETAIL-INPUT'!AG$11</f>
        <v xml:space="preserve"> </v>
      </c>
      <c r="C38" s="144" t="str">
        <f>TRIM(CONCATENATE('ADJ DETAIL-INPUT'!AG$7," ",'ADJ DETAIL-INPUT'!AG$8," ",'ADJ DETAIL-INPUT'!AG$9))</f>
        <v>Decoupling Normalized Power Cost</v>
      </c>
      <c r="D38" s="466">
        <f>'ADJ DETAIL-INPUT'!AG$55</f>
        <v>-871</v>
      </c>
      <c r="E38" s="466">
        <f>'ADJ DETAIL-INPUT'!AG$79</f>
        <v>0</v>
      </c>
      <c r="F38" s="463"/>
      <c r="G38" s="462"/>
      <c r="H38" s="416"/>
      <c r="I38" s="408"/>
      <c r="J38" s="24"/>
      <c r="K38" s="24"/>
    </row>
    <row r="39" spans="1:11" ht="15" customHeight="1">
      <c r="A39" s="179">
        <f>'ADJ DETAIL-INPUT'!AH$10</f>
        <v>3.0299999999999994</v>
      </c>
      <c r="B39" s="309" t="str">
        <f>'ADJ DETAIL-INPUT'!AH$11</f>
        <v xml:space="preserve"> </v>
      </c>
      <c r="C39" s="144" t="str">
        <f>TRIM(CONCATENATE('ADJ DETAIL-INPUT'!AH$7," ",'ADJ DETAIL-INPUT'!AH$8," ",'ADJ DETAIL-INPUT'!AH$9))</f>
        <v>Allowed Capital Structure Debt Cost</v>
      </c>
      <c r="D39" s="466">
        <f>'ADJ DETAIL-INPUT'!AH$55</f>
        <v>-185</v>
      </c>
      <c r="E39" s="466">
        <f>'ADJ DETAIL-INPUT'!AH$79</f>
        <v>0</v>
      </c>
      <c r="F39" s="463"/>
      <c r="G39" s="462"/>
      <c r="H39" s="416"/>
      <c r="I39" s="408"/>
      <c r="J39" s="24"/>
      <c r="K39" s="24"/>
    </row>
    <row r="40" spans="1:11" ht="15" customHeight="1" thickBot="1">
      <c r="A40" s="31"/>
      <c r="B40" s="31"/>
      <c r="C40" s="407" t="s">
        <v>653</v>
      </c>
      <c r="D40" s="464">
        <f>SUM(D35:D39)</f>
        <v>112202.31560149998</v>
      </c>
      <c r="E40" s="464">
        <f>SUM(E35:E39)</f>
        <v>1513706</v>
      </c>
      <c r="F40" s="465">
        <f>D40/E40</f>
        <v>7.4124245792445809E-2</v>
      </c>
      <c r="G40" s="462"/>
      <c r="H40" s="416"/>
      <c r="I40" s="408"/>
      <c r="J40" s="24"/>
      <c r="K40" s="24"/>
    </row>
    <row r="41" spans="1:11" ht="13.8" thickTop="1">
      <c r="A41" s="141" t="s">
        <v>540</v>
      </c>
      <c r="B41" s="296"/>
      <c r="C41" s="24"/>
      <c r="D41" s="189"/>
      <c r="E41" s="189"/>
      <c r="F41" s="99"/>
      <c r="G41" s="438"/>
      <c r="H41" s="24"/>
      <c r="I41" s="408"/>
      <c r="J41" s="24"/>
      <c r="K41" s="24"/>
    </row>
    <row r="42" spans="1:11">
      <c r="A42" s="26"/>
      <c r="B42" s="314" t="s">
        <v>541</v>
      </c>
      <c r="C42" s="24" t="s">
        <v>108</v>
      </c>
      <c r="D42" s="189"/>
      <c r="E42" s="189"/>
      <c r="F42" s="99"/>
      <c r="G42" s="31"/>
      <c r="H42" s="31" t="s">
        <v>618</v>
      </c>
      <c r="J42" s="22"/>
    </row>
    <row r="43" spans="1:11" ht="14.4" customHeight="1">
      <c r="A43" s="436"/>
      <c r="B43" s="31"/>
      <c r="C43" s="112"/>
      <c r="D43" s="189"/>
      <c r="E43" s="189"/>
      <c r="F43" s="99"/>
      <c r="G43" s="99"/>
      <c r="H43" s="22"/>
      <c r="J43" s="22"/>
    </row>
    <row r="44" spans="1:11" ht="12.75" customHeight="1">
      <c r="A44" s="488" t="s">
        <v>637</v>
      </c>
      <c r="B44" s="488"/>
      <c r="C44" s="488"/>
      <c r="D44" s="488"/>
      <c r="E44" s="488"/>
      <c r="F44" s="488"/>
    </row>
    <row r="45" spans="1:11">
      <c r="A45" s="488"/>
      <c r="B45" s="488"/>
      <c r="C45" s="488"/>
      <c r="D45" s="488"/>
      <c r="E45" s="488"/>
      <c r="F45" s="488"/>
    </row>
    <row r="46" spans="1:11">
      <c r="A46" s="488"/>
      <c r="B46" s="488"/>
      <c r="C46" s="488"/>
      <c r="D46" s="488"/>
      <c r="E46" s="488"/>
      <c r="F46" s="488"/>
    </row>
    <row r="47" spans="1:11">
      <c r="A47" s="488"/>
      <c r="B47" s="488"/>
      <c r="C47" s="488"/>
      <c r="D47" s="488"/>
      <c r="E47" s="488"/>
      <c r="F47" s="488"/>
    </row>
    <row r="48" spans="1:11">
      <c r="A48" s="488"/>
      <c r="B48" s="488"/>
      <c r="C48" s="488"/>
      <c r="D48" s="488"/>
      <c r="E48" s="488"/>
      <c r="F48" s="488"/>
    </row>
    <row r="49" spans="1:6">
      <c r="A49" s="488"/>
      <c r="B49" s="488"/>
      <c r="C49" s="488"/>
      <c r="D49" s="488"/>
      <c r="E49" s="488"/>
      <c r="F49" s="488"/>
    </row>
    <row r="50" spans="1:6">
      <c r="A50" s="488"/>
      <c r="B50" s="488"/>
      <c r="C50" s="488"/>
      <c r="D50" s="488"/>
      <c r="E50" s="488"/>
      <c r="F50" s="488"/>
    </row>
    <row r="51" spans="1:6">
      <c r="A51" s="488"/>
      <c r="B51" s="488"/>
      <c r="C51" s="488"/>
      <c r="D51" s="488"/>
      <c r="E51" s="488"/>
      <c r="F51" s="488"/>
    </row>
    <row r="52" spans="1:6">
      <c r="A52" s="488"/>
      <c r="B52" s="488"/>
      <c r="C52" s="488"/>
      <c r="D52" s="488"/>
      <c r="E52" s="488"/>
      <c r="F52" s="488"/>
    </row>
    <row r="53" spans="1:6" ht="9.75" customHeight="1">
      <c r="A53" s="488"/>
      <c r="B53" s="488"/>
      <c r="C53" s="488"/>
      <c r="D53" s="488"/>
      <c r="E53" s="488"/>
      <c r="F53" s="488"/>
    </row>
    <row r="54" spans="1:6" hidden="1">
      <c r="A54" s="488"/>
      <c r="B54" s="488"/>
      <c r="C54" s="488"/>
      <c r="D54" s="488"/>
      <c r="E54" s="488"/>
      <c r="F54" s="488"/>
    </row>
  </sheetData>
  <customSheetViews>
    <customSheetView guid="{6E1B8C45-B07F-11D2-B0DC-0000832CDFF0}" scale="75" showPageBreaks="1" printArea="1" hiddenRows="1" showRuler="0" topLeftCell="A49">
      <selection activeCell="O30" sqref="O30"/>
      <rowBreaks count="1" manualBreakCount="1">
        <brk id="48" max="65535" man="1"/>
      </rowBreaks>
      <pageMargins left="0.75" right="0.75" top="1" bottom="1" header="0.5" footer="0.5"/>
      <pageSetup orientation="portrait" horizontalDpi="4294967292" verticalDpi="0" r:id="rId1"/>
      <headerFooter alignWithMargins="0">
        <oddHeader xml:space="preserve">&amp;C
</oddHeader>
        <oddFooter xml:space="preserve">&amp;C
</oddFooter>
      </headerFooter>
    </customSheetView>
    <customSheetView guid="{A15D1962-B049-11D2-8670-0000832CEEE8}" scale="75" showPageBreaks="1" hiddenRows="1" showRuler="0" topLeftCell="A20">
      <selection activeCell="A42" sqref="A42:IV47"/>
      <rowBreaks count="1" manualBreakCount="1">
        <brk id="48" max="65535" man="1"/>
      </rowBreaks>
      <pageMargins left="0.75" right="0.75" top="1" bottom="1" header="0.5" footer="0.5"/>
      <pageSetup orientation="portrait" horizontalDpi="4294967292" verticalDpi="0" r:id="rId2"/>
      <headerFooter alignWithMargins="0">
        <oddHeader xml:space="preserve">&amp;C
</oddHeader>
        <oddFooter xml:space="preserve">&amp;C
</oddFooter>
      </headerFooter>
    </customSheetView>
  </customSheetViews>
  <mergeCells count="5">
    <mergeCell ref="A1:F1"/>
    <mergeCell ref="A2:F2"/>
    <mergeCell ref="A3:F3"/>
    <mergeCell ref="A4:F4"/>
    <mergeCell ref="A44:F54"/>
  </mergeCells>
  <phoneticPr fontId="0" type="noConversion"/>
  <pageMargins left="1.1000000000000001" right="0.75" top="1.1299999999999999" bottom="0.75" header="0.5" footer="0.5"/>
  <pageSetup scale="98" orientation="portrait" horizontalDpi="1200" verticalDpi="1200" r:id="rId3"/>
  <headerFooter alignWithMargins="0">
    <oddHeader>&amp;C
&amp;RSUMMARY
CBR Electric -12/2017</oddHeader>
    <oddFooter xml:space="preserve">&amp;L&amp;F&amp;C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479"/>
  <sheetViews>
    <sheetView workbookViewId="0"/>
  </sheetViews>
  <sheetFormatPr defaultColWidth="12.44140625" defaultRowHeight="12"/>
  <cols>
    <col min="1" max="1" width="7.88671875" style="212" customWidth="1"/>
    <col min="2" max="2" width="26.109375" style="211" customWidth="1"/>
    <col min="3" max="3" width="12.44140625" style="211" customWidth="1"/>
    <col min="4" max="4" width="5.5546875" style="211" bestFit="1" customWidth="1"/>
    <col min="5" max="5" width="14.6640625" style="211" customWidth="1"/>
    <col min="6" max="8" width="12.44140625" style="211" customWidth="1"/>
    <col min="9" max="9" width="14.6640625" style="211" hidden="1" customWidth="1"/>
    <col min="10" max="11" width="12.44140625" style="211" hidden="1" customWidth="1"/>
    <col min="12" max="16384" width="12.44140625" style="211"/>
  </cols>
  <sheetData>
    <row r="1" spans="1:11">
      <c r="A1" s="239" t="s">
        <v>86</v>
      </c>
      <c r="B1" s="240"/>
      <c r="C1" s="239"/>
    </row>
    <row r="2" spans="1:11">
      <c r="A2" s="239" t="s">
        <v>56</v>
      </c>
      <c r="B2" s="240"/>
      <c r="C2" s="239"/>
      <c r="I2" s="239"/>
      <c r="J2" s="212" t="s">
        <v>112</v>
      </c>
      <c r="K2" s="239"/>
    </row>
    <row r="3" spans="1:11">
      <c r="A3" s="240" t="str">
        <f>'ADJ DETAIL-INPUT'!A4</f>
        <v>TWELVE MONTHS ENDED DECEMBER 31, 2017</v>
      </c>
      <c r="B3" s="240"/>
      <c r="C3" s="239"/>
      <c r="I3" s="239" t="s">
        <v>113</v>
      </c>
      <c r="J3" s="239"/>
      <c r="K3" s="239"/>
    </row>
    <row r="4" spans="1:11">
      <c r="A4" s="239" t="s">
        <v>0</v>
      </c>
      <c r="B4" s="240"/>
      <c r="C4" s="239"/>
      <c r="F4" s="379"/>
      <c r="I4" s="238" t="s">
        <v>59</v>
      </c>
      <c r="J4" s="238"/>
      <c r="K4" s="237"/>
    </row>
    <row r="5" spans="1:11">
      <c r="A5" s="239"/>
      <c r="B5" s="240"/>
      <c r="C5" s="239"/>
      <c r="I5" s="236"/>
      <c r="J5" s="236"/>
      <c r="K5" s="235"/>
    </row>
    <row r="6" spans="1:11">
      <c r="A6" s="239"/>
      <c r="B6" s="240"/>
      <c r="C6" s="239"/>
      <c r="E6" s="239" t="s">
        <v>57</v>
      </c>
      <c r="F6" s="239"/>
      <c r="G6" s="239"/>
      <c r="I6" s="236"/>
      <c r="J6" s="236"/>
      <c r="K6" s="235"/>
    </row>
    <row r="7" spans="1:11">
      <c r="A7" s="239"/>
      <c r="B7" s="240"/>
      <c r="C7" s="239"/>
      <c r="E7" s="239" t="s">
        <v>58</v>
      </c>
      <c r="F7" s="239"/>
      <c r="G7" s="239"/>
      <c r="I7" s="236"/>
      <c r="J7" s="236"/>
      <c r="K7" s="235"/>
    </row>
    <row r="8" spans="1:11">
      <c r="A8" s="239"/>
      <c r="B8" s="240"/>
      <c r="C8" s="239"/>
      <c r="E8" s="238" t="s">
        <v>59</v>
      </c>
      <c r="F8" s="238"/>
      <c r="G8" s="237"/>
      <c r="I8" s="236"/>
      <c r="J8" s="236"/>
      <c r="K8" s="235"/>
    </row>
    <row r="9" spans="1:11">
      <c r="A9" s="212" t="s">
        <v>7</v>
      </c>
    </row>
    <row r="10" spans="1:11" s="212" customFormat="1">
      <c r="A10" s="212" t="s">
        <v>60</v>
      </c>
      <c r="B10" s="234" t="s">
        <v>19</v>
      </c>
      <c r="C10" s="234"/>
      <c r="E10" s="234" t="s">
        <v>61</v>
      </c>
      <c r="F10" s="234" t="s">
        <v>62</v>
      </c>
      <c r="G10" s="234" t="s">
        <v>49</v>
      </c>
      <c r="H10" s="233" t="s">
        <v>63</v>
      </c>
      <c r="I10" s="234" t="s">
        <v>61</v>
      </c>
      <c r="J10" s="234" t="s">
        <v>62</v>
      </c>
      <c r="K10" s="234"/>
    </row>
    <row r="11" spans="1:11" s="212" customFormat="1" ht="5.25" customHeight="1">
      <c r="B11" s="297"/>
      <c r="C11" s="297"/>
      <c r="E11" s="297"/>
      <c r="F11" s="297"/>
      <c r="G11" s="297"/>
      <c r="H11" s="233"/>
      <c r="I11" s="297"/>
      <c r="J11" s="297"/>
      <c r="K11" s="297"/>
    </row>
    <row r="12" spans="1:11" s="212" customFormat="1" ht="5.25" customHeight="1">
      <c r="B12" s="297"/>
      <c r="C12" s="297"/>
      <c r="E12" s="297"/>
      <c r="F12" s="297"/>
      <c r="G12" s="297"/>
      <c r="H12" s="233"/>
      <c r="I12" s="297"/>
      <c r="J12" s="297"/>
      <c r="K12" s="297"/>
    </row>
    <row r="13" spans="1:11">
      <c r="B13" s="214" t="s">
        <v>30</v>
      </c>
    </row>
    <row r="14" spans="1:11" s="218" customFormat="1">
      <c r="A14" s="221">
        <v>1</v>
      </c>
      <c r="B14" s="220" t="s">
        <v>31</v>
      </c>
      <c r="E14" s="227">
        <f>F14+G14</f>
        <v>548287</v>
      </c>
      <c r="F14" s="227">
        <f>SUM(F84:F87)+F89</f>
        <v>548287</v>
      </c>
      <c r="G14" s="227">
        <f>SUM(G84:G88)</f>
        <v>0</v>
      </c>
      <c r="H14" s="218" t="str">
        <f t="shared" ref="H14:H19" si="0">IF(E14=F14+G14," ","ERROR")</f>
        <v xml:space="preserve"> </v>
      </c>
      <c r="I14" s="227" t="e">
        <f>J14+K14</f>
        <v>#REF!</v>
      </c>
      <c r="J14" s="227" t="e">
        <f>#REF!</f>
        <v>#REF!</v>
      </c>
      <c r="K14" s="227"/>
    </row>
    <row r="15" spans="1:11">
      <c r="A15" s="212">
        <v>2</v>
      </c>
      <c r="B15" s="214" t="s">
        <v>32</v>
      </c>
      <c r="E15" s="223">
        <f>F15+G15</f>
        <v>1005</v>
      </c>
      <c r="F15" s="223">
        <f>SUM(F88)</f>
        <v>1005</v>
      </c>
      <c r="G15" s="223">
        <f>SUM(G89)</f>
        <v>0</v>
      </c>
      <c r="H15" s="218" t="str">
        <f t="shared" si="0"/>
        <v xml:space="preserve"> </v>
      </c>
      <c r="I15" s="223" t="e">
        <f>J15+K15</f>
        <v>#REF!</v>
      </c>
      <c r="J15" s="223" t="e">
        <f>#REF!</f>
        <v>#REF!</v>
      </c>
      <c r="K15" s="223"/>
    </row>
    <row r="16" spans="1:11">
      <c r="A16" s="212">
        <v>3</v>
      </c>
      <c r="B16" s="214" t="s">
        <v>64</v>
      </c>
      <c r="E16" s="223">
        <f>F16+G16</f>
        <v>58017</v>
      </c>
      <c r="F16" s="223">
        <f>SUM(F92)</f>
        <v>58017</v>
      </c>
      <c r="G16" s="223">
        <f>SUM(G92)</f>
        <v>0</v>
      </c>
      <c r="H16" s="218" t="str">
        <f t="shared" si="0"/>
        <v xml:space="preserve"> </v>
      </c>
      <c r="I16" s="223" t="e">
        <f>J16+K16</f>
        <v>#REF!</v>
      </c>
      <c r="J16" s="223" t="e">
        <f>#REF!</f>
        <v>#REF!</v>
      </c>
      <c r="K16" s="223"/>
    </row>
    <row r="17" spans="1:11">
      <c r="A17" s="212">
        <v>4</v>
      </c>
      <c r="B17" s="214" t="s">
        <v>65</v>
      </c>
      <c r="E17" s="231">
        <f>E14+E15+E16</f>
        <v>607309</v>
      </c>
      <c r="F17" s="231">
        <f>F14+F15+F16</f>
        <v>607309</v>
      </c>
      <c r="G17" s="231">
        <f>G14+G15+G16</f>
        <v>0</v>
      </c>
      <c r="H17" s="218" t="str">
        <f t="shared" si="0"/>
        <v xml:space="preserve"> </v>
      </c>
      <c r="I17" s="231" t="e">
        <f>I14+I15+I16</f>
        <v>#REF!</v>
      </c>
      <c r="J17" s="231" t="e">
        <f>J14+J15+J16</f>
        <v>#REF!</v>
      </c>
      <c r="K17" s="231"/>
    </row>
    <row r="18" spans="1:11">
      <c r="A18" s="212">
        <v>5</v>
      </c>
      <c r="B18" s="214" t="s">
        <v>34</v>
      </c>
      <c r="E18" s="232">
        <f>F18+G18</f>
        <v>57523</v>
      </c>
      <c r="F18" s="223">
        <f>SUM(F96:F100)</f>
        <v>57523</v>
      </c>
      <c r="G18" s="223">
        <f>SUM(G97:G100)</f>
        <v>0</v>
      </c>
      <c r="H18" s="218" t="str">
        <f t="shared" si="0"/>
        <v xml:space="preserve"> </v>
      </c>
      <c r="I18" s="232" t="e">
        <f>J18+K18</f>
        <v>#REF!</v>
      </c>
      <c r="J18" s="223" t="e">
        <f>#REF!</f>
        <v>#REF!</v>
      </c>
      <c r="K18" s="223"/>
    </row>
    <row r="19" spans="1:11">
      <c r="A19" s="212">
        <v>6</v>
      </c>
      <c r="B19" s="214" t="s">
        <v>66</v>
      </c>
      <c r="E19" s="231">
        <f>E17+E18</f>
        <v>664832</v>
      </c>
      <c r="F19" s="231">
        <f>F17+F18</f>
        <v>664832</v>
      </c>
      <c r="G19" s="231">
        <f>G17+G18</f>
        <v>0</v>
      </c>
      <c r="H19" s="218" t="str">
        <f t="shared" si="0"/>
        <v xml:space="preserve"> </v>
      </c>
      <c r="I19" s="231" t="e">
        <f>I17+I18</f>
        <v>#REF!</v>
      </c>
      <c r="J19" s="231" t="e">
        <f>J17+J18</f>
        <v>#REF!</v>
      </c>
      <c r="K19" s="231"/>
    </row>
    <row r="20" spans="1:11">
      <c r="E20" s="225"/>
      <c r="F20" s="225"/>
      <c r="G20" s="225"/>
      <c r="H20" s="218"/>
      <c r="I20" s="225"/>
      <c r="J20" s="225"/>
      <c r="K20" s="225"/>
    </row>
    <row r="21" spans="1:11">
      <c r="B21" s="214" t="s">
        <v>35</v>
      </c>
      <c r="E21" s="225"/>
      <c r="F21" s="225"/>
      <c r="G21" s="225"/>
      <c r="H21" s="218"/>
      <c r="I21" s="225"/>
      <c r="J21" s="225"/>
      <c r="K21" s="225"/>
    </row>
    <row r="22" spans="1:11">
      <c r="B22" s="214" t="s">
        <v>36</v>
      </c>
      <c r="E22" s="225"/>
      <c r="F22" s="225"/>
      <c r="G22" s="225"/>
      <c r="H22" s="218"/>
      <c r="I22" s="225"/>
      <c r="J22" s="225"/>
      <c r="K22" s="225"/>
    </row>
    <row r="23" spans="1:11">
      <c r="A23" s="212">
        <v>7</v>
      </c>
      <c r="B23" s="214" t="s">
        <v>67</v>
      </c>
      <c r="E23" s="223">
        <f>F23+G23</f>
        <v>174013</v>
      </c>
      <c r="F23" s="223">
        <f>SUM(F160-F156+F181)</f>
        <v>174013</v>
      </c>
      <c r="G23" s="223">
        <f>SUM(G160-G156+G181)</f>
        <v>0</v>
      </c>
      <c r="H23" s="218" t="str">
        <f>IF(E23=F23+G23," ","ERROR")</f>
        <v xml:space="preserve"> </v>
      </c>
      <c r="I23" s="223" t="e">
        <f>J23+K23</f>
        <v>#REF!</v>
      </c>
      <c r="J23" s="223" t="e">
        <f>#REF!+#REF!+#REF!+#REF!+#REF!</f>
        <v>#REF!</v>
      </c>
      <c r="K23" s="223"/>
    </row>
    <row r="24" spans="1:11">
      <c r="A24" s="212">
        <v>8</v>
      </c>
      <c r="B24" s="214" t="s">
        <v>68</v>
      </c>
      <c r="E24" s="223">
        <f>F24+G24</f>
        <v>85396</v>
      </c>
      <c r="F24" s="223">
        <f>SUM(F156)</f>
        <v>85396</v>
      </c>
      <c r="G24" s="223">
        <f>SUM(G156)</f>
        <v>0</v>
      </c>
      <c r="H24" s="218" t="str">
        <f>IF(E24=F24+G24," ","ERROR")</f>
        <v xml:space="preserve"> </v>
      </c>
      <c r="I24" s="223" t="e">
        <f>J24+K24</f>
        <v>#REF!</v>
      </c>
      <c r="J24" s="223" t="e">
        <f>#REF!</f>
        <v>#REF!</v>
      </c>
      <c r="K24" s="223"/>
    </row>
    <row r="25" spans="1:11">
      <c r="A25" s="212">
        <v>9</v>
      </c>
      <c r="B25" s="214" t="s">
        <v>507</v>
      </c>
      <c r="E25" s="223">
        <f>F25+G25</f>
        <v>27841</v>
      </c>
      <c r="F25" s="223">
        <f>SUM(F183:F186)</f>
        <v>27841</v>
      </c>
      <c r="G25" s="223">
        <f>SUM(G183:G185)</f>
        <v>0</v>
      </c>
      <c r="H25" s="218" t="str">
        <f>IF(E25=F25+G25," ","ERROR")</f>
        <v xml:space="preserve"> </v>
      </c>
      <c r="I25" s="223" t="e">
        <f>J25+K25</f>
        <v>#REF!</v>
      </c>
      <c r="J25" s="223" t="e">
        <f>#REF!</f>
        <v>#REF!</v>
      </c>
      <c r="K25" s="223"/>
    </row>
    <row r="26" spans="1:11">
      <c r="A26" s="212">
        <v>10</v>
      </c>
      <c r="B26" s="214" t="s">
        <v>506</v>
      </c>
      <c r="E26" s="223">
        <f>F26+G26</f>
        <v>2323</v>
      </c>
      <c r="F26" s="223">
        <f>SUM(F187:F218)</f>
        <v>2323</v>
      </c>
      <c r="G26" s="223">
        <f>SUM(G187:G217)</f>
        <v>0</v>
      </c>
      <c r="H26" s="218"/>
      <c r="I26" s="223"/>
      <c r="J26" s="223"/>
      <c r="K26" s="223"/>
    </row>
    <row r="27" spans="1:11">
      <c r="A27" s="212">
        <v>11</v>
      </c>
      <c r="B27" s="214" t="s">
        <v>69</v>
      </c>
      <c r="E27" s="222">
        <f>F27+G27</f>
        <v>14744</v>
      </c>
      <c r="F27" s="223">
        <f>SUM(F219)</f>
        <v>14744</v>
      </c>
      <c r="G27" s="223">
        <f>SUM(G219)</f>
        <v>0</v>
      </c>
      <c r="H27" s="218" t="str">
        <f>IF(E27=F27+G27," ","ERROR")</f>
        <v xml:space="preserve"> </v>
      </c>
      <c r="I27" s="222" t="e">
        <f>J27+K27</f>
        <v>#REF!</v>
      </c>
      <c r="J27" s="223" t="e">
        <f>#REF!</f>
        <v>#REF!</v>
      </c>
      <c r="K27" s="223"/>
    </row>
    <row r="28" spans="1:11">
      <c r="A28" s="212">
        <v>12</v>
      </c>
      <c r="B28" s="214" t="s">
        <v>70</v>
      </c>
      <c r="E28" s="231">
        <f>SUM(E23:E27)</f>
        <v>304317</v>
      </c>
      <c r="F28" s="231">
        <f>SUM(F23:F27)</f>
        <v>304317</v>
      </c>
      <c r="G28" s="231">
        <f>SUM(G23:G27)</f>
        <v>0</v>
      </c>
      <c r="H28" s="218" t="str">
        <f>IF(E28=F28+G28," ","ERROR")</f>
        <v xml:space="preserve"> </v>
      </c>
      <c r="I28" s="223" t="e">
        <f>I23+I24+I25+I27</f>
        <v>#REF!</v>
      </c>
      <c r="J28" s="231" t="e">
        <f>J23+J24+J25+J27</f>
        <v>#REF!</v>
      </c>
      <c r="K28" s="231"/>
    </row>
    <row r="29" spans="1:11">
      <c r="E29" s="223"/>
      <c r="F29" s="225"/>
      <c r="G29" s="225"/>
      <c r="H29" s="218"/>
      <c r="I29" s="223"/>
      <c r="J29" s="225"/>
      <c r="K29" s="225"/>
    </row>
    <row r="30" spans="1:11">
      <c r="B30" s="214" t="s">
        <v>38</v>
      </c>
      <c r="E30" s="223"/>
      <c r="F30" s="225"/>
      <c r="G30" s="225"/>
      <c r="H30" s="218"/>
      <c r="I30" s="223"/>
      <c r="J30" s="225"/>
      <c r="K30" s="225"/>
    </row>
    <row r="31" spans="1:11">
      <c r="A31" s="212">
        <v>13</v>
      </c>
      <c r="B31" s="214" t="s">
        <v>67</v>
      </c>
      <c r="E31" s="223">
        <f>F31+G31</f>
        <v>21462</v>
      </c>
      <c r="F31" s="223">
        <f>SUM(F248)</f>
        <v>21462</v>
      </c>
      <c r="G31" s="223">
        <f>SUM(G248)</f>
        <v>0</v>
      </c>
      <c r="H31" s="218" t="str">
        <f>IF(E31=F31+G31," ","ERROR")</f>
        <v xml:space="preserve"> </v>
      </c>
      <c r="I31" s="223" t="e">
        <f>J31+K31</f>
        <v>#REF!</v>
      </c>
      <c r="J31" s="223" t="e">
        <f>#REF!</f>
        <v>#REF!</v>
      </c>
      <c r="K31" s="223"/>
    </row>
    <row r="32" spans="1:11">
      <c r="A32" s="212">
        <v>14</v>
      </c>
      <c r="B32" s="214" t="s">
        <v>507</v>
      </c>
      <c r="E32" s="223">
        <f>F32+G32</f>
        <v>29867</v>
      </c>
      <c r="F32" s="223">
        <f>SUM(F250:F251)</f>
        <v>29867</v>
      </c>
      <c r="G32" s="223">
        <f>SUM(G250:G251)</f>
        <v>0</v>
      </c>
      <c r="H32" s="218" t="str">
        <f>IF(E32=F32+G32," ","ERROR")</f>
        <v xml:space="preserve"> </v>
      </c>
      <c r="I32" s="223" t="e">
        <f>J32+K32</f>
        <v>#REF!</v>
      </c>
      <c r="J32" s="223" t="e">
        <f>#REF!</f>
        <v>#REF!</v>
      </c>
      <c r="K32" s="223"/>
    </row>
    <row r="33" spans="1:11">
      <c r="A33" s="212">
        <v>15</v>
      </c>
      <c r="B33" s="214" t="s">
        <v>69</v>
      </c>
      <c r="E33" s="222">
        <f>F33+G33</f>
        <v>47539</v>
      </c>
      <c r="F33" s="223">
        <f>SUM(F252)</f>
        <v>47539</v>
      </c>
      <c r="G33" s="223">
        <f>SUM(G252)</f>
        <v>0</v>
      </c>
      <c r="H33" s="218" t="str">
        <f>IF(E33=F33+G33," ","ERROR")</f>
        <v xml:space="preserve"> </v>
      </c>
      <c r="I33" s="222" t="e">
        <f>J33+K33</f>
        <v>#REF!</v>
      </c>
      <c r="J33" s="223" t="e">
        <f>#REF!</f>
        <v>#REF!</v>
      </c>
      <c r="K33" s="223"/>
    </row>
    <row r="34" spans="1:11">
      <c r="A34" s="212">
        <v>16</v>
      </c>
      <c r="B34" s="214" t="s">
        <v>71</v>
      </c>
      <c r="E34" s="223">
        <f>E31+E32+E33</f>
        <v>98868</v>
      </c>
      <c r="F34" s="231">
        <f>F31+F32+F33</f>
        <v>98868</v>
      </c>
      <c r="G34" s="231">
        <f>G31+G32+G33</f>
        <v>0</v>
      </c>
      <c r="H34" s="218" t="str">
        <f>IF(E34=F34+G34," ","ERROR")</f>
        <v xml:space="preserve"> </v>
      </c>
      <c r="I34" s="223" t="e">
        <f>I31+I32+I33</f>
        <v>#REF!</v>
      </c>
      <c r="J34" s="231" t="e">
        <f>J31+J32+J33</f>
        <v>#REF!</v>
      </c>
      <c r="K34" s="231"/>
    </row>
    <row r="35" spans="1:11">
      <c r="E35" s="225"/>
      <c r="F35" s="225"/>
      <c r="G35" s="225"/>
      <c r="H35" s="218"/>
      <c r="I35" s="225"/>
      <c r="J35" s="225"/>
      <c r="K35" s="225"/>
    </row>
    <row r="36" spans="1:11">
      <c r="A36" s="212">
        <v>17</v>
      </c>
      <c r="B36" s="214" t="s">
        <v>39</v>
      </c>
      <c r="E36" s="223">
        <f>F36+G36</f>
        <v>11508</v>
      </c>
      <c r="F36" s="223">
        <f>SUM(F263)</f>
        <v>11508</v>
      </c>
      <c r="G36" s="223">
        <f>SUM(G263)</f>
        <v>0</v>
      </c>
      <c r="H36" s="218" t="str">
        <f>IF(E36=F36+G36," ","ERROR")</f>
        <v xml:space="preserve"> </v>
      </c>
      <c r="I36" s="223" t="e">
        <f>J36+K36</f>
        <v>#REF!</v>
      </c>
      <c r="J36" s="223" t="e">
        <f>#REF!</f>
        <v>#REF!</v>
      </c>
      <c r="K36" s="223"/>
    </row>
    <row r="37" spans="1:11">
      <c r="A37" s="212">
        <v>18</v>
      </c>
      <c r="B37" s="214" t="s">
        <v>40</v>
      </c>
      <c r="E37" s="223">
        <f>F37+G37</f>
        <v>22266</v>
      </c>
      <c r="F37" s="223">
        <f>SUM(F269)+1</f>
        <v>22266</v>
      </c>
      <c r="G37" s="223">
        <f>SUM(G269)</f>
        <v>0</v>
      </c>
      <c r="H37" s="218" t="str">
        <f>IF(E37=F37+G37," ","ERROR")</f>
        <v xml:space="preserve"> </v>
      </c>
      <c r="I37" s="223" t="e">
        <f>J37+K37</f>
        <v>#REF!</v>
      </c>
      <c r="J37" s="223" t="e">
        <f>#REF!</f>
        <v>#REF!</v>
      </c>
      <c r="K37" s="223"/>
    </row>
    <row r="38" spans="1:11">
      <c r="A38" s="212">
        <v>19</v>
      </c>
      <c r="B38" s="214" t="s">
        <v>41</v>
      </c>
      <c r="E38" s="223">
        <f>F38+G38</f>
        <v>0</v>
      </c>
      <c r="F38" s="223">
        <f>SUM(F275)</f>
        <v>0</v>
      </c>
      <c r="G38" s="223">
        <f>SUM(G275)</f>
        <v>0</v>
      </c>
      <c r="H38" s="218" t="str">
        <f>IF(E38=F38+G38," ","ERROR")</f>
        <v xml:space="preserve"> </v>
      </c>
      <c r="I38" s="223" t="e">
        <f>J38+K38</f>
        <v>#REF!</v>
      </c>
      <c r="J38" s="223" t="e">
        <f>#REF!</f>
        <v>#REF!</v>
      </c>
      <c r="K38" s="223"/>
    </row>
    <row r="39" spans="1:11">
      <c r="E39" s="225"/>
      <c r="F39" s="225"/>
      <c r="G39" s="225"/>
      <c r="H39" s="218"/>
      <c r="I39" s="225"/>
      <c r="J39" s="225"/>
      <c r="K39" s="225"/>
    </row>
    <row r="40" spans="1:11">
      <c r="B40" s="214" t="s">
        <v>42</v>
      </c>
      <c r="E40" s="225"/>
      <c r="F40" s="225"/>
      <c r="G40" s="225"/>
      <c r="H40" s="218"/>
      <c r="I40" s="225"/>
      <c r="J40" s="225"/>
      <c r="K40" s="225"/>
    </row>
    <row r="41" spans="1:11">
      <c r="A41" s="212">
        <v>20</v>
      </c>
      <c r="B41" s="214" t="s">
        <v>67</v>
      </c>
      <c r="E41" s="223">
        <f>F41+G41</f>
        <v>49007</v>
      </c>
      <c r="F41" s="223">
        <f>SUM(F290)</f>
        <v>49007</v>
      </c>
      <c r="G41" s="223">
        <f>SUM(G290)</f>
        <v>0</v>
      </c>
      <c r="H41" s="218" t="str">
        <f>IF(E41=F41+G41," ","ERROR")</f>
        <v xml:space="preserve"> </v>
      </c>
      <c r="I41" s="223" t="e">
        <f>J41+K41</f>
        <v>#REF!</v>
      </c>
      <c r="J41" s="223" t="e">
        <f>#REF!</f>
        <v>#REF!</v>
      </c>
      <c r="K41" s="223"/>
    </row>
    <row r="42" spans="1:11">
      <c r="A42" s="212">
        <v>21</v>
      </c>
      <c r="B42" s="214" t="s">
        <v>507</v>
      </c>
      <c r="E42" s="223">
        <f>F42+G42</f>
        <v>24993</v>
      </c>
      <c r="F42" s="223">
        <f>SUM(F300)</f>
        <v>24993</v>
      </c>
      <c r="G42" s="223">
        <f>SUM(G300)</f>
        <v>0</v>
      </c>
      <c r="H42" s="218" t="str">
        <f>IF(E42=F42+G42," ","ERROR")</f>
        <v xml:space="preserve"> </v>
      </c>
      <c r="I42" s="223" t="e">
        <f>J42+K42</f>
        <v>#REF!</v>
      </c>
      <c r="J42" s="223" t="e">
        <f>#REF!</f>
        <v>#REF!</v>
      </c>
      <c r="K42" s="223"/>
    </row>
    <row r="43" spans="1:11">
      <c r="A43" s="212">
        <v>22</v>
      </c>
      <c r="B43" s="214" t="s">
        <v>69</v>
      </c>
      <c r="E43" s="223">
        <f>F43+G43</f>
        <v>0</v>
      </c>
      <c r="F43" s="223">
        <v>0</v>
      </c>
      <c r="G43" s="223">
        <v>0</v>
      </c>
      <c r="H43" s="218" t="str">
        <f>IF(E43=F43+G43," ","ERROR")</f>
        <v xml:space="preserve"> </v>
      </c>
      <c r="I43" s="223" t="e">
        <f>J43+K43</f>
        <v>#REF!</v>
      </c>
      <c r="J43" s="223" t="e">
        <f>#REF!</f>
        <v>#REF!</v>
      </c>
      <c r="K43" s="223"/>
    </row>
    <row r="44" spans="1:11">
      <c r="A44" s="212">
        <v>23</v>
      </c>
      <c r="B44" s="214" t="s">
        <v>72</v>
      </c>
      <c r="E44" s="230">
        <f>E41+E42+E43</f>
        <v>74000</v>
      </c>
      <c r="F44" s="230">
        <f>F41+F42+F43</f>
        <v>74000</v>
      </c>
      <c r="G44" s="230">
        <f>G41+G42+G43</f>
        <v>0</v>
      </c>
      <c r="H44" s="218" t="str">
        <f>IF(E44=F44+G44," ","ERROR")</f>
        <v xml:space="preserve"> </v>
      </c>
      <c r="I44" s="230" t="e">
        <f>I41+I42+I43</f>
        <v>#REF!</v>
      </c>
      <c r="J44" s="230" t="e">
        <f>J41+J42+J43</f>
        <v>#REF!</v>
      </c>
      <c r="K44" s="230"/>
    </row>
    <row r="45" spans="1:11" ht="18.75" customHeight="1">
      <c r="A45" s="212">
        <v>24</v>
      </c>
      <c r="B45" s="214" t="s">
        <v>43</v>
      </c>
      <c r="E45" s="229">
        <f>E28+E34+E36+E37+E38+E44</f>
        <v>510959</v>
      </c>
      <c r="F45" s="229">
        <f>F28+F34+F36+F37+F38+F44</f>
        <v>510959</v>
      </c>
      <c r="G45" s="229">
        <f>G28+G34+G36+G37+G38+G44</f>
        <v>0</v>
      </c>
      <c r="H45" s="218" t="str">
        <f>IF(E45=F45+G45," ","ERROR")</f>
        <v xml:space="preserve"> </v>
      </c>
      <c r="I45" s="229" t="e">
        <f>I28+I34+I36+I37+I38+I44</f>
        <v>#REF!</v>
      </c>
      <c r="J45" s="229" t="e">
        <f>J28+J34+J36+J37+J38+J44</f>
        <v>#REF!</v>
      </c>
      <c r="K45" s="229"/>
    </row>
    <row r="46" spans="1:11">
      <c r="E46" s="225"/>
      <c r="F46" s="225"/>
      <c r="G46" s="225"/>
      <c r="H46" s="218"/>
      <c r="I46" s="225"/>
      <c r="J46" s="225"/>
      <c r="K46" s="225"/>
    </row>
    <row r="47" spans="1:11">
      <c r="A47" s="264">
        <v>25</v>
      </c>
      <c r="B47" s="214" t="s">
        <v>73</v>
      </c>
      <c r="E47" s="225">
        <f>E19-E45</f>
        <v>153873</v>
      </c>
      <c r="F47" s="225">
        <f>F19-F45</f>
        <v>153873</v>
      </c>
      <c r="G47" s="225">
        <f>G19-G45</f>
        <v>0</v>
      </c>
      <c r="H47" s="218" t="str">
        <f>IF(E47=F47+G47," ","ERROR")</f>
        <v xml:space="preserve"> </v>
      </c>
      <c r="I47" s="225" t="e">
        <f>I19-I45</f>
        <v>#REF!</v>
      </c>
      <c r="J47" s="225" t="e">
        <f>J19-J45</f>
        <v>#REF!</v>
      </c>
      <c r="K47" s="225"/>
    </row>
    <row r="48" spans="1:11">
      <c r="B48" s="214"/>
      <c r="E48" s="225"/>
      <c r="F48" s="225"/>
      <c r="G48" s="225"/>
      <c r="H48" s="218"/>
      <c r="I48" s="225"/>
      <c r="J48" s="225"/>
      <c r="K48" s="225"/>
    </row>
    <row r="49" spans="1:11">
      <c r="B49" s="214" t="s">
        <v>74</v>
      </c>
      <c r="E49" s="225"/>
      <c r="F49" s="225"/>
      <c r="G49" s="225"/>
      <c r="H49" s="218"/>
      <c r="I49" s="225"/>
      <c r="J49" s="225"/>
      <c r="K49" s="225"/>
    </row>
    <row r="50" spans="1:11">
      <c r="A50" s="212">
        <v>26</v>
      </c>
      <c r="B50" s="214" t="s">
        <v>75</v>
      </c>
      <c r="D50" s="228">
        <v>0.35</v>
      </c>
      <c r="E50" s="223">
        <f>F50+G50</f>
        <v>9592</v>
      </c>
      <c r="F50" s="223">
        <f>SUM(F308)</f>
        <v>9592</v>
      </c>
      <c r="G50" s="223">
        <f>SUM(G308)</f>
        <v>0</v>
      </c>
      <c r="H50" s="218" t="str">
        <f>IF(E50=F50+G50," ","ERROR")</f>
        <v xml:space="preserve"> </v>
      </c>
      <c r="I50" s="223" t="e">
        <f>J50+K50</f>
        <v>#REF!</v>
      </c>
      <c r="J50" s="223" t="e">
        <f>#REF!</f>
        <v>#REF!</v>
      </c>
      <c r="K50" s="223"/>
    </row>
    <row r="51" spans="1:11">
      <c r="A51" s="212">
        <v>27</v>
      </c>
      <c r="B51" s="214" t="s">
        <v>516</v>
      </c>
      <c r="D51" s="228"/>
      <c r="E51" s="223"/>
      <c r="F51" s="223"/>
      <c r="G51" s="223"/>
      <c r="H51" s="218"/>
      <c r="I51" s="223"/>
      <c r="J51" s="223"/>
      <c r="K51" s="223"/>
    </row>
    <row r="52" spans="1:11">
      <c r="A52" s="212">
        <v>28</v>
      </c>
      <c r="B52" s="214" t="s">
        <v>76</v>
      </c>
      <c r="E52" s="223">
        <f>F52+G52</f>
        <v>30100</v>
      </c>
      <c r="F52" s="223">
        <f t="shared" ref="F52:G53" si="1">SUM(F309)</f>
        <v>30100</v>
      </c>
      <c r="G52" s="223">
        <f t="shared" si="1"/>
        <v>0</v>
      </c>
      <c r="H52" s="218" t="str">
        <f>IF(E52=F52+G52," ","ERROR")</f>
        <v xml:space="preserve"> </v>
      </c>
      <c r="I52" s="223" t="e">
        <f>J52+K52</f>
        <v>#REF!</v>
      </c>
      <c r="J52" s="223" t="e">
        <f>#REF!</f>
        <v>#REF!</v>
      </c>
      <c r="K52" s="223"/>
    </row>
    <row r="53" spans="1:11">
      <c r="A53" s="212">
        <v>29</v>
      </c>
      <c r="B53" s="214" t="s">
        <v>77</v>
      </c>
      <c r="E53" s="222">
        <f>F53+G53</f>
        <v>-226</v>
      </c>
      <c r="F53" s="222">
        <f t="shared" si="1"/>
        <v>-226</v>
      </c>
      <c r="G53" s="222">
        <f t="shared" si="1"/>
        <v>0</v>
      </c>
      <c r="H53" s="218" t="str">
        <f>IF(E53=F53+G53," ","ERROR")</f>
        <v xml:space="preserve"> </v>
      </c>
      <c r="I53" s="223" t="e">
        <f>J53+K53</f>
        <v>#REF!</v>
      </c>
      <c r="J53" s="223" t="e">
        <f>#REF!</f>
        <v>#REF!</v>
      </c>
      <c r="K53" s="223"/>
    </row>
    <row r="54" spans="1:11">
      <c r="B54" s="214"/>
      <c r="E54" s="224"/>
      <c r="F54" s="224"/>
      <c r="G54" s="224"/>
      <c r="H54" s="218"/>
      <c r="I54" s="223"/>
      <c r="J54" s="223"/>
      <c r="K54" s="223"/>
    </row>
    <row r="55" spans="1:11" s="218" customFormat="1" ht="12.6" thickBot="1">
      <c r="A55" s="221">
        <v>30</v>
      </c>
      <c r="B55" s="220" t="s">
        <v>44</v>
      </c>
      <c r="E55" s="219">
        <f>E47-(E49+E50+E52+E53)</f>
        <v>114407</v>
      </c>
      <c r="F55" s="219">
        <f>F47-(F49+F50+F52+F53)</f>
        <v>114407</v>
      </c>
      <c r="G55" s="219">
        <f>G47-(G49+G50+G52+G53)</f>
        <v>0</v>
      </c>
      <c r="H55" s="218" t="str">
        <f>IF(E55=F55+G55," ","ERROR")</f>
        <v xml:space="preserve"> </v>
      </c>
      <c r="I55" s="219" t="e">
        <f>I47-(I49+I50+I52+I53+#REF!)</f>
        <v>#REF!</v>
      </c>
      <c r="J55" s="219" t="e">
        <f>J47-(J49+J50+J52+J53+#REF!)</f>
        <v>#REF!</v>
      </c>
      <c r="K55" s="219"/>
    </row>
    <row r="56" spans="1:11" ht="12.6" thickTop="1">
      <c r="H56" s="218"/>
    </row>
    <row r="57" spans="1:11">
      <c r="B57" s="214" t="s">
        <v>45</v>
      </c>
      <c r="H57" s="218"/>
    </row>
    <row r="58" spans="1:11">
      <c r="B58" s="214" t="s">
        <v>46</v>
      </c>
      <c r="H58" s="218"/>
    </row>
    <row r="59" spans="1:11" s="218" customFormat="1">
      <c r="A59" s="221">
        <v>31</v>
      </c>
      <c r="B59" s="220" t="s">
        <v>78</v>
      </c>
      <c r="E59" s="227">
        <f>F59+G59</f>
        <v>167075</v>
      </c>
      <c r="F59" s="227">
        <f>SUM(F326)</f>
        <v>167075</v>
      </c>
      <c r="G59" s="227">
        <f>SUM(G326)</f>
        <v>0</v>
      </c>
      <c r="H59" s="218" t="str">
        <f t="shared" ref="H59:H65" si="2">IF(E59=F59+G59," ","ERROR")</f>
        <v xml:space="preserve"> </v>
      </c>
      <c r="I59" s="227" t="e">
        <f>J59+K59</f>
        <v>#REF!</v>
      </c>
      <c r="J59" s="227" t="e">
        <f>#REF!</f>
        <v>#REF!</v>
      </c>
      <c r="K59" s="227"/>
    </row>
    <row r="60" spans="1:11">
      <c r="A60" s="212">
        <v>32</v>
      </c>
      <c r="B60" s="214" t="s">
        <v>79</v>
      </c>
      <c r="E60" s="223">
        <f>F60+G60</f>
        <v>879704</v>
      </c>
      <c r="F60" s="223">
        <f>SUM(F359)</f>
        <v>879704</v>
      </c>
      <c r="G60" s="223">
        <f>SUM(G359)</f>
        <v>0</v>
      </c>
      <c r="H60" s="218" t="str">
        <f t="shared" si="2"/>
        <v xml:space="preserve"> </v>
      </c>
      <c r="I60" s="223" t="e">
        <f>J60+K60</f>
        <v>#REF!</v>
      </c>
      <c r="J60" s="223" t="e">
        <f>#REF!</f>
        <v>#REF!</v>
      </c>
      <c r="K60" s="223"/>
    </row>
    <row r="61" spans="1:11">
      <c r="A61" s="212">
        <v>33</v>
      </c>
      <c r="B61" s="214" t="s">
        <v>80</v>
      </c>
      <c r="E61" s="223">
        <f>F61+G61</f>
        <v>451003</v>
      </c>
      <c r="F61" s="223">
        <f>SUM(F372)</f>
        <v>451003</v>
      </c>
      <c r="G61" s="223">
        <f>SUM(G372)</f>
        <v>0</v>
      </c>
      <c r="H61" s="218" t="str">
        <f t="shared" si="2"/>
        <v xml:space="preserve"> </v>
      </c>
      <c r="I61" s="223" t="e">
        <f>J61+K61</f>
        <v>#REF!</v>
      </c>
      <c r="J61" s="223" t="e">
        <f>#REF!</f>
        <v>#REF!</v>
      </c>
      <c r="K61" s="223"/>
    </row>
    <row r="62" spans="1:11">
      <c r="A62" s="212">
        <v>34</v>
      </c>
      <c r="B62" s="214" t="s">
        <v>81</v>
      </c>
      <c r="E62" s="223">
        <f>F62+G62</f>
        <v>1033739</v>
      </c>
      <c r="F62" s="223">
        <f>SUM(F390)</f>
        <v>1033739</v>
      </c>
      <c r="G62" s="223">
        <f>SUM(G390)</f>
        <v>0</v>
      </c>
      <c r="H62" s="218" t="str">
        <f t="shared" si="2"/>
        <v xml:space="preserve"> </v>
      </c>
      <c r="I62" s="223" t="e">
        <f>J62+K62</f>
        <v>#REF!</v>
      </c>
      <c r="J62" s="223" t="e">
        <f>#REF!</f>
        <v>#REF!</v>
      </c>
      <c r="K62" s="223"/>
    </row>
    <row r="63" spans="1:11">
      <c r="A63" s="212">
        <v>35</v>
      </c>
      <c r="B63" s="214" t="s">
        <v>82</v>
      </c>
      <c r="E63" s="222">
        <f>F63+G63</f>
        <v>242339</v>
      </c>
      <c r="F63" s="222">
        <f>SUM(F404)</f>
        <v>242339</v>
      </c>
      <c r="G63" s="222">
        <f>SUM(G404)</f>
        <v>0</v>
      </c>
      <c r="H63" s="218" t="str">
        <f t="shared" si="2"/>
        <v xml:space="preserve"> </v>
      </c>
      <c r="I63" s="222" t="e">
        <f>J63+K63</f>
        <v>#REF!</v>
      </c>
      <c r="J63" s="222" t="e">
        <f>#REF!</f>
        <v>#REF!</v>
      </c>
      <c r="K63" s="222"/>
    </row>
    <row r="64" spans="1:11">
      <c r="A64" s="212">
        <v>36</v>
      </c>
      <c r="B64" s="214" t="s">
        <v>83</v>
      </c>
      <c r="E64" s="225">
        <f>E59+E60+E61+E62+E63</f>
        <v>2773860</v>
      </c>
      <c r="F64" s="225">
        <f>F59+F60+F61+F62+F63</f>
        <v>2773860</v>
      </c>
      <c r="G64" s="225">
        <f>G59+G60+G61+G62+G63</f>
        <v>0</v>
      </c>
      <c r="H64" s="218" t="str">
        <f t="shared" si="2"/>
        <v xml:space="preserve"> </v>
      </c>
      <c r="I64" s="225" t="e">
        <f>I59+I60+I61+I62+I63</f>
        <v>#REF!</v>
      </c>
      <c r="J64" s="225" t="e">
        <f>J59+J60+J61+J62+J63</f>
        <v>#REF!</v>
      </c>
      <c r="K64" s="225"/>
    </row>
    <row r="65" spans="1:11" ht="19.5" customHeight="1">
      <c r="B65" s="214" t="s">
        <v>510</v>
      </c>
      <c r="E65" s="223"/>
      <c r="F65" s="223"/>
      <c r="G65" s="223"/>
      <c r="H65" s="218" t="str">
        <f t="shared" si="2"/>
        <v xml:space="preserve"> </v>
      </c>
      <c r="I65" s="223" t="e">
        <f>J65+K65</f>
        <v>#REF!</v>
      </c>
      <c r="J65" s="223" t="e">
        <f>#REF!</f>
        <v>#REF!</v>
      </c>
      <c r="K65" s="223"/>
    </row>
    <row r="66" spans="1:11">
      <c r="A66" s="212">
        <v>37</v>
      </c>
      <c r="B66" s="220" t="s">
        <v>78</v>
      </c>
      <c r="E66" s="223">
        <f>F66+G66</f>
        <v>-37161</v>
      </c>
      <c r="F66" s="223">
        <f>SUM(F419:F422)</f>
        <v>-37161</v>
      </c>
      <c r="G66" s="227">
        <f>SUM(G419:G420)</f>
        <v>0</v>
      </c>
      <c r="H66" s="218"/>
      <c r="I66" s="223"/>
      <c r="J66" s="223"/>
      <c r="K66" s="223"/>
    </row>
    <row r="67" spans="1:11">
      <c r="A67" s="212">
        <v>38</v>
      </c>
      <c r="B67" s="214" t="s">
        <v>79</v>
      </c>
      <c r="E67" s="223">
        <f>F67+G67</f>
        <v>-352091</v>
      </c>
      <c r="F67" s="223">
        <f>SUM(F410:F412)</f>
        <v>-352091</v>
      </c>
      <c r="G67" s="227">
        <f>SUM(G410:G412)</f>
        <v>0</v>
      </c>
      <c r="H67" s="218"/>
      <c r="I67" s="223"/>
      <c r="J67" s="223"/>
      <c r="K67" s="223"/>
    </row>
    <row r="68" spans="1:11">
      <c r="A68" s="212">
        <v>39</v>
      </c>
      <c r="B68" s="214" t="s">
        <v>80</v>
      </c>
      <c r="E68" s="223">
        <f>F68+G68</f>
        <v>-136838</v>
      </c>
      <c r="F68" s="223">
        <f>SUM(F413)</f>
        <v>-136838</v>
      </c>
      <c r="G68" s="227">
        <f>SUM(G413)</f>
        <v>0</v>
      </c>
      <c r="H68" s="218"/>
      <c r="I68" s="223"/>
      <c r="J68" s="223"/>
      <c r="K68" s="223"/>
    </row>
    <row r="69" spans="1:11">
      <c r="A69" s="212">
        <v>40</v>
      </c>
      <c r="B69" s="214" t="s">
        <v>81</v>
      </c>
      <c r="E69" s="223">
        <f>F69+G69</f>
        <v>-314013</v>
      </c>
      <c r="F69" s="223">
        <f>SUM(F414)</f>
        <v>-314013</v>
      </c>
      <c r="G69" s="227">
        <f>SUM(G414)</f>
        <v>0</v>
      </c>
      <c r="H69" s="218"/>
      <c r="I69" s="223"/>
      <c r="J69" s="223"/>
      <c r="K69" s="223"/>
    </row>
    <row r="70" spans="1:11">
      <c r="A70" s="212">
        <v>41</v>
      </c>
      <c r="B70" s="214" t="s">
        <v>82</v>
      </c>
      <c r="E70" s="222">
        <f>F70+G70</f>
        <v>-85360</v>
      </c>
      <c r="F70" s="222">
        <f>SUM(F415,F423)</f>
        <v>-85360</v>
      </c>
      <c r="G70" s="226">
        <f>SUM(G415,G421,G422,G423)</f>
        <v>0</v>
      </c>
    </row>
    <row r="71" spans="1:11">
      <c r="A71" s="212">
        <v>42</v>
      </c>
      <c r="B71" s="214" t="s">
        <v>230</v>
      </c>
      <c r="E71" s="382">
        <f>SUM(E66:E70)</f>
        <v>-925463</v>
      </c>
      <c r="F71" s="382">
        <f>SUM(F66:F70)</f>
        <v>-925463</v>
      </c>
      <c r="G71" s="211">
        <f>SUM(G66:G70)</f>
        <v>0</v>
      </c>
    </row>
    <row r="72" spans="1:11">
      <c r="A72" s="212">
        <v>43</v>
      </c>
      <c r="B72" s="211" t="s">
        <v>513</v>
      </c>
      <c r="E72" s="266">
        <f>E64+E71</f>
        <v>1848397</v>
      </c>
      <c r="F72" s="266">
        <f>F64+F71</f>
        <v>1848397</v>
      </c>
      <c r="G72" s="266">
        <f>G64+G71</f>
        <v>0</v>
      </c>
    </row>
    <row r="73" spans="1:11" ht="3.75" customHeight="1">
      <c r="B73" s="214"/>
      <c r="E73" s="225"/>
      <c r="F73" s="225"/>
      <c r="G73" s="225"/>
      <c r="H73" s="218"/>
      <c r="I73" s="225"/>
      <c r="J73" s="225"/>
      <c r="K73" s="225"/>
    </row>
    <row r="74" spans="1:11">
      <c r="A74" s="212">
        <v>44</v>
      </c>
      <c r="B74" s="214" t="s">
        <v>511</v>
      </c>
      <c r="E74" s="222">
        <f>F74+G74</f>
        <v>-397657</v>
      </c>
      <c r="F74" s="222">
        <f>SUM(F441)</f>
        <v>-397657</v>
      </c>
      <c r="G74" s="222">
        <f>SUM(G441)</f>
        <v>0</v>
      </c>
      <c r="H74" s="218" t="str">
        <f>IF(E74=F74+G74," ","ERROR")</f>
        <v xml:space="preserve"> </v>
      </c>
      <c r="I74" s="222" t="e">
        <f>J74+K74</f>
        <v>#REF!</v>
      </c>
      <c r="J74" s="222" t="e">
        <f>#REF!</f>
        <v>#REF!</v>
      </c>
      <c r="K74" s="222"/>
    </row>
    <row r="75" spans="1:11">
      <c r="A75" s="212">
        <v>45</v>
      </c>
      <c r="B75" s="214" t="s">
        <v>512</v>
      </c>
      <c r="E75" s="224">
        <f>SUM(E72:E74)</f>
        <v>1450740</v>
      </c>
      <c r="F75" s="224">
        <f>SUM(F72:F74)</f>
        <v>1450740</v>
      </c>
      <c r="G75" s="224">
        <f>SUM(G72-G74)</f>
        <v>0</v>
      </c>
      <c r="H75" s="218"/>
      <c r="I75" s="224"/>
      <c r="J75" s="224"/>
      <c r="K75" s="224"/>
    </row>
    <row r="76" spans="1:11">
      <c r="A76" s="212">
        <v>46</v>
      </c>
      <c r="B76" s="214" t="s">
        <v>229</v>
      </c>
      <c r="E76" s="223">
        <f t="shared" ref="E76:E77" si="3">F76+G76</f>
        <v>2110</v>
      </c>
      <c r="F76" s="225">
        <f>SUM(F477)-F77</f>
        <v>2110</v>
      </c>
      <c r="G76" s="225">
        <f>SUM(G446:G476)-G77</f>
        <v>0</v>
      </c>
      <c r="H76" s="218"/>
      <c r="I76" s="225"/>
      <c r="J76" s="225"/>
      <c r="K76" s="225"/>
    </row>
    <row r="77" spans="1:11">
      <c r="A77" s="212">
        <v>47</v>
      </c>
      <c r="B77" s="214" t="s">
        <v>212</v>
      </c>
      <c r="E77" s="222">
        <f t="shared" si="3"/>
        <v>63549</v>
      </c>
      <c r="F77" s="222">
        <f>F475</f>
        <v>63549</v>
      </c>
      <c r="G77" s="222">
        <f>G475</f>
        <v>0</v>
      </c>
      <c r="H77" s="218"/>
      <c r="I77" s="223"/>
      <c r="J77" s="223"/>
      <c r="K77" s="223"/>
    </row>
    <row r="78" spans="1:11">
      <c r="H78" s="218"/>
    </row>
    <row r="79" spans="1:11" s="218" customFormat="1" ht="12.6" thickBot="1">
      <c r="A79" s="221">
        <v>48</v>
      </c>
      <c r="B79" s="220" t="s">
        <v>48</v>
      </c>
      <c r="E79" s="219">
        <f>SUM(E75:E77)</f>
        <v>1516399</v>
      </c>
      <c r="F79" s="219">
        <f>SUM(F75:F77)</f>
        <v>1516399</v>
      </c>
      <c r="G79" s="219">
        <f>SUM(G75:G77)</f>
        <v>0</v>
      </c>
      <c r="H79" s="218" t="str">
        <f>IF(E79=F79+G79," ","ERROR")</f>
        <v xml:space="preserve"> </v>
      </c>
      <c r="I79" s="219" t="e">
        <f>J79+K79</f>
        <v>#REF!</v>
      </c>
      <c r="J79" s="219" t="e">
        <f>J64-#REF!+#REF!+#REF!</f>
        <v>#REF!</v>
      </c>
      <c r="K79" s="219"/>
    </row>
    <row r="80" spans="1:11" s="213" customFormat="1" ht="14.25" customHeight="1" thickTop="1">
      <c r="E80" s="207">
        <f>E55/E79</f>
        <v>7.5446501877144467E-2</v>
      </c>
      <c r="F80" s="207">
        <f>F55/F79</f>
        <v>7.5446501877144467E-2</v>
      </c>
      <c r="G80" s="207"/>
      <c r="I80" s="207" t="e">
        <f>I55/I79</f>
        <v>#REF!</v>
      </c>
      <c r="J80" s="207" t="e">
        <f>J55/J79</f>
        <v>#REF!</v>
      </c>
      <c r="K80" s="207"/>
    </row>
    <row r="81" spans="1:14">
      <c r="A81" s="211"/>
      <c r="B81" s="217" t="s">
        <v>84</v>
      </c>
      <c r="C81" s="216"/>
      <c r="D81" s="216"/>
      <c r="E81" s="216"/>
      <c r="F81" s="216"/>
      <c r="G81" s="215"/>
      <c r="I81" s="216"/>
      <c r="J81" s="216"/>
      <c r="K81" s="215"/>
    </row>
    <row r="82" spans="1:14" ht="14.4">
      <c r="A82" s="242"/>
      <c r="B82" s="243" t="s">
        <v>232</v>
      </c>
      <c r="C82" s="243"/>
      <c r="M82" s="243"/>
    </row>
    <row r="83" spans="1:14" ht="14.4">
      <c r="A83" s="242"/>
      <c r="B83" s="244" t="s">
        <v>233</v>
      </c>
      <c r="C83" s="243"/>
      <c r="M83" s="244"/>
    </row>
    <row r="84" spans="1:14" ht="14.4">
      <c r="A84" s="245">
        <v>440000</v>
      </c>
      <c r="B84" s="244" t="s">
        <v>234</v>
      </c>
      <c r="C84" s="243"/>
      <c r="F84" s="211">
        <f>ROUND(H84/1000,0)</f>
        <v>259528</v>
      </c>
      <c r="G84" s="211">
        <v>0</v>
      </c>
      <c r="H84" s="211">
        <v>259527850</v>
      </c>
      <c r="M84" s="417"/>
      <c r="N84" s="418"/>
    </row>
    <row r="85" spans="1:14" ht="14.4">
      <c r="A85" s="245">
        <v>442200</v>
      </c>
      <c r="B85" s="244" t="s">
        <v>235</v>
      </c>
      <c r="C85" s="243"/>
      <c r="F85" s="211">
        <f t="shared" ref="F85:F148" si="4">ROUND(H85/1000,0)</f>
        <v>220686</v>
      </c>
      <c r="G85" s="211">
        <v>0</v>
      </c>
      <c r="H85" s="211">
        <v>220686184</v>
      </c>
      <c r="M85" s="417"/>
      <c r="N85" s="418"/>
    </row>
    <row r="86" spans="1:14" ht="14.4">
      <c r="A86" s="245">
        <v>442300</v>
      </c>
      <c r="B86" s="244" t="s">
        <v>236</v>
      </c>
      <c r="C86" s="243"/>
      <c r="F86" s="211">
        <f t="shared" si="4"/>
        <v>64502</v>
      </c>
      <c r="G86" s="211">
        <v>0</v>
      </c>
      <c r="H86" s="211">
        <v>64502148</v>
      </c>
      <c r="M86" s="417"/>
      <c r="N86" s="418"/>
    </row>
    <row r="87" spans="1:14" ht="14.4">
      <c r="A87" s="245">
        <v>444000</v>
      </c>
      <c r="B87" s="244" t="s">
        <v>237</v>
      </c>
      <c r="C87" s="243"/>
      <c r="F87" s="211">
        <f t="shared" si="4"/>
        <v>4873</v>
      </c>
      <c r="G87" s="211">
        <v>0</v>
      </c>
      <c r="H87" s="211">
        <v>4872504</v>
      </c>
      <c r="M87" s="417"/>
      <c r="N87" s="418"/>
    </row>
    <row r="88" spans="1:14" ht="14.4">
      <c r="A88" s="245">
        <v>448000</v>
      </c>
      <c r="B88" s="244" t="s">
        <v>240</v>
      </c>
      <c r="C88" s="243"/>
      <c r="F88" s="211">
        <f t="shared" si="4"/>
        <v>1005</v>
      </c>
      <c r="G88" s="211">
        <v>0</v>
      </c>
      <c r="H88" s="211">
        <v>1004940</v>
      </c>
      <c r="M88" s="417"/>
      <c r="N88" s="418"/>
    </row>
    <row r="89" spans="1:14" ht="14.4">
      <c r="A89" s="242" t="s">
        <v>238</v>
      </c>
      <c r="B89" s="244" t="s">
        <v>239</v>
      </c>
      <c r="C89" s="243"/>
      <c r="F89" s="211">
        <f t="shared" si="4"/>
        <v>-1302</v>
      </c>
      <c r="G89" s="211">
        <v>0</v>
      </c>
      <c r="H89" s="211">
        <v>-1302297</v>
      </c>
      <c r="M89" s="417"/>
      <c r="N89" s="418"/>
    </row>
    <row r="90" spans="1:14" ht="14.4">
      <c r="A90" s="245"/>
      <c r="B90" s="244" t="s">
        <v>241</v>
      </c>
      <c r="C90" s="243"/>
      <c r="F90" s="211">
        <f t="shared" si="4"/>
        <v>549291</v>
      </c>
      <c r="G90" s="211">
        <v>0</v>
      </c>
      <c r="H90" s="211">
        <v>549291329</v>
      </c>
      <c r="M90" s="417"/>
      <c r="N90" s="418"/>
    </row>
    <row r="91" spans="1:14" ht="14.4">
      <c r="A91" s="242"/>
      <c r="B91" s="244"/>
      <c r="C91" s="243"/>
      <c r="F91" s="211">
        <f t="shared" si="4"/>
        <v>0</v>
      </c>
      <c r="G91" s="211">
        <v>0</v>
      </c>
      <c r="M91" s="417"/>
      <c r="N91" s="418"/>
    </row>
    <row r="92" spans="1:14" ht="14.4">
      <c r="A92" s="245" t="s">
        <v>242</v>
      </c>
      <c r="B92" s="244" t="s">
        <v>33</v>
      </c>
      <c r="C92" s="243"/>
      <c r="F92" s="211">
        <f t="shared" si="4"/>
        <v>58017</v>
      </c>
      <c r="G92" s="211">
        <v>0</v>
      </c>
      <c r="H92" s="211">
        <v>58017085</v>
      </c>
      <c r="M92" s="417"/>
      <c r="N92" s="418"/>
    </row>
    <row r="93" spans="1:14" ht="14.4">
      <c r="A93" s="245"/>
      <c r="B93" s="244" t="s">
        <v>243</v>
      </c>
      <c r="C93" s="243"/>
      <c r="F93" s="211">
        <f t="shared" si="4"/>
        <v>607308</v>
      </c>
      <c r="G93" s="211">
        <v>0</v>
      </c>
      <c r="H93" s="211">
        <v>607308414</v>
      </c>
      <c r="M93" s="417"/>
      <c r="N93" s="418"/>
    </row>
    <row r="94" spans="1:14" ht="14.4">
      <c r="A94" s="245"/>
      <c r="B94" s="244"/>
      <c r="C94" s="243"/>
      <c r="F94" s="211">
        <f t="shared" si="4"/>
        <v>0</v>
      </c>
      <c r="G94" s="211">
        <v>0</v>
      </c>
      <c r="M94" s="417"/>
      <c r="N94" s="418"/>
    </row>
    <row r="95" spans="1:14" ht="14.4">
      <c r="A95" s="245"/>
      <c r="B95" s="244" t="s">
        <v>244</v>
      </c>
      <c r="C95" s="243"/>
      <c r="F95" s="211">
        <f t="shared" si="4"/>
        <v>0</v>
      </c>
      <c r="G95" s="211">
        <v>0</v>
      </c>
      <c r="M95" s="417"/>
      <c r="N95" s="418"/>
    </row>
    <row r="96" spans="1:14" ht="14.4">
      <c r="A96" s="245">
        <v>449100</v>
      </c>
      <c r="B96" s="417" t="s">
        <v>601</v>
      </c>
      <c r="C96" s="243"/>
      <c r="F96" s="211">
        <f t="shared" si="4"/>
        <v>-1182</v>
      </c>
      <c r="H96" s="211">
        <v>-1181583</v>
      </c>
      <c r="M96" s="417"/>
      <c r="N96" s="418"/>
    </row>
    <row r="97" spans="1:14" ht="14.4">
      <c r="A97" s="245">
        <v>451000</v>
      </c>
      <c r="B97" s="244" t="s">
        <v>245</v>
      </c>
      <c r="C97" s="243"/>
      <c r="F97" s="211">
        <f t="shared" si="4"/>
        <v>208</v>
      </c>
      <c r="G97" s="211">
        <v>0</v>
      </c>
      <c r="H97" s="211">
        <v>208331</v>
      </c>
      <c r="M97" s="417"/>
      <c r="N97" s="418"/>
    </row>
    <row r="98" spans="1:14" ht="14.4">
      <c r="A98" s="245">
        <v>453000</v>
      </c>
      <c r="B98" s="244" t="s">
        <v>246</v>
      </c>
      <c r="C98" s="243"/>
      <c r="F98" s="211">
        <f t="shared" si="4"/>
        <v>238</v>
      </c>
      <c r="G98" s="211">
        <v>0</v>
      </c>
      <c r="H98" s="211">
        <v>237657</v>
      </c>
      <c r="M98" s="417"/>
      <c r="N98" s="418"/>
    </row>
    <row r="99" spans="1:14" ht="14.4">
      <c r="A99" s="245">
        <v>454000</v>
      </c>
      <c r="B99" s="244" t="s">
        <v>247</v>
      </c>
      <c r="C99" s="243"/>
      <c r="F99" s="211">
        <f t="shared" si="4"/>
        <v>1743</v>
      </c>
      <c r="G99" s="211">
        <v>0</v>
      </c>
      <c r="H99" s="211">
        <v>1743254</v>
      </c>
      <c r="M99" s="417"/>
      <c r="N99" s="418"/>
    </row>
    <row r="100" spans="1:14" ht="14.4">
      <c r="A100" s="242" t="s">
        <v>248</v>
      </c>
      <c r="B100" s="244" t="s">
        <v>249</v>
      </c>
      <c r="C100" s="243"/>
      <c r="F100" s="211">
        <f t="shared" si="4"/>
        <v>56516</v>
      </c>
      <c r="G100" s="211">
        <v>0</v>
      </c>
      <c r="H100" s="211">
        <v>56515631</v>
      </c>
      <c r="M100" s="417"/>
      <c r="N100" s="418"/>
    </row>
    <row r="101" spans="1:14" ht="14.4">
      <c r="A101" s="242"/>
      <c r="B101" s="244" t="s">
        <v>250</v>
      </c>
      <c r="C101" s="243"/>
      <c r="F101" s="211">
        <f t="shared" si="4"/>
        <v>57523</v>
      </c>
      <c r="G101" s="211">
        <v>0</v>
      </c>
      <c r="H101" s="211">
        <v>57523290</v>
      </c>
      <c r="M101" s="417"/>
      <c r="N101" s="418"/>
    </row>
    <row r="102" spans="1:14" ht="14.4">
      <c r="A102" s="242"/>
      <c r="B102" s="244" t="s">
        <v>251</v>
      </c>
      <c r="C102" s="243"/>
      <c r="F102" s="211">
        <f t="shared" si="4"/>
        <v>664832</v>
      </c>
      <c r="G102" s="211">
        <v>0</v>
      </c>
      <c r="H102" s="211">
        <v>664831704</v>
      </c>
      <c r="M102" s="417"/>
      <c r="N102" s="418"/>
    </row>
    <row r="103" spans="1:14" ht="14.4">
      <c r="A103" s="242"/>
      <c r="B103" s="244"/>
      <c r="C103" s="243"/>
      <c r="F103" s="211">
        <f t="shared" si="4"/>
        <v>0</v>
      </c>
      <c r="G103" s="211">
        <v>0</v>
      </c>
      <c r="M103" s="417"/>
      <c r="N103" s="418"/>
    </row>
    <row r="104" spans="1:14" ht="14.4">
      <c r="A104" s="242"/>
      <c r="B104" s="244" t="s">
        <v>252</v>
      </c>
      <c r="C104" s="243"/>
      <c r="F104" s="211">
        <f t="shared" si="4"/>
        <v>0</v>
      </c>
      <c r="G104" s="211">
        <v>0</v>
      </c>
      <c r="M104" s="417"/>
      <c r="N104" s="418"/>
    </row>
    <row r="105" spans="1:14" ht="14.4">
      <c r="A105" s="242"/>
      <c r="B105" s="244" t="s">
        <v>253</v>
      </c>
      <c r="C105" s="243"/>
      <c r="F105" s="211">
        <f t="shared" si="4"/>
        <v>0</v>
      </c>
      <c r="G105" s="211">
        <v>0</v>
      </c>
      <c r="M105" s="417"/>
      <c r="N105" s="418"/>
    </row>
    <row r="106" spans="1:14" ht="14.4">
      <c r="A106" s="242"/>
      <c r="B106" s="244" t="s">
        <v>254</v>
      </c>
      <c r="C106" s="243"/>
      <c r="F106" s="211">
        <f t="shared" si="4"/>
        <v>0</v>
      </c>
      <c r="G106" s="211">
        <v>0</v>
      </c>
      <c r="M106" s="417"/>
      <c r="N106" s="418"/>
    </row>
    <row r="107" spans="1:14" ht="14.4">
      <c r="A107" s="245">
        <v>500000</v>
      </c>
      <c r="B107" s="244" t="s">
        <v>255</v>
      </c>
      <c r="C107" s="243"/>
      <c r="F107" s="211">
        <f t="shared" si="4"/>
        <v>230</v>
      </c>
      <c r="G107" s="211">
        <v>0</v>
      </c>
      <c r="H107" s="211">
        <v>229780</v>
      </c>
      <c r="M107" s="417"/>
      <c r="N107" s="418"/>
    </row>
    <row r="108" spans="1:14" ht="14.4">
      <c r="A108" s="245">
        <v>501000</v>
      </c>
      <c r="B108" s="244" t="s">
        <v>256</v>
      </c>
      <c r="C108" s="243"/>
      <c r="F108" s="211">
        <f t="shared" si="4"/>
        <v>18405</v>
      </c>
      <c r="G108" s="211">
        <v>0</v>
      </c>
      <c r="H108" s="211">
        <v>18405426</v>
      </c>
      <c r="M108" s="417"/>
      <c r="N108" s="418"/>
    </row>
    <row r="109" spans="1:14" ht="14.4">
      <c r="A109" s="245">
        <v>502000</v>
      </c>
      <c r="B109" s="244" t="s">
        <v>257</v>
      </c>
      <c r="C109" s="243"/>
      <c r="F109" s="211">
        <f t="shared" si="4"/>
        <v>2940</v>
      </c>
      <c r="G109" s="211">
        <v>0</v>
      </c>
      <c r="H109" s="211">
        <v>2939934</v>
      </c>
      <c r="M109" s="417"/>
      <c r="N109" s="418"/>
    </row>
    <row r="110" spans="1:14" ht="14.4">
      <c r="A110" s="245">
        <v>505000</v>
      </c>
      <c r="B110" s="244" t="s">
        <v>258</v>
      </c>
      <c r="C110" s="243"/>
      <c r="F110" s="211">
        <f t="shared" si="4"/>
        <v>811</v>
      </c>
      <c r="G110" s="211">
        <v>0</v>
      </c>
      <c r="H110" s="211">
        <v>810929</v>
      </c>
      <c r="M110" s="417"/>
      <c r="N110" s="418"/>
    </row>
    <row r="111" spans="1:14" ht="14.4">
      <c r="A111" s="245">
        <v>506000</v>
      </c>
      <c r="B111" s="244" t="s">
        <v>259</v>
      </c>
      <c r="C111" s="243"/>
      <c r="F111" s="211">
        <f t="shared" si="4"/>
        <v>1829</v>
      </c>
      <c r="G111" s="211">
        <v>0</v>
      </c>
      <c r="H111" s="211">
        <v>1828898</v>
      </c>
      <c r="M111" s="417"/>
      <c r="N111" s="418"/>
    </row>
    <row r="112" spans="1:14" ht="14.4">
      <c r="A112" s="245">
        <v>507000</v>
      </c>
      <c r="B112" s="244" t="s">
        <v>260</v>
      </c>
      <c r="C112" s="243"/>
      <c r="F112" s="211">
        <f t="shared" si="4"/>
        <v>26</v>
      </c>
      <c r="G112" s="211">
        <v>0</v>
      </c>
      <c r="H112" s="211">
        <v>25779</v>
      </c>
      <c r="M112" s="417"/>
      <c r="N112" s="418"/>
    </row>
    <row r="113" spans="1:14" ht="14.4">
      <c r="A113" s="245"/>
      <c r="B113" s="244"/>
      <c r="C113" s="243"/>
      <c r="F113" s="211">
        <f t="shared" si="4"/>
        <v>0</v>
      </c>
      <c r="G113" s="211">
        <v>0</v>
      </c>
      <c r="M113" s="417"/>
      <c r="N113" s="418"/>
    </row>
    <row r="114" spans="1:14" ht="14.4">
      <c r="A114" s="245"/>
      <c r="B114" s="244" t="s">
        <v>261</v>
      </c>
      <c r="C114" s="243"/>
      <c r="F114" s="211">
        <f t="shared" si="4"/>
        <v>0</v>
      </c>
      <c r="G114" s="211">
        <v>0</v>
      </c>
      <c r="M114" s="417"/>
      <c r="N114" s="418"/>
    </row>
    <row r="115" spans="1:14" ht="14.4">
      <c r="A115" s="245">
        <v>510000</v>
      </c>
      <c r="B115" s="244" t="s">
        <v>255</v>
      </c>
      <c r="C115" s="243"/>
      <c r="F115" s="211">
        <f t="shared" si="4"/>
        <v>327</v>
      </c>
      <c r="G115" s="211">
        <v>0</v>
      </c>
      <c r="H115" s="211">
        <v>327003</v>
      </c>
      <c r="M115" s="417"/>
      <c r="N115" s="418"/>
    </row>
    <row r="116" spans="1:14" ht="14.4">
      <c r="A116" s="245">
        <v>511000</v>
      </c>
      <c r="B116" s="244" t="s">
        <v>262</v>
      </c>
      <c r="C116" s="243"/>
      <c r="F116" s="211">
        <f t="shared" si="4"/>
        <v>460</v>
      </c>
      <c r="G116" s="211">
        <v>0</v>
      </c>
      <c r="H116" s="211">
        <v>460078</v>
      </c>
      <c r="M116" s="417"/>
      <c r="N116" s="418"/>
    </row>
    <row r="117" spans="1:14" ht="14.4">
      <c r="A117" s="245">
        <v>512000</v>
      </c>
      <c r="B117" s="244" t="s">
        <v>263</v>
      </c>
      <c r="C117" s="243"/>
      <c r="F117" s="211">
        <f t="shared" si="4"/>
        <v>4185</v>
      </c>
      <c r="G117" s="211">
        <v>0</v>
      </c>
      <c r="H117" s="211">
        <v>4185264</v>
      </c>
      <c r="M117" s="417"/>
      <c r="N117" s="418"/>
    </row>
    <row r="118" spans="1:14" ht="14.4">
      <c r="A118" s="245">
        <v>513000</v>
      </c>
      <c r="B118" s="244" t="s">
        <v>264</v>
      </c>
      <c r="C118" s="243"/>
      <c r="F118" s="211">
        <f t="shared" si="4"/>
        <v>1874</v>
      </c>
      <c r="G118" s="211">
        <v>0</v>
      </c>
      <c r="H118" s="211">
        <v>1873520</v>
      </c>
      <c r="M118" s="417"/>
      <c r="N118" s="418"/>
    </row>
    <row r="119" spans="1:14" ht="14.4">
      <c r="A119" s="245">
        <v>514000</v>
      </c>
      <c r="B119" s="244" t="s">
        <v>265</v>
      </c>
      <c r="C119" s="243"/>
      <c r="F119" s="211">
        <f t="shared" si="4"/>
        <v>897</v>
      </c>
      <c r="G119" s="211">
        <v>0</v>
      </c>
      <c r="H119" s="211">
        <v>897420</v>
      </c>
      <c r="M119" s="417"/>
      <c r="N119" s="418"/>
    </row>
    <row r="120" spans="1:14" ht="14.4">
      <c r="A120" s="242"/>
      <c r="B120" s="244" t="s">
        <v>266</v>
      </c>
      <c r="C120" s="243"/>
      <c r="F120" s="211">
        <f t="shared" si="4"/>
        <v>31984</v>
      </c>
      <c r="G120" s="211">
        <v>0</v>
      </c>
      <c r="H120" s="211">
        <v>31984031</v>
      </c>
      <c r="M120" s="417"/>
      <c r="N120" s="418"/>
    </row>
    <row r="121" spans="1:14" ht="14.4">
      <c r="A121" s="242"/>
      <c r="B121" s="244"/>
      <c r="C121" s="243"/>
      <c r="F121" s="211">
        <f t="shared" si="4"/>
        <v>0</v>
      </c>
      <c r="G121" s="211">
        <v>0</v>
      </c>
      <c r="M121" s="417"/>
      <c r="N121" s="418"/>
    </row>
    <row r="122" spans="1:14" ht="14.4">
      <c r="A122" s="242"/>
      <c r="B122" s="244" t="s">
        <v>267</v>
      </c>
      <c r="C122" s="243"/>
      <c r="F122" s="211">
        <f t="shared" si="4"/>
        <v>0</v>
      </c>
      <c r="G122" s="211">
        <v>0</v>
      </c>
      <c r="M122" s="417"/>
      <c r="N122" s="418"/>
    </row>
    <row r="123" spans="1:14" ht="14.4">
      <c r="A123" s="242"/>
      <c r="B123" s="244" t="s">
        <v>254</v>
      </c>
      <c r="C123" s="243"/>
      <c r="F123" s="211">
        <f t="shared" si="4"/>
        <v>0</v>
      </c>
      <c r="G123" s="211">
        <v>0</v>
      </c>
      <c r="M123" s="417"/>
      <c r="N123" s="418"/>
    </row>
    <row r="124" spans="1:14" ht="14.4">
      <c r="A124" s="245">
        <v>535000</v>
      </c>
      <c r="B124" s="244" t="s">
        <v>255</v>
      </c>
      <c r="C124" s="243"/>
      <c r="F124" s="211">
        <f t="shared" si="4"/>
        <v>1623</v>
      </c>
      <c r="G124" s="211">
        <v>0</v>
      </c>
      <c r="H124" s="211">
        <v>1622657</v>
      </c>
      <c r="M124" s="417"/>
      <c r="N124" s="418"/>
    </row>
    <row r="125" spans="1:14" ht="14.4">
      <c r="A125" s="245">
        <v>536000</v>
      </c>
      <c r="B125" s="244" t="s">
        <v>268</v>
      </c>
      <c r="C125" s="243"/>
      <c r="F125" s="211">
        <f t="shared" si="4"/>
        <v>736</v>
      </c>
      <c r="G125" s="211">
        <v>0</v>
      </c>
      <c r="H125" s="211">
        <v>736046</v>
      </c>
      <c r="M125" s="417"/>
      <c r="N125" s="418"/>
    </row>
    <row r="126" spans="1:14" ht="14.4">
      <c r="A126" s="245">
        <v>537000</v>
      </c>
      <c r="B126" s="244" t="s">
        <v>269</v>
      </c>
      <c r="C126" s="243"/>
      <c r="F126" s="211">
        <f t="shared" si="4"/>
        <v>5249</v>
      </c>
      <c r="G126" s="211">
        <v>0</v>
      </c>
      <c r="H126" s="211">
        <v>5249137</v>
      </c>
      <c r="M126" s="417"/>
      <c r="N126" s="418"/>
    </row>
    <row r="127" spans="1:14" ht="14.4">
      <c r="A127" s="245">
        <v>538000</v>
      </c>
      <c r="B127" s="244" t="s">
        <v>258</v>
      </c>
      <c r="C127" s="243"/>
      <c r="F127" s="211">
        <f t="shared" si="4"/>
        <v>4798</v>
      </c>
      <c r="G127" s="211">
        <v>0</v>
      </c>
      <c r="H127" s="211">
        <v>4798496</v>
      </c>
      <c r="M127" s="417"/>
      <c r="N127" s="418"/>
    </row>
    <row r="128" spans="1:14" ht="14.4">
      <c r="A128" s="245">
        <v>539000</v>
      </c>
      <c r="B128" s="244" t="s">
        <v>270</v>
      </c>
      <c r="C128" s="243"/>
      <c r="F128" s="211">
        <f t="shared" si="4"/>
        <v>635</v>
      </c>
      <c r="G128" s="211">
        <v>0</v>
      </c>
      <c r="H128" s="211">
        <v>634656</v>
      </c>
      <c r="M128" s="417"/>
      <c r="N128" s="418"/>
    </row>
    <row r="129" spans="1:14" ht="14.4">
      <c r="A129" s="245">
        <v>540000</v>
      </c>
      <c r="B129" s="244" t="s">
        <v>260</v>
      </c>
      <c r="C129" s="243"/>
      <c r="F129" s="211">
        <f t="shared" si="4"/>
        <v>946</v>
      </c>
      <c r="G129" s="211">
        <v>0</v>
      </c>
      <c r="H129" s="211">
        <v>945571</v>
      </c>
      <c r="M129" s="417"/>
      <c r="N129" s="418"/>
    </row>
    <row r="130" spans="1:14" ht="14.4">
      <c r="A130" s="246">
        <v>540100</v>
      </c>
      <c r="B130" s="247" t="s">
        <v>271</v>
      </c>
      <c r="C130" s="248"/>
      <c r="F130" s="211">
        <f t="shared" si="4"/>
        <v>3196</v>
      </c>
      <c r="G130" s="211">
        <v>0</v>
      </c>
      <c r="H130" s="211">
        <v>3195598</v>
      </c>
      <c r="M130" s="419"/>
      <c r="N130" s="420"/>
    </row>
    <row r="131" spans="1:14" ht="14.4">
      <c r="A131" s="242"/>
      <c r="B131" s="244"/>
      <c r="C131" s="243"/>
      <c r="F131" s="211">
        <f t="shared" si="4"/>
        <v>0</v>
      </c>
      <c r="G131" s="211">
        <v>0</v>
      </c>
      <c r="M131" s="417"/>
      <c r="N131" s="418"/>
    </row>
    <row r="132" spans="1:14" ht="14.4">
      <c r="A132" s="242"/>
      <c r="B132" s="244" t="s">
        <v>261</v>
      </c>
      <c r="C132" s="243"/>
      <c r="F132" s="211">
        <f t="shared" si="4"/>
        <v>0</v>
      </c>
      <c r="G132" s="211">
        <v>0</v>
      </c>
      <c r="M132" s="417"/>
      <c r="N132" s="418"/>
    </row>
    <row r="133" spans="1:14" ht="14.4">
      <c r="A133" s="245">
        <v>541000</v>
      </c>
      <c r="B133" s="244" t="s">
        <v>255</v>
      </c>
      <c r="C133" s="243"/>
      <c r="F133" s="211">
        <f t="shared" si="4"/>
        <v>599</v>
      </c>
      <c r="G133" s="211">
        <v>0</v>
      </c>
      <c r="H133" s="211">
        <v>598958</v>
      </c>
      <c r="M133" s="417"/>
      <c r="N133" s="418"/>
    </row>
    <row r="134" spans="1:14" ht="14.4">
      <c r="A134" s="245">
        <v>542000</v>
      </c>
      <c r="B134" s="244" t="s">
        <v>262</v>
      </c>
      <c r="C134" s="243"/>
      <c r="F134" s="211">
        <f t="shared" si="4"/>
        <v>248</v>
      </c>
      <c r="G134" s="211">
        <v>0</v>
      </c>
      <c r="H134" s="211">
        <v>248188</v>
      </c>
      <c r="M134" s="417"/>
      <c r="N134" s="418"/>
    </row>
    <row r="135" spans="1:14" ht="14.4">
      <c r="A135" s="245">
        <v>543000</v>
      </c>
      <c r="B135" s="244" t="s">
        <v>272</v>
      </c>
      <c r="C135" s="243"/>
      <c r="F135" s="211">
        <f t="shared" si="4"/>
        <v>1937</v>
      </c>
      <c r="G135" s="211">
        <v>0</v>
      </c>
      <c r="H135" s="211">
        <v>1936729</v>
      </c>
      <c r="M135" s="417"/>
      <c r="N135" s="418"/>
    </row>
    <row r="136" spans="1:14" ht="14.4">
      <c r="A136" s="245">
        <v>544000</v>
      </c>
      <c r="B136" s="244" t="s">
        <v>264</v>
      </c>
      <c r="C136" s="243"/>
      <c r="F136" s="211">
        <f t="shared" si="4"/>
        <v>2005</v>
      </c>
      <c r="G136" s="211">
        <v>0</v>
      </c>
      <c r="H136" s="211">
        <v>2004979</v>
      </c>
      <c r="M136" s="417"/>
      <c r="N136" s="418"/>
    </row>
    <row r="137" spans="1:14" ht="14.4">
      <c r="A137" s="245">
        <v>545000</v>
      </c>
      <c r="B137" s="244" t="s">
        <v>273</v>
      </c>
      <c r="C137" s="243"/>
      <c r="F137" s="211">
        <f t="shared" si="4"/>
        <v>455</v>
      </c>
      <c r="G137" s="211">
        <v>0</v>
      </c>
      <c r="H137" s="211">
        <v>455056</v>
      </c>
      <c r="M137" s="417"/>
      <c r="N137" s="418"/>
    </row>
    <row r="138" spans="1:14" ht="14.4">
      <c r="A138" s="242"/>
      <c r="B138" s="244" t="s">
        <v>274</v>
      </c>
      <c r="C138" s="243"/>
      <c r="F138" s="211">
        <f t="shared" si="4"/>
        <v>22426</v>
      </c>
      <c r="G138" s="211">
        <v>0</v>
      </c>
      <c r="H138" s="211">
        <v>22426071</v>
      </c>
      <c r="M138" s="417"/>
      <c r="N138" s="418"/>
    </row>
    <row r="139" spans="1:14" ht="14.4">
      <c r="A139" s="242"/>
      <c r="B139" s="244"/>
      <c r="C139" s="243"/>
      <c r="F139" s="211">
        <f t="shared" si="4"/>
        <v>0</v>
      </c>
      <c r="G139" s="211">
        <v>0</v>
      </c>
      <c r="M139" s="417"/>
      <c r="N139" s="418"/>
    </row>
    <row r="140" spans="1:14" ht="14.4">
      <c r="A140" s="242"/>
      <c r="B140" s="244" t="s">
        <v>275</v>
      </c>
      <c r="C140" s="243"/>
      <c r="F140" s="211">
        <f t="shared" si="4"/>
        <v>0</v>
      </c>
      <c r="G140" s="211">
        <v>0</v>
      </c>
      <c r="M140" s="417"/>
      <c r="N140" s="418"/>
    </row>
    <row r="141" spans="1:14" ht="14.4">
      <c r="A141" s="242"/>
      <c r="B141" s="244" t="s">
        <v>254</v>
      </c>
      <c r="C141" s="243"/>
      <c r="F141" s="211">
        <f t="shared" si="4"/>
        <v>0</v>
      </c>
      <c r="G141" s="211">
        <v>0</v>
      </c>
      <c r="M141" s="417"/>
      <c r="N141" s="418"/>
    </row>
    <row r="142" spans="1:14" ht="14.4">
      <c r="A142" s="245">
        <v>546000</v>
      </c>
      <c r="B142" s="244" t="s">
        <v>255</v>
      </c>
      <c r="C142" s="243"/>
      <c r="F142" s="211">
        <f t="shared" si="4"/>
        <v>407</v>
      </c>
      <c r="G142" s="211">
        <v>0</v>
      </c>
      <c r="H142" s="211">
        <v>407481</v>
      </c>
      <c r="M142" s="417"/>
      <c r="N142" s="418"/>
    </row>
    <row r="143" spans="1:14" ht="14.4">
      <c r="A143" s="245">
        <v>547000</v>
      </c>
      <c r="B143" s="244" t="s">
        <v>256</v>
      </c>
      <c r="C143" s="243"/>
      <c r="F143" s="211">
        <f t="shared" si="4"/>
        <v>45436</v>
      </c>
      <c r="G143" s="211">
        <v>0</v>
      </c>
      <c r="H143" s="211">
        <v>45435555</v>
      </c>
      <c r="M143" s="417"/>
      <c r="N143" s="418"/>
    </row>
    <row r="144" spans="1:14" ht="14.4">
      <c r="A144" s="245">
        <v>548000</v>
      </c>
      <c r="B144" s="244" t="s">
        <v>276</v>
      </c>
      <c r="C144" s="243"/>
      <c r="F144" s="211">
        <f t="shared" si="4"/>
        <v>1118</v>
      </c>
      <c r="G144" s="211">
        <v>0</v>
      </c>
      <c r="H144" s="211">
        <v>1118238</v>
      </c>
      <c r="M144" s="417"/>
      <c r="N144" s="418"/>
    </row>
    <row r="145" spans="1:14" ht="14.4">
      <c r="A145" s="245">
        <v>549000</v>
      </c>
      <c r="B145" s="244" t="s">
        <v>277</v>
      </c>
      <c r="C145" s="243"/>
      <c r="F145" s="211">
        <f t="shared" si="4"/>
        <v>321</v>
      </c>
      <c r="G145" s="211">
        <v>0</v>
      </c>
      <c r="H145" s="211">
        <v>320958</v>
      </c>
      <c r="M145" s="417"/>
      <c r="N145" s="418"/>
    </row>
    <row r="146" spans="1:14" ht="14.4">
      <c r="A146" s="245">
        <v>550000</v>
      </c>
      <c r="B146" s="244" t="s">
        <v>260</v>
      </c>
      <c r="C146" s="243"/>
      <c r="F146" s="211">
        <f t="shared" si="4"/>
        <v>-21</v>
      </c>
      <c r="G146" s="211">
        <v>0</v>
      </c>
      <c r="H146" s="211">
        <v>-21024</v>
      </c>
      <c r="M146" s="417"/>
      <c r="N146" s="418"/>
    </row>
    <row r="147" spans="1:14" ht="14.4">
      <c r="A147" s="242"/>
      <c r="B147" s="244"/>
      <c r="C147" s="243"/>
      <c r="F147" s="211">
        <f t="shared" si="4"/>
        <v>0</v>
      </c>
      <c r="G147" s="211">
        <v>0</v>
      </c>
      <c r="M147" s="417"/>
      <c r="N147" s="418"/>
    </row>
    <row r="148" spans="1:14" ht="14.4">
      <c r="A148" s="242"/>
      <c r="B148" s="244" t="s">
        <v>261</v>
      </c>
      <c r="C148" s="243"/>
      <c r="F148" s="211">
        <f t="shared" si="4"/>
        <v>0</v>
      </c>
      <c r="G148" s="211">
        <v>0</v>
      </c>
      <c r="M148" s="417"/>
      <c r="N148" s="418"/>
    </row>
    <row r="149" spans="1:14" ht="14.4">
      <c r="A149" s="245">
        <v>551000</v>
      </c>
      <c r="B149" s="244" t="s">
        <v>255</v>
      </c>
      <c r="C149" s="243"/>
      <c r="F149" s="211">
        <f t="shared" ref="F149:F215" si="5">ROUND(H149/1000,0)</f>
        <v>471</v>
      </c>
      <c r="G149" s="211">
        <v>0</v>
      </c>
      <c r="H149" s="211">
        <v>471384</v>
      </c>
      <c r="M149" s="417"/>
      <c r="N149" s="418"/>
    </row>
    <row r="150" spans="1:14" ht="14.4">
      <c r="A150" s="245">
        <v>552000</v>
      </c>
      <c r="B150" s="244" t="s">
        <v>262</v>
      </c>
      <c r="C150" s="243"/>
      <c r="F150" s="211">
        <f t="shared" si="5"/>
        <v>127</v>
      </c>
      <c r="G150" s="211">
        <v>0</v>
      </c>
      <c r="H150" s="211">
        <v>126915</v>
      </c>
      <c r="M150" s="417"/>
      <c r="N150" s="418"/>
    </row>
    <row r="151" spans="1:14" ht="14.4">
      <c r="A151" s="245">
        <v>553000</v>
      </c>
      <c r="B151" s="244" t="s">
        <v>278</v>
      </c>
      <c r="C151" s="243"/>
      <c r="F151" s="211">
        <f t="shared" si="5"/>
        <v>2922</v>
      </c>
      <c r="G151" s="211">
        <v>0</v>
      </c>
      <c r="H151" s="211">
        <v>2922268</v>
      </c>
      <c r="M151" s="417"/>
      <c r="N151" s="418"/>
    </row>
    <row r="152" spans="1:14" ht="14.4">
      <c r="A152" s="245">
        <v>554000</v>
      </c>
      <c r="B152" s="244" t="s">
        <v>279</v>
      </c>
      <c r="C152" s="243"/>
      <c r="F152" s="211">
        <f t="shared" si="5"/>
        <v>277</v>
      </c>
      <c r="G152" s="211">
        <v>0</v>
      </c>
      <c r="H152" s="211">
        <v>276989</v>
      </c>
      <c r="M152" s="417"/>
      <c r="N152" s="418"/>
    </row>
    <row r="153" spans="1:14" ht="14.4">
      <c r="A153" s="242"/>
      <c r="B153" s="244" t="s">
        <v>280</v>
      </c>
      <c r="C153" s="243"/>
      <c r="F153" s="211">
        <f t="shared" si="5"/>
        <v>51059</v>
      </c>
      <c r="G153" s="211">
        <v>0</v>
      </c>
      <c r="H153" s="211">
        <v>51058764</v>
      </c>
      <c r="M153" s="417"/>
      <c r="N153" s="418"/>
    </row>
    <row r="154" spans="1:14" ht="14.4">
      <c r="A154" s="242"/>
      <c r="B154" s="244"/>
      <c r="C154" s="243"/>
      <c r="F154" s="211">
        <f t="shared" si="5"/>
        <v>0</v>
      </c>
      <c r="G154" s="211">
        <v>0</v>
      </c>
      <c r="M154" s="417"/>
      <c r="N154" s="418"/>
    </row>
    <row r="155" spans="1:14" ht="14.4">
      <c r="A155" s="242"/>
      <c r="B155" s="244" t="s">
        <v>281</v>
      </c>
      <c r="C155" s="243"/>
      <c r="F155" s="211">
        <f t="shared" si="5"/>
        <v>0</v>
      </c>
      <c r="G155" s="211">
        <v>0</v>
      </c>
      <c r="M155" s="417"/>
      <c r="N155" s="418"/>
    </row>
    <row r="156" spans="1:14" ht="14.4">
      <c r="A156" s="242" t="s">
        <v>282</v>
      </c>
      <c r="B156" s="244" t="s">
        <v>37</v>
      </c>
      <c r="C156" s="243"/>
      <c r="F156" s="211">
        <f t="shared" si="5"/>
        <v>85396</v>
      </c>
      <c r="G156" s="211">
        <v>0</v>
      </c>
      <c r="H156" s="211">
        <v>85395529</v>
      </c>
      <c r="M156" s="417"/>
      <c r="N156" s="418"/>
    </row>
    <row r="157" spans="1:14" ht="14.4">
      <c r="A157" s="245">
        <v>556000</v>
      </c>
      <c r="B157" s="244" t="s">
        <v>283</v>
      </c>
      <c r="C157" s="243"/>
      <c r="F157" s="211">
        <f t="shared" si="5"/>
        <v>480</v>
      </c>
      <c r="G157" s="211">
        <v>0</v>
      </c>
      <c r="H157" s="211">
        <v>480204</v>
      </c>
      <c r="M157" s="417"/>
      <c r="N157" s="418"/>
    </row>
    <row r="158" spans="1:14" ht="14.4">
      <c r="A158" s="245" t="s">
        <v>284</v>
      </c>
      <c r="B158" s="244" t="s">
        <v>285</v>
      </c>
      <c r="C158" s="243"/>
      <c r="F158" s="211">
        <f t="shared" si="5"/>
        <v>47530</v>
      </c>
      <c r="G158" s="211">
        <v>0</v>
      </c>
      <c r="H158" s="211">
        <v>47530289</v>
      </c>
      <c r="M158" s="417"/>
      <c r="N158" s="418"/>
    </row>
    <row r="159" spans="1:14" ht="14.4">
      <c r="A159" s="245"/>
      <c r="B159" s="244" t="s">
        <v>286</v>
      </c>
      <c r="C159" s="243"/>
      <c r="F159" s="211">
        <f t="shared" si="5"/>
        <v>133406</v>
      </c>
      <c r="G159" s="211">
        <v>0</v>
      </c>
      <c r="H159" s="211">
        <v>133406022</v>
      </c>
      <c r="M159" s="417"/>
      <c r="N159" s="418"/>
    </row>
    <row r="160" spans="1:14" ht="14.4">
      <c r="A160" s="245"/>
      <c r="B160" s="244" t="s">
        <v>287</v>
      </c>
      <c r="C160" s="243"/>
      <c r="F160" s="211">
        <f t="shared" si="5"/>
        <v>238875</v>
      </c>
      <c r="G160" s="211">
        <v>0</v>
      </c>
      <c r="H160" s="211">
        <v>238874888</v>
      </c>
      <c r="M160" s="417"/>
      <c r="N160" s="418"/>
    </row>
    <row r="161" spans="1:14" ht="14.4">
      <c r="A161" s="245"/>
      <c r="B161" s="244"/>
      <c r="C161" s="243"/>
      <c r="F161" s="211">
        <f t="shared" si="5"/>
        <v>0</v>
      </c>
      <c r="G161" s="211">
        <v>0</v>
      </c>
      <c r="M161" s="417"/>
      <c r="N161" s="418"/>
    </row>
    <row r="162" spans="1:14" ht="14.4">
      <c r="A162" s="245"/>
      <c r="B162" s="244" t="s">
        <v>288</v>
      </c>
      <c r="C162" s="243"/>
      <c r="F162" s="211">
        <f t="shared" si="5"/>
        <v>0</v>
      </c>
      <c r="G162" s="211">
        <v>0</v>
      </c>
      <c r="M162" s="417"/>
      <c r="N162" s="418"/>
    </row>
    <row r="163" spans="1:14" ht="14.4">
      <c r="A163" s="245"/>
      <c r="B163" s="244" t="s">
        <v>254</v>
      </c>
      <c r="C163" s="243"/>
      <c r="F163" s="211">
        <f t="shared" si="5"/>
        <v>0</v>
      </c>
      <c r="G163" s="211">
        <v>0</v>
      </c>
      <c r="M163" s="417"/>
      <c r="N163" s="418"/>
    </row>
    <row r="164" spans="1:14" ht="14.4">
      <c r="A164" s="245">
        <v>560000</v>
      </c>
      <c r="B164" s="244" t="s">
        <v>255</v>
      </c>
      <c r="C164" s="243"/>
      <c r="F164" s="211">
        <f t="shared" si="5"/>
        <v>1768</v>
      </c>
      <c r="G164" s="211">
        <v>0</v>
      </c>
      <c r="H164" s="211">
        <v>1768260</v>
      </c>
      <c r="M164" s="417"/>
      <c r="N164" s="418"/>
    </row>
    <row r="165" spans="1:14" ht="14.4">
      <c r="A165" s="245">
        <v>561000</v>
      </c>
      <c r="B165" s="244" t="s">
        <v>289</v>
      </c>
      <c r="C165" s="243"/>
      <c r="F165" s="211">
        <f t="shared" si="5"/>
        <v>2386</v>
      </c>
      <c r="G165" s="211">
        <v>0</v>
      </c>
      <c r="H165" s="211">
        <v>2386428</v>
      </c>
      <c r="M165" s="417"/>
      <c r="N165" s="418"/>
    </row>
    <row r="166" spans="1:14" ht="14.4">
      <c r="A166" s="245">
        <v>562000</v>
      </c>
      <c r="B166" s="244" t="s">
        <v>290</v>
      </c>
      <c r="C166" s="243"/>
      <c r="F166" s="211">
        <f t="shared" si="5"/>
        <v>208</v>
      </c>
      <c r="G166" s="211">
        <v>0</v>
      </c>
      <c r="H166" s="211">
        <v>208101</v>
      </c>
      <c r="M166" s="417"/>
      <c r="N166" s="418"/>
    </row>
    <row r="167" spans="1:14" ht="14.4">
      <c r="A167" s="245">
        <v>562100</v>
      </c>
      <c r="B167" s="417" t="s">
        <v>602</v>
      </c>
      <c r="C167" s="243"/>
      <c r="F167" s="211">
        <f t="shared" si="5"/>
        <v>0</v>
      </c>
      <c r="G167" s="211">
        <v>1</v>
      </c>
      <c r="H167" s="211">
        <v>0</v>
      </c>
      <c r="M167" s="417"/>
      <c r="N167" s="418"/>
    </row>
    <row r="168" spans="1:14" ht="14.4">
      <c r="A168" s="245">
        <v>563000</v>
      </c>
      <c r="B168" s="244" t="s">
        <v>291</v>
      </c>
      <c r="C168" s="243"/>
      <c r="F168" s="211">
        <f t="shared" si="5"/>
        <v>278</v>
      </c>
      <c r="G168" s="211">
        <v>0</v>
      </c>
      <c r="H168" s="211">
        <v>278406</v>
      </c>
      <c r="M168" s="417"/>
      <c r="N168" s="418"/>
    </row>
    <row r="169" spans="1:14" ht="14.4">
      <c r="A169" s="245">
        <v>565000</v>
      </c>
      <c r="B169" s="244" t="s">
        <v>292</v>
      </c>
      <c r="C169" s="243"/>
      <c r="F169" s="211">
        <f t="shared" si="5"/>
        <v>11482</v>
      </c>
      <c r="G169" s="211">
        <v>0</v>
      </c>
      <c r="H169" s="211">
        <v>11481779</v>
      </c>
      <c r="M169" s="417"/>
      <c r="N169" s="418"/>
    </row>
    <row r="170" spans="1:14" ht="14.4">
      <c r="A170" s="245">
        <v>566000</v>
      </c>
      <c r="B170" s="244" t="s">
        <v>293</v>
      </c>
      <c r="C170" s="243"/>
      <c r="F170" s="211">
        <f t="shared" si="5"/>
        <v>1339</v>
      </c>
      <c r="G170" s="211">
        <v>0</v>
      </c>
      <c r="H170" s="211">
        <v>1338589</v>
      </c>
      <c r="M170" s="417"/>
      <c r="N170" s="418"/>
    </row>
    <row r="171" spans="1:14" ht="14.4">
      <c r="A171" s="245">
        <v>567000</v>
      </c>
      <c r="B171" s="244" t="s">
        <v>260</v>
      </c>
      <c r="C171" s="243"/>
      <c r="F171" s="211">
        <f t="shared" si="5"/>
        <v>100</v>
      </c>
      <c r="G171" s="211">
        <v>0</v>
      </c>
      <c r="H171" s="211">
        <v>100310</v>
      </c>
      <c r="M171" s="417"/>
      <c r="N171" s="418"/>
    </row>
    <row r="172" spans="1:14" ht="14.4">
      <c r="A172" s="242"/>
      <c r="B172" s="244"/>
      <c r="C172" s="243"/>
      <c r="F172" s="211">
        <f t="shared" si="5"/>
        <v>0</v>
      </c>
      <c r="G172" s="211">
        <v>0</v>
      </c>
      <c r="M172" s="417"/>
      <c r="N172" s="418"/>
    </row>
    <row r="173" spans="1:14" ht="14.4">
      <c r="A173" s="242"/>
      <c r="B173" s="244" t="s">
        <v>261</v>
      </c>
      <c r="C173" s="243"/>
      <c r="F173" s="211">
        <f t="shared" si="5"/>
        <v>0</v>
      </c>
      <c r="G173" s="211">
        <v>0</v>
      </c>
      <c r="M173" s="417"/>
      <c r="N173" s="418"/>
    </row>
    <row r="174" spans="1:14" ht="14.4">
      <c r="A174" s="245">
        <v>568000</v>
      </c>
      <c r="B174" s="244" t="s">
        <v>255</v>
      </c>
      <c r="C174" s="243"/>
      <c r="F174" s="211">
        <f t="shared" si="5"/>
        <v>561</v>
      </c>
      <c r="G174" s="211">
        <v>0</v>
      </c>
      <c r="H174" s="211">
        <v>561249</v>
      </c>
      <c r="M174" s="417"/>
      <c r="N174" s="418"/>
    </row>
    <row r="175" spans="1:14" ht="14.4">
      <c r="A175" s="245">
        <v>569000</v>
      </c>
      <c r="B175" s="244" t="s">
        <v>262</v>
      </c>
      <c r="C175" s="243"/>
      <c r="F175" s="211">
        <f t="shared" si="5"/>
        <v>522</v>
      </c>
      <c r="G175" s="211">
        <v>0</v>
      </c>
      <c r="H175" s="211">
        <v>521817</v>
      </c>
      <c r="M175" s="417"/>
      <c r="N175" s="418"/>
    </row>
    <row r="176" spans="1:14" ht="14.4">
      <c r="A176" s="245">
        <v>570000</v>
      </c>
      <c r="B176" s="244" t="s">
        <v>294</v>
      </c>
      <c r="C176" s="243"/>
      <c r="F176" s="211">
        <f t="shared" si="5"/>
        <v>1119</v>
      </c>
      <c r="G176" s="211">
        <v>0</v>
      </c>
      <c r="H176" s="211">
        <v>1118695</v>
      </c>
      <c r="M176" s="417"/>
      <c r="N176" s="418"/>
    </row>
    <row r="177" spans="1:14" ht="14.4">
      <c r="A177" s="245">
        <v>570100</v>
      </c>
      <c r="B177" s="417" t="s">
        <v>602</v>
      </c>
      <c r="C177" s="243"/>
      <c r="F177" s="211">
        <f t="shared" si="5"/>
        <v>0</v>
      </c>
      <c r="G177" s="211">
        <v>0</v>
      </c>
      <c r="H177" s="211">
        <v>0</v>
      </c>
      <c r="M177" s="417"/>
      <c r="N177" s="418"/>
    </row>
    <row r="178" spans="1:14" ht="14.4">
      <c r="A178" s="245">
        <v>571000</v>
      </c>
      <c r="B178" s="244" t="s">
        <v>295</v>
      </c>
      <c r="C178" s="243"/>
      <c r="F178" s="211">
        <f t="shared" si="5"/>
        <v>694</v>
      </c>
      <c r="G178" s="211">
        <v>0</v>
      </c>
      <c r="H178" s="211">
        <v>693974</v>
      </c>
      <c r="M178" s="417"/>
      <c r="N178" s="418"/>
    </row>
    <row r="179" spans="1:14" ht="14.4">
      <c r="A179" s="245">
        <v>572000</v>
      </c>
      <c r="B179" s="244" t="s">
        <v>296</v>
      </c>
      <c r="C179" s="243"/>
      <c r="F179" s="211">
        <f t="shared" si="5"/>
        <v>0</v>
      </c>
      <c r="G179" s="211">
        <v>0</v>
      </c>
      <c r="H179" s="211">
        <v>41</v>
      </c>
      <c r="M179" s="417"/>
      <c r="N179" s="418"/>
    </row>
    <row r="180" spans="1:14" ht="14.4">
      <c r="A180" s="245">
        <v>573000</v>
      </c>
      <c r="B180" s="244" t="s">
        <v>297</v>
      </c>
      <c r="C180" s="243"/>
      <c r="F180" s="211">
        <f t="shared" si="5"/>
        <v>77</v>
      </c>
      <c r="G180" s="211">
        <v>0</v>
      </c>
      <c r="H180" s="211">
        <v>76835</v>
      </c>
      <c r="M180" s="417"/>
      <c r="N180" s="418"/>
    </row>
    <row r="181" spans="1:14" ht="14.4">
      <c r="A181" s="242"/>
      <c r="B181" s="244" t="s">
        <v>298</v>
      </c>
      <c r="C181" s="243"/>
      <c r="F181" s="211">
        <f t="shared" si="5"/>
        <v>20534</v>
      </c>
      <c r="G181" s="211">
        <v>0</v>
      </c>
      <c r="H181" s="211">
        <v>20534484</v>
      </c>
      <c r="M181" s="417"/>
      <c r="N181" s="418"/>
    </row>
    <row r="182" spans="1:14" ht="14.4">
      <c r="A182" s="242"/>
      <c r="B182" s="244"/>
      <c r="C182" s="243"/>
      <c r="F182" s="211">
        <f t="shared" si="5"/>
        <v>0</v>
      </c>
      <c r="G182" s="211">
        <v>0</v>
      </c>
      <c r="M182" s="244"/>
      <c r="N182" s="418"/>
    </row>
    <row r="183" spans="1:14" ht="14.4">
      <c r="A183" s="242"/>
      <c r="B183" s="244" t="s">
        <v>299</v>
      </c>
      <c r="C183" s="243"/>
      <c r="F183" s="211">
        <f t="shared" si="5"/>
        <v>19174</v>
      </c>
      <c r="G183" s="211">
        <v>0</v>
      </c>
      <c r="H183" s="211">
        <v>19174288</v>
      </c>
      <c r="M183" s="417"/>
      <c r="N183" s="418"/>
    </row>
    <row r="184" spans="1:14" ht="14.4">
      <c r="A184" s="242"/>
      <c r="B184" s="244" t="s">
        <v>300</v>
      </c>
      <c r="C184" s="243"/>
      <c r="F184" s="211">
        <f t="shared" si="5"/>
        <v>8054</v>
      </c>
      <c r="G184" s="211">
        <v>0</v>
      </c>
      <c r="H184" s="211">
        <v>8053505</v>
      </c>
      <c r="M184" s="417"/>
    </row>
    <row r="185" spans="1:14" ht="14.4">
      <c r="A185" s="249"/>
      <c r="B185" s="247" t="s">
        <v>301</v>
      </c>
      <c r="C185" s="248"/>
      <c r="F185" s="211">
        <f t="shared" si="5"/>
        <v>756</v>
      </c>
      <c r="G185" s="211">
        <v>0</v>
      </c>
      <c r="H185" s="211">
        <v>755629</v>
      </c>
      <c r="M185" s="419"/>
    </row>
    <row r="186" spans="1:14" ht="14.4">
      <c r="A186" s="249"/>
      <c r="B186" s="244" t="s">
        <v>561</v>
      </c>
      <c r="C186" s="248"/>
      <c r="F186" s="211">
        <f t="shared" si="5"/>
        <v>-143</v>
      </c>
      <c r="G186" s="211">
        <v>0</v>
      </c>
      <c r="H186" s="211">
        <v>-142740</v>
      </c>
      <c r="M186" s="417"/>
    </row>
    <row r="187" spans="1:14" ht="14.4">
      <c r="A187" s="245">
        <v>405930</v>
      </c>
      <c r="B187" s="244" t="s">
        <v>302</v>
      </c>
      <c r="C187" s="243"/>
      <c r="F187" s="211">
        <f t="shared" si="5"/>
        <v>2450</v>
      </c>
      <c r="G187" s="211">
        <v>0</v>
      </c>
      <c r="H187" s="211">
        <v>2450031</v>
      </c>
      <c r="M187" s="417"/>
    </row>
    <row r="188" spans="1:14" ht="14.4">
      <c r="A188" s="245">
        <v>406100</v>
      </c>
      <c r="B188" s="244" t="s">
        <v>303</v>
      </c>
      <c r="C188" s="243"/>
      <c r="F188" s="211">
        <f t="shared" si="5"/>
        <v>32</v>
      </c>
      <c r="G188" s="211">
        <v>0</v>
      </c>
      <c r="H188" s="211">
        <v>31743</v>
      </c>
      <c r="M188" s="417"/>
    </row>
    <row r="189" spans="1:14" ht="14.4">
      <c r="A189" s="245">
        <v>407312</v>
      </c>
      <c r="B189" s="244" t="s">
        <v>304</v>
      </c>
      <c r="C189" s="243"/>
      <c r="F189" s="211">
        <f t="shared" si="5"/>
        <v>0</v>
      </c>
      <c r="G189" s="211">
        <v>0</v>
      </c>
      <c r="H189" s="211">
        <v>0</v>
      </c>
      <c r="M189" s="417"/>
    </row>
    <row r="190" spans="1:14" ht="14.4">
      <c r="A190" s="246">
        <v>407320</v>
      </c>
      <c r="B190" s="247" t="s">
        <v>590</v>
      </c>
      <c r="C190" s="243"/>
      <c r="F190" s="211">
        <f t="shared" si="5"/>
        <v>0</v>
      </c>
      <c r="G190" s="211">
        <v>0</v>
      </c>
      <c r="H190" s="211">
        <v>0</v>
      </c>
      <c r="M190" s="419"/>
    </row>
    <row r="191" spans="1:14" ht="14.4">
      <c r="A191" s="246">
        <v>407322</v>
      </c>
      <c r="B191" s="247" t="s">
        <v>305</v>
      </c>
      <c r="C191" s="248"/>
      <c r="F191" s="211">
        <f t="shared" si="5"/>
        <v>73</v>
      </c>
      <c r="G191" s="211">
        <v>0</v>
      </c>
      <c r="H191" s="211">
        <v>72939</v>
      </c>
      <c r="M191" s="419"/>
    </row>
    <row r="192" spans="1:14" ht="14.4">
      <c r="A192" s="246">
        <v>407324</v>
      </c>
      <c r="B192" s="247" t="s">
        <v>306</v>
      </c>
      <c r="C192" s="248"/>
      <c r="F192" s="211">
        <f t="shared" si="5"/>
        <v>142</v>
      </c>
      <c r="G192" s="211">
        <v>0</v>
      </c>
      <c r="H192" s="211">
        <v>141765</v>
      </c>
      <c r="M192" s="419"/>
    </row>
    <row r="193" spans="1:13" ht="14.4">
      <c r="A193" s="246">
        <v>407326</v>
      </c>
      <c r="B193" s="247" t="s">
        <v>609</v>
      </c>
      <c r="C193" s="248"/>
      <c r="H193" s="211">
        <v>0</v>
      </c>
      <c r="M193" s="419"/>
    </row>
    <row r="194" spans="1:13" ht="14.4">
      <c r="A194" s="246">
        <v>407331</v>
      </c>
      <c r="B194" s="247" t="s">
        <v>562</v>
      </c>
      <c r="C194" s="248"/>
      <c r="F194" s="211">
        <f t="shared" si="5"/>
        <v>0</v>
      </c>
      <c r="G194" s="211">
        <v>0</v>
      </c>
      <c r="H194" s="211">
        <v>0</v>
      </c>
      <c r="M194" s="419"/>
    </row>
    <row r="195" spans="1:13" ht="14.4">
      <c r="A195" s="246">
        <v>407333</v>
      </c>
      <c r="B195" s="247" t="s">
        <v>563</v>
      </c>
      <c r="C195" s="248"/>
      <c r="F195" s="211">
        <f t="shared" si="5"/>
        <v>21</v>
      </c>
      <c r="G195" s="211">
        <v>0</v>
      </c>
      <c r="H195" s="211">
        <v>21382</v>
      </c>
      <c r="M195" s="419"/>
    </row>
    <row r="196" spans="1:13" ht="14.4">
      <c r="A196" s="245">
        <v>407335</v>
      </c>
      <c r="B196" s="247" t="s">
        <v>307</v>
      </c>
      <c r="C196" s="243"/>
      <c r="F196" s="211">
        <f t="shared" si="5"/>
        <v>0</v>
      </c>
      <c r="G196" s="211">
        <v>0</v>
      </c>
      <c r="H196" s="211">
        <v>0</v>
      </c>
      <c r="M196" s="417"/>
    </row>
    <row r="197" spans="1:13" ht="14.4">
      <c r="A197" s="245">
        <v>407350</v>
      </c>
      <c r="B197" s="244" t="s">
        <v>564</v>
      </c>
      <c r="C197" s="243"/>
      <c r="F197" s="211">
        <f t="shared" si="5"/>
        <v>0</v>
      </c>
      <c r="G197" s="211">
        <v>0</v>
      </c>
      <c r="H197" s="211">
        <v>0</v>
      </c>
      <c r="M197" s="417"/>
    </row>
    <row r="198" spans="1:13" ht="14.4">
      <c r="A198" s="245">
        <v>407351</v>
      </c>
      <c r="B198" s="244" t="s">
        <v>308</v>
      </c>
      <c r="C198" s="248"/>
      <c r="F198" s="211">
        <f t="shared" si="5"/>
        <v>0</v>
      </c>
      <c r="G198" s="211">
        <v>0</v>
      </c>
      <c r="H198" s="211">
        <v>0</v>
      </c>
      <c r="M198" s="417"/>
    </row>
    <row r="199" spans="1:13" ht="14.4">
      <c r="A199" s="245">
        <v>407360</v>
      </c>
      <c r="B199" s="244" t="s">
        <v>565</v>
      </c>
      <c r="C199" s="248"/>
      <c r="F199" s="211">
        <f t="shared" si="5"/>
        <v>0</v>
      </c>
      <c r="G199" s="211">
        <v>0</v>
      </c>
      <c r="H199" s="211">
        <v>-10</v>
      </c>
      <c r="M199" s="417"/>
    </row>
    <row r="200" spans="1:13" ht="14.4">
      <c r="A200" s="245">
        <v>407362</v>
      </c>
      <c r="B200" s="244" t="s">
        <v>566</v>
      </c>
      <c r="C200" s="248"/>
      <c r="F200" s="211">
        <f t="shared" si="5"/>
        <v>0</v>
      </c>
      <c r="G200" s="211">
        <v>0</v>
      </c>
      <c r="H200" s="211">
        <v>0</v>
      </c>
      <c r="M200" s="417"/>
    </row>
    <row r="201" spans="1:13" ht="14.4">
      <c r="A201" s="245">
        <v>407365</v>
      </c>
      <c r="B201" s="244" t="s">
        <v>567</v>
      </c>
      <c r="C201" s="248"/>
      <c r="F201" s="211">
        <f t="shared" si="5"/>
        <v>0</v>
      </c>
      <c r="G201" s="211">
        <v>0</v>
      </c>
      <c r="H201" s="211">
        <v>0</v>
      </c>
      <c r="M201" s="417"/>
    </row>
    <row r="202" spans="1:13" ht="14.4">
      <c r="A202" s="245">
        <v>407368</v>
      </c>
      <c r="B202" s="244" t="s">
        <v>623</v>
      </c>
      <c r="C202" s="248"/>
      <c r="H202" s="211">
        <v>0</v>
      </c>
      <c r="M202" s="419"/>
    </row>
    <row r="203" spans="1:13" ht="14.4">
      <c r="A203" s="245">
        <v>407380</v>
      </c>
      <c r="B203" s="244" t="s">
        <v>309</v>
      </c>
      <c r="C203" s="248"/>
      <c r="F203" s="211">
        <f t="shared" si="5"/>
        <v>0</v>
      </c>
      <c r="G203" s="211">
        <v>0</v>
      </c>
      <c r="H203" s="211">
        <v>0</v>
      </c>
      <c r="M203" s="419"/>
    </row>
    <row r="204" spans="1:13" ht="14.4">
      <c r="A204" s="246">
        <v>407382</v>
      </c>
      <c r="B204" s="247" t="s">
        <v>310</v>
      </c>
      <c r="C204" s="248"/>
      <c r="F204" s="211">
        <f t="shared" si="5"/>
        <v>578</v>
      </c>
      <c r="G204" s="211">
        <v>0</v>
      </c>
      <c r="H204" s="211">
        <v>577750</v>
      </c>
      <c r="M204" s="419"/>
    </row>
    <row r="205" spans="1:13" ht="14.4">
      <c r="A205" s="246">
        <v>407382</v>
      </c>
      <c r="B205" s="247" t="s">
        <v>311</v>
      </c>
      <c r="C205" s="248"/>
      <c r="F205" s="211">
        <f t="shared" si="5"/>
        <v>152</v>
      </c>
      <c r="G205" s="211">
        <v>0</v>
      </c>
      <c r="H205" s="211">
        <v>152118</v>
      </c>
      <c r="M205" s="419"/>
    </row>
    <row r="206" spans="1:13" ht="14.4">
      <c r="A206" s="246">
        <v>407391</v>
      </c>
      <c r="B206" s="419" t="s">
        <v>609</v>
      </c>
      <c r="C206" s="248"/>
      <c r="F206" s="211">
        <f t="shared" si="5"/>
        <v>290</v>
      </c>
      <c r="G206" s="211">
        <v>0</v>
      </c>
      <c r="H206" s="211">
        <v>290395</v>
      </c>
      <c r="M206" s="417"/>
    </row>
    <row r="207" spans="1:13" ht="14.4">
      <c r="A207" s="246">
        <v>407395</v>
      </c>
      <c r="B207" s="247" t="s">
        <v>312</v>
      </c>
      <c r="C207" s="248"/>
      <c r="F207" s="211">
        <f t="shared" si="5"/>
        <v>182</v>
      </c>
      <c r="G207" s="211">
        <v>0</v>
      </c>
      <c r="H207" s="211">
        <v>182467</v>
      </c>
      <c r="M207" s="417"/>
    </row>
    <row r="208" spans="1:13" ht="14.4">
      <c r="A208" s="245">
        <v>407403</v>
      </c>
      <c r="B208" s="244" t="s">
        <v>313</v>
      </c>
      <c r="C208" s="248"/>
      <c r="F208" s="211">
        <f t="shared" si="5"/>
        <v>-135</v>
      </c>
      <c r="G208" s="211">
        <v>0</v>
      </c>
      <c r="H208" s="211">
        <v>-134592</v>
      </c>
      <c r="M208" s="417"/>
    </row>
    <row r="209" spans="1:13" ht="14.4">
      <c r="A209" s="245">
        <v>407405</v>
      </c>
      <c r="B209" s="244" t="s">
        <v>314</v>
      </c>
      <c r="C209" s="243"/>
      <c r="F209" s="211">
        <f t="shared" si="5"/>
        <v>0</v>
      </c>
      <c r="G209" s="211">
        <v>0</v>
      </c>
      <c r="H209" s="211">
        <v>0</v>
      </c>
      <c r="M209" s="417"/>
    </row>
    <row r="210" spans="1:13" ht="14.4">
      <c r="A210" s="245">
        <v>407420</v>
      </c>
      <c r="B210" s="244" t="s">
        <v>315</v>
      </c>
      <c r="C210" s="243"/>
      <c r="F210" s="211">
        <f t="shared" si="5"/>
        <v>0</v>
      </c>
      <c r="G210" s="211">
        <v>0</v>
      </c>
      <c r="H210" s="211">
        <v>0</v>
      </c>
      <c r="M210" s="419"/>
    </row>
    <row r="211" spans="1:13" ht="14.4">
      <c r="A211" s="242" t="s">
        <v>316</v>
      </c>
      <c r="B211" s="244" t="s">
        <v>317</v>
      </c>
      <c r="C211" s="243"/>
      <c r="F211" s="211">
        <f t="shared" si="5"/>
        <v>-1407</v>
      </c>
      <c r="G211" s="211">
        <v>0</v>
      </c>
      <c r="H211" s="211">
        <v>-1406519</v>
      </c>
      <c r="M211" s="419"/>
    </row>
    <row r="212" spans="1:13" ht="14.4">
      <c r="A212" s="242">
        <v>407455</v>
      </c>
      <c r="B212" s="244" t="s">
        <v>624</v>
      </c>
      <c r="C212" s="243"/>
      <c r="H212" s="211">
        <v>0</v>
      </c>
      <c r="M212" s="419"/>
    </row>
    <row r="213" spans="1:13" ht="14.4">
      <c r="A213" s="246">
        <v>407460</v>
      </c>
      <c r="B213" s="247" t="s">
        <v>318</v>
      </c>
      <c r="C213" s="248"/>
      <c r="F213" s="211">
        <f t="shared" si="5"/>
        <v>0</v>
      </c>
      <c r="G213" s="211">
        <v>0</v>
      </c>
      <c r="H213" s="211">
        <v>0</v>
      </c>
      <c r="M213" s="419"/>
    </row>
    <row r="214" spans="1:13" ht="14.4">
      <c r="A214" s="246">
        <v>407462</v>
      </c>
      <c r="B214" s="247" t="s">
        <v>568</v>
      </c>
      <c r="C214" s="243"/>
      <c r="F214" s="211">
        <f t="shared" si="5"/>
        <v>0</v>
      </c>
      <c r="G214" s="211">
        <v>0</v>
      </c>
      <c r="H214" s="211">
        <v>0</v>
      </c>
      <c r="M214" s="419"/>
    </row>
    <row r="215" spans="1:13" ht="14.4">
      <c r="A215" s="425">
        <v>407494</v>
      </c>
      <c r="B215" s="419" t="s">
        <v>610</v>
      </c>
      <c r="C215" s="243"/>
      <c r="F215" s="211">
        <f t="shared" si="5"/>
        <v>-50</v>
      </c>
      <c r="G215" s="211">
        <v>0</v>
      </c>
      <c r="H215" s="211">
        <v>-49973</v>
      </c>
      <c r="M215" s="419"/>
    </row>
    <row r="216" spans="1:13" ht="14.4">
      <c r="A216" s="246">
        <v>407495</v>
      </c>
      <c r="B216" s="247" t="s">
        <v>569</v>
      </c>
      <c r="C216" s="248"/>
      <c r="F216" s="211">
        <f t="shared" ref="F216:F279" si="6">ROUND(H216/1000,0)</f>
        <v>-5</v>
      </c>
      <c r="G216" s="211">
        <v>0</v>
      </c>
      <c r="H216" s="211">
        <v>-5499</v>
      </c>
      <c r="M216" s="417"/>
    </row>
    <row r="217" spans="1:13" ht="14.4">
      <c r="A217" s="246">
        <v>407496</v>
      </c>
      <c r="B217" s="247" t="s">
        <v>570</v>
      </c>
      <c r="C217" s="248"/>
      <c r="F217" s="211">
        <f t="shared" si="6"/>
        <v>0</v>
      </c>
      <c r="G217" s="211">
        <v>0</v>
      </c>
      <c r="H217" s="211">
        <v>0</v>
      </c>
      <c r="M217" s="417"/>
    </row>
    <row r="218" spans="1:13" ht="14.4">
      <c r="A218" s="246">
        <v>407497</v>
      </c>
      <c r="B218" s="419" t="s">
        <v>603</v>
      </c>
      <c r="C218" s="248"/>
      <c r="F218" s="211">
        <f t="shared" si="6"/>
        <v>0</v>
      </c>
      <c r="G218" s="211">
        <v>0</v>
      </c>
      <c r="H218" s="211">
        <v>0</v>
      </c>
      <c r="M218" s="417"/>
    </row>
    <row r="219" spans="1:13" ht="14.4">
      <c r="A219" s="242"/>
      <c r="B219" s="244" t="s">
        <v>319</v>
      </c>
      <c r="C219" s="243"/>
      <c r="F219" s="211">
        <f t="shared" si="6"/>
        <v>14744</v>
      </c>
      <c r="G219" s="211">
        <v>0</v>
      </c>
      <c r="H219" s="211">
        <v>14743621</v>
      </c>
      <c r="M219" s="417"/>
    </row>
    <row r="220" spans="1:13" ht="14.4">
      <c r="A220" s="242"/>
      <c r="B220" s="244" t="s">
        <v>320</v>
      </c>
      <c r="C220" s="243"/>
      <c r="F220" s="211">
        <f t="shared" si="6"/>
        <v>44908</v>
      </c>
      <c r="G220" s="211">
        <v>0</v>
      </c>
      <c r="H220" s="211">
        <v>44908300</v>
      </c>
      <c r="M220" s="244"/>
    </row>
    <row r="221" spans="1:13" ht="14.4">
      <c r="A221" s="242"/>
      <c r="B221" s="244"/>
      <c r="C221" s="243"/>
      <c r="F221" s="211">
        <f t="shared" si="6"/>
        <v>0</v>
      </c>
      <c r="G221" s="211">
        <v>0</v>
      </c>
      <c r="M221" s="417"/>
    </row>
    <row r="222" spans="1:13" ht="14.4">
      <c r="A222" s="242"/>
      <c r="B222" s="244" t="s">
        <v>321</v>
      </c>
      <c r="C222" s="243"/>
      <c r="F222" s="211">
        <f t="shared" si="6"/>
        <v>304318</v>
      </c>
      <c r="G222" s="211">
        <v>0</v>
      </c>
      <c r="H222" s="211">
        <v>304317672</v>
      </c>
      <c r="M222" s="418"/>
    </row>
    <row r="223" spans="1:13" ht="14.4">
      <c r="A223" s="242"/>
      <c r="B223" s="244"/>
      <c r="C223" s="243"/>
      <c r="F223" s="211">
        <f t="shared" si="6"/>
        <v>0</v>
      </c>
      <c r="G223" s="211">
        <v>0</v>
      </c>
      <c r="M223" s="417"/>
    </row>
    <row r="224" spans="1:13" ht="14.4">
      <c r="A224" s="242"/>
      <c r="B224" s="244" t="s">
        <v>322</v>
      </c>
      <c r="C224" s="243"/>
      <c r="F224" s="211">
        <f t="shared" si="6"/>
        <v>0</v>
      </c>
      <c r="G224" s="211">
        <v>0</v>
      </c>
      <c r="M224" s="418"/>
    </row>
    <row r="225" spans="1:13" ht="14.4">
      <c r="B225" s="243" t="s">
        <v>323</v>
      </c>
      <c r="C225" s="243"/>
      <c r="F225" s="211">
        <f t="shared" si="6"/>
        <v>0</v>
      </c>
      <c r="G225" s="211">
        <v>0</v>
      </c>
      <c r="M225" s="417"/>
    </row>
    <row r="226" spans="1:13" ht="14.4">
      <c r="A226" s="245">
        <v>580000</v>
      </c>
      <c r="B226" s="244" t="s">
        <v>255</v>
      </c>
      <c r="C226" s="243"/>
      <c r="F226" s="211">
        <f t="shared" si="6"/>
        <v>2550</v>
      </c>
      <c r="G226" s="211">
        <v>0</v>
      </c>
      <c r="H226" s="211">
        <v>2550483</v>
      </c>
      <c r="M226" s="417"/>
    </row>
    <row r="227" spans="1:13" ht="14.4">
      <c r="A227" s="245">
        <v>582000</v>
      </c>
      <c r="B227" s="243" t="s">
        <v>290</v>
      </c>
      <c r="C227" s="243"/>
      <c r="F227" s="211">
        <f t="shared" si="6"/>
        <v>401</v>
      </c>
      <c r="G227" s="211">
        <v>0</v>
      </c>
      <c r="H227" s="211">
        <v>401143</v>
      </c>
      <c r="M227" s="417"/>
    </row>
    <row r="228" spans="1:13" ht="14.4">
      <c r="A228" s="245">
        <v>583000</v>
      </c>
      <c r="B228" s="244" t="s">
        <v>291</v>
      </c>
      <c r="C228" s="243"/>
      <c r="F228" s="211">
        <f t="shared" si="6"/>
        <v>1408</v>
      </c>
      <c r="G228" s="211">
        <v>0</v>
      </c>
      <c r="H228" s="211">
        <v>1408315</v>
      </c>
      <c r="M228" s="417"/>
    </row>
    <row r="229" spans="1:13" ht="14.4">
      <c r="A229" s="245">
        <v>584000</v>
      </c>
      <c r="B229" s="244" t="s">
        <v>324</v>
      </c>
      <c r="C229" s="243"/>
      <c r="F229" s="211">
        <f t="shared" si="6"/>
        <v>765</v>
      </c>
      <c r="G229" s="211">
        <v>0</v>
      </c>
      <c r="H229" s="211">
        <v>765032</v>
      </c>
      <c r="M229" s="417"/>
    </row>
    <row r="230" spans="1:13" ht="14.4">
      <c r="A230" s="245">
        <v>584100</v>
      </c>
      <c r="B230" s="417" t="s">
        <v>602</v>
      </c>
      <c r="C230" s="243"/>
      <c r="F230" s="211">
        <f t="shared" si="6"/>
        <v>81</v>
      </c>
      <c r="G230" s="211">
        <v>0</v>
      </c>
      <c r="H230" s="211">
        <v>80570</v>
      </c>
      <c r="M230" s="417"/>
    </row>
    <row r="231" spans="1:13" ht="14.4">
      <c r="A231" s="245">
        <v>585000</v>
      </c>
      <c r="B231" s="244" t="s">
        <v>325</v>
      </c>
      <c r="C231" s="243"/>
      <c r="F231" s="211">
        <f t="shared" si="6"/>
        <v>5</v>
      </c>
      <c r="G231" s="211">
        <v>0</v>
      </c>
      <c r="H231" s="211">
        <v>4809</v>
      </c>
      <c r="M231" s="417"/>
    </row>
    <row r="232" spans="1:13" ht="14.4">
      <c r="A232" s="245">
        <v>586000</v>
      </c>
      <c r="B232" s="244" t="s">
        <v>326</v>
      </c>
      <c r="C232" s="243"/>
      <c r="F232" s="211">
        <f t="shared" si="6"/>
        <v>1420</v>
      </c>
      <c r="G232" s="211">
        <v>0</v>
      </c>
      <c r="H232" s="211">
        <v>1419593</v>
      </c>
      <c r="M232" s="417"/>
    </row>
    <row r="233" spans="1:13" ht="14.4">
      <c r="A233" s="245">
        <v>587000</v>
      </c>
      <c r="B233" s="244" t="s">
        <v>327</v>
      </c>
      <c r="C233" s="243"/>
      <c r="F233" s="211">
        <f t="shared" si="6"/>
        <v>538</v>
      </c>
      <c r="G233" s="211">
        <v>0</v>
      </c>
      <c r="H233" s="211">
        <v>537674</v>
      </c>
      <c r="M233" s="417"/>
    </row>
    <row r="234" spans="1:13" ht="14.4">
      <c r="A234" s="245">
        <v>588000</v>
      </c>
      <c r="B234" s="244" t="s">
        <v>328</v>
      </c>
      <c r="C234" s="243"/>
      <c r="F234" s="211">
        <f t="shared" si="6"/>
        <v>4579</v>
      </c>
      <c r="G234" s="211">
        <v>0</v>
      </c>
      <c r="H234" s="211">
        <v>4578734</v>
      </c>
      <c r="M234" s="418"/>
    </row>
    <row r="235" spans="1:13" ht="14.4">
      <c r="A235" s="245">
        <v>589000</v>
      </c>
      <c r="B235" s="244" t="s">
        <v>260</v>
      </c>
      <c r="C235" s="243"/>
      <c r="F235" s="211">
        <f t="shared" si="6"/>
        <v>252</v>
      </c>
      <c r="G235" s="211">
        <v>0</v>
      </c>
      <c r="H235" s="211">
        <v>252160</v>
      </c>
      <c r="M235" s="417"/>
    </row>
    <row r="236" spans="1:13" ht="14.4">
      <c r="A236" s="242"/>
      <c r="B236" s="244"/>
      <c r="C236" s="243"/>
      <c r="F236" s="211">
        <f t="shared" si="6"/>
        <v>0</v>
      </c>
      <c r="G236" s="211">
        <v>0</v>
      </c>
      <c r="M236" s="417"/>
    </row>
    <row r="237" spans="1:13" ht="14.4">
      <c r="B237" s="243" t="s">
        <v>329</v>
      </c>
      <c r="C237" s="243"/>
      <c r="F237" s="211">
        <f t="shared" si="6"/>
        <v>0</v>
      </c>
      <c r="G237" s="211">
        <v>0</v>
      </c>
      <c r="M237" s="418"/>
    </row>
    <row r="238" spans="1:13" ht="14.4">
      <c r="A238" s="245">
        <v>590000</v>
      </c>
      <c r="B238" s="244" t="s">
        <v>255</v>
      </c>
      <c r="C238" s="243"/>
      <c r="F238" s="211">
        <f t="shared" si="6"/>
        <v>977</v>
      </c>
      <c r="G238" s="211">
        <v>0</v>
      </c>
      <c r="H238" s="211">
        <v>977100</v>
      </c>
      <c r="M238" s="417"/>
    </row>
    <row r="239" spans="1:13" ht="14.4">
      <c r="A239" s="245">
        <v>591000</v>
      </c>
      <c r="B239" s="244" t="s">
        <v>262</v>
      </c>
      <c r="C239" s="243"/>
      <c r="F239" s="211">
        <f t="shared" si="6"/>
        <v>263</v>
      </c>
      <c r="G239" s="211">
        <v>0</v>
      </c>
      <c r="H239" s="211">
        <v>263173</v>
      </c>
      <c r="M239" s="417"/>
    </row>
    <row r="240" spans="1:13" ht="14.4">
      <c r="A240" s="245">
        <v>592000</v>
      </c>
      <c r="B240" s="243" t="s">
        <v>294</v>
      </c>
      <c r="C240" s="243"/>
      <c r="F240" s="211">
        <f t="shared" si="6"/>
        <v>665</v>
      </c>
      <c r="G240" s="211">
        <v>0</v>
      </c>
      <c r="H240" s="211">
        <v>665340</v>
      </c>
      <c r="M240" s="417"/>
    </row>
    <row r="241" spans="1:13" ht="14.4">
      <c r="A241" s="245">
        <v>592200</v>
      </c>
      <c r="B241" s="417" t="s">
        <v>602</v>
      </c>
      <c r="C241" s="243"/>
      <c r="F241" s="211">
        <f t="shared" si="6"/>
        <v>0</v>
      </c>
      <c r="G241" s="211">
        <v>0</v>
      </c>
      <c r="H241" s="211">
        <v>0</v>
      </c>
      <c r="M241" s="417"/>
    </row>
    <row r="242" spans="1:13" ht="14.4">
      <c r="A242" s="245">
        <v>593000</v>
      </c>
      <c r="B242" s="244" t="s">
        <v>295</v>
      </c>
      <c r="C242" s="243"/>
      <c r="F242" s="211">
        <f t="shared" si="6"/>
        <v>6112</v>
      </c>
      <c r="G242" s="211">
        <v>0</v>
      </c>
      <c r="H242" s="211">
        <v>6111733</v>
      </c>
      <c r="M242" s="417"/>
    </row>
    <row r="243" spans="1:13" ht="14.4">
      <c r="A243" s="245">
        <v>594000</v>
      </c>
      <c r="B243" s="244" t="s">
        <v>296</v>
      </c>
      <c r="C243" s="243"/>
      <c r="F243" s="211">
        <f t="shared" si="6"/>
        <v>646</v>
      </c>
      <c r="G243" s="211">
        <v>0</v>
      </c>
      <c r="H243" s="211">
        <v>645742</v>
      </c>
      <c r="M243" s="417"/>
    </row>
    <row r="244" spans="1:13" ht="14.4">
      <c r="A244" s="245">
        <v>595000</v>
      </c>
      <c r="B244" s="244" t="s">
        <v>330</v>
      </c>
      <c r="C244" s="243"/>
      <c r="F244" s="211">
        <f t="shared" si="6"/>
        <v>444</v>
      </c>
      <c r="G244" s="211">
        <v>0</v>
      </c>
      <c r="H244" s="211">
        <v>444390</v>
      </c>
      <c r="M244" s="417"/>
    </row>
    <row r="245" spans="1:13" ht="14.4">
      <c r="A245" s="245">
        <v>596000</v>
      </c>
      <c r="B245" s="244" t="s">
        <v>331</v>
      </c>
      <c r="C245" s="243"/>
      <c r="F245" s="211">
        <f t="shared" si="6"/>
        <v>153</v>
      </c>
      <c r="G245" s="211">
        <v>0</v>
      </c>
      <c r="H245" s="211">
        <v>153204</v>
      </c>
      <c r="M245" s="417"/>
    </row>
    <row r="246" spans="1:13" ht="14.4">
      <c r="A246" s="245">
        <v>597000</v>
      </c>
      <c r="B246" s="244" t="s">
        <v>332</v>
      </c>
      <c r="C246" s="243"/>
      <c r="F246" s="211">
        <f t="shared" si="6"/>
        <v>30</v>
      </c>
      <c r="G246" s="211">
        <v>0</v>
      </c>
      <c r="H246" s="211">
        <v>29603</v>
      </c>
      <c r="M246" s="417"/>
    </row>
    <row r="247" spans="1:13" ht="14.4">
      <c r="A247" s="245">
        <v>598000</v>
      </c>
      <c r="B247" s="244" t="s">
        <v>328</v>
      </c>
      <c r="C247" s="243"/>
      <c r="F247" s="211">
        <f t="shared" si="6"/>
        <v>173</v>
      </c>
      <c r="G247" s="211">
        <v>0</v>
      </c>
      <c r="H247" s="211">
        <v>173158</v>
      </c>
      <c r="M247" s="417"/>
    </row>
    <row r="248" spans="1:13" ht="14.4">
      <c r="A248" s="250"/>
      <c r="B248" s="244" t="s">
        <v>333</v>
      </c>
      <c r="C248" s="243"/>
      <c r="F248" s="211">
        <f t="shared" si="6"/>
        <v>21462</v>
      </c>
      <c r="G248" s="211">
        <v>0</v>
      </c>
      <c r="H248" s="211">
        <v>21461956</v>
      </c>
      <c r="M248" s="419"/>
    </row>
    <row r="249" spans="1:13" ht="14.4">
      <c r="A249" s="242"/>
      <c r="B249" s="244"/>
      <c r="C249" s="243"/>
      <c r="F249" s="211">
        <f t="shared" si="6"/>
        <v>0</v>
      </c>
      <c r="G249" s="211">
        <v>0</v>
      </c>
      <c r="M249" s="417"/>
    </row>
    <row r="250" spans="1:13" ht="14.4">
      <c r="A250" s="249"/>
      <c r="B250" s="244" t="s">
        <v>334</v>
      </c>
      <c r="C250" s="243"/>
      <c r="F250" s="211">
        <f t="shared" si="6"/>
        <v>29837</v>
      </c>
      <c r="G250" s="211">
        <v>0</v>
      </c>
      <c r="H250" s="211">
        <v>29836963</v>
      </c>
      <c r="M250" s="417"/>
    </row>
    <row r="251" spans="1:13" ht="14.4">
      <c r="A251" s="242"/>
      <c r="B251" s="247" t="s">
        <v>301</v>
      </c>
      <c r="C251" s="248"/>
      <c r="F251" s="211">
        <f t="shared" si="6"/>
        <v>30</v>
      </c>
      <c r="G251" s="211">
        <v>0</v>
      </c>
      <c r="H251" s="211">
        <v>30092</v>
      </c>
      <c r="M251" s="417"/>
    </row>
    <row r="252" spans="1:13" ht="14.4">
      <c r="A252" s="242"/>
      <c r="B252" s="244" t="s">
        <v>335</v>
      </c>
      <c r="C252" s="243"/>
      <c r="F252" s="211">
        <f t="shared" si="6"/>
        <v>47539</v>
      </c>
      <c r="G252" s="211">
        <v>0</v>
      </c>
      <c r="H252" s="211">
        <v>47539383</v>
      </c>
      <c r="M252" s="417"/>
    </row>
    <row r="253" spans="1:13" ht="14.4">
      <c r="A253" s="242"/>
      <c r="B253" s="244" t="s">
        <v>336</v>
      </c>
      <c r="C253" s="243"/>
      <c r="F253" s="211">
        <f t="shared" si="6"/>
        <v>77406</v>
      </c>
      <c r="G253" s="211">
        <v>0</v>
      </c>
      <c r="H253" s="211">
        <v>77406438</v>
      </c>
      <c r="M253" s="418"/>
    </row>
    <row r="254" spans="1:13" ht="14.4">
      <c r="A254" s="242"/>
      <c r="B254" s="244"/>
      <c r="C254" s="243"/>
      <c r="F254" s="211">
        <f t="shared" si="6"/>
        <v>0</v>
      </c>
      <c r="G254" s="211">
        <v>0</v>
      </c>
      <c r="M254" s="417"/>
    </row>
    <row r="255" spans="1:13" ht="14.4">
      <c r="A255" s="242"/>
      <c r="B255" s="244" t="s">
        <v>337</v>
      </c>
      <c r="C255" s="243"/>
      <c r="F255" s="211">
        <f t="shared" si="6"/>
        <v>98868</v>
      </c>
      <c r="G255" s="211">
        <v>0</v>
      </c>
      <c r="H255" s="211">
        <v>98868394</v>
      </c>
      <c r="M255" s="417"/>
    </row>
    <row r="256" spans="1:13" ht="14.4">
      <c r="A256" s="242"/>
      <c r="B256" s="243"/>
      <c r="C256" s="243"/>
      <c r="F256" s="211">
        <f t="shared" si="6"/>
        <v>0</v>
      </c>
      <c r="G256" s="211">
        <v>0</v>
      </c>
      <c r="M256" s="417"/>
    </row>
    <row r="257" spans="1:13" ht="14.4">
      <c r="B257" s="244" t="s">
        <v>338</v>
      </c>
      <c r="C257" s="243"/>
      <c r="F257" s="211">
        <f t="shared" si="6"/>
        <v>0</v>
      </c>
      <c r="G257" s="211">
        <v>0</v>
      </c>
      <c r="M257" s="417"/>
    </row>
    <row r="258" spans="1:13" ht="14.4">
      <c r="A258" s="245">
        <v>901000</v>
      </c>
      <c r="B258" s="244" t="s">
        <v>339</v>
      </c>
      <c r="C258" s="243"/>
      <c r="F258" s="211">
        <f t="shared" si="6"/>
        <v>159</v>
      </c>
      <c r="G258" s="211">
        <v>0</v>
      </c>
      <c r="H258" s="211">
        <v>159102</v>
      </c>
      <c r="M258" s="417"/>
    </row>
    <row r="259" spans="1:13" ht="14.4">
      <c r="A259" s="245">
        <v>902000</v>
      </c>
      <c r="B259" s="244" t="s">
        <v>340</v>
      </c>
      <c r="C259" s="243"/>
      <c r="F259" s="211">
        <f t="shared" si="6"/>
        <v>2921</v>
      </c>
      <c r="G259" s="211">
        <v>0</v>
      </c>
      <c r="H259" s="211">
        <v>2920998</v>
      </c>
      <c r="M259" s="417"/>
    </row>
    <row r="260" spans="1:13" ht="14.4">
      <c r="A260" s="245" t="s">
        <v>341</v>
      </c>
      <c r="B260" s="244" t="s">
        <v>342</v>
      </c>
      <c r="C260" s="243"/>
      <c r="F260" s="211">
        <f t="shared" si="6"/>
        <v>6458</v>
      </c>
      <c r="G260" s="211">
        <v>0</v>
      </c>
      <c r="H260" s="211">
        <v>6458012</v>
      </c>
      <c r="M260" s="417"/>
    </row>
    <row r="261" spans="1:13" ht="14.4">
      <c r="A261" s="245">
        <v>904000</v>
      </c>
      <c r="B261" s="244" t="s">
        <v>343</v>
      </c>
      <c r="C261" s="243"/>
      <c r="F261" s="211">
        <f t="shared" si="6"/>
        <v>1808</v>
      </c>
      <c r="G261" s="211">
        <v>0</v>
      </c>
      <c r="H261" s="211">
        <v>1807615</v>
      </c>
      <c r="M261" s="417"/>
    </row>
    <row r="262" spans="1:13" ht="14.4">
      <c r="A262" s="245">
        <v>905000</v>
      </c>
      <c r="B262" s="244" t="s">
        <v>344</v>
      </c>
      <c r="C262" s="243"/>
      <c r="F262" s="211">
        <f t="shared" si="6"/>
        <v>162</v>
      </c>
      <c r="G262" s="211">
        <v>0</v>
      </c>
      <c r="H262" s="211">
        <v>161909</v>
      </c>
      <c r="M262" s="417"/>
    </row>
    <row r="263" spans="1:13" ht="14.4">
      <c r="A263" s="242"/>
      <c r="B263" s="244" t="s">
        <v>345</v>
      </c>
      <c r="C263" s="243"/>
      <c r="F263" s="211">
        <f t="shared" si="6"/>
        <v>11508</v>
      </c>
      <c r="G263" s="211">
        <v>0</v>
      </c>
      <c r="H263" s="211">
        <v>11507636</v>
      </c>
      <c r="M263" s="417"/>
    </row>
    <row r="264" spans="1:13" ht="14.4">
      <c r="A264" s="242"/>
      <c r="B264" s="244"/>
      <c r="C264" s="243"/>
      <c r="F264" s="211">
        <f t="shared" si="6"/>
        <v>0</v>
      </c>
      <c r="G264" s="211">
        <v>0</v>
      </c>
      <c r="M264" s="417"/>
    </row>
    <row r="265" spans="1:13" ht="14.4">
      <c r="A265" s="242"/>
      <c r="B265" s="244" t="s">
        <v>346</v>
      </c>
      <c r="C265" s="243"/>
      <c r="F265" s="211">
        <f t="shared" si="6"/>
        <v>0</v>
      </c>
      <c r="G265" s="211">
        <v>0</v>
      </c>
      <c r="M265" s="417"/>
    </row>
    <row r="266" spans="1:13" ht="14.4">
      <c r="A266" s="242" t="s">
        <v>347</v>
      </c>
      <c r="B266" s="244" t="s">
        <v>348</v>
      </c>
      <c r="C266" s="243"/>
      <c r="F266" s="211">
        <f t="shared" si="6"/>
        <v>21449</v>
      </c>
      <c r="G266" s="211">
        <v>0</v>
      </c>
      <c r="H266" s="211">
        <v>21449310</v>
      </c>
      <c r="M266" s="417"/>
    </row>
    <row r="267" spans="1:13" ht="14.4">
      <c r="A267" s="245">
        <v>909000</v>
      </c>
      <c r="B267" s="244" t="s">
        <v>349</v>
      </c>
      <c r="C267" s="243"/>
      <c r="F267" s="211">
        <f t="shared" si="6"/>
        <v>601</v>
      </c>
      <c r="G267" s="211">
        <v>0</v>
      </c>
      <c r="H267" s="211">
        <v>601412</v>
      </c>
      <c r="M267" s="417"/>
    </row>
    <row r="268" spans="1:13" ht="14.4">
      <c r="A268" s="245">
        <v>910000</v>
      </c>
      <c r="B268" s="244" t="s">
        <v>350</v>
      </c>
      <c r="C268" s="243"/>
      <c r="F268" s="211">
        <f t="shared" si="6"/>
        <v>215</v>
      </c>
      <c r="G268" s="211">
        <v>0</v>
      </c>
      <c r="H268" s="211">
        <v>214704</v>
      </c>
      <c r="M268" s="417"/>
    </row>
    <row r="269" spans="1:13" ht="14.4">
      <c r="A269" s="245"/>
      <c r="B269" s="244" t="s">
        <v>351</v>
      </c>
      <c r="C269" s="243"/>
      <c r="F269" s="211">
        <f t="shared" si="6"/>
        <v>22265</v>
      </c>
      <c r="G269" s="211">
        <v>0</v>
      </c>
      <c r="H269" s="211">
        <v>22265426</v>
      </c>
      <c r="M269" s="417"/>
    </row>
    <row r="270" spans="1:13" ht="14.4">
      <c r="A270" s="245"/>
      <c r="B270" s="244"/>
      <c r="C270" s="243"/>
      <c r="F270" s="211">
        <f t="shared" si="6"/>
        <v>0</v>
      </c>
      <c r="G270" s="211">
        <v>0</v>
      </c>
      <c r="M270" s="417"/>
    </row>
    <row r="271" spans="1:13" ht="14.4">
      <c r="A271" s="245"/>
      <c r="B271" s="244" t="s">
        <v>352</v>
      </c>
      <c r="C271" s="243"/>
      <c r="F271" s="211">
        <f t="shared" si="6"/>
        <v>0</v>
      </c>
      <c r="G271" s="211">
        <v>0</v>
      </c>
      <c r="M271" s="417"/>
    </row>
    <row r="272" spans="1:13" ht="14.4">
      <c r="A272" s="245">
        <v>912000</v>
      </c>
      <c r="B272" s="244" t="s">
        <v>353</v>
      </c>
      <c r="C272" s="243"/>
      <c r="F272" s="211">
        <f t="shared" si="6"/>
        <v>0</v>
      </c>
      <c r="G272" s="211">
        <v>0</v>
      </c>
      <c r="H272" s="211">
        <v>0</v>
      </c>
      <c r="M272" s="417"/>
    </row>
    <row r="273" spans="1:13" ht="14.4">
      <c r="A273" s="245">
        <v>913000</v>
      </c>
      <c r="B273" s="244" t="s">
        <v>349</v>
      </c>
      <c r="C273" s="243"/>
      <c r="F273" s="211">
        <f t="shared" si="6"/>
        <v>0</v>
      </c>
      <c r="G273" s="211">
        <v>0</v>
      </c>
      <c r="H273" s="211">
        <v>0</v>
      </c>
      <c r="M273" s="417"/>
    </row>
    <row r="274" spans="1:13" ht="14.4">
      <c r="A274" s="245">
        <v>916000</v>
      </c>
      <c r="B274" s="244" t="s">
        <v>354</v>
      </c>
      <c r="C274" s="243"/>
      <c r="F274" s="211">
        <f t="shared" si="6"/>
        <v>0</v>
      </c>
      <c r="G274" s="211">
        <v>0</v>
      </c>
      <c r="H274" s="211">
        <v>0</v>
      </c>
      <c r="M274" s="417"/>
    </row>
    <row r="275" spans="1:13" ht="14.4">
      <c r="A275" s="245"/>
      <c r="B275" s="244" t="s">
        <v>355</v>
      </c>
      <c r="C275" s="243"/>
      <c r="F275" s="211">
        <f t="shared" si="6"/>
        <v>0</v>
      </c>
      <c r="G275" s="211">
        <v>0</v>
      </c>
      <c r="H275" s="211">
        <v>0</v>
      </c>
      <c r="M275" s="417"/>
    </row>
    <row r="276" spans="1:13" ht="14.4">
      <c r="A276" s="245"/>
      <c r="B276" s="244"/>
      <c r="C276" s="243"/>
      <c r="F276" s="211">
        <f t="shared" si="6"/>
        <v>0</v>
      </c>
      <c r="G276" s="211">
        <v>0</v>
      </c>
      <c r="M276" s="417"/>
    </row>
    <row r="277" spans="1:13" ht="14.4">
      <c r="A277" s="245"/>
      <c r="B277" s="244" t="s">
        <v>356</v>
      </c>
      <c r="C277" s="243"/>
      <c r="F277" s="211">
        <f t="shared" si="6"/>
        <v>0</v>
      </c>
      <c r="G277" s="211">
        <v>0</v>
      </c>
      <c r="M277" s="417"/>
    </row>
    <row r="278" spans="1:13" ht="14.4">
      <c r="A278" s="245">
        <v>920000</v>
      </c>
      <c r="B278" s="244" t="s">
        <v>357</v>
      </c>
      <c r="C278" s="243"/>
      <c r="F278" s="211">
        <f t="shared" si="6"/>
        <v>21778</v>
      </c>
      <c r="G278" s="211">
        <v>0</v>
      </c>
      <c r="H278" s="211">
        <v>21778098</v>
      </c>
      <c r="M278" s="417"/>
    </row>
    <row r="279" spans="1:13" ht="14.4">
      <c r="A279" s="245">
        <v>921000</v>
      </c>
      <c r="B279" s="244" t="s">
        <v>358</v>
      </c>
      <c r="C279" s="243"/>
      <c r="F279" s="211">
        <f t="shared" si="6"/>
        <v>2781</v>
      </c>
      <c r="G279" s="211">
        <v>0</v>
      </c>
      <c r="H279" s="211">
        <v>2780509</v>
      </c>
      <c r="M279" s="417"/>
    </row>
    <row r="280" spans="1:13" ht="14.4">
      <c r="A280" s="245">
        <v>922000</v>
      </c>
      <c r="B280" s="244" t="s">
        <v>359</v>
      </c>
      <c r="C280" s="243"/>
      <c r="F280" s="211">
        <f t="shared" ref="F280:F311" si="7">ROUND(H280/1000,0)</f>
        <v>-87</v>
      </c>
      <c r="G280" s="211">
        <v>0</v>
      </c>
      <c r="H280" s="211">
        <v>-86777</v>
      </c>
      <c r="M280" s="417"/>
    </row>
    <row r="281" spans="1:13" ht="14.4">
      <c r="A281" s="245">
        <v>923000</v>
      </c>
      <c r="B281" s="244" t="s">
        <v>360</v>
      </c>
      <c r="C281" s="243"/>
      <c r="F281" s="211">
        <f t="shared" si="7"/>
        <v>5259</v>
      </c>
      <c r="G281" s="211">
        <v>0</v>
      </c>
      <c r="H281" s="211">
        <v>5259082</v>
      </c>
      <c r="M281" s="417"/>
    </row>
    <row r="282" spans="1:13" ht="14.4">
      <c r="A282" s="245">
        <v>924000</v>
      </c>
      <c r="B282" s="244" t="s">
        <v>361</v>
      </c>
      <c r="C282" s="243"/>
      <c r="F282" s="211">
        <f t="shared" si="7"/>
        <v>837</v>
      </c>
      <c r="G282" s="211">
        <v>0</v>
      </c>
      <c r="H282" s="211">
        <v>837072</v>
      </c>
      <c r="M282" s="417"/>
    </row>
    <row r="283" spans="1:13" ht="14.4">
      <c r="A283" s="242" t="s">
        <v>362</v>
      </c>
      <c r="B283" s="244" t="s">
        <v>363</v>
      </c>
      <c r="C283" s="243"/>
      <c r="F283" s="211">
        <f t="shared" si="7"/>
        <v>2249</v>
      </c>
      <c r="G283" s="211">
        <v>0</v>
      </c>
      <c r="H283" s="211">
        <v>2249200</v>
      </c>
      <c r="M283" s="417"/>
    </row>
    <row r="284" spans="1:13" ht="14.4">
      <c r="A284" s="242" t="s">
        <v>364</v>
      </c>
      <c r="B284" s="244" t="s">
        <v>365</v>
      </c>
      <c r="C284" s="243"/>
      <c r="F284" s="211">
        <f t="shared" si="7"/>
        <v>998</v>
      </c>
      <c r="G284" s="211">
        <v>0</v>
      </c>
      <c r="H284" s="211">
        <v>998142</v>
      </c>
      <c r="M284" s="417"/>
    </row>
    <row r="285" spans="1:13" ht="14.4">
      <c r="A285" s="245">
        <v>927000</v>
      </c>
      <c r="B285" s="244" t="s">
        <v>366</v>
      </c>
      <c r="C285" s="243"/>
      <c r="F285" s="211">
        <f t="shared" si="7"/>
        <v>0</v>
      </c>
      <c r="G285" s="211">
        <v>0</v>
      </c>
      <c r="H285" s="211">
        <v>0</v>
      </c>
      <c r="M285" s="417"/>
    </row>
    <row r="286" spans="1:13" ht="14.4">
      <c r="A286" s="245">
        <v>928000</v>
      </c>
      <c r="B286" s="244" t="s">
        <v>367</v>
      </c>
      <c r="C286" s="243"/>
      <c r="F286" s="211">
        <f t="shared" si="7"/>
        <v>4457</v>
      </c>
      <c r="G286" s="211">
        <v>0</v>
      </c>
      <c r="H286" s="211">
        <v>4457033</v>
      </c>
      <c r="M286" s="417"/>
    </row>
    <row r="287" spans="1:13" ht="14.4">
      <c r="A287" s="245">
        <v>930000</v>
      </c>
      <c r="B287" s="244" t="s">
        <v>368</v>
      </c>
      <c r="C287" s="243"/>
      <c r="F287" s="211">
        <f t="shared" si="7"/>
        <v>2495</v>
      </c>
      <c r="G287" s="211">
        <v>0</v>
      </c>
      <c r="H287" s="211">
        <v>2494720</v>
      </c>
      <c r="M287" s="417"/>
    </row>
    <row r="288" spans="1:13" ht="14.4">
      <c r="A288" s="245">
        <v>931000</v>
      </c>
      <c r="B288" s="244" t="s">
        <v>369</v>
      </c>
      <c r="C288" s="243"/>
      <c r="F288" s="211">
        <f t="shared" si="7"/>
        <v>456</v>
      </c>
      <c r="G288" s="211">
        <v>0</v>
      </c>
      <c r="H288" s="211">
        <v>455548</v>
      </c>
      <c r="M288" s="417"/>
    </row>
    <row r="289" spans="1:13" ht="14.4">
      <c r="A289" s="245">
        <v>935000</v>
      </c>
      <c r="B289" s="244" t="s">
        <v>370</v>
      </c>
      <c r="C289" s="243"/>
      <c r="F289" s="211">
        <f t="shared" si="7"/>
        <v>7785</v>
      </c>
      <c r="G289" s="211">
        <v>0</v>
      </c>
      <c r="H289" s="211">
        <v>7784682</v>
      </c>
      <c r="M289" s="417"/>
    </row>
    <row r="290" spans="1:13" ht="14.4">
      <c r="A290" s="242"/>
      <c r="B290" s="244" t="s">
        <v>371</v>
      </c>
      <c r="C290" s="243"/>
      <c r="F290" s="211">
        <f t="shared" si="7"/>
        <v>49007</v>
      </c>
      <c r="G290" s="211">
        <v>0</v>
      </c>
      <c r="H290" s="211">
        <v>49007309</v>
      </c>
      <c r="M290" s="417"/>
    </row>
    <row r="291" spans="1:13" ht="14.4">
      <c r="A291" s="242"/>
      <c r="B291" s="244"/>
      <c r="C291" s="243"/>
      <c r="F291" s="211">
        <f t="shared" si="7"/>
        <v>0</v>
      </c>
      <c r="G291" s="211">
        <v>0</v>
      </c>
      <c r="M291" s="417"/>
    </row>
    <row r="292" spans="1:13" ht="14.4">
      <c r="A292" s="242"/>
      <c r="B292" s="244" t="s">
        <v>372</v>
      </c>
      <c r="C292" s="243"/>
      <c r="F292" s="211">
        <f t="shared" si="7"/>
        <v>12357</v>
      </c>
      <c r="G292" s="211">
        <v>0</v>
      </c>
      <c r="H292" s="211">
        <v>12356910</v>
      </c>
      <c r="M292" s="417"/>
    </row>
    <row r="293" spans="1:13" ht="14.4">
      <c r="A293" s="242"/>
      <c r="B293" s="244" t="s">
        <v>373</v>
      </c>
      <c r="C293" s="243"/>
      <c r="F293" s="211">
        <f t="shared" si="7"/>
        <v>292</v>
      </c>
      <c r="G293" s="211">
        <v>0</v>
      </c>
      <c r="H293" s="211">
        <v>292421</v>
      </c>
      <c r="M293" s="417"/>
    </row>
    <row r="294" spans="1:13" ht="14.4">
      <c r="A294" s="242"/>
      <c r="B294" s="244" t="s">
        <v>374</v>
      </c>
      <c r="C294" s="243"/>
      <c r="F294" s="211">
        <f t="shared" si="7"/>
        <v>13086</v>
      </c>
      <c r="G294" s="211">
        <v>0</v>
      </c>
      <c r="H294" s="211">
        <v>13085571</v>
      </c>
      <c r="M294" s="417"/>
    </row>
    <row r="295" spans="1:13" ht="14.4">
      <c r="A295" s="242"/>
      <c r="B295" s="244" t="s">
        <v>375</v>
      </c>
      <c r="C295" s="243"/>
      <c r="F295" s="211">
        <f t="shared" si="7"/>
        <v>33</v>
      </c>
      <c r="G295" s="211">
        <v>0</v>
      </c>
      <c r="H295" s="211">
        <v>32780</v>
      </c>
      <c r="M295" s="417"/>
    </row>
    <row r="296" spans="1:13" ht="14.4">
      <c r="A296" s="441">
        <v>407229</v>
      </c>
      <c r="B296" s="417" t="s">
        <v>604</v>
      </c>
      <c r="C296" s="243"/>
      <c r="F296" s="211">
        <f t="shared" si="7"/>
        <v>0</v>
      </c>
      <c r="G296" s="211">
        <v>0</v>
      </c>
      <c r="H296" s="211">
        <v>0</v>
      </c>
      <c r="M296" s="417"/>
    </row>
    <row r="297" spans="1:13" ht="14.4">
      <c r="A297" s="441">
        <v>407414</v>
      </c>
      <c r="B297" s="417" t="s">
        <v>631</v>
      </c>
      <c r="C297" s="243"/>
      <c r="F297" s="211">
        <f t="shared" ref="F297:F298" si="8">ROUND(H297/1000,0)</f>
        <v>-254</v>
      </c>
      <c r="G297" s="211">
        <v>0</v>
      </c>
      <c r="H297" s="211">
        <v>-254165</v>
      </c>
      <c r="M297" s="417"/>
    </row>
    <row r="298" spans="1:13" ht="14.4">
      <c r="A298" s="441">
        <v>407436</v>
      </c>
      <c r="B298" s="417" t="s">
        <v>632</v>
      </c>
      <c r="C298" s="243"/>
      <c r="F298" s="211">
        <f t="shared" si="8"/>
        <v>-520</v>
      </c>
      <c r="G298" s="211">
        <v>0</v>
      </c>
      <c r="H298" s="211">
        <v>-520380</v>
      </c>
      <c r="M298" s="417"/>
    </row>
    <row r="299" spans="1:13" ht="14.4">
      <c r="A299" s="441">
        <v>407468</v>
      </c>
      <c r="B299" s="417" t="s">
        <v>611</v>
      </c>
      <c r="C299" s="243"/>
      <c r="F299" s="211">
        <f t="shared" si="7"/>
        <v>0</v>
      </c>
      <c r="G299" s="211">
        <v>0</v>
      </c>
      <c r="H299" s="211">
        <v>0</v>
      </c>
      <c r="M299" s="417"/>
    </row>
    <row r="300" spans="1:13" ht="14.4">
      <c r="A300" s="242"/>
      <c r="B300" s="244" t="s">
        <v>376</v>
      </c>
      <c r="C300" s="243"/>
      <c r="F300" s="211">
        <f t="shared" si="7"/>
        <v>24993</v>
      </c>
      <c r="G300" s="211">
        <v>0</v>
      </c>
      <c r="H300" s="211">
        <v>24993137</v>
      </c>
      <c r="M300" s="417"/>
    </row>
    <row r="301" spans="1:13" ht="14.4">
      <c r="A301" s="245"/>
      <c r="B301" s="244"/>
      <c r="C301" s="243"/>
      <c r="F301" s="211">
        <f t="shared" si="7"/>
        <v>0</v>
      </c>
      <c r="G301" s="211">
        <v>0</v>
      </c>
      <c r="M301" s="417"/>
    </row>
    <row r="302" spans="1:13" ht="14.4">
      <c r="A302" s="245"/>
      <c r="B302" s="244" t="s">
        <v>377</v>
      </c>
      <c r="C302" s="243"/>
      <c r="F302" s="211">
        <f t="shared" si="7"/>
        <v>74000</v>
      </c>
      <c r="G302" s="211">
        <v>0</v>
      </c>
      <c r="H302" s="211">
        <v>74000446</v>
      </c>
      <c r="M302" s="417"/>
    </row>
    <row r="303" spans="1:13" ht="14.4">
      <c r="A303" s="245"/>
      <c r="B303" s="244"/>
      <c r="C303" s="243"/>
      <c r="F303" s="211">
        <f t="shared" si="7"/>
        <v>0</v>
      </c>
      <c r="G303" s="211">
        <v>0</v>
      </c>
      <c r="M303" s="417"/>
    </row>
    <row r="304" spans="1:13" ht="14.4">
      <c r="A304" s="245"/>
      <c r="B304" s="244" t="s">
        <v>378</v>
      </c>
      <c r="C304" s="243"/>
      <c r="F304" s="211">
        <f t="shared" si="7"/>
        <v>510960</v>
      </c>
      <c r="G304" s="211">
        <v>0</v>
      </c>
      <c r="H304" s="211">
        <v>510959574</v>
      </c>
      <c r="M304" s="417"/>
    </row>
    <row r="305" spans="1:13" ht="14.4">
      <c r="A305" s="245"/>
      <c r="B305" s="244"/>
      <c r="C305" s="243"/>
      <c r="F305" s="211">
        <f t="shared" si="7"/>
        <v>0</v>
      </c>
      <c r="G305" s="211">
        <v>0</v>
      </c>
      <c r="M305" s="417"/>
    </row>
    <row r="306" spans="1:13" ht="14.4">
      <c r="A306" s="245"/>
      <c r="B306" s="244" t="s">
        <v>379</v>
      </c>
      <c r="C306" s="243"/>
      <c r="F306" s="211">
        <f t="shared" si="7"/>
        <v>153872</v>
      </c>
      <c r="G306" s="211">
        <v>0</v>
      </c>
      <c r="H306" s="211">
        <v>153872130</v>
      </c>
      <c r="M306" s="417"/>
    </row>
    <row r="307" spans="1:13" ht="14.4">
      <c r="A307" s="245"/>
      <c r="B307" s="244"/>
      <c r="C307" s="243"/>
      <c r="F307" s="211">
        <f t="shared" si="7"/>
        <v>0</v>
      </c>
      <c r="G307" s="211">
        <v>0</v>
      </c>
      <c r="M307" s="417"/>
    </row>
    <row r="308" spans="1:13" ht="14.4">
      <c r="A308" s="245"/>
      <c r="B308" s="244" t="s">
        <v>380</v>
      </c>
      <c r="C308" s="243"/>
      <c r="F308" s="211">
        <f t="shared" si="7"/>
        <v>9592</v>
      </c>
      <c r="G308" s="211">
        <v>0</v>
      </c>
      <c r="H308" s="211">
        <v>9591974</v>
      </c>
      <c r="M308" s="417"/>
    </row>
    <row r="309" spans="1:13" ht="14.4">
      <c r="A309" s="245"/>
      <c r="B309" s="244" t="s">
        <v>381</v>
      </c>
      <c r="C309" s="243"/>
      <c r="F309" s="211">
        <f t="shared" si="7"/>
        <v>30100</v>
      </c>
      <c r="G309" s="211">
        <v>0</v>
      </c>
      <c r="H309" s="211">
        <v>30099932</v>
      </c>
      <c r="M309" s="247"/>
    </row>
    <row r="310" spans="1:13" ht="14.4">
      <c r="A310" s="242"/>
      <c r="B310" s="244" t="s">
        <v>382</v>
      </c>
      <c r="C310" s="248"/>
      <c r="F310" s="211">
        <f t="shared" si="7"/>
        <v>-226</v>
      </c>
      <c r="G310" s="211">
        <v>0</v>
      </c>
      <c r="H310" s="211">
        <v>-226304</v>
      </c>
      <c r="M310" s="417"/>
    </row>
    <row r="311" spans="1:13" ht="14.4">
      <c r="B311" s="244" t="s">
        <v>383</v>
      </c>
      <c r="C311" s="243"/>
      <c r="F311" s="211">
        <f t="shared" si="7"/>
        <v>114407</v>
      </c>
      <c r="G311" s="211">
        <v>0</v>
      </c>
      <c r="H311" s="211">
        <v>114406528</v>
      </c>
      <c r="M311" s="417"/>
    </row>
    <row r="312" spans="1:13" ht="14.4">
      <c r="A312" s="251"/>
      <c r="G312" s="211">
        <v>0</v>
      </c>
      <c r="M312" s="419"/>
    </row>
    <row r="313" spans="1:13" ht="14.4">
      <c r="A313" s="251"/>
      <c r="B313" s="244" t="s">
        <v>46</v>
      </c>
      <c r="G313" s="211">
        <v>0</v>
      </c>
      <c r="M313" s="419"/>
    </row>
    <row r="314" spans="1:13" ht="14.4">
      <c r="B314" s="244" t="s">
        <v>384</v>
      </c>
      <c r="G314" s="211">
        <v>0</v>
      </c>
      <c r="M314" s="419"/>
    </row>
    <row r="315" spans="1:13" ht="14.4">
      <c r="A315" s="252">
        <v>182324</v>
      </c>
      <c r="B315" s="247" t="s">
        <v>571</v>
      </c>
      <c r="F315" s="211">
        <f>ROUND(H315/1000,0)</f>
        <v>5522</v>
      </c>
      <c r="G315" s="211">
        <v>0</v>
      </c>
      <c r="H315" s="211">
        <v>5522075</v>
      </c>
      <c r="L315" s="211">
        <v>5522075</v>
      </c>
      <c r="M315" s="419"/>
    </row>
    <row r="316" spans="1:13" ht="14.4">
      <c r="A316" s="252">
        <v>182325</v>
      </c>
      <c r="B316" s="247" t="s">
        <v>572</v>
      </c>
      <c r="F316" s="211">
        <f>ROUND(H316/1000,0)</f>
        <v>1307</v>
      </c>
      <c r="G316" s="211">
        <v>0</v>
      </c>
      <c r="H316" s="211">
        <v>1307000</v>
      </c>
      <c r="L316" s="211">
        <v>1307000</v>
      </c>
      <c r="M316" s="417"/>
    </row>
    <row r="317" spans="1:13" ht="14.4">
      <c r="A317" s="252">
        <v>182333</v>
      </c>
      <c r="B317" s="247" t="s">
        <v>573</v>
      </c>
      <c r="F317" s="211">
        <f t="shared" ref="F317:F318" si="9">ROUND(H317/1000,0)</f>
        <v>781</v>
      </c>
      <c r="G317" s="211">
        <v>0</v>
      </c>
      <c r="H317" s="211">
        <v>781339</v>
      </c>
      <c r="L317" s="211">
        <v>781339</v>
      </c>
      <c r="M317" s="419"/>
    </row>
    <row r="318" spans="1:13" ht="14.4">
      <c r="A318" s="252">
        <v>182381</v>
      </c>
      <c r="B318" s="247" t="s">
        <v>574</v>
      </c>
      <c r="F318" s="211">
        <f t="shared" si="9"/>
        <v>21112</v>
      </c>
      <c r="G318" s="211">
        <v>0</v>
      </c>
      <c r="H318" s="211">
        <v>21111947</v>
      </c>
      <c r="L318" s="211">
        <v>21111947</v>
      </c>
      <c r="M318" s="417"/>
    </row>
    <row r="319" spans="1:13" ht="14.4">
      <c r="A319" s="253">
        <v>302000</v>
      </c>
      <c r="B319" s="244" t="s">
        <v>385</v>
      </c>
      <c r="F319" s="211">
        <f t="shared" ref="F319:F337" si="10">ROUND(H319/1000,0)</f>
        <v>29389</v>
      </c>
      <c r="G319" s="211">
        <v>0</v>
      </c>
      <c r="H319" s="211">
        <v>29388868</v>
      </c>
      <c r="L319" s="211">
        <v>29388868</v>
      </c>
      <c r="M319" s="417"/>
    </row>
    <row r="320" spans="1:13" ht="14.4">
      <c r="A320" s="253">
        <v>303000</v>
      </c>
      <c r="B320" s="247" t="s">
        <v>386</v>
      </c>
      <c r="F320" s="211">
        <f t="shared" si="10"/>
        <v>11492</v>
      </c>
      <c r="G320" s="211">
        <v>0</v>
      </c>
      <c r="H320" s="211">
        <v>11491597</v>
      </c>
      <c r="L320" s="211">
        <v>11491597</v>
      </c>
      <c r="M320" s="417"/>
    </row>
    <row r="321" spans="1:13" ht="14.4">
      <c r="A321" s="253">
        <v>303100</v>
      </c>
      <c r="B321" s="244" t="s">
        <v>387</v>
      </c>
      <c r="F321" s="211">
        <f t="shared" si="10"/>
        <v>43168</v>
      </c>
      <c r="G321" s="211">
        <v>0</v>
      </c>
      <c r="H321" s="211">
        <v>43168415</v>
      </c>
      <c r="L321" s="211">
        <v>43168415</v>
      </c>
      <c r="M321" s="417"/>
    </row>
    <row r="322" spans="1:13" ht="14.4">
      <c r="A322" s="253">
        <v>303110</v>
      </c>
      <c r="B322" s="417" t="s">
        <v>605</v>
      </c>
      <c r="F322" s="211">
        <f t="shared" si="10"/>
        <v>2974</v>
      </c>
      <c r="G322" s="211">
        <v>0</v>
      </c>
      <c r="H322" s="211">
        <v>2973797</v>
      </c>
      <c r="L322" s="211">
        <v>2973797</v>
      </c>
      <c r="M322" s="417"/>
    </row>
    <row r="323" spans="1:13" ht="14.4">
      <c r="A323" s="426">
        <v>303115</v>
      </c>
      <c r="B323" s="417" t="s">
        <v>605</v>
      </c>
      <c r="F323" s="211">
        <f t="shared" si="10"/>
        <v>48397</v>
      </c>
      <c r="G323" s="211">
        <v>0</v>
      </c>
      <c r="H323" s="211">
        <v>48397119</v>
      </c>
      <c r="L323" s="211">
        <v>48397119</v>
      </c>
      <c r="M323" s="417"/>
    </row>
    <row r="324" spans="1:13" ht="14.4">
      <c r="A324" s="426">
        <v>303120</v>
      </c>
      <c r="B324" s="417" t="s">
        <v>633</v>
      </c>
      <c r="F324" s="211">
        <f t="shared" si="10"/>
        <v>2854</v>
      </c>
      <c r="G324" s="211">
        <v>0</v>
      </c>
      <c r="H324" s="211">
        <v>2854221</v>
      </c>
      <c r="L324" s="211">
        <v>2854221</v>
      </c>
      <c r="M324" s="417"/>
    </row>
    <row r="325" spans="1:13" ht="14.4">
      <c r="A325" s="426">
        <v>303121</v>
      </c>
      <c r="B325" s="417" t="s">
        <v>634</v>
      </c>
      <c r="F325" s="211">
        <f t="shared" si="10"/>
        <v>79</v>
      </c>
      <c r="G325" s="211">
        <v>0</v>
      </c>
      <c r="H325" s="211">
        <v>78797</v>
      </c>
      <c r="L325" s="211">
        <v>78797</v>
      </c>
      <c r="M325" s="417"/>
    </row>
    <row r="326" spans="1:13" ht="14.4">
      <c r="A326" s="251"/>
      <c r="B326" s="244" t="s">
        <v>388</v>
      </c>
      <c r="F326" s="211">
        <f t="shared" si="10"/>
        <v>167075</v>
      </c>
      <c r="G326" s="211">
        <v>0</v>
      </c>
      <c r="H326" s="211">
        <v>167075175</v>
      </c>
      <c r="L326" s="211">
        <v>167075175</v>
      </c>
      <c r="M326" s="417"/>
    </row>
    <row r="327" spans="1:13" ht="14.4">
      <c r="A327" s="251"/>
      <c r="B327" s="244"/>
      <c r="F327" s="211">
        <f t="shared" si="10"/>
        <v>0</v>
      </c>
      <c r="G327" s="211">
        <v>0</v>
      </c>
      <c r="M327" s="417"/>
    </row>
    <row r="328" spans="1:13" ht="14.4">
      <c r="A328" s="211"/>
      <c r="B328" s="244" t="s">
        <v>389</v>
      </c>
      <c r="F328" s="211">
        <f t="shared" si="10"/>
        <v>0</v>
      </c>
      <c r="G328" s="211">
        <v>0</v>
      </c>
      <c r="M328" s="417"/>
    </row>
    <row r="329" spans="1:13" ht="14.4">
      <c r="A329" s="253" t="s">
        <v>390</v>
      </c>
      <c r="B329" s="244" t="s">
        <v>391</v>
      </c>
      <c r="F329" s="211">
        <f t="shared" si="10"/>
        <v>2338</v>
      </c>
      <c r="G329" s="211">
        <v>0</v>
      </c>
      <c r="H329" s="211">
        <v>2338038</v>
      </c>
      <c r="L329" s="211">
        <v>2338038</v>
      </c>
      <c r="M329" s="417"/>
    </row>
    <row r="330" spans="1:13" ht="14.4">
      <c r="A330" s="253" t="s">
        <v>392</v>
      </c>
      <c r="B330" s="244" t="s">
        <v>393</v>
      </c>
      <c r="F330" s="211">
        <f t="shared" si="10"/>
        <v>87566</v>
      </c>
      <c r="G330" s="211">
        <v>0</v>
      </c>
      <c r="H330" s="211">
        <v>87565564</v>
      </c>
      <c r="L330" s="211">
        <v>87565564</v>
      </c>
      <c r="M330" s="417"/>
    </row>
    <row r="331" spans="1:13" ht="14.4">
      <c r="A331" s="253">
        <v>312000</v>
      </c>
      <c r="B331" s="244" t="s">
        <v>263</v>
      </c>
      <c r="F331" s="211">
        <f t="shared" si="10"/>
        <v>116289</v>
      </c>
      <c r="G331" s="211">
        <v>0</v>
      </c>
      <c r="H331" s="211">
        <v>116288524</v>
      </c>
      <c r="L331" s="211">
        <v>116288524</v>
      </c>
      <c r="M331" s="417"/>
    </row>
    <row r="332" spans="1:13" ht="14.4">
      <c r="A332" s="253">
        <v>313000</v>
      </c>
      <c r="B332" s="244" t="s">
        <v>394</v>
      </c>
      <c r="F332" s="211">
        <f t="shared" si="10"/>
        <v>4</v>
      </c>
      <c r="G332" s="211">
        <v>0</v>
      </c>
      <c r="H332" s="211">
        <v>4424</v>
      </c>
      <c r="L332" s="211">
        <v>4424</v>
      </c>
      <c r="M332" s="417"/>
    </row>
    <row r="333" spans="1:13" ht="14.4">
      <c r="A333" s="253">
        <v>314000</v>
      </c>
      <c r="B333" s="244" t="s">
        <v>395</v>
      </c>
      <c r="F333" s="211">
        <f t="shared" si="10"/>
        <v>38963</v>
      </c>
      <c r="G333" s="211">
        <v>0</v>
      </c>
      <c r="H333" s="211">
        <v>38963155</v>
      </c>
      <c r="L333" s="211">
        <v>38963155</v>
      </c>
      <c r="M333" s="417"/>
    </row>
    <row r="334" spans="1:13" ht="14.4">
      <c r="A334" s="253">
        <v>315000</v>
      </c>
      <c r="B334" s="244" t="s">
        <v>396</v>
      </c>
      <c r="F334" s="211">
        <f t="shared" si="10"/>
        <v>18251</v>
      </c>
      <c r="G334" s="211">
        <v>0</v>
      </c>
      <c r="H334" s="211">
        <v>18251353</v>
      </c>
      <c r="L334" s="211">
        <v>18251353</v>
      </c>
      <c r="M334" s="417"/>
    </row>
    <row r="335" spans="1:13" ht="14.4">
      <c r="A335" s="253">
        <v>316000</v>
      </c>
      <c r="B335" s="244" t="s">
        <v>397</v>
      </c>
      <c r="F335" s="211">
        <f t="shared" si="10"/>
        <v>11826</v>
      </c>
      <c r="G335" s="211">
        <v>0</v>
      </c>
      <c r="H335" s="211">
        <v>11825639</v>
      </c>
      <c r="L335" s="211">
        <v>11825639</v>
      </c>
      <c r="M335" s="417"/>
    </row>
    <row r="336" spans="1:13" ht="14.4">
      <c r="A336" s="255"/>
      <c r="B336" s="244" t="s">
        <v>398</v>
      </c>
      <c r="F336" s="211">
        <f t="shared" si="10"/>
        <v>275237</v>
      </c>
      <c r="G336" s="211">
        <v>0</v>
      </c>
      <c r="H336" s="211">
        <v>275236697</v>
      </c>
      <c r="L336" s="211">
        <v>275236697</v>
      </c>
      <c r="M336" s="417"/>
    </row>
    <row r="337" spans="1:13" ht="14.4">
      <c r="A337" s="255"/>
      <c r="B337" s="244"/>
      <c r="F337" s="211">
        <f t="shared" si="10"/>
        <v>0</v>
      </c>
      <c r="G337" s="211">
        <v>0</v>
      </c>
      <c r="M337" s="417"/>
    </row>
    <row r="338" spans="1:13" ht="14.4">
      <c r="A338" s="251"/>
      <c r="B338" s="244" t="s">
        <v>399</v>
      </c>
      <c r="F338" s="211">
        <f t="shared" ref="F338:F352" si="11">ROUND(H338/1000,0)</f>
        <v>0</v>
      </c>
      <c r="G338" s="211">
        <v>0</v>
      </c>
      <c r="M338" s="417"/>
    </row>
    <row r="339" spans="1:13" ht="14.4">
      <c r="A339" s="253" t="s">
        <v>400</v>
      </c>
      <c r="B339" s="244" t="s">
        <v>391</v>
      </c>
      <c r="F339" s="211">
        <f t="shared" si="11"/>
        <v>40616</v>
      </c>
      <c r="G339" s="211">
        <v>0</v>
      </c>
      <c r="H339" s="211">
        <v>40615622</v>
      </c>
      <c r="L339" s="211">
        <v>40615622</v>
      </c>
      <c r="M339" s="417"/>
    </row>
    <row r="340" spans="1:13" ht="14.4">
      <c r="A340" s="253" t="s">
        <v>401</v>
      </c>
      <c r="B340" s="244" t="s">
        <v>393</v>
      </c>
      <c r="F340" s="211">
        <f t="shared" si="11"/>
        <v>51183</v>
      </c>
      <c r="G340" s="211">
        <v>0</v>
      </c>
      <c r="H340" s="211">
        <v>51182678</v>
      </c>
      <c r="L340" s="211">
        <v>51182678</v>
      </c>
      <c r="M340" s="417"/>
    </row>
    <row r="341" spans="1:13" ht="14.4">
      <c r="A341" s="253" t="s">
        <v>402</v>
      </c>
      <c r="B341" s="244" t="s">
        <v>272</v>
      </c>
      <c r="F341" s="211">
        <f t="shared" si="11"/>
        <v>117644</v>
      </c>
      <c r="G341" s="211">
        <v>0</v>
      </c>
      <c r="H341" s="211">
        <v>117644099</v>
      </c>
      <c r="L341" s="211">
        <v>117644099</v>
      </c>
      <c r="M341" s="417"/>
    </row>
    <row r="342" spans="1:13" ht="14.4">
      <c r="A342" s="253">
        <v>333000</v>
      </c>
      <c r="B342" s="244" t="s">
        <v>403</v>
      </c>
      <c r="F342" s="211">
        <f t="shared" si="11"/>
        <v>146240</v>
      </c>
      <c r="G342" s="211">
        <v>0</v>
      </c>
      <c r="H342" s="211">
        <v>146240314</v>
      </c>
      <c r="L342" s="211">
        <v>146240314</v>
      </c>
      <c r="M342" s="417"/>
    </row>
    <row r="343" spans="1:13" ht="14.4">
      <c r="A343" s="253">
        <v>334000</v>
      </c>
      <c r="B343" s="244" t="s">
        <v>396</v>
      </c>
      <c r="F343" s="211">
        <f t="shared" si="11"/>
        <v>39622</v>
      </c>
      <c r="G343" s="211">
        <v>0</v>
      </c>
      <c r="H343" s="211">
        <v>39621754</v>
      </c>
      <c r="L343" s="211">
        <v>39621754</v>
      </c>
      <c r="M343" s="417"/>
    </row>
    <row r="344" spans="1:13" ht="14.4">
      <c r="A344" s="253" t="s">
        <v>404</v>
      </c>
      <c r="B344" s="244" t="s">
        <v>397</v>
      </c>
      <c r="F344" s="211">
        <f t="shared" si="11"/>
        <v>8270</v>
      </c>
      <c r="G344" s="211">
        <v>0</v>
      </c>
      <c r="H344" s="211">
        <v>8269959</v>
      </c>
      <c r="L344" s="211">
        <v>8269959</v>
      </c>
      <c r="M344" s="417"/>
    </row>
    <row r="345" spans="1:13" ht="14.4">
      <c r="A345" s="253">
        <v>336000</v>
      </c>
      <c r="B345" s="244" t="s">
        <v>405</v>
      </c>
      <c r="F345" s="211">
        <f t="shared" si="11"/>
        <v>2022</v>
      </c>
      <c r="G345" s="211">
        <v>0</v>
      </c>
      <c r="H345" s="211">
        <v>2022325</v>
      </c>
      <c r="L345" s="211">
        <v>2022325</v>
      </c>
      <c r="M345" s="417"/>
    </row>
    <row r="346" spans="1:13" ht="14.4">
      <c r="A346" s="254"/>
      <c r="B346" s="244" t="s">
        <v>406</v>
      </c>
      <c r="F346" s="211">
        <f t="shared" si="11"/>
        <v>405597</v>
      </c>
      <c r="G346" s="211">
        <v>0</v>
      </c>
      <c r="H346" s="211">
        <v>405596751</v>
      </c>
      <c r="L346" s="211">
        <v>405596751</v>
      </c>
      <c r="M346" s="417"/>
    </row>
    <row r="347" spans="1:13" ht="14.4">
      <c r="A347" s="255"/>
      <c r="B347" s="244"/>
      <c r="F347" s="211">
        <f t="shared" si="11"/>
        <v>0</v>
      </c>
      <c r="G347" s="211">
        <v>0</v>
      </c>
      <c r="M347" s="417"/>
    </row>
    <row r="348" spans="1:13" ht="14.4">
      <c r="A348" s="211"/>
      <c r="B348" s="244" t="s">
        <v>407</v>
      </c>
      <c r="F348" s="211">
        <f t="shared" si="11"/>
        <v>0</v>
      </c>
      <c r="G348" s="211">
        <v>0</v>
      </c>
      <c r="M348" s="417"/>
    </row>
    <row r="349" spans="1:13" ht="14.4">
      <c r="A349" s="253">
        <v>340200</v>
      </c>
      <c r="B349" s="244" t="s">
        <v>391</v>
      </c>
      <c r="F349" s="211">
        <f t="shared" si="11"/>
        <v>592</v>
      </c>
      <c r="G349" s="211">
        <v>0</v>
      </c>
      <c r="H349" s="211">
        <v>591527</v>
      </c>
      <c r="L349" s="211">
        <v>591527</v>
      </c>
      <c r="M349" s="417"/>
    </row>
    <row r="350" spans="1:13" ht="14.4">
      <c r="A350" s="253">
        <v>341000</v>
      </c>
      <c r="B350" s="244" t="s">
        <v>393</v>
      </c>
      <c r="F350" s="211">
        <f t="shared" si="11"/>
        <v>11133</v>
      </c>
      <c r="G350" s="211">
        <v>0</v>
      </c>
      <c r="H350" s="211">
        <v>11132866</v>
      </c>
      <c r="L350" s="211">
        <v>11132866</v>
      </c>
      <c r="M350" s="417"/>
    </row>
    <row r="351" spans="1:13" ht="14.4">
      <c r="A351" s="253">
        <v>342000</v>
      </c>
      <c r="B351" s="244" t="s">
        <v>408</v>
      </c>
      <c r="F351" s="211">
        <f t="shared" si="11"/>
        <v>13966</v>
      </c>
      <c r="G351" s="211">
        <v>0</v>
      </c>
      <c r="H351" s="211">
        <v>13966124</v>
      </c>
      <c r="L351" s="211">
        <v>13966124</v>
      </c>
      <c r="M351" s="417"/>
    </row>
    <row r="352" spans="1:13" ht="14.4">
      <c r="A352" s="253">
        <v>343000</v>
      </c>
      <c r="B352" s="244" t="s">
        <v>409</v>
      </c>
      <c r="F352" s="211">
        <f t="shared" si="11"/>
        <v>15625</v>
      </c>
      <c r="G352" s="211">
        <v>0</v>
      </c>
      <c r="H352" s="211">
        <v>15624839</v>
      </c>
      <c r="L352" s="211">
        <v>15624839</v>
      </c>
      <c r="M352" s="417"/>
    </row>
    <row r="353" spans="1:13" ht="14.4">
      <c r="A353" s="253">
        <v>344000</v>
      </c>
      <c r="B353" s="244" t="s">
        <v>394</v>
      </c>
      <c r="F353" s="211">
        <f t="shared" ref="F353:F354" si="12">ROUND(H353/1000,0)</f>
        <v>142846</v>
      </c>
      <c r="G353" s="211">
        <v>0</v>
      </c>
      <c r="H353" s="211">
        <v>142845518</v>
      </c>
      <c r="L353" s="211">
        <v>142845518</v>
      </c>
      <c r="M353" s="417"/>
    </row>
    <row r="354" spans="1:13" ht="14.4">
      <c r="A354" s="253">
        <v>344010</v>
      </c>
      <c r="B354" s="244" t="s">
        <v>575</v>
      </c>
      <c r="F354" s="211">
        <f t="shared" si="12"/>
        <v>98</v>
      </c>
      <c r="G354" s="211">
        <v>0</v>
      </c>
      <c r="H354" s="211">
        <v>97809</v>
      </c>
      <c r="L354" s="211">
        <v>97809</v>
      </c>
      <c r="M354" s="417"/>
    </row>
    <row r="355" spans="1:13" ht="14.4">
      <c r="A355" s="253">
        <v>345000</v>
      </c>
      <c r="B355" s="244" t="s">
        <v>396</v>
      </c>
      <c r="F355" s="211">
        <f t="shared" ref="F355:F362" si="13">ROUND(H355/1000,0)</f>
        <v>13455</v>
      </c>
      <c r="G355" s="211">
        <v>0</v>
      </c>
      <c r="H355" s="211">
        <v>13454612</v>
      </c>
      <c r="L355" s="211">
        <v>13454612</v>
      </c>
      <c r="M355" s="417"/>
    </row>
    <row r="356" spans="1:13" ht="14.4">
      <c r="A356" s="253">
        <v>345010</v>
      </c>
      <c r="B356" s="244" t="s">
        <v>576</v>
      </c>
      <c r="F356" s="211">
        <f t="shared" si="13"/>
        <v>22</v>
      </c>
      <c r="G356" s="211">
        <v>0</v>
      </c>
      <c r="H356" s="211">
        <v>21702</v>
      </c>
      <c r="L356" s="211">
        <v>21702</v>
      </c>
      <c r="M356" s="417"/>
    </row>
    <row r="357" spans="1:13" ht="14.4">
      <c r="A357" s="253">
        <v>346000</v>
      </c>
      <c r="B357" s="244" t="s">
        <v>397</v>
      </c>
      <c r="F357" s="211">
        <f t="shared" si="13"/>
        <v>1136</v>
      </c>
      <c r="G357" s="211">
        <v>0</v>
      </c>
      <c r="H357" s="211">
        <v>1135542</v>
      </c>
      <c r="L357" s="211">
        <v>1135542</v>
      </c>
      <c r="M357" s="417"/>
    </row>
    <row r="358" spans="1:13" ht="14.4">
      <c r="A358" s="253"/>
      <c r="B358" s="244" t="s">
        <v>410</v>
      </c>
      <c r="F358" s="211">
        <f t="shared" si="13"/>
        <v>198871</v>
      </c>
      <c r="G358" s="211">
        <v>0</v>
      </c>
      <c r="H358" s="211">
        <v>198870539</v>
      </c>
      <c r="L358" s="211">
        <v>198870539</v>
      </c>
      <c r="M358" s="417"/>
    </row>
    <row r="359" spans="1:13" ht="14.4">
      <c r="A359" s="253"/>
      <c r="B359" s="244" t="s">
        <v>411</v>
      </c>
      <c r="F359" s="211">
        <f t="shared" si="13"/>
        <v>879704</v>
      </c>
      <c r="G359" s="211">
        <v>0</v>
      </c>
      <c r="H359" s="417">
        <v>879703987</v>
      </c>
      <c r="L359" s="211">
        <v>879703987</v>
      </c>
      <c r="M359" s="417"/>
    </row>
    <row r="360" spans="1:13" ht="14.4">
      <c r="A360" s="256"/>
      <c r="B360" s="244"/>
      <c r="F360" s="211">
        <f t="shared" si="13"/>
        <v>0</v>
      </c>
      <c r="G360" s="211">
        <v>0</v>
      </c>
      <c r="M360" s="417"/>
    </row>
    <row r="361" spans="1:13" ht="14.4">
      <c r="A361" s="211"/>
      <c r="B361" s="244" t="s">
        <v>412</v>
      </c>
      <c r="F361" s="211">
        <f t="shared" si="13"/>
        <v>0</v>
      </c>
      <c r="G361" s="211">
        <v>0</v>
      </c>
      <c r="M361" s="417"/>
    </row>
    <row r="362" spans="1:13" ht="14.4">
      <c r="A362" s="253" t="s">
        <v>413</v>
      </c>
      <c r="B362" s="244" t="s">
        <v>391</v>
      </c>
      <c r="F362" s="211">
        <f t="shared" si="13"/>
        <v>16730</v>
      </c>
      <c r="G362" s="211">
        <v>0</v>
      </c>
      <c r="H362" s="211">
        <v>16729646</v>
      </c>
      <c r="L362" s="211">
        <v>16729646</v>
      </c>
      <c r="M362" s="417"/>
    </row>
    <row r="363" spans="1:13" ht="14.4">
      <c r="A363" s="253" t="s">
        <v>612</v>
      </c>
      <c r="B363" s="417" t="s">
        <v>606</v>
      </c>
      <c r="H363" s="211">
        <v>0</v>
      </c>
      <c r="L363" s="211">
        <v>0</v>
      </c>
      <c r="M363" s="417"/>
    </row>
    <row r="364" spans="1:13" ht="14.4">
      <c r="A364" s="426" t="s">
        <v>414</v>
      </c>
      <c r="B364" s="244" t="s">
        <v>393</v>
      </c>
      <c r="F364" s="211">
        <f t="shared" ref="F364:F369" si="14">ROUND(H364/1000,0)</f>
        <v>16118</v>
      </c>
      <c r="G364" s="211">
        <v>0</v>
      </c>
      <c r="H364" s="211">
        <v>16118414</v>
      </c>
      <c r="L364" s="211">
        <v>16118414</v>
      </c>
      <c r="M364" s="417"/>
    </row>
    <row r="365" spans="1:13" ht="14.4">
      <c r="A365" s="253">
        <v>353000</v>
      </c>
      <c r="B365" s="244" t="s">
        <v>294</v>
      </c>
      <c r="F365" s="211">
        <f t="shared" si="14"/>
        <v>166476</v>
      </c>
      <c r="G365" s="211">
        <v>0</v>
      </c>
      <c r="H365" s="211">
        <v>166476069</v>
      </c>
      <c r="L365" s="211">
        <v>166476069</v>
      </c>
      <c r="M365" s="417"/>
    </row>
    <row r="366" spans="1:13" ht="14.4">
      <c r="A366" s="253">
        <v>354000</v>
      </c>
      <c r="B366" s="244" t="s">
        <v>415</v>
      </c>
      <c r="F366" s="211">
        <f t="shared" si="14"/>
        <v>11224</v>
      </c>
      <c r="G366" s="211">
        <v>0</v>
      </c>
      <c r="H366" s="211">
        <v>11223737</v>
      </c>
      <c r="L366" s="211">
        <v>11223737</v>
      </c>
      <c r="M366" s="417"/>
    </row>
    <row r="367" spans="1:13" ht="14.4">
      <c r="A367" s="253">
        <v>355000</v>
      </c>
      <c r="B367" s="244" t="s">
        <v>416</v>
      </c>
      <c r="F367" s="211">
        <f t="shared" si="14"/>
        <v>145116</v>
      </c>
      <c r="G367" s="211">
        <v>0</v>
      </c>
      <c r="H367" s="211">
        <v>145116175</v>
      </c>
      <c r="L367" s="211">
        <v>145116175</v>
      </c>
      <c r="M367" s="417"/>
    </row>
    <row r="368" spans="1:13" ht="14.4">
      <c r="A368" s="253">
        <v>356000</v>
      </c>
      <c r="B368" s="244" t="s">
        <v>417</v>
      </c>
      <c r="F368" s="211">
        <f t="shared" si="14"/>
        <v>90456</v>
      </c>
      <c r="G368" s="211">
        <v>0</v>
      </c>
      <c r="H368" s="211">
        <v>90455536</v>
      </c>
      <c r="L368" s="211">
        <v>90455536</v>
      </c>
      <c r="M368" s="417"/>
    </row>
    <row r="369" spans="1:13" ht="14.4">
      <c r="A369" s="253">
        <v>357000</v>
      </c>
      <c r="B369" s="244" t="s">
        <v>418</v>
      </c>
      <c r="F369" s="211">
        <f t="shared" si="14"/>
        <v>1969</v>
      </c>
      <c r="G369" s="211">
        <v>0</v>
      </c>
      <c r="H369" s="211">
        <v>1968759</v>
      </c>
      <c r="L369" s="211">
        <v>1968759</v>
      </c>
      <c r="M369" s="417"/>
    </row>
    <row r="370" spans="1:13" ht="14.4">
      <c r="A370" s="253">
        <v>358000</v>
      </c>
      <c r="B370" s="244" t="s">
        <v>419</v>
      </c>
      <c r="F370" s="211">
        <f t="shared" ref="F370:F439" si="15">ROUND(H370/1000,0)</f>
        <v>1540</v>
      </c>
      <c r="G370" s="211">
        <v>0</v>
      </c>
      <c r="H370" s="211">
        <v>1539941</v>
      </c>
      <c r="L370" s="211">
        <v>1539941</v>
      </c>
      <c r="M370" s="417"/>
    </row>
    <row r="371" spans="1:13" ht="14.4">
      <c r="A371" s="253">
        <v>359000</v>
      </c>
      <c r="B371" s="244" t="s">
        <v>420</v>
      </c>
      <c r="F371" s="211">
        <f t="shared" si="15"/>
        <v>1375</v>
      </c>
      <c r="G371" s="211">
        <v>0</v>
      </c>
      <c r="H371" s="211">
        <v>1374581</v>
      </c>
      <c r="L371" s="211">
        <v>1374581</v>
      </c>
      <c r="M371" s="417"/>
    </row>
    <row r="372" spans="1:13" ht="14.4">
      <c r="A372" s="255"/>
      <c r="B372" s="244" t="s">
        <v>421</v>
      </c>
      <c r="F372" s="211">
        <f t="shared" si="15"/>
        <v>451003</v>
      </c>
      <c r="G372" s="211">
        <v>0</v>
      </c>
      <c r="H372" s="211">
        <v>451002858</v>
      </c>
      <c r="L372" s="211">
        <v>451002858</v>
      </c>
      <c r="M372" s="417"/>
    </row>
    <row r="373" spans="1:13" ht="14.4">
      <c r="A373" s="255"/>
      <c r="B373" s="244"/>
      <c r="F373" s="211">
        <f t="shared" si="15"/>
        <v>0</v>
      </c>
      <c r="G373" s="211">
        <v>0</v>
      </c>
      <c r="M373" s="419"/>
    </row>
    <row r="374" spans="1:13" ht="14.4">
      <c r="A374" s="211"/>
      <c r="B374" s="244" t="s">
        <v>422</v>
      </c>
      <c r="F374" s="211">
        <f t="shared" si="15"/>
        <v>0</v>
      </c>
      <c r="G374" s="211">
        <v>0</v>
      </c>
      <c r="M374" s="419"/>
    </row>
    <row r="375" spans="1:13" ht="14.4">
      <c r="A375" s="253">
        <v>360200</v>
      </c>
      <c r="B375" s="244" t="s">
        <v>391</v>
      </c>
      <c r="F375" s="211">
        <f t="shared" si="15"/>
        <v>5545</v>
      </c>
      <c r="G375" s="211">
        <v>0</v>
      </c>
      <c r="H375" s="211">
        <v>5545146</v>
      </c>
      <c r="L375" s="211">
        <v>5545146</v>
      </c>
      <c r="M375" s="417"/>
    </row>
    <row r="376" spans="1:13" ht="14.4">
      <c r="A376" s="252">
        <v>360400</v>
      </c>
      <c r="B376" s="247" t="s">
        <v>423</v>
      </c>
      <c r="F376" s="211">
        <f t="shared" si="15"/>
        <v>341</v>
      </c>
      <c r="G376" s="211">
        <v>0</v>
      </c>
      <c r="H376" s="211">
        <v>340579</v>
      </c>
      <c r="L376" s="211">
        <v>340579</v>
      </c>
      <c r="M376" s="418"/>
    </row>
    <row r="377" spans="1:13" ht="14.4">
      <c r="A377" s="430">
        <v>360500</v>
      </c>
      <c r="B377" s="419" t="s">
        <v>619</v>
      </c>
      <c r="F377" s="211">
        <f t="shared" ref="F377" si="16">ROUND(H377/1000,0)</f>
        <v>0</v>
      </c>
      <c r="G377" s="211">
        <v>1</v>
      </c>
      <c r="H377" s="211">
        <v>0</v>
      </c>
      <c r="L377" s="211">
        <v>0</v>
      </c>
      <c r="M377" s="417"/>
    </row>
    <row r="378" spans="1:13" ht="14.4">
      <c r="A378" s="253">
        <v>361000</v>
      </c>
      <c r="B378" s="244" t="s">
        <v>393</v>
      </c>
      <c r="F378" s="211">
        <f t="shared" si="15"/>
        <v>15481</v>
      </c>
      <c r="G378" s="211">
        <v>0</v>
      </c>
      <c r="H378" s="211">
        <v>15481016</v>
      </c>
      <c r="L378" s="211">
        <v>15481016</v>
      </c>
      <c r="M378" s="417"/>
    </row>
    <row r="379" spans="1:13" ht="14.4">
      <c r="A379" s="253">
        <v>362000</v>
      </c>
      <c r="B379" s="243" t="s">
        <v>294</v>
      </c>
      <c r="F379" s="211">
        <f t="shared" si="15"/>
        <v>83220</v>
      </c>
      <c r="G379" s="211">
        <v>0</v>
      </c>
      <c r="H379" s="211">
        <v>83220128</v>
      </c>
      <c r="L379" s="211">
        <v>83220128</v>
      </c>
      <c r="M379" s="417"/>
    </row>
    <row r="380" spans="1:13" ht="14.4">
      <c r="A380" s="426">
        <v>363000</v>
      </c>
      <c r="B380" s="417" t="s">
        <v>602</v>
      </c>
      <c r="F380" s="211">
        <f t="shared" si="15"/>
        <v>2598</v>
      </c>
      <c r="G380" s="211">
        <v>0</v>
      </c>
      <c r="H380" s="211">
        <v>2597845</v>
      </c>
      <c r="L380" s="211">
        <v>2597845</v>
      </c>
      <c r="M380" s="417"/>
    </row>
    <row r="381" spans="1:13" ht="14.4">
      <c r="A381" s="253">
        <v>364000</v>
      </c>
      <c r="B381" s="244" t="s">
        <v>424</v>
      </c>
      <c r="F381" s="211">
        <f t="shared" si="15"/>
        <v>237320</v>
      </c>
      <c r="G381" s="211">
        <v>0</v>
      </c>
      <c r="H381" s="211">
        <v>237320076</v>
      </c>
      <c r="L381" s="211">
        <v>237320076</v>
      </c>
      <c r="M381" s="417"/>
    </row>
    <row r="382" spans="1:13" ht="14.4">
      <c r="A382" s="253">
        <v>365000</v>
      </c>
      <c r="B382" s="244" t="s">
        <v>417</v>
      </c>
      <c r="F382" s="211">
        <f t="shared" si="15"/>
        <v>153040</v>
      </c>
      <c r="G382" s="211">
        <v>0</v>
      </c>
      <c r="H382" s="211">
        <v>153039780</v>
      </c>
      <c r="L382" s="211">
        <v>153039780</v>
      </c>
      <c r="M382" s="417"/>
    </row>
    <row r="383" spans="1:13" ht="14.4">
      <c r="A383" s="253">
        <v>366000</v>
      </c>
      <c r="B383" s="244" t="s">
        <v>418</v>
      </c>
      <c r="F383" s="211">
        <f t="shared" si="15"/>
        <v>69122</v>
      </c>
      <c r="G383" s="211">
        <v>0</v>
      </c>
      <c r="H383" s="211">
        <v>69122310</v>
      </c>
      <c r="L383" s="211">
        <v>69122310</v>
      </c>
      <c r="M383" s="417"/>
    </row>
    <row r="384" spans="1:13" ht="14.4">
      <c r="A384" s="253">
        <v>367000</v>
      </c>
      <c r="B384" s="244" t="s">
        <v>419</v>
      </c>
      <c r="F384" s="211">
        <f t="shared" si="15"/>
        <v>124055</v>
      </c>
      <c r="G384" s="211">
        <v>0</v>
      </c>
      <c r="H384" s="211">
        <v>124054934</v>
      </c>
      <c r="L384" s="211">
        <v>124054934</v>
      </c>
      <c r="M384" s="419"/>
    </row>
    <row r="385" spans="1:13" ht="14.4">
      <c r="A385" s="253">
        <v>368000</v>
      </c>
      <c r="B385" s="244" t="s">
        <v>330</v>
      </c>
      <c r="F385" s="211">
        <f t="shared" si="15"/>
        <v>170703</v>
      </c>
      <c r="G385" s="211">
        <v>0</v>
      </c>
      <c r="H385" s="211">
        <v>170702709</v>
      </c>
      <c r="L385" s="211">
        <v>170702709</v>
      </c>
      <c r="M385" s="417"/>
    </row>
    <row r="386" spans="1:13" ht="14.4">
      <c r="A386" s="253" t="s">
        <v>425</v>
      </c>
      <c r="B386" s="244" t="s">
        <v>426</v>
      </c>
      <c r="F386" s="211">
        <f t="shared" si="15"/>
        <v>105946</v>
      </c>
      <c r="G386" s="211">
        <v>0</v>
      </c>
      <c r="H386" s="211">
        <v>105945990</v>
      </c>
      <c r="L386" s="211">
        <v>105945990</v>
      </c>
      <c r="M386" s="417"/>
    </row>
    <row r="387" spans="1:13" ht="14.4">
      <c r="A387" s="430" t="s">
        <v>625</v>
      </c>
      <c r="B387" s="419" t="s">
        <v>626</v>
      </c>
      <c r="H387" s="211">
        <v>612444</v>
      </c>
      <c r="L387" s="211">
        <v>612444</v>
      </c>
      <c r="M387" s="417"/>
    </row>
    <row r="388" spans="1:13" ht="14.4">
      <c r="A388" s="252">
        <v>370000</v>
      </c>
      <c r="B388" s="247" t="s">
        <v>332</v>
      </c>
      <c r="F388" s="211">
        <f t="shared" si="15"/>
        <v>26795</v>
      </c>
      <c r="G388" s="211">
        <v>0</v>
      </c>
      <c r="H388" s="211">
        <v>26794868</v>
      </c>
      <c r="L388" s="211">
        <v>26794868</v>
      </c>
      <c r="M388" s="417"/>
    </row>
    <row r="389" spans="1:13" ht="14.4">
      <c r="A389" s="253" t="s">
        <v>427</v>
      </c>
      <c r="B389" s="244" t="s">
        <v>428</v>
      </c>
      <c r="F389" s="211">
        <f t="shared" si="15"/>
        <v>38961</v>
      </c>
      <c r="G389" s="211">
        <v>0</v>
      </c>
      <c r="H389" s="211">
        <v>38961138</v>
      </c>
      <c r="L389" s="211">
        <v>38961138</v>
      </c>
      <c r="M389" s="417"/>
    </row>
    <row r="390" spans="1:13" ht="14.4">
      <c r="A390" s="255"/>
      <c r="B390" s="244" t="s">
        <v>429</v>
      </c>
      <c r="F390" s="211">
        <f t="shared" si="15"/>
        <v>1033739</v>
      </c>
      <c r="G390" s="211">
        <v>0</v>
      </c>
      <c r="H390" s="211">
        <v>1033738963</v>
      </c>
      <c r="L390" s="211">
        <v>1033738963</v>
      </c>
      <c r="M390" s="417"/>
    </row>
    <row r="391" spans="1:13" ht="14.4">
      <c r="A391" s="255"/>
      <c r="B391" s="244"/>
      <c r="F391" s="211">
        <f t="shared" si="15"/>
        <v>0</v>
      </c>
      <c r="G391" s="211">
        <v>0</v>
      </c>
      <c r="M391" s="417"/>
    </row>
    <row r="392" spans="1:13" ht="14.4">
      <c r="A392" s="211"/>
      <c r="B392" s="244" t="s">
        <v>430</v>
      </c>
      <c r="F392" s="211">
        <f t="shared" si="15"/>
        <v>0</v>
      </c>
      <c r="G392" s="211">
        <v>0</v>
      </c>
      <c r="M392" s="417"/>
    </row>
    <row r="393" spans="1:13" ht="14.4">
      <c r="A393" s="253" t="s">
        <v>431</v>
      </c>
      <c r="B393" s="244" t="s">
        <v>391</v>
      </c>
      <c r="F393" s="211">
        <f t="shared" si="15"/>
        <v>5664</v>
      </c>
      <c r="G393" s="211">
        <v>0</v>
      </c>
      <c r="H393" s="211">
        <v>5664214</v>
      </c>
      <c r="L393" s="211">
        <v>5664214</v>
      </c>
      <c r="M393" s="417"/>
    </row>
    <row r="394" spans="1:13" ht="14.4">
      <c r="A394" s="253" t="s">
        <v>432</v>
      </c>
      <c r="B394" s="244" t="s">
        <v>393</v>
      </c>
      <c r="F394" s="211">
        <f t="shared" si="15"/>
        <v>63525</v>
      </c>
      <c r="G394" s="211">
        <v>0</v>
      </c>
      <c r="H394" s="211">
        <v>63524778</v>
      </c>
      <c r="L394" s="211">
        <v>63524778</v>
      </c>
      <c r="M394" s="417"/>
    </row>
    <row r="395" spans="1:13" ht="14.4">
      <c r="A395" s="253" t="s">
        <v>433</v>
      </c>
      <c r="B395" s="244" t="s">
        <v>434</v>
      </c>
      <c r="F395" s="211">
        <f t="shared" si="15"/>
        <v>35396</v>
      </c>
      <c r="G395" s="211">
        <v>0</v>
      </c>
      <c r="H395" s="211">
        <v>35395926</v>
      </c>
      <c r="L395" s="211">
        <v>35395926</v>
      </c>
      <c r="M395" s="417"/>
    </row>
    <row r="396" spans="1:13" ht="14.4">
      <c r="A396" s="253" t="s">
        <v>435</v>
      </c>
      <c r="B396" s="244" t="s">
        <v>436</v>
      </c>
      <c r="F396" s="211">
        <f t="shared" si="15"/>
        <v>31849</v>
      </c>
      <c r="G396" s="211">
        <v>0</v>
      </c>
      <c r="H396" s="211">
        <v>31849426</v>
      </c>
      <c r="L396" s="211">
        <v>31849426</v>
      </c>
      <c r="M396" s="417"/>
    </row>
    <row r="397" spans="1:13" ht="14.4">
      <c r="A397" s="253">
        <v>393000</v>
      </c>
      <c r="B397" s="244" t="s">
        <v>437</v>
      </c>
      <c r="F397" s="211">
        <f t="shared" si="15"/>
        <v>2521</v>
      </c>
      <c r="G397" s="211">
        <v>0</v>
      </c>
      <c r="H397" s="211">
        <v>2520698</v>
      </c>
      <c r="L397" s="211">
        <v>2520698</v>
      </c>
      <c r="M397" s="417"/>
    </row>
    <row r="398" spans="1:13" ht="14.4">
      <c r="A398" s="253">
        <v>394000</v>
      </c>
      <c r="B398" s="244" t="s">
        <v>438</v>
      </c>
      <c r="F398" s="211">
        <f t="shared" si="15"/>
        <v>9508</v>
      </c>
      <c r="G398" s="211">
        <v>0</v>
      </c>
      <c r="H398" s="211">
        <v>9508375</v>
      </c>
      <c r="L398" s="211">
        <v>9508375</v>
      </c>
      <c r="M398" s="417"/>
    </row>
    <row r="399" spans="1:13" ht="14.4">
      <c r="A399" s="426">
        <v>394100</v>
      </c>
      <c r="B399" s="417" t="s">
        <v>620</v>
      </c>
      <c r="F399" s="211">
        <f t="shared" ref="F399" si="17">ROUND(H399/1000,0)</f>
        <v>52</v>
      </c>
      <c r="G399" s="211">
        <v>1</v>
      </c>
      <c r="H399" s="211">
        <v>52424</v>
      </c>
      <c r="L399" s="211">
        <v>52424</v>
      </c>
      <c r="M399" s="417"/>
    </row>
    <row r="400" spans="1:13" ht="14.4">
      <c r="A400" s="253">
        <v>395000</v>
      </c>
      <c r="B400" s="244" t="s">
        <v>439</v>
      </c>
      <c r="F400" s="211">
        <f t="shared" si="15"/>
        <v>1038</v>
      </c>
      <c r="G400" s="211">
        <v>0</v>
      </c>
      <c r="H400" s="211">
        <v>1037868</v>
      </c>
      <c r="L400" s="211">
        <v>1037868</v>
      </c>
      <c r="M400" s="417"/>
    </row>
    <row r="401" spans="1:13" ht="14.4">
      <c r="A401" s="253" t="s">
        <v>440</v>
      </c>
      <c r="B401" s="244" t="s">
        <v>441</v>
      </c>
      <c r="F401" s="211">
        <f t="shared" si="15"/>
        <v>20716</v>
      </c>
      <c r="G401" s="211">
        <v>0</v>
      </c>
      <c r="H401" s="211">
        <v>20715701</v>
      </c>
      <c r="L401" s="211">
        <v>20715701</v>
      </c>
      <c r="M401" s="417"/>
    </row>
    <row r="402" spans="1:13" ht="14.4">
      <c r="A402" s="253" t="s">
        <v>442</v>
      </c>
      <c r="B402" s="244" t="s">
        <v>443</v>
      </c>
      <c r="F402" s="211">
        <f t="shared" si="15"/>
        <v>71780</v>
      </c>
      <c r="G402" s="211">
        <v>0</v>
      </c>
      <c r="H402" s="211">
        <v>71780382</v>
      </c>
      <c r="L402" s="211">
        <v>71780382</v>
      </c>
      <c r="M402" s="417"/>
    </row>
    <row r="403" spans="1:13" ht="14.4">
      <c r="A403" s="253">
        <v>398000</v>
      </c>
      <c r="B403" s="244" t="s">
        <v>444</v>
      </c>
      <c r="F403" s="211">
        <f t="shared" si="15"/>
        <v>289</v>
      </c>
      <c r="G403" s="211">
        <v>0</v>
      </c>
      <c r="H403" s="211">
        <v>288786</v>
      </c>
      <c r="L403" s="211">
        <v>288786</v>
      </c>
      <c r="M403" s="417"/>
    </row>
    <row r="404" spans="1:13" ht="14.4">
      <c r="A404" s="255"/>
      <c r="B404" s="244" t="s">
        <v>445</v>
      </c>
      <c r="F404" s="211">
        <f t="shared" si="15"/>
        <v>242339</v>
      </c>
      <c r="G404" s="211">
        <v>0</v>
      </c>
      <c r="H404" s="211">
        <v>242338578</v>
      </c>
      <c r="L404" s="211">
        <v>242338578</v>
      </c>
      <c r="M404" s="417"/>
    </row>
    <row r="405" spans="1:13" ht="14.4">
      <c r="A405" s="255"/>
      <c r="B405" s="244"/>
      <c r="F405" s="211">
        <f t="shared" si="15"/>
        <v>0</v>
      </c>
      <c r="G405" s="211">
        <v>0</v>
      </c>
      <c r="M405" s="417"/>
    </row>
    <row r="406" spans="1:13" ht="14.4">
      <c r="A406" s="255"/>
      <c r="B406" s="244" t="s">
        <v>446</v>
      </c>
      <c r="F406" s="211">
        <f>ROUND(H406/1000,0)</f>
        <v>2773860</v>
      </c>
      <c r="G406" s="211">
        <v>0</v>
      </c>
      <c r="H406" s="211">
        <v>2773859561</v>
      </c>
      <c r="L406" s="211">
        <v>2773859561</v>
      </c>
      <c r="M406" s="417"/>
    </row>
    <row r="407" spans="1:13" ht="14.4">
      <c r="A407" s="255"/>
      <c r="B407" s="244"/>
      <c r="F407" s="211">
        <f t="shared" si="15"/>
        <v>0</v>
      </c>
      <c r="G407" s="211">
        <v>0</v>
      </c>
      <c r="M407" s="417"/>
    </row>
    <row r="408" spans="1:13" ht="14.4">
      <c r="A408" s="255"/>
      <c r="B408" s="244"/>
      <c r="F408" s="211">
        <f t="shared" si="15"/>
        <v>0</v>
      </c>
      <c r="G408" s="211">
        <v>0</v>
      </c>
      <c r="M408" s="417"/>
    </row>
    <row r="409" spans="1:13" ht="14.4">
      <c r="A409" s="255"/>
      <c r="B409" s="244" t="s">
        <v>47</v>
      </c>
      <c r="F409" s="211">
        <f t="shared" si="15"/>
        <v>0</v>
      </c>
      <c r="G409" s="211">
        <v>0</v>
      </c>
      <c r="M409" s="417"/>
    </row>
    <row r="410" spans="1:13" ht="14.4">
      <c r="A410" s="253"/>
      <c r="B410" s="244" t="s">
        <v>447</v>
      </c>
      <c r="F410" s="211">
        <f t="shared" si="15"/>
        <v>-194247</v>
      </c>
      <c r="G410" s="211">
        <v>0</v>
      </c>
      <c r="H410" s="211">
        <v>-194246503</v>
      </c>
      <c r="L410" s="211">
        <v>-194246503</v>
      </c>
      <c r="M410" s="417"/>
    </row>
    <row r="411" spans="1:13" ht="14.4">
      <c r="A411" s="255"/>
      <c r="B411" s="244" t="s">
        <v>448</v>
      </c>
      <c r="F411" s="211">
        <f t="shared" si="15"/>
        <v>-82976</v>
      </c>
      <c r="G411" s="211">
        <v>0</v>
      </c>
      <c r="H411" s="211">
        <v>-82975649</v>
      </c>
      <c r="L411" s="211">
        <v>-82975649</v>
      </c>
      <c r="M411" s="417"/>
    </row>
    <row r="412" spans="1:13" ht="14.4">
      <c r="A412" s="255"/>
      <c r="B412" s="244" t="s">
        <v>449</v>
      </c>
      <c r="F412" s="211">
        <f t="shared" si="15"/>
        <v>-74868</v>
      </c>
      <c r="G412" s="211">
        <v>0</v>
      </c>
      <c r="H412" s="211">
        <v>-74868227</v>
      </c>
      <c r="L412" s="211">
        <v>-74868227</v>
      </c>
      <c r="M412" s="417"/>
    </row>
    <row r="413" spans="1:13" ht="14.4">
      <c r="A413" s="255"/>
      <c r="B413" s="244" t="s">
        <v>450</v>
      </c>
      <c r="F413" s="211">
        <f t="shared" si="15"/>
        <v>-136838</v>
      </c>
      <c r="G413" s="211">
        <v>0</v>
      </c>
      <c r="H413" s="211">
        <v>-136838131</v>
      </c>
      <c r="L413" s="211">
        <v>-136838131</v>
      </c>
      <c r="M413" s="417"/>
    </row>
    <row r="414" spans="1:13" ht="14.4">
      <c r="A414" s="255"/>
      <c r="B414" s="244" t="s">
        <v>451</v>
      </c>
      <c r="F414" s="211">
        <f t="shared" si="15"/>
        <v>-314013</v>
      </c>
      <c r="G414" s="211">
        <v>0</v>
      </c>
      <c r="H414" s="211">
        <v>-314012874</v>
      </c>
      <c r="L414" s="211">
        <v>-314012874</v>
      </c>
      <c r="M414" s="417"/>
    </row>
    <row r="415" spans="1:13" ht="14.4">
      <c r="A415" s="251"/>
      <c r="B415" s="244" t="s">
        <v>452</v>
      </c>
      <c r="F415" s="211">
        <f t="shared" si="15"/>
        <v>-85278</v>
      </c>
      <c r="G415" s="211">
        <v>0</v>
      </c>
      <c r="H415" s="211">
        <v>-85278003</v>
      </c>
      <c r="L415" s="211">
        <v>-85278003</v>
      </c>
      <c r="M415" s="417"/>
    </row>
    <row r="416" spans="1:13" ht="14.4">
      <c r="A416" s="251"/>
      <c r="B416" s="244" t="s">
        <v>453</v>
      </c>
      <c r="F416" s="211">
        <f t="shared" si="15"/>
        <v>-888219</v>
      </c>
      <c r="G416" s="211">
        <v>0</v>
      </c>
      <c r="H416" s="211">
        <v>-888219387</v>
      </c>
      <c r="L416" s="211">
        <v>-888219387</v>
      </c>
      <c r="M416" s="417"/>
    </row>
    <row r="417" spans="1:13" ht="14.4">
      <c r="A417" s="251"/>
      <c r="B417" s="244"/>
      <c r="F417" s="211">
        <f t="shared" si="15"/>
        <v>0</v>
      </c>
      <c r="G417" s="211">
        <v>0</v>
      </c>
      <c r="M417" s="417"/>
    </row>
    <row r="418" spans="1:13" ht="14.4">
      <c r="A418" s="255"/>
      <c r="B418" s="244" t="s">
        <v>85</v>
      </c>
      <c r="F418" s="211">
        <f t="shared" si="15"/>
        <v>0</v>
      </c>
      <c r="G418" s="211">
        <v>0</v>
      </c>
      <c r="M418" s="417"/>
    </row>
    <row r="419" spans="1:13" ht="14.4">
      <c r="A419" s="255"/>
      <c r="B419" s="244" t="s">
        <v>454</v>
      </c>
      <c r="F419" s="211">
        <f t="shared" si="15"/>
        <v>-7904</v>
      </c>
      <c r="G419" s="211">
        <v>0</v>
      </c>
      <c r="H419" s="211">
        <v>-7903806</v>
      </c>
      <c r="L419" s="211">
        <v>-7903806</v>
      </c>
      <c r="M419" s="417"/>
    </row>
    <row r="420" spans="1:13" ht="14.4">
      <c r="A420" s="255"/>
      <c r="B420" s="244" t="s">
        <v>455</v>
      </c>
      <c r="F420" s="211">
        <f t="shared" si="15"/>
        <v>-216</v>
      </c>
      <c r="G420" s="211">
        <v>0</v>
      </c>
      <c r="H420" s="211">
        <v>-216363</v>
      </c>
      <c r="L420" s="211">
        <v>-216363</v>
      </c>
      <c r="M420" s="417"/>
    </row>
    <row r="421" spans="1:13" ht="14.4">
      <c r="A421" s="255"/>
      <c r="B421" s="244" t="s">
        <v>456</v>
      </c>
      <c r="F421" s="211">
        <f t="shared" si="15"/>
        <v>-1107</v>
      </c>
      <c r="G421" s="211">
        <v>0</v>
      </c>
      <c r="H421" s="211">
        <v>-1107351</v>
      </c>
      <c r="L421" s="211">
        <v>-1107351</v>
      </c>
      <c r="M421" s="417"/>
    </row>
    <row r="422" spans="1:13" ht="14.4">
      <c r="A422" s="255"/>
      <c r="B422" s="244" t="s">
        <v>457</v>
      </c>
      <c r="F422" s="211">
        <f t="shared" si="15"/>
        <v>-27934</v>
      </c>
      <c r="G422" s="211">
        <v>0</v>
      </c>
      <c r="H422" s="211">
        <v>-27934094</v>
      </c>
      <c r="L422" s="211">
        <v>-27934094</v>
      </c>
      <c r="M422" s="417"/>
    </row>
    <row r="423" spans="1:13" ht="14.4">
      <c r="A423" s="255"/>
      <c r="B423" s="244" t="s">
        <v>458</v>
      </c>
      <c r="F423" s="211">
        <f t="shared" si="15"/>
        <v>-82</v>
      </c>
      <c r="G423" s="211">
        <v>0</v>
      </c>
      <c r="H423" s="211">
        <v>-81629</v>
      </c>
      <c r="L423" s="211">
        <v>-81629</v>
      </c>
      <c r="M423" s="417"/>
    </row>
    <row r="424" spans="1:13" ht="14.4">
      <c r="A424" s="255"/>
      <c r="B424" s="244" t="s">
        <v>459</v>
      </c>
      <c r="F424" s="211">
        <f t="shared" si="15"/>
        <v>-37243</v>
      </c>
      <c r="G424" s="211">
        <v>0</v>
      </c>
      <c r="H424" s="211">
        <v>-37243243</v>
      </c>
      <c r="L424" s="211">
        <v>-37243243</v>
      </c>
      <c r="M424" s="417"/>
    </row>
    <row r="425" spans="1:13" ht="14.4">
      <c r="A425" s="255"/>
      <c r="B425" s="244"/>
      <c r="F425" s="211">
        <f t="shared" si="15"/>
        <v>0</v>
      </c>
      <c r="G425" s="211">
        <v>0</v>
      </c>
      <c r="M425" s="417"/>
    </row>
    <row r="426" spans="1:13" ht="14.4">
      <c r="A426" s="255"/>
      <c r="B426" s="244" t="s">
        <v>460</v>
      </c>
      <c r="F426" s="211">
        <f t="shared" si="15"/>
        <v>-925463</v>
      </c>
      <c r="G426" s="211">
        <v>0</v>
      </c>
      <c r="H426" s="211">
        <v>-925462630</v>
      </c>
      <c r="L426" s="211">
        <v>-925462630</v>
      </c>
      <c r="M426" s="417"/>
    </row>
    <row r="427" spans="1:13" ht="14.4">
      <c r="A427" s="251"/>
      <c r="B427" s="244"/>
      <c r="F427" s="211">
        <f t="shared" si="15"/>
        <v>0</v>
      </c>
      <c r="G427" s="211">
        <v>0</v>
      </c>
      <c r="M427" s="421"/>
    </row>
    <row r="428" spans="1:13" ht="14.4">
      <c r="A428" s="251"/>
      <c r="B428" s="244" t="s">
        <v>461</v>
      </c>
      <c r="F428" s="211">
        <f t="shared" si="15"/>
        <v>1848397</v>
      </c>
      <c r="G428" s="211">
        <v>0</v>
      </c>
      <c r="H428" s="211">
        <v>1848396931</v>
      </c>
      <c r="L428" s="211">
        <v>1848396931</v>
      </c>
      <c r="M428" s="422"/>
    </row>
    <row r="429" spans="1:13" ht="14.4">
      <c r="A429" s="257"/>
      <c r="B429" s="244"/>
      <c r="F429" s="211">
        <f t="shared" si="15"/>
        <v>0</v>
      </c>
      <c r="G429" s="211">
        <v>0</v>
      </c>
      <c r="M429" s="421"/>
    </row>
    <row r="430" spans="1:13" ht="14.4">
      <c r="A430" s="259"/>
      <c r="B430" s="258" t="s">
        <v>462</v>
      </c>
      <c r="F430" s="211">
        <f t="shared" si="15"/>
        <v>0</v>
      </c>
      <c r="G430" s="211">
        <v>0</v>
      </c>
      <c r="M430" s="421"/>
    </row>
    <row r="431" spans="1:13" ht="14.4">
      <c r="A431" s="259"/>
      <c r="B431" s="257" t="s">
        <v>463</v>
      </c>
      <c r="F431" s="211">
        <f t="shared" si="15"/>
        <v>0</v>
      </c>
      <c r="G431" s="211">
        <v>0</v>
      </c>
      <c r="H431" s="211">
        <v>0</v>
      </c>
      <c r="L431" s="211">
        <v>0</v>
      </c>
      <c r="M431" s="421"/>
    </row>
    <row r="432" spans="1:13" ht="14.4">
      <c r="A432" s="259"/>
      <c r="B432" s="258" t="s">
        <v>464</v>
      </c>
      <c r="F432" s="211">
        <f t="shared" si="15"/>
        <v>-11</v>
      </c>
      <c r="G432" s="211">
        <v>0</v>
      </c>
      <c r="H432" s="211">
        <v>-11455</v>
      </c>
      <c r="L432" s="211">
        <v>-11455</v>
      </c>
      <c r="M432" s="421"/>
    </row>
    <row r="433" spans="1:13" ht="14.4">
      <c r="A433" s="259"/>
      <c r="B433" s="258" t="s">
        <v>465</v>
      </c>
      <c r="F433" s="211">
        <f t="shared" si="15"/>
        <v>-348156</v>
      </c>
      <c r="G433" s="211">
        <v>0</v>
      </c>
      <c r="H433" s="211">
        <v>-348156196</v>
      </c>
      <c r="L433" s="211">
        <v>-348156196</v>
      </c>
      <c r="M433" s="421"/>
    </row>
    <row r="434" spans="1:13" ht="14.4">
      <c r="A434" s="259"/>
      <c r="B434" s="258" t="s">
        <v>466</v>
      </c>
      <c r="F434" s="211">
        <f t="shared" ref="F434:F435" si="18">ROUND(H434/1000,0)</f>
        <v>-40576</v>
      </c>
      <c r="G434" s="211">
        <v>0</v>
      </c>
      <c r="H434" s="211">
        <v>-40575811</v>
      </c>
      <c r="L434" s="211">
        <v>-40575811</v>
      </c>
      <c r="M434" s="421"/>
    </row>
    <row r="435" spans="1:13" ht="14.4">
      <c r="A435" s="259"/>
      <c r="B435" s="258" t="s">
        <v>577</v>
      </c>
      <c r="F435" s="211">
        <f t="shared" si="18"/>
        <v>0</v>
      </c>
      <c r="G435" s="211">
        <v>0</v>
      </c>
      <c r="H435" s="211">
        <v>0</v>
      </c>
      <c r="L435" s="211">
        <v>0</v>
      </c>
      <c r="M435" s="421"/>
    </row>
    <row r="436" spans="1:13" ht="14.4">
      <c r="A436" s="259"/>
      <c r="B436" s="258" t="s">
        <v>467</v>
      </c>
      <c r="F436" s="211">
        <f t="shared" si="15"/>
        <v>0</v>
      </c>
      <c r="G436" s="211">
        <v>0</v>
      </c>
      <c r="H436" s="211">
        <v>0</v>
      </c>
      <c r="L436" s="211">
        <v>0</v>
      </c>
      <c r="M436" s="421"/>
    </row>
    <row r="437" spans="1:13" ht="14.4">
      <c r="A437" s="259"/>
      <c r="B437" s="258" t="s">
        <v>468</v>
      </c>
      <c r="F437" s="211">
        <f t="shared" si="15"/>
        <v>0</v>
      </c>
      <c r="G437" s="211">
        <v>0</v>
      </c>
      <c r="H437" s="211">
        <v>0</v>
      </c>
      <c r="L437" s="211">
        <v>0</v>
      </c>
      <c r="M437" s="421"/>
    </row>
    <row r="438" spans="1:13" ht="14.4">
      <c r="A438" s="259"/>
      <c r="B438" s="258" t="s">
        <v>469</v>
      </c>
      <c r="F438" s="211">
        <f t="shared" si="15"/>
        <v>-7389</v>
      </c>
      <c r="G438" s="211">
        <v>0</v>
      </c>
      <c r="H438" s="211">
        <v>-7389181</v>
      </c>
      <c r="L438" s="211">
        <v>-7389181</v>
      </c>
      <c r="M438" s="417"/>
    </row>
    <row r="439" spans="1:13" ht="14.4">
      <c r="A439" s="259"/>
      <c r="B439" s="258" t="s">
        <v>578</v>
      </c>
      <c r="F439" s="211">
        <f t="shared" si="15"/>
        <v>260</v>
      </c>
      <c r="G439" s="211">
        <v>0</v>
      </c>
      <c r="H439" s="211">
        <v>260235</v>
      </c>
      <c r="L439" s="211">
        <v>260235</v>
      </c>
      <c r="M439" s="417"/>
    </row>
    <row r="440" spans="1:13" ht="14.4">
      <c r="A440" s="255"/>
      <c r="B440" s="258" t="s">
        <v>470</v>
      </c>
      <c r="F440" s="211">
        <f t="shared" ref="F440:F479" si="19">ROUND(H440/1000,0)</f>
        <v>-1784</v>
      </c>
      <c r="G440" s="211">
        <v>0</v>
      </c>
      <c r="H440" s="211">
        <v>-1784425</v>
      </c>
      <c r="L440" s="211">
        <v>-1784425</v>
      </c>
      <c r="M440" s="417"/>
    </row>
    <row r="441" spans="1:13" ht="14.4">
      <c r="A441" s="251"/>
      <c r="B441" s="244" t="s">
        <v>471</v>
      </c>
      <c r="F441" s="211">
        <f t="shared" si="19"/>
        <v>-397657</v>
      </c>
      <c r="G441" s="211">
        <v>0</v>
      </c>
      <c r="H441" s="211">
        <v>-397656833</v>
      </c>
      <c r="L441" s="211">
        <v>-397656833</v>
      </c>
      <c r="M441" s="251"/>
    </row>
    <row r="442" spans="1:13" ht="14.4">
      <c r="A442" s="251"/>
      <c r="B442" s="244"/>
      <c r="F442" s="211">
        <f t="shared" si="19"/>
        <v>0</v>
      </c>
      <c r="G442" s="211">
        <v>0</v>
      </c>
      <c r="M442" s="417"/>
    </row>
    <row r="443" spans="1:13" ht="14.4">
      <c r="B443" s="244" t="s">
        <v>472</v>
      </c>
      <c r="F443" s="211">
        <f t="shared" si="19"/>
        <v>1450740</v>
      </c>
      <c r="G443" s="211">
        <v>0</v>
      </c>
      <c r="H443" s="211">
        <v>1450740098</v>
      </c>
      <c r="L443" s="211">
        <v>1450740098</v>
      </c>
      <c r="M443" s="417"/>
    </row>
    <row r="444" spans="1:13" ht="14.4">
      <c r="A444" s="243"/>
      <c r="F444" s="211">
        <f t="shared" si="19"/>
        <v>0</v>
      </c>
      <c r="G444" s="211">
        <v>0</v>
      </c>
      <c r="H444" s="211">
        <v>0</v>
      </c>
      <c r="M444" s="417"/>
    </row>
    <row r="445" spans="1:13" ht="14.4">
      <c r="A445" s="260"/>
      <c r="B445" s="244" t="s">
        <v>473</v>
      </c>
      <c r="C445" s="243"/>
      <c r="F445" s="211">
        <f t="shared" si="19"/>
        <v>0</v>
      </c>
      <c r="G445" s="211">
        <v>0</v>
      </c>
      <c r="M445" s="417" t="s">
        <v>473</v>
      </c>
    </row>
    <row r="446" spans="1:13" ht="14.4">
      <c r="A446" s="260"/>
      <c r="B446" s="244" t="s">
        <v>474</v>
      </c>
      <c r="C446" s="244"/>
      <c r="F446" s="211">
        <f t="shared" si="19"/>
        <v>0</v>
      </c>
      <c r="G446" s="211">
        <v>0</v>
      </c>
      <c r="H446" s="211">
        <v>0</v>
      </c>
      <c r="L446" s="211">
        <v>0</v>
      </c>
      <c r="M446" s="417" t="s">
        <v>474</v>
      </c>
    </row>
    <row r="447" spans="1:13" ht="14.4">
      <c r="A447" s="260"/>
      <c r="B447" s="244" t="s">
        <v>475</v>
      </c>
      <c r="C447" s="244"/>
      <c r="F447" s="211">
        <f t="shared" si="19"/>
        <v>0</v>
      </c>
      <c r="G447" s="211">
        <v>0</v>
      </c>
      <c r="H447" s="211">
        <v>0</v>
      </c>
      <c r="L447" s="211">
        <v>0</v>
      </c>
      <c r="M447" s="417" t="s">
        <v>475</v>
      </c>
    </row>
    <row r="448" spans="1:13" ht="14.4">
      <c r="A448" s="260"/>
      <c r="B448" s="251" t="s">
        <v>476</v>
      </c>
      <c r="C448" s="244"/>
      <c r="F448" s="211">
        <f t="shared" si="19"/>
        <v>-368</v>
      </c>
      <c r="G448" s="211">
        <v>0</v>
      </c>
      <c r="H448" s="211">
        <v>-367686</v>
      </c>
      <c r="L448" s="211">
        <v>-367686</v>
      </c>
      <c r="M448" s="423" t="s">
        <v>476</v>
      </c>
    </row>
    <row r="449" spans="1:13" ht="14.4">
      <c r="A449" s="260"/>
      <c r="B449" s="251" t="s">
        <v>477</v>
      </c>
      <c r="C449" s="244"/>
      <c r="F449" s="211">
        <f t="shared" si="19"/>
        <v>1111</v>
      </c>
      <c r="G449" s="211">
        <v>0</v>
      </c>
      <c r="H449" s="211">
        <v>1110999</v>
      </c>
      <c r="L449" s="211">
        <v>1110999</v>
      </c>
      <c r="M449" s="423" t="s">
        <v>477</v>
      </c>
    </row>
    <row r="450" spans="1:13" ht="14.4">
      <c r="A450" s="260"/>
      <c r="B450" s="251" t="s">
        <v>478</v>
      </c>
      <c r="C450" s="244"/>
      <c r="F450" s="211">
        <f t="shared" si="19"/>
        <v>-968</v>
      </c>
      <c r="G450" s="211">
        <v>0</v>
      </c>
      <c r="H450" s="211">
        <v>-968156</v>
      </c>
      <c r="L450" s="211">
        <v>-968156</v>
      </c>
      <c r="M450" s="423" t="s">
        <v>478</v>
      </c>
    </row>
    <row r="451" spans="1:13" ht="14.4">
      <c r="A451" s="260"/>
      <c r="B451" s="251" t="s">
        <v>579</v>
      </c>
      <c r="C451" s="244"/>
      <c r="F451" s="211">
        <f t="shared" si="19"/>
        <v>-5248</v>
      </c>
      <c r="G451" s="211">
        <v>0</v>
      </c>
      <c r="H451" s="211">
        <v>-5247725</v>
      </c>
      <c r="L451" s="211">
        <v>-5247725</v>
      </c>
      <c r="M451" s="423" t="s">
        <v>579</v>
      </c>
    </row>
    <row r="452" spans="1:13" ht="14.4">
      <c r="A452" s="260"/>
      <c r="B452" s="251" t="s">
        <v>479</v>
      </c>
      <c r="C452" s="244"/>
      <c r="F452" s="211">
        <f t="shared" si="19"/>
        <v>5045</v>
      </c>
      <c r="G452" s="211">
        <v>0</v>
      </c>
      <c r="H452" s="211">
        <v>5045106</v>
      </c>
      <c r="L452" s="211">
        <v>5045106</v>
      </c>
      <c r="M452" s="423" t="s">
        <v>479</v>
      </c>
    </row>
    <row r="453" spans="1:13" ht="14.4">
      <c r="A453" s="260"/>
      <c r="B453" s="244" t="s">
        <v>480</v>
      </c>
      <c r="C453" s="244"/>
      <c r="F453" s="211">
        <f t="shared" si="19"/>
        <v>79</v>
      </c>
      <c r="G453" s="211">
        <v>0</v>
      </c>
      <c r="H453" s="211">
        <v>79369</v>
      </c>
      <c r="L453" s="211">
        <v>79369</v>
      </c>
      <c r="M453" s="417" t="s">
        <v>480</v>
      </c>
    </row>
    <row r="454" spans="1:13" ht="14.4">
      <c r="A454" s="260"/>
      <c r="B454" s="251" t="s">
        <v>481</v>
      </c>
      <c r="C454" s="244"/>
      <c r="F454" s="211">
        <f t="shared" si="19"/>
        <v>0</v>
      </c>
      <c r="G454" s="211">
        <v>0</v>
      </c>
      <c r="H454" s="211">
        <v>0</v>
      </c>
      <c r="L454" s="211">
        <v>0</v>
      </c>
      <c r="M454" s="423" t="s">
        <v>481</v>
      </c>
    </row>
    <row r="455" spans="1:13" ht="14.4">
      <c r="A455" s="260"/>
      <c r="B455" s="251" t="s">
        <v>482</v>
      </c>
      <c r="C455" s="244"/>
      <c r="F455" s="211">
        <f t="shared" si="19"/>
        <v>0</v>
      </c>
      <c r="G455" s="211">
        <v>0</v>
      </c>
      <c r="H455" s="211">
        <v>0</v>
      </c>
      <c r="L455" s="211">
        <v>0</v>
      </c>
      <c r="M455" s="423" t="s">
        <v>482</v>
      </c>
    </row>
    <row r="456" spans="1:13" ht="14.4">
      <c r="A456" s="260"/>
      <c r="B456" s="244" t="s">
        <v>483</v>
      </c>
      <c r="C456" s="244"/>
      <c r="F456" s="211">
        <f t="shared" si="19"/>
        <v>0</v>
      </c>
      <c r="G456" s="211">
        <v>0</v>
      </c>
      <c r="H456" s="211">
        <v>0</v>
      </c>
      <c r="L456" s="211">
        <v>0</v>
      </c>
      <c r="M456" s="417" t="s">
        <v>483</v>
      </c>
    </row>
    <row r="457" spans="1:13" ht="14.4">
      <c r="A457" s="261"/>
      <c r="B457" s="251" t="s">
        <v>484</v>
      </c>
      <c r="C457" s="244"/>
      <c r="F457" s="211">
        <f t="shared" si="19"/>
        <v>5308</v>
      </c>
      <c r="G457" s="211">
        <v>0</v>
      </c>
      <c r="H457" s="211">
        <v>5308008</v>
      </c>
      <c r="L457" s="211">
        <v>5308008</v>
      </c>
      <c r="M457" s="423" t="s">
        <v>484</v>
      </c>
    </row>
    <row r="458" spans="1:13" ht="14.4">
      <c r="A458" s="261"/>
      <c r="B458" s="247" t="s">
        <v>485</v>
      </c>
      <c r="C458" s="247"/>
      <c r="F458" s="211">
        <f t="shared" si="19"/>
        <v>-954</v>
      </c>
      <c r="G458" s="211">
        <v>0</v>
      </c>
      <c r="H458" s="211">
        <v>-953979</v>
      </c>
      <c r="L458" s="211">
        <v>-953979</v>
      </c>
      <c r="M458" s="419" t="s">
        <v>485</v>
      </c>
    </row>
    <row r="459" spans="1:13" ht="14.4">
      <c r="A459" s="261"/>
      <c r="B459" s="247" t="s">
        <v>486</v>
      </c>
      <c r="C459" s="247"/>
      <c r="F459" s="211">
        <f t="shared" si="19"/>
        <v>520</v>
      </c>
      <c r="G459" s="211">
        <v>0</v>
      </c>
      <c r="H459" s="211">
        <v>519737</v>
      </c>
      <c r="L459" s="211">
        <v>519737</v>
      </c>
      <c r="M459" s="419" t="s">
        <v>486</v>
      </c>
    </row>
    <row r="460" spans="1:13" ht="14.4">
      <c r="A460" s="262"/>
      <c r="B460" s="247" t="s">
        <v>487</v>
      </c>
      <c r="C460" s="247"/>
      <c r="F460" s="211">
        <f t="shared" si="19"/>
        <v>0</v>
      </c>
      <c r="G460" s="211">
        <v>0</v>
      </c>
      <c r="H460" s="211">
        <v>0</v>
      </c>
      <c r="L460" s="211">
        <v>0</v>
      </c>
      <c r="M460" s="419" t="s">
        <v>487</v>
      </c>
    </row>
    <row r="461" spans="1:13" ht="14.4">
      <c r="A461" s="261"/>
      <c r="B461" s="258" t="s">
        <v>488</v>
      </c>
      <c r="C461" s="258"/>
      <c r="F461" s="211">
        <f t="shared" si="19"/>
        <v>-182</v>
      </c>
      <c r="G461" s="211">
        <v>0</v>
      </c>
      <c r="H461" s="211">
        <v>-181909</v>
      </c>
      <c r="L461" s="211">
        <v>-181909</v>
      </c>
      <c r="M461" s="421" t="s">
        <v>488</v>
      </c>
    </row>
    <row r="462" spans="1:13" ht="14.4">
      <c r="A462" s="262"/>
      <c r="B462" s="247" t="s">
        <v>580</v>
      </c>
      <c r="C462" s="247"/>
      <c r="F462" s="211">
        <f t="shared" si="19"/>
        <v>38</v>
      </c>
      <c r="G462" s="211">
        <v>0</v>
      </c>
      <c r="H462" s="211">
        <v>37806</v>
      </c>
      <c r="L462" s="211">
        <v>37806</v>
      </c>
      <c r="M462" s="419" t="s">
        <v>580</v>
      </c>
    </row>
    <row r="463" spans="1:13" ht="14.4">
      <c r="A463" s="261"/>
      <c r="B463" s="258" t="s">
        <v>489</v>
      </c>
      <c r="C463" s="258"/>
      <c r="F463" s="211">
        <f t="shared" si="19"/>
        <v>0</v>
      </c>
      <c r="G463" s="211">
        <v>0</v>
      </c>
      <c r="H463" s="211">
        <v>0</v>
      </c>
      <c r="L463" s="211">
        <v>0</v>
      </c>
      <c r="M463" s="421" t="s">
        <v>489</v>
      </c>
    </row>
    <row r="464" spans="1:13" ht="14.4">
      <c r="A464" s="261"/>
      <c r="B464" s="247" t="s">
        <v>490</v>
      </c>
      <c r="C464" s="247"/>
      <c r="F464" s="211">
        <f t="shared" si="19"/>
        <v>249</v>
      </c>
      <c r="G464" s="211">
        <v>0</v>
      </c>
      <c r="H464" s="211">
        <v>249210</v>
      </c>
      <c r="L464" s="211">
        <v>249210</v>
      </c>
      <c r="M464" s="419" t="s">
        <v>490</v>
      </c>
    </row>
    <row r="465" spans="1:13" ht="14.4">
      <c r="A465" s="261"/>
      <c r="B465" s="247" t="s">
        <v>491</v>
      </c>
      <c r="C465" s="247"/>
      <c r="F465" s="211">
        <f t="shared" si="19"/>
        <v>-87</v>
      </c>
      <c r="G465" s="211">
        <v>0</v>
      </c>
      <c r="H465" s="211">
        <v>-87205</v>
      </c>
      <c r="L465" s="211">
        <v>-87205</v>
      </c>
      <c r="M465" s="419" t="s">
        <v>491</v>
      </c>
    </row>
    <row r="466" spans="1:13" ht="14.4">
      <c r="A466" s="261"/>
      <c r="B466" s="247" t="s">
        <v>492</v>
      </c>
      <c r="C466" s="247"/>
      <c r="F466" s="211">
        <f t="shared" ref="F466:F472" si="20">ROUND(H466/1000,0)</f>
        <v>158</v>
      </c>
      <c r="G466" s="211">
        <v>0</v>
      </c>
      <c r="H466" s="211">
        <v>158246</v>
      </c>
      <c r="L466" s="211">
        <v>158246</v>
      </c>
      <c r="M466" s="419" t="s">
        <v>492</v>
      </c>
    </row>
    <row r="467" spans="1:13" ht="14.4">
      <c r="A467" s="261"/>
      <c r="B467" s="247" t="s">
        <v>493</v>
      </c>
      <c r="C467" s="247"/>
      <c r="F467" s="211">
        <f t="shared" si="20"/>
        <v>-55</v>
      </c>
      <c r="G467" s="211">
        <v>0</v>
      </c>
      <c r="H467" s="211">
        <v>-55410</v>
      </c>
      <c r="L467" s="211">
        <v>-55410</v>
      </c>
      <c r="M467" s="419" t="s">
        <v>493</v>
      </c>
    </row>
    <row r="468" spans="1:13" ht="14.4">
      <c r="A468" s="261"/>
      <c r="B468" s="263" t="s">
        <v>494</v>
      </c>
      <c r="C468" s="247"/>
      <c r="F468" s="211">
        <f t="shared" si="20"/>
        <v>0</v>
      </c>
      <c r="G468" s="211">
        <v>0</v>
      </c>
      <c r="H468" s="211">
        <v>0</v>
      </c>
      <c r="L468" s="211">
        <v>0</v>
      </c>
      <c r="M468" s="424" t="s">
        <v>494</v>
      </c>
    </row>
    <row r="469" spans="1:13" ht="14.4">
      <c r="A469" s="261"/>
      <c r="B469" s="247" t="s">
        <v>495</v>
      </c>
      <c r="C469" s="247"/>
      <c r="F469" s="211">
        <f t="shared" si="20"/>
        <v>0</v>
      </c>
      <c r="G469" s="211">
        <v>0</v>
      </c>
      <c r="H469" s="211">
        <v>0</v>
      </c>
      <c r="L469" s="211">
        <v>0</v>
      </c>
      <c r="M469" s="419" t="s">
        <v>495</v>
      </c>
    </row>
    <row r="470" spans="1:13" ht="14.4">
      <c r="A470" s="261"/>
      <c r="B470" s="251" t="s">
        <v>496</v>
      </c>
      <c r="C470" s="247"/>
      <c r="F470" s="211">
        <f t="shared" si="20"/>
        <v>0</v>
      </c>
      <c r="G470" s="211">
        <v>0</v>
      </c>
      <c r="H470" s="211">
        <v>0</v>
      </c>
      <c r="L470" s="211">
        <v>0</v>
      </c>
      <c r="M470" s="423" t="s">
        <v>496</v>
      </c>
    </row>
    <row r="471" spans="1:13" ht="14.4">
      <c r="A471" s="261"/>
      <c r="B471" s="247" t="s">
        <v>497</v>
      </c>
      <c r="C471" s="247"/>
      <c r="F471" s="211">
        <f t="shared" si="20"/>
        <v>0</v>
      </c>
      <c r="G471" s="211">
        <v>0</v>
      </c>
      <c r="H471" s="211">
        <v>0</v>
      </c>
      <c r="L471" s="211">
        <v>0</v>
      </c>
      <c r="M471" s="419" t="s">
        <v>497</v>
      </c>
    </row>
    <row r="472" spans="1:13" ht="14.4">
      <c r="A472" s="261"/>
      <c r="B472" s="251" t="s">
        <v>498</v>
      </c>
      <c r="C472" s="247"/>
      <c r="F472" s="211">
        <f t="shared" si="20"/>
        <v>0</v>
      </c>
      <c r="G472" s="211">
        <v>0</v>
      </c>
      <c r="H472" s="211">
        <v>0</v>
      </c>
      <c r="L472" s="211">
        <v>0</v>
      </c>
      <c r="M472" s="423" t="s">
        <v>498</v>
      </c>
    </row>
    <row r="473" spans="1:13" ht="14.4">
      <c r="A473" s="261"/>
      <c r="B473" s="251" t="s">
        <v>499</v>
      </c>
      <c r="C473" s="247"/>
      <c r="F473" s="211">
        <f t="shared" si="19"/>
        <v>-651</v>
      </c>
      <c r="G473" s="211">
        <v>0</v>
      </c>
      <c r="H473" s="211">
        <v>-650764</v>
      </c>
      <c r="L473" s="211">
        <v>-650764</v>
      </c>
      <c r="M473" s="423" t="s">
        <v>499</v>
      </c>
    </row>
    <row r="474" spans="1:13" ht="14.4">
      <c r="A474" s="261"/>
      <c r="B474" s="251" t="s">
        <v>500</v>
      </c>
      <c r="C474" s="247"/>
      <c r="F474" s="211">
        <f t="shared" si="19"/>
        <v>-1886</v>
      </c>
      <c r="G474" s="211">
        <v>0</v>
      </c>
      <c r="H474" s="211">
        <v>-1885859</v>
      </c>
      <c r="L474" s="211">
        <v>-1885859</v>
      </c>
      <c r="M474" s="423" t="s">
        <v>500</v>
      </c>
    </row>
    <row r="475" spans="1:13" ht="14.4">
      <c r="A475" s="261"/>
      <c r="B475" s="251" t="s">
        <v>501</v>
      </c>
      <c r="C475" s="247"/>
      <c r="F475" s="211">
        <f t="shared" si="19"/>
        <v>63549</v>
      </c>
      <c r="G475" s="211">
        <v>0</v>
      </c>
      <c r="H475" s="211">
        <v>63549207</v>
      </c>
      <c r="L475" s="211">
        <v>63549207</v>
      </c>
      <c r="M475" s="423" t="s">
        <v>501</v>
      </c>
    </row>
    <row r="476" spans="1:13" ht="14.4">
      <c r="A476" s="260"/>
      <c r="B476" s="251" t="s">
        <v>502</v>
      </c>
      <c r="C476" s="247"/>
      <c r="F476" s="211">
        <f t="shared" si="19"/>
        <v>0</v>
      </c>
      <c r="G476" s="211">
        <v>0</v>
      </c>
      <c r="H476" s="211">
        <v>0</v>
      </c>
      <c r="L476" s="211">
        <v>0</v>
      </c>
      <c r="M476" s="423" t="s">
        <v>502</v>
      </c>
    </row>
    <row r="477" spans="1:13" ht="14.4">
      <c r="A477" s="260"/>
      <c r="B477" s="244" t="s">
        <v>503</v>
      </c>
      <c r="C477" s="244"/>
      <c r="F477" s="211">
        <f t="shared" si="19"/>
        <v>65659</v>
      </c>
      <c r="G477" s="211">
        <v>0</v>
      </c>
      <c r="H477" s="211">
        <v>65658995</v>
      </c>
      <c r="L477" s="211">
        <v>65658995</v>
      </c>
      <c r="M477" s="417" t="s">
        <v>503</v>
      </c>
    </row>
    <row r="478" spans="1:13" ht="14.4">
      <c r="A478" s="260"/>
      <c r="B478" s="244"/>
      <c r="C478" s="244"/>
      <c r="F478" s="211">
        <f t="shared" si="19"/>
        <v>0</v>
      </c>
      <c r="G478" s="211">
        <v>0</v>
      </c>
    </row>
    <row r="479" spans="1:13" ht="14.4">
      <c r="B479" s="244" t="s">
        <v>504</v>
      </c>
      <c r="C479" s="244"/>
      <c r="F479" s="211">
        <f t="shared" si="19"/>
        <v>1516399</v>
      </c>
      <c r="G479" s="211">
        <v>0</v>
      </c>
      <c r="H479" s="211">
        <v>1516399093</v>
      </c>
      <c r="L479" s="211">
        <v>1516399093</v>
      </c>
    </row>
  </sheetData>
  <printOptions horizontalCentered="1"/>
  <pageMargins left="1" right="1" top="0.5" bottom="0.5" header="0.5" footer="0.5"/>
  <pageSetup scale="90" orientation="portrait" horizontalDpi="300" verticalDpi="300" r:id="rId1"/>
  <headerFooter alignWithMargins="0"/>
  <rowBreaks count="1" manualBreakCount="1">
    <brk id="56" max="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L148"/>
  <sheetViews>
    <sheetView topLeftCell="A11" workbookViewId="0">
      <selection sqref="A1:H1"/>
    </sheetView>
  </sheetViews>
  <sheetFormatPr defaultColWidth="10.6640625" defaultRowHeight="13.2"/>
  <cols>
    <col min="1" max="1" width="8.33203125" style="279" customWidth="1"/>
    <col min="2" max="2" width="18.6640625" style="64" customWidth="1"/>
    <col min="3" max="4" width="10.6640625" style="41" customWidth="1"/>
    <col min="5" max="5" width="10.109375" style="41" customWidth="1"/>
    <col min="6" max="6" width="14.6640625" style="44" customWidth="1"/>
    <col min="7" max="7" width="11.88671875" style="41" bestFit="1" customWidth="1"/>
    <col min="8" max="8" width="2.109375" style="41" customWidth="1"/>
    <col min="9" max="9" width="18.44140625" style="41" customWidth="1"/>
    <col min="10" max="10" width="19.109375" style="41" customWidth="1"/>
    <col min="11" max="11" width="10.88671875" style="41" bestFit="1" customWidth="1"/>
    <col min="12" max="16384" width="10.6640625" style="41"/>
  </cols>
  <sheetData>
    <row r="1" spans="1:9">
      <c r="A1" s="492" t="s">
        <v>86</v>
      </c>
      <c r="B1" s="492"/>
      <c r="C1" s="492"/>
      <c r="D1" s="492"/>
      <c r="E1" s="492"/>
      <c r="F1" s="492"/>
      <c r="G1" s="492"/>
      <c r="H1" s="492"/>
    </row>
    <row r="2" spans="1:9">
      <c r="A2" s="493" t="s">
        <v>518</v>
      </c>
      <c r="B2" s="493"/>
      <c r="C2" s="493"/>
      <c r="D2" s="493"/>
      <c r="E2" s="493"/>
      <c r="F2" s="493"/>
      <c r="G2" s="493"/>
      <c r="H2" s="493"/>
    </row>
    <row r="3" spans="1:9">
      <c r="A3" s="493" t="s">
        <v>138</v>
      </c>
      <c r="B3" s="493"/>
      <c r="C3" s="493"/>
      <c r="D3" s="493"/>
      <c r="E3" s="493"/>
      <c r="F3" s="493"/>
      <c r="G3" s="493"/>
      <c r="H3" s="493"/>
    </row>
    <row r="4" spans="1:9">
      <c r="A4" s="494" t="str">
        <f>'ADJ SUMMARY'!A4</f>
        <v>TWELVE MONTHS ENDED DECEMBER 31, 2017</v>
      </c>
      <c r="B4" s="494"/>
      <c r="C4" s="494"/>
      <c r="D4" s="494"/>
      <c r="E4" s="494"/>
      <c r="F4" s="494"/>
      <c r="G4" s="494"/>
      <c r="H4" s="494"/>
    </row>
    <row r="5" spans="1:9">
      <c r="A5" s="495" t="s">
        <v>117</v>
      </c>
      <c r="B5" s="495"/>
      <c r="C5" s="495"/>
      <c r="D5" s="495"/>
      <c r="E5" s="495"/>
      <c r="F5" s="495"/>
      <c r="G5" s="495"/>
      <c r="H5" s="495"/>
    </row>
    <row r="6" spans="1:9" ht="13.8" thickBot="1">
      <c r="A6" s="278"/>
      <c r="B6" s="285"/>
      <c r="C6" s="42"/>
      <c r="D6" s="43"/>
      <c r="E6" s="43"/>
      <c r="F6" s="43"/>
      <c r="I6" s="45" t="s">
        <v>519</v>
      </c>
    </row>
    <row r="7" spans="1:9" ht="13.8" thickBot="1">
      <c r="C7" s="44"/>
      <c r="D7" s="44"/>
      <c r="E7" s="489" t="s">
        <v>518</v>
      </c>
      <c r="F7" s="490"/>
      <c r="G7" s="491"/>
      <c r="I7" s="45" t="s">
        <v>520</v>
      </c>
    </row>
    <row r="8" spans="1:9">
      <c r="C8" s="44"/>
      <c r="D8" s="44"/>
      <c r="E8" s="279">
        <f>'ADJ DETAIL-INPUT'!Z10</f>
        <v>2.1699999999999964</v>
      </c>
      <c r="F8" s="316"/>
      <c r="G8" s="316"/>
      <c r="I8" s="45"/>
    </row>
    <row r="9" spans="1:9">
      <c r="C9" s="44"/>
      <c r="D9" s="44"/>
      <c r="E9" s="46" t="s">
        <v>21</v>
      </c>
      <c r="F9" s="45" t="s">
        <v>542</v>
      </c>
      <c r="I9" s="45" t="s">
        <v>521</v>
      </c>
    </row>
    <row r="10" spans="1:9">
      <c r="B10" s="286" t="s">
        <v>118</v>
      </c>
      <c r="C10" s="44"/>
      <c r="D10" s="44"/>
      <c r="E10" s="290" t="s">
        <v>224</v>
      </c>
      <c r="F10" s="47" t="s">
        <v>119</v>
      </c>
      <c r="G10" s="47" t="s">
        <v>29</v>
      </c>
      <c r="I10" s="47" t="str">
        <f>F10</f>
        <v>Adjustments</v>
      </c>
    </row>
    <row r="11" spans="1:9">
      <c r="B11" s="64" t="str">
        <f>'ADJ SUMMARY'!C10</f>
        <v>Results of Operations</v>
      </c>
      <c r="C11" s="44"/>
      <c r="D11" s="44"/>
      <c r="E11" s="289">
        <f>'ADJ SUMMARY'!E10</f>
        <v>1516399</v>
      </c>
      <c r="F11" s="277"/>
      <c r="G11" s="41">
        <f>SUM(E11:F11)</f>
        <v>1516399</v>
      </c>
      <c r="I11" s="317">
        <f>ROUND(E11*$E$39*-$F$46,0)+(E43*0.35)</f>
        <v>392.89999999999964</v>
      </c>
    </row>
    <row r="12" spans="1:9">
      <c r="A12" s="279">
        <f>'ADJ SUMMARY'!A11</f>
        <v>1.01</v>
      </c>
      <c r="B12" s="287" t="str">
        <f>'ADJ SUMMARY'!C11</f>
        <v>Deferred FIT Rate Base</v>
      </c>
      <c r="C12" s="44"/>
      <c r="D12" s="44"/>
      <c r="E12" s="48"/>
      <c r="F12" s="289">
        <f>'ADJ SUMMARY'!E11</f>
        <v>771</v>
      </c>
      <c r="G12" s="41">
        <f>SUM(E12:F12)</f>
        <v>771</v>
      </c>
      <c r="I12" s="289">
        <f t="shared" ref="I12:I32" si="0">ROUND(F12*$E$39*-$F$46,0)</f>
        <v>-8</v>
      </c>
    </row>
    <row r="13" spans="1:9">
      <c r="A13" s="279">
        <f>'ADJ SUMMARY'!A12</f>
        <v>1.02</v>
      </c>
      <c r="B13" s="287" t="str">
        <f>'ADJ SUMMARY'!C12</f>
        <v>Deferred Debits and Credits</v>
      </c>
      <c r="C13" s="44"/>
      <c r="D13" s="44"/>
      <c r="E13" s="48"/>
      <c r="F13" s="289">
        <f>'ADJ SUMMARY'!E12</f>
        <v>0</v>
      </c>
      <c r="G13" s="41">
        <f t="shared" ref="G13:G32" si="1">SUM(E13:F13)</f>
        <v>0</v>
      </c>
      <c r="I13" s="289">
        <f t="shared" si="0"/>
        <v>0</v>
      </c>
    </row>
    <row r="14" spans="1:9">
      <c r="A14" s="279">
        <f>'ADJ SUMMARY'!A13</f>
        <v>1.03</v>
      </c>
      <c r="B14" s="287" t="str">
        <f>'ADJ SUMMARY'!C13</f>
        <v>Working Capital</v>
      </c>
      <c r="C14" s="44"/>
      <c r="D14" s="44"/>
      <c r="E14" s="48"/>
      <c r="F14" s="289">
        <f>'ADJ SUMMARY'!E13</f>
        <v>0</v>
      </c>
      <c r="G14" s="41">
        <f t="shared" si="1"/>
        <v>0</v>
      </c>
      <c r="I14" s="289">
        <f t="shared" si="0"/>
        <v>0</v>
      </c>
    </row>
    <row r="15" spans="1:9">
      <c r="A15" s="279">
        <f>'ADJ SUMMARY'!A14</f>
        <v>1.04</v>
      </c>
      <c r="B15" s="287" t="str">
        <f>'ADJ SUMMARY'!C14</f>
        <v>AMI Rate Base</v>
      </c>
      <c r="C15" s="44"/>
      <c r="D15" s="44"/>
      <c r="E15" s="48"/>
      <c r="F15" s="289">
        <f>'ADJ SUMMARY'!E14</f>
        <v>-3464</v>
      </c>
      <c r="G15" s="79">
        <f t="shared" ref="G15" si="2">SUM(E15:F15)</f>
        <v>-3464</v>
      </c>
      <c r="I15" s="289">
        <f t="shared" ref="I15" si="3">ROUND(F15*$E$39*-$F$46,0)</f>
        <v>35</v>
      </c>
    </row>
    <row r="16" spans="1:9">
      <c r="A16" s="279">
        <f>'ADJ SUMMARY'!A15</f>
        <v>2.0099999999999998</v>
      </c>
      <c r="B16" s="287" t="str">
        <f>'ADJ SUMMARY'!C15</f>
        <v>Eliminate B &amp; O Taxes</v>
      </c>
      <c r="C16" s="44"/>
      <c r="D16" s="44"/>
      <c r="E16" s="48"/>
      <c r="F16" s="289">
        <f>'ADJ SUMMARY'!E15</f>
        <v>0</v>
      </c>
      <c r="G16" s="41">
        <f t="shared" si="1"/>
        <v>0</v>
      </c>
      <c r="I16" s="289">
        <f t="shared" si="0"/>
        <v>0</v>
      </c>
    </row>
    <row r="17" spans="1:9">
      <c r="A17" s="279">
        <f>'ADJ SUMMARY'!A16</f>
        <v>2.0199999999999996</v>
      </c>
      <c r="B17" s="287" t="str">
        <f>'ADJ SUMMARY'!C16</f>
        <v>Restate Property Tax</v>
      </c>
      <c r="C17" s="44"/>
      <c r="D17" s="44"/>
      <c r="E17" s="48"/>
      <c r="F17" s="289">
        <f>'ADJ SUMMARY'!E16</f>
        <v>0</v>
      </c>
      <c r="G17" s="41">
        <f t="shared" si="1"/>
        <v>0</v>
      </c>
      <c r="I17" s="289">
        <f t="shared" si="0"/>
        <v>0</v>
      </c>
    </row>
    <row r="18" spans="1:9">
      <c r="A18" s="279">
        <f>'ADJ SUMMARY'!A17</f>
        <v>2.0299999999999994</v>
      </c>
      <c r="B18" s="287" t="str">
        <f>'ADJ SUMMARY'!C17</f>
        <v>Uncollectible Expense</v>
      </c>
      <c r="C18" s="44"/>
      <c r="D18" s="44"/>
      <c r="E18" s="48"/>
      <c r="F18" s="289">
        <f>'ADJ SUMMARY'!E17</f>
        <v>0</v>
      </c>
      <c r="G18" s="41">
        <f t="shared" si="1"/>
        <v>0</v>
      </c>
      <c r="I18" s="289">
        <f t="shared" si="0"/>
        <v>0</v>
      </c>
    </row>
    <row r="19" spans="1:9">
      <c r="A19" s="279">
        <f>'ADJ SUMMARY'!A18</f>
        <v>2.0399999999999991</v>
      </c>
      <c r="B19" s="287" t="str">
        <f>'ADJ SUMMARY'!C18</f>
        <v>Regulatory Expense</v>
      </c>
      <c r="C19" s="44"/>
      <c r="D19" s="44"/>
      <c r="E19" s="48"/>
      <c r="F19" s="289">
        <f>'ADJ SUMMARY'!E18</f>
        <v>0</v>
      </c>
      <c r="G19" s="41">
        <f t="shared" si="1"/>
        <v>0</v>
      </c>
      <c r="I19" s="289">
        <f t="shared" si="0"/>
        <v>0</v>
      </c>
    </row>
    <row r="20" spans="1:9">
      <c r="A20" s="279">
        <f>'ADJ SUMMARY'!A19</f>
        <v>2.0499999999999989</v>
      </c>
      <c r="B20" s="287" t="str">
        <f>'ADJ SUMMARY'!C19</f>
        <v>Injuries and Damages</v>
      </c>
      <c r="C20" s="44"/>
      <c r="D20" s="44"/>
      <c r="E20" s="48"/>
      <c r="F20" s="289">
        <f>'ADJ SUMMARY'!E19</f>
        <v>0</v>
      </c>
      <c r="G20" s="41">
        <f t="shared" si="1"/>
        <v>0</v>
      </c>
      <c r="I20" s="289">
        <f t="shared" si="0"/>
        <v>0</v>
      </c>
    </row>
    <row r="21" spans="1:9">
      <c r="A21" s="279">
        <f>'ADJ SUMMARY'!A20</f>
        <v>2.0599999999999987</v>
      </c>
      <c r="B21" s="287" t="str">
        <f>'ADJ SUMMARY'!C20</f>
        <v>FIT/DFIT Expense</v>
      </c>
      <c r="C21" s="44"/>
      <c r="D21" s="44"/>
      <c r="E21" s="48"/>
      <c r="F21" s="289">
        <f>'ADJ SUMMARY'!E20</f>
        <v>0</v>
      </c>
      <c r="G21" s="41">
        <f t="shared" si="1"/>
        <v>0</v>
      </c>
      <c r="I21" s="289">
        <f t="shared" si="0"/>
        <v>0</v>
      </c>
    </row>
    <row r="22" spans="1:9">
      <c r="A22" s="279">
        <f>'ADJ SUMMARY'!A21</f>
        <v>2.0699999999999985</v>
      </c>
      <c r="B22" s="287" t="str">
        <f>'ADJ SUMMARY'!C21</f>
        <v>Office Space Charges to Non-Utility</v>
      </c>
      <c r="C22" s="44"/>
      <c r="D22" s="44"/>
      <c r="E22" s="48"/>
      <c r="F22" s="289">
        <f>'ADJ SUMMARY'!E21</f>
        <v>0</v>
      </c>
      <c r="G22" s="41">
        <f t="shared" si="1"/>
        <v>0</v>
      </c>
      <c r="I22" s="289">
        <f t="shared" si="0"/>
        <v>0</v>
      </c>
    </row>
    <row r="23" spans="1:9">
      <c r="A23" s="279">
        <f>'ADJ SUMMARY'!A22</f>
        <v>2.0799999999999983</v>
      </c>
      <c r="B23" s="287" t="str">
        <f>'ADJ SUMMARY'!C22</f>
        <v>Restate Excise Taxes</v>
      </c>
      <c r="C23" s="44"/>
      <c r="D23" s="44"/>
      <c r="E23" s="48"/>
      <c r="F23" s="289">
        <f>'ADJ SUMMARY'!E22</f>
        <v>0</v>
      </c>
      <c r="G23" s="41">
        <f t="shared" si="1"/>
        <v>0</v>
      </c>
      <c r="I23" s="289">
        <f t="shared" si="0"/>
        <v>0</v>
      </c>
    </row>
    <row r="24" spans="1:9">
      <c r="A24" s="279">
        <f>'ADJ SUMMARY'!A23</f>
        <v>2.0899999999999981</v>
      </c>
      <c r="B24" s="287" t="str">
        <f>'ADJ SUMMARY'!C23</f>
        <v>Net Gains / Losses</v>
      </c>
      <c r="C24" s="44"/>
      <c r="D24" s="44"/>
      <c r="E24" s="48"/>
      <c r="F24" s="289">
        <f>'ADJ SUMMARY'!E23</f>
        <v>0</v>
      </c>
      <c r="G24" s="41">
        <f t="shared" si="1"/>
        <v>0</v>
      </c>
      <c r="I24" s="289">
        <f t="shared" si="0"/>
        <v>0</v>
      </c>
    </row>
    <row r="25" spans="1:9">
      <c r="A25" s="279">
        <f>'ADJ SUMMARY'!A24</f>
        <v>2.0999999999999979</v>
      </c>
      <c r="B25" s="287" t="str">
        <f>'ADJ SUMMARY'!C24</f>
        <v>Weather Normalization</v>
      </c>
      <c r="C25" s="44"/>
      <c r="D25" s="44"/>
      <c r="E25" s="48"/>
      <c r="F25" s="289">
        <f>'ADJ SUMMARY'!E24</f>
        <v>0</v>
      </c>
      <c r="G25" s="41">
        <f t="shared" si="1"/>
        <v>0</v>
      </c>
      <c r="I25" s="289">
        <f t="shared" si="0"/>
        <v>0</v>
      </c>
    </row>
    <row r="26" spans="1:9">
      <c r="A26" s="279">
        <f>'ADJ SUMMARY'!A25</f>
        <v>2.1099999999999977</v>
      </c>
      <c r="B26" s="287" t="str">
        <f>'ADJ SUMMARY'!C25</f>
        <v>Eliminate Adder Schedules</v>
      </c>
      <c r="C26" s="44"/>
      <c r="D26" s="44"/>
      <c r="E26" s="48"/>
      <c r="F26" s="289">
        <f>'ADJ SUMMARY'!E25</f>
        <v>0</v>
      </c>
      <c r="G26" s="41">
        <f t="shared" si="1"/>
        <v>0</v>
      </c>
      <c r="I26" s="289">
        <f t="shared" si="0"/>
        <v>0</v>
      </c>
    </row>
    <row r="27" spans="1:9">
      <c r="A27" s="279">
        <f>'ADJ SUMMARY'!A26</f>
        <v>2.1199999999999974</v>
      </c>
      <c r="B27" s="287" t="str">
        <f>'ADJ SUMMARY'!C26</f>
        <v>Miscellaneous Restating</v>
      </c>
      <c r="C27" s="44"/>
      <c r="D27" s="44"/>
      <c r="E27" s="48"/>
      <c r="F27" s="289">
        <f>'ADJ SUMMARY'!E26</f>
        <v>0</v>
      </c>
      <c r="G27" s="41">
        <f t="shared" si="1"/>
        <v>0</v>
      </c>
      <c r="I27" s="289">
        <f t="shared" si="0"/>
        <v>0</v>
      </c>
    </row>
    <row r="28" spans="1:9">
      <c r="A28" s="279">
        <f>'ADJ SUMMARY'!A27</f>
        <v>2.1299999999999972</v>
      </c>
      <c r="B28" s="287" t="str">
        <f>'ADJ SUMMARY'!C27</f>
        <v>Eliminate WA Power Cost Defer</v>
      </c>
      <c r="C28" s="44"/>
      <c r="D28" s="44"/>
      <c r="E28" s="48"/>
      <c r="F28" s="289">
        <f>'ADJ SUMMARY'!E27</f>
        <v>0</v>
      </c>
      <c r="G28" s="41">
        <f t="shared" si="1"/>
        <v>0</v>
      </c>
      <c r="I28" s="289">
        <f t="shared" si="0"/>
        <v>0</v>
      </c>
    </row>
    <row r="29" spans="1:9">
      <c r="A29" s="279">
        <f>'ADJ SUMMARY'!A28</f>
        <v>2.139999999999997</v>
      </c>
      <c r="B29" s="287" t="str">
        <f>'ADJ SUMMARY'!C28</f>
        <v>Nez Perce Settlement Adjustment</v>
      </c>
      <c r="C29" s="44"/>
      <c r="D29" s="44"/>
      <c r="E29" s="48"/>
      <c r="F29" s="289">
        <f>'ADJ SUMMARY'!E28</f>
        <v>0</v>
      </c>
      <c r="G29" s="41">
        <f t="shared" si="1"/>
        <v>0</v>
      </c>
      <c r="I29" s="289">
        <f t="shared" si="0"/>
        <v>0</v>
      </c>
    </row>
    <row r="30" spans="1:9">
      <c r="A30" s="279">
        <f>'ADJ SUMMARY'!A29</f>
        <v>2.1499999999999968</v>
      </c>
      <c r="B30" s="287" t="str">
        <f>'ADJ SUMMARY'!C29</f>
        <v>Restate Incentives</v>
      </c>
      <c r="C30" s="44"/>
      <c r="D30" s="44"/>
      <c r="E30" s="48"/>
      <c r="F30" s="289">
        <f>'ADJ SUMMARY'!E29</f>
        <v>0</v>
      </c>
      <c r="G30" s="41">
        <f t="shared" ref="G30:G31" si="4">SUM(E30:F30)</f>
        <v>0</v>
      </c>
      <c r="I30" s="289">
        <f t="shared" ref="I30:I31" si="5">ROUND(F30*$E$39*-$F$46,0)</f>
        <v>0</v>
      </c>
    </row>
    <row r="31" spans="1:9">
      <c r="A31" s="279">
        <f>'ADJ SUMMARY'!A30</f>
        <v>2.1599999999999966</v>
      </c>
      <c r="B31" s="287" t="str">
        <f>'ADJ SUMMARY'!C30</f>
        <v>Normalize CS2/Colstrip Major Maint</v>
      </c>
      <c r="C31" s="44"/>
      <c r="D31" s="44"/>
      <c r="E31" s="48"/>
      <c r="F31" s="289">
        <f>'ADJ SUMMARY'!E30</f>
        <v>0</v>
      </c>
      <c r="G31" s="41">
        <f t="shared" si="4"/>
        <v>0</v>
      </c>
      <c r="I31" s="289">
        <f t="shared" si="5"/>
        <v>0</v>
      </c>
    </row>
    <row r="32" spans="1:9">
      <c r="A32" s="279">
        <f>'ADJ SUMMARY'!A31</f>
        <v>2.1699999999999964</v>
      </c>
      <c r="B32" s="287" t="str">
        <f>'ADJ SUMMARY'!C31</f>
        <v>Restate Debt Interest</v>
      </c>
      <c r="C32" s="44"/>
      <c r="D32" s="44"/>
      <c r="E32" s="48"/>
      <c r="F32" s="289">
        <f>'ADJ SUMMARY'!E31</f>
        <v>0</v>
      </c>
      <c r="G32" s="41">
        <f t="shared" si="1"/>
        <v>0</v>
      </c>
      <c r="I32" s="289">
        <f t="shared" si="0"/>
        <v>0</v>
      </c>
    </row>
    <row r="33" spans="1:12">
      <c r="A33" s="279" t="str">
        <f>'ADJ SUMMARY'!A32</f>
        <v>2.18 (1)</v>
      </c>
      <c r="B33" s="287" t="str">
        <f>'ADJ SUMMARY'!C32</f>
        <v>CB Power Supply</v>
      </c>
      <c r="C33" s="44"/>
      <c r="D33" s="44"/>
      <c r="E33" s="48"/>
      <c r="F33" s="289">
        <f>'ADJ SUMMARY'!E32</f>
        <v>0</v>
      </c>
      <c r="G33" s="41">
        <f t="shared" ref="G33" si="6">SUM(E33:F33)</f>
        <v>0</v>
      </c>
      <c r="I33" s="289">
        <f t="shared" ref="I33" si="7">ROUND(F33*$E$39*-$F$46,0)</f>
        <v>0</v>
      </c>
    </row>
    <row r="34" spans="1:12">
      <c r="B34" s="287"/>
      <c r="C34" s="44"/>
      <c r="D34" s="44"/>
      <c r="E34" s="48"/>
      <c r="F34" s="277"/>
      <c r="G34" s="60"/>
      <c r="H34" s="54"/>
    </row>
    <row r="35" spans="1:12" ht="13.8">
      <c r="A35" s="41"/>
      <c r="B35" s="287" t="s">
        <v>546</v>
      </c>
      <c r="C35" s="44"/>
      <c r="D35" s="44"/>
      <c r="E35" s="79">
        <f>SUM(E11:E32)</f>
        <v>1516399</v>
      </c>
      <c r="F35" s="79">
        <f>SUM(F11:F32)</f>
        <v>-2693</v>
      </c>
      <c r="G35" s="79">
        <f>SUM(G11:G32)</f>
        <v>1513706</v>
      </c>
      <c r="H35" s="48"/>
      <c r="I35" s="48"/>
      <c r="K35" s="313">
        <f>G35-'ADJ SUMMARY'!E35</f>
        <v>0</v>
      </c>
      <c r="L35" s="385" t="s">
        <v>63</v>
      </c>
    </row>
    <row r="36" spans="1:12">
      <c r="A36" s="41"/>
      <c r="B36" s="287"/>
      <c r="C36" s="44"/>
      <c r="D36" s="44"/>
      <c r="E36" s="79"/>
      <c r="F36" s="291"/>
    </row>
    <row r="37" spans="1:12">
      <c r="A37" s="41"/>
      <c r="B37" s="287"/>
      <c r="C37" s="44"/>
      <c r="D37" s="44"/>
      <c r="E37" s="79"/>
      <c r="F37" s="291"/>
      <c r="G37" s="150"/>
    </row>
    <row r="38" spans="1:12" ht="5.25" customHeight="1">
      <c r="A38" s="41"/>
      <c r="C38" s="44"/>
      <c r="D38" s="44"/>
      <c r="E38" s="79"/>
      <c r="F38" s="79"/>
      <c r="G38" s="79"/>
    </row>
    <row r="39" spans="1:12">
      <c r="A39" s="41"/>
      <c r="B39" s="64" t="s">
        <v>139</v>
      </c>
      <c r="C39" s="44"/>
      <c r="D39" s="44"/>
      <c r="E39" s="384">
        <f>'RR SUMMARY'!N11</f>
        <v>2.8469999999999999E-2</v>
      </c>
      <c r="F39" s="384">
        <f>E39-I39</f>
        <v>2.8469999999999999E-2</v>
      </c>
      <c r="G39" s="86"/>
      <c r="I39" s="194"/>
    </row>
    <row r="40" spans="1:12" ht="6" customHeight="1">
      <c r="A40" s="41"/>
      <c r="C40" s="44"/>
      <c r="D40" s="44"/>
      <c r="E40" s="79" t="s">
        <v>607</v>
      </c>
      <c r="F40" s="79"/>
      <c r="G40" s="79"/>
    </row>
    <row r="41" spans="1:12">
      <c r="A41" s="41"/>
      <c r="B41" s="64" t="s">
        <v>120</v>
      </c>
      <c r="C41" s="44"/>
      <c r="D41" s="44"/>
      <c r="E41" s="79">
        <f>E35*E39</f>
        <v>43171.879529999998</v>
      </c>
      <c r="F41" s="79">
        <f>F35*F39</f>
        <v>-76.669709999999995</v>
      </c>
      <c r="G41" s="79">
        <f>SUM(E41:F41)</f>
        <v>43095.209819999996</v>
      </c>
      <c r="I41" s="79">
        <f>SUM(I11:I32)</f>
        <v>419.89999999999964</v>
      </c>
    </row>
    <row r="42" spans="1:12">
      <c r="A42" s="41"/>
      <c r="C42" s="44"/>
      <c r="D42" s="44"/>
      <c r="E42" s="79"/>
      <c r="F42" s="79"/>
      <c r="G42" s="79"/>
      <c r="I42" s="79"/>
    </row>
    <row r="43" spans="1:12">
      <c r="A43" s="41"/>
      <c r="B43" s="64" t="s">
        <v>517</v>
      </c>
      <c r="C43" s="44"/>
      <c r="D43" s="44"/>
      <c r="E43" s="292">
        <v>44294</v>
      </c>
      <c r="F43" s="292"/>
      <c r="G43" s="86">
        <f>SUM(E43:F43)</f>
        <v>44294</v>
      </c>
      <c r="I43" s="292"/>
    </row>
    <row r="44" spans="1:12" ht="5.25" customHeight="1">
      <c r="A44" s="41"/>
      <c r="C44" s="44"/>
      <c r="D44" s="44"/>
      <c r="E44" s="79"/>
      <c r="F44" s="79"/>
      <c r="G44" s="79"/>
      <c r="I44" s="79"/>
    </row>
    <row r="45" spans="1:12">
      <c r="A45" s="41"/>
      <c r="B45" s="64" t="s">
        <v>122</v>
      </c>
      <c r="C45" s="44"/>
      <c r="D45" s="44"/>
      <c r="E45" s="79">
        <f>E41-E43</f>
        <v>-1122.1204700000017</v>
      </c>
      <c r="F45" s="79">
        <f>F41-F43</f>
        <v>-76.669709999999995</v>
      </c>
      <c r="G45" s="79">
        <f>SUM(E45:F45)</f>
        <v>-1198.7901800000016</v>
      </c>
      <c r="I45" s="79"/>
    </row>
    <row r="46" spans="1:12" ht="18" customHeight="1">
      <c r="A46" s="41"/>
      <c r="B46" s="64" t="s">
        <v>123</v>
      </c>
      <c r="D46" s="44"/>
      <c r="E46" s="294">
        <v>0.35</v>
      </c>
      <c r="F46" s="294">
        <v>0.35</v>
      </c>
      <c r="G46" s="86"/>
      <c r="I46" s="294"/>
    </row>
    <row r="47" spans="1:12" ht="5.25" customHeight="1" thickBot="1">
      <c r="A47" s="41"/>
      <c r="D47" s="44"/>
      <c r="E47" s="79"/>
      <c r="F47" s="79"/>
      <c r="G47" s="79"/>
      <c r="I47" s="79"/>
    </row>
    <row r="48" spans="1:12" ht="13.8" thickBot="1">
      <c r="A48" s="41"/>
      <c r="B48" s="64" t="s">
        <v>124</v>
      </c>
      <c r="D48" s="44"/>
      <c r="E48" s="319">
        <f>ROUND(E45*-E46,0)</f>
        <v>393</v>
      </c>
      <c r="F48" s="110">
        <f>ROUND(F45*-F46,0)</f>
        <v>27</v>
      </c>
      <c r="G48" s="110">
        <f>SUM(E48:F48)</f>
        <v>420</v>
      </c>
      <c r="I48" s="110">
        <f>I41</f>
        <v>419.89999999999964</v>
      </c>
      <c r="J48" s="318" t="s">
        <v>598</v>
      </c>
    </row>
    <row r="49" spans="1:9" ht="13.8" thickTop="1">
      <c r="A49" s="41"/>
      <c r="D49" s="44"/>
      <c r="E49" s="320">
        <f>E8</f>
        <v>2.1699999999999964</v>
      </c>
      <c r="F49" s="85"/>
      <c r="G49" s="85"/>
      <c r="I49" s="85"/>
    </row>
    <row r="50" spans="1:9" ht="13.8" thickBot="1">
      <c r="A50" s="41"/>
      <c r="E50" s="321" t="s">
        <v>21</v>
      </c>
      <c r="F50" s="293"/>
    </row>
    <row r="51" spans="1:9" hidden="1">
      <c r="A51" s="280" t="s">
        <v>201</v>
      </c>
      <c r="B51" s="288" t="s">
        <v>200</v>
      </c>
    </row>
    <row r="52" spans="1:9" hidden="1">
      <c r="B52" s="286" t="s">
        <v>121</v>
      </c>
    </row>
    <row r="53" spans="1:9" hidden="1">
      <c r="B53" s="64" t="s">
        <v>125</v>
      </c>
      <c r="C53" s="98">
        <v>2430</v>
      </c>
      <c r="H53" s="41" t="s">
        <v>195</v>
      </c>
    </row>
    <row r="54" spans="1:9" hidden="1">
      <c r="B54" s="64" t="s">
        <v>126</v>
      </c>
      <c r="C54" s="97">
        <v>2935</v>
      </c>
      <c r="H54" s="41" t="s">
        <v>195</v>
      </c>
    </row>
    <row r="55" spans="1:9" hidden="1">
      <c r="B55" s="64" t="s">
        <v>127</v>
      </c>
      <c r="C55" s="49">
        <f>C53+C54</f>
        <v>5365</v>
      </c>
    </row>
    <row r="56" spans="1:9" hidden="1">
      <c r="C56" s="48"/>
    </row>
    <row r="57" spans="1:9" hidden="1">
      <c r="C57" s="53"/>
      <c r="D57" s="45"/>
      <c r="E57" s="45" t="s">
        <v>128</v>
      </c>
    </row>
    <row r="58" spans="1:9" hidden="1">
      <c r="C58" s="47" t="s">
        <v>96</v>
      </c>
      <c r="D58" s="47" t="s">
        <v>129</v>
      </c>
      <c r="E58" s="47" t="s">
        <v>27</v>
      </c>
    </row>
    <row r="59" spans="1:9" hidden="1">
      <c r="B59" s="64" t="s">
        <v>130</v>
      </c>
      <c r="C59" s="65" t="e">
        <f>#REF!</f>
        <v>#REF!</v>
      </c>
      <c r="D59" s="66" t="e">
        <f>ROUND(C59/$C$62,4)</f>
        <v>#REF!</v>
      </c>
      <c r="E59" s="65" t="e">
        <f>D59*E62</f>
        <v>#REF!</v>
      </c>
      <c r="F59" s="104"/>
    </row>
    <row r="60" spans="1:9" hidden="1">
      <c r="B60" s="64" t="s">
        <v>131</v>
      </c>
      <c r="C60" s="67" t="e">
        <f>#REF!</f>
        <v>#REF!</v>
      </c>
      <c r="D60" s="66" t="e">
        <f>ROUND(C60/$C$62,4)</f>
        <v>#REF!</v>
      </c>
      <c r="E60" s="67" t="e">
        <f>D60*E62</f>
        <v>#REF!</v>
      </c>
    </row>
    <row r="61" spans="1:9" hidden="1">
      <c r="B61" s="64" t="s">
        <v>132</v>
      </c>
      <c r="C61" s="67" t="e">
        <f>#REF!</f>
        <v>#REF!</v>
      </c>
      <c r="D61" s="66" t="e">
        <f>ROUND(C61/$C$62,4)-0.0001</f>
        <v>#REF!</v>
      </c>
      <c r="E61" s="67" t="e">
        <f>E62*D61</f>
        <v>#REF!</v>
      </c>
    </row>
    <row r="62" spans="1:9" hidden="1">
      <c r="B62" s="64" t="s">
        <v>133</v>
      </c>
      <c r="C62" s="68" t="e">
        <f>C59+C60+C61</f>
        <v>#REF!</v>
      </c>
      <c r="D62" s="69" t="e">
        <f>D59+D60+D61</f>
        <v>#REF!</v>
      </c>
      <c r="E62" s="68">
        <f>C55</f>
        <v>5365</v>
      </c>
    </row>
    <row r="63" spans="1:9" hidden="1">
      <c r="C63" s="70"/>
      <c r="D63" s="70"/>
      <c r="E63" s="70"/>
    </row>
    <row r="64" spans="1:9" hidden="1">
      <c r="B64" s="64" t="s">
        <v>134</v>
      </c>
      <c r="C64" s="65" t="e">
        <f>#REF!</f>
        <v>#REF!</v>
      </c>
      <c r="D64" s="66" t="e">
        <f>C64/C66</f>
        <v>#REF!</v>
      </c>
      <c r="E64" s="65" t="e">
        <f>D64*E66</f>
        <v>#REF!</v>
      </c>
    </row>
    <row r="65" spans="1:6" hidden="1">
      <c r="B65" s="64" t="s">
        <v>135</v>
      </c>
      <c r="C65" s="70" t="e">
        <f>#REF!</f>
        <v>#REF!</v>
      </c>
      <c r="D65" s="66" t="e">
        <f>C65/C66</f>
        <v>#REF!</v>
      </c>
      <c r="E65" s="70" t="e">
        <f>D65*E66</f>
        <v>#REF!</v>
      </c>
    </row>
    <row r="66" spans="1:6" hidden="1">
      <c r="B66" s="64" t="s">
        <v>133</v>
      </c>
      <c r="C66" s="68" t="e">
        <f>C64+C65</f>
        <v>#REF!</v>
      </c>
      <c r="D66" s="69" t="e">
        <f>D64+D65</f>
        <v>#REF!</v>
      </c>
      <c r="E66" s="68" t="e">
        <f>E59</f>
        <v>#REF!</v>
      </c>
    </row>
    <row r="67" spans="1:6" hidden="1">
      <c r="C67" s="70"/>
      <c r="D67" s="70"/>
      <c r="E67" s="70"/>
    </row>
    <row r="68" spans="1:6" hidden="1">
      <c r="B68" s="64" t="s">
        <v>136</v>
      </c>
      <c r="C68" s="65" t="e">
        <f>#REF!</f>
        <v>#REF!</v>
      </c>
      <c r="D68" s="71" t="e">
        <f>C68/C70</f>
        <v>#REF!</v>
      </c>
      <c r="E68" s="65" t="e">
        <f>E70*D68</f>
        <v>#REF!</v>
      </c>
    </row>
    <row r="69" spans="1:6" hidden="1">
      <c r="B69" s="64" t="s">
        <v>137</v>
      </c>
      <c r="C69" s="70" t="e">
        <f>#REF!</f>
        <v>#REF!</v>
      </c>
      <c r="D69" s="72" t="e">
        <f>C69/C70</f>
        <v>#REF!</v>
      </c>
      <c r="E69" s="70" t="e">
        <f>E70*D69</f>
        <v>#REF!</v>
      </c>
    </row>
    <row r="70" spans="1:6" hidden="1">
      <c r="B70" s="64" t="s">
        <v>133</v>
      </c>
      <c r="C70" s="68" t="e">
        <f>SUM(C68:C69)</f>
        <v>#REF!</v>
      </c>
      <c r="D70" s="73" t="e">
        <f>SUM(D68:D69)</f>
        <v>#REF!</v>
      </c>
      <c r="E70" s="68" t="e">
        <f>E60</f>
        <v>#REF!</v>
      </c>
    </row>
    <row r="71" spans="1:6" hidden="1">
      <c r="A71" s="281" t="str">
        <f>A1</f>
        <v>AVISTA UTILITIES</v>
      </c>
      <c r="C71" s="39"/>
      <c r="D71" s="40"/>
      <c r="E71" s="39"/>
      <c r="F71" s="40"/>
    </row>
    <row r="72" spans="1:6" hidden="1">
      <c r="A72" s="281" t="str">
        <f>A2</f>
        <v>Restate Debt Interest</v>
      </c>
      <c r="C72" s="39"/>
      <c r="D72" s="40"/>
      <c r="E72" s="39"/>
      <c r="F72" s="40"/>
    </row>
    <row r="73" spans="1:6" hidden="1">
      <c r="A73" s="281" t="s">
        <v>140</v>
      </c>
      <c r="C73" s="39"/>
      <c r="D73" s="40"/>
      <c r="E73" s="39"/>
      <c r="F73" s="40"/>
    </row>
    <row r="74" spans="1:6" hidden="1">
      <c r="A74" s="282" t="str">
        <f>A4</f>
        <v>TWELVE MONTHS ENDED DECEMBER 31, 2017</v>
      </c>
      <c r="C74" s="42"/>
      <c r="D74" s="40"/>
      <c r="E74" s="42"/>
      <c r="F74" s="40"/>
    </row>
    <row r="75" spans="1:6" hidden="1">
      <c r="A75" s="283" t="s">
        <v>117</v>
      </c>
      <c r="C75" s="39"/>
      <c r="D75" s="40"/>
      <c r="E75" s="40"/>
      <c r="F75" s="40"/>
    </row>
    <row r="76" spans="1:6" hidden="1">
      <c r="C76" s="44"/>
      <c r="D76" s="44"/>
      <c r="E76" s="46"/>
      <c r="F76" s="45" t="s">
        <v>20</v>
      </c>
    </row>
    <row r="77" spans="1:6" hidden="1">
      <c r="B77" s="286" t="s">
        <v>118</v>
      </c>
      <c r="C77" s="44"/>
      <c r="D77" s="44"/>
      <c r="E77" s="46"/>
      <c r="F77" s="47" t="s">
        <v>119</v>
      </c>
    </row>
    <row r="78" spans="1:6" hidden="1">
      <c r="A78" s="279" t="e">
        <f>'ADJ SUMMARY'!#REF!</f>
        <v>#REF!</v>
      </c>
      <c r="B78" s="64" t="e">
        <f>'ADJ SUMMARY'!#REF!</f>
        <v>#REF!</v>
      </c>
      <c r="C78" s="44"/>
      <c r="D78" s="44"/>
      <c r="E78" s="48"/>
      <c r="F78" s="100" t="e">
        <f>'ADJ SUMMARY'!#REF!</f>
        <v>#REF!</v>
      </c>
    </row>
    <row r="79" spans="1:6" hidden="1">
      <c r="A79" s="279" t="e">
        <f>'ADJ SUMMARY'!#REF!</f>
        <v>#REF!</v>
      </c>
      <c r="B79" s="64" t="e">
        <f>'ADJ SUMMARY'!#REF!</f>
        <v>#REF!</v>
      </c>
      <c r="C79" s="44"/>
      <c r="D79" s="44"/>
      <c r="E79" s="48"/>
      <c r="F79" s="100" t="e">
        <f>'ADJ SUMMARY'!#REF!</f>
        <v>#REF!</v>
      </c>
    </row>
    <row r="80" spans="1:6" hidden="1">
      <c r="A80" s="279" t="e">
        <f>'ADJ SUMMARY'!#REF!</f>
        <v>#REF!</v>
      </c>
      <c r="B80" s="64" t="e">
        <f>'ADJ SUMMARY'!#REF!</f>
        <v>#REF!</v>
      </c>
      <c r="C80" s="44"/>
      <c r="D80" s="44"/>
      <c r="E80" s="48"/>
      <c r="F80" s="100" t="e">
        <f>'ADJ SUMMARY'!#REF!</f>
        <v>#REF!</v>
      </c>
    </row>
    <row r="81" spans="1:6" hidden="1">
      <c r="A81" s="279" t="e">
        <f>'ADJ SUMMARY'!#REF!</f>
        <v>#REF!</v>
      </c>
      <c r="B81" s="64" t="e">
        <f>'ADJ SUMMARY'!#REF!</f>
        <v>#REF!</v>
      </c>
      <c r="C81" s="44"/>
      <c r="D81" s="44"/>
      <c r="E81" s="48"/>
      <c r="F81" s="100" t="e">
        <f>'ADJ SUMMARY'!#REF!</f>
        <v>#REF!</v>
      </c>
    </row>
    <row r="82" spans="1:6" hidden="1">
      <c r="A82" s="279" t="e">
        <f>'ADJ SUMMARY'!#REF!</f>
        <v>#REF!</v>
      </c>
      <c r="B82" s="64" t="e">
        <f>'ADJ SUMMARY'!#REF!</f>
        <v>#REF!</v>
      </c>
      <c r="C82" s="44"/>
      <c r="D82" s="44"/>
      <c r="E82" s="48"/>
      <c r="F82" s="100" t="e">
        <f>'ADJ SUMMARY'!#REF!</f>
        <v>#REF!</v>
      </c>
    </row>
    <row r="83" spans="1:6" hidden="1">
      <c r="A83" s="279" t="e">
        <f>'ADJ SUMMARY'!#REF!</f>
        <v>#REF!</v>
      </c>
      <c r="B83" s="64" t="e">
        <f>'ADJ SUMMARY'!#REF!</f>
        <v>#REF!</v>
      </c>
      <c r="C83" s="44"/>
      <c r="D83" s="44"/>
      <c r="E83" s="48"/>
      <c r="F83" s="100" t="e">
        <f>'ADJ SUMMARY'!#REF!</f>
        <v>#REF!</v>
      </c>
    </row>
    <row r="84" spans="1:6" hidden="1">
      <c r="A84" s="279" t="e">
        <f>'ADJ SUMMARY'!#REF!</f>
        <v>#REF!</v>
      </c>
      <c r="B84" s="64" t="e">
        <f>'ADJ SUMMARY'!#REF!</f>
        <v>#REF!</v>
      </c>
      <c r="C84" s="44"/>
      <c r="D84" s="44"/>
      <c r="E84" s="48"/>
      <c r="F84" s="100" t="e">
        <f>'ADJ SUMMARY'!#REF!</f>
        <v>#REF!</v>
      </c>
    </row>
    <row r="85" spans="1:6" hidden="1">
      <c r="A85" s="279" t="e">
        <f>'ADJ SUMMARY'!#REF!</f>
        <v>#REF!</v>
      </c>
      <c r="B85" s="64" t="e">
        <f>'ADJ SUMMARY'!#REF!</f>
        <v>#REF!</v>
      </c>
      <c r="C85" s="44"/>
      <c r="D85" s="44"/>
      <c r="E85" s="48"/>
      <c r="F85" s="100" t="e">
        <f>'ADJ SUMMARY'!#REF!</f>
        <v>#REF!</v>
      </c>
    </row>
    <row r="86" spans="1:6" hidden="1">
      <c r="A86" s="279" t="e">
        <f>'ADJ SUMMARY'!#REF!</f>
        <v>#REF!</v>
      </c>
      <c r="B86" s="64" t="e">
        <f>'ADJ SUMMARY'!#REF!</f>
        <v>#REF!</v>
      </c>
      <c r="C86" s="44"/>
      <c r="D86" s="44"/>
      <c r="E86" s="48"/>
      <c r="F86" s="100" t="e">
        <f>'ADJ SUMMARY'!#REF!</f>
        <v>#REF!</v>
      </c>
    </row>
    <row r="87" spans="1:6" hidden="1">
      <c r="A87" s="279" t="e">
        <f>'ADJ SUMMARY'!#REF!</f>
        <v>#REF!</v>
      </c>
      <c r="B87" s="64" t="e">
        <f>'ADJ SUMMARY'!#REF!</f>
        <v>#REF!</v>
      </c>
      <c r="C87" s="44"/>
      <c r="D87" s="44"/>
      <c r="E87" s="48"/>
      <c r="F87" s="100" t="e">
        <f>'ADJ SUMMARY'!#REF!</f>
        <v>#REF!</v>
      </c>
    </row>
    <row r="88" spans="1:6" hidden="1">
      <c r="A88" s="279" t="e">
        <f>'ADJ SUMMARY'!#REF!</f>
        <v>#REF!</v>
      </c>
      <c r="B88" s="64" t="e">
        <f>'ADJ SUMMARY'!#REF!</f>
        <v>#REF!</v>
      </c>
      <c r="C88" s="44"/>
      <c r="D88" s="44"/>
      <c r="E88" s="48"/>
      <c r="F88" s="100" t="e">
        <f>'ADJ SUMMARY'!#REF!</f>
        <v>#REF!</v>
      </c>
    </row>
    <row r="89" spans="1:6" hidden="1">
      <c r="A89" s="279" t="e">
        <f>'ADJ SUMMARY'!#REF!</f>
        <v>#REF!</v>
      </c>
      <c r="B89" s="64" t="e">
        <f>'ADJ SUMMARY'!#REF!</f>
        <v>#REF!</v>
      </c>
      <c r="C89" s="44"/>
      <c r="D89" s="44"/>
      <c r="E89" s="48"/>
      <c r="F89" s="100" t="e">
        <f>'ADJ SUMMARY'!#REF!</f>
        <v>#REF!</v>
      </c>
    </row>
    <row r="90" spans="1:6" hidden="1">
      <c r="A90" s="279" t="e">
        <f>'ADJ SUMMARY'!#REF!</f>
        <v>#REF!</v>
      </c>
      <c r="B90" s="64" t="e">
        <f>'ADJ SUMMARY'!#REF!</f>
        <v>#REF!</v>
      </c>
      <c r="C90" s="44"/>
      <c r="D90" s="44"/>
      <c r="E90" s="48"/>
      <c r="F90" s="100" t="e">
        <f>'ADJ SUMMARY'!#REF!</f>
        <v>#REF!</v>
      </c>
    </row>
    <row r="91" spans="1:6" hidden="1">
      <c r="A91" s="279" t="e">
        <f>'ADJ SUMMARY'!#REF!</f>
        <v>#REF!</v>
      </c>
      <c r="B91" s="64" t="e">
        <f>'ADJ SUMMARY'!#REF!</f>
        <v>#REF!</v>
      </c>
      <c r="C91" s="44"/>
      <c r="D91" s="44"/>
      <c r="E91" s="48"/>
      <c r="F91" s="100" t="e">
        <f>'ADJ SUMMARY'!#REF!</f>
        <v>#REF!</v>
      </c>
    </row>
    <row r="92" spans="1:6" hidden="1">
      <c r="A92" s="279" t="e">
        <f>'ADJ SUMMARY'!#REF!</f>
        <v>#REF!</v>
      </c>
      <c r="B92" s="64" t="e">
        <f>'ADJ SUMMARY'!#REF!</f>
        <v>#REF!</v>
      </c>
      <c r="C92" s="44"/>
      <c r="D92" s="44"/>
      <c r="E92" s="48"/>
      <c r="F92" s="100" t="e">
        <f>'ADJ SUMMARY'!#REF!</f>
        <v>#REF!</v>
      </c>
    </row>
    <row r="93" spans="1:6" hidden="1">
      <c r="A93" s="279" t="e">
        <f>'ADJ SUMMARY'!#REF!</f>
        <v>#REF!</v>
      </c>
      <c r="B93" s="64" t="e">
        <f>'ADJ SUMMARY'!#REF!</f>
        <v>#REF!</v>
      </c>
      <c r="C93" s="44"/>
      <c r="D93" s="44"/>
      <c r="E93" s="48"/>
      <c r="F93" s="100" t="e">
        <f>'ADJ SUMMARY'!#REF!</f>
        <v>#REF!</v>
      </c>
    </row>
    <row r="94" spans="1:6" hidden="1">
      <c r="A94" s="279" t="e">
        <f>'ADJ SUMMARY'!#REF!</f>
        <v>#REF!</v>
      </c>
      <c r="B94" s="64" t="e">
        <f>'ADJ SUMMARY'!#REF!</f>
        <v>#REF!</v>
      </c>
      <c r="C94" s="44"/>
      <c r="D94" s="44"/>
      <c r="E94" s="48"/>
      <c r="F94" s="100" t="e">
        <f>'ADJ SUMMARY'!#REF!</f>
        <v>#REF!</v>
      </c>
    </row>
    <row r="95" spans="1:6" hidden="1">
      <c r="A95" s="279" t="e">
        <f>'ADJ SUMMARY'!#REF!</f>
        <v>#REF!</v>
      </c>
      <c r="B95" s="64" t="e">
        <f>'ADJ SUMMARY'!#REF!</f>
        <v>#REF!</v>
      </c>
      <c r="C95" s="44"/>
      <c r="D95" s="44"/>
      <c r="E95" s="48"/>
      <c r="F95" s="100" t="e">
        <f>'ADJ SUMMARY'!#REF!</f>
        <v>#REF!</v>
      </c>
    </row>
    <row r="96" spans="1:6" hidden="1">
      <c r="A96" s="279" t="e">
        <f>'ADJ SUMMARY'!#REF!</f>
        <v>#REF!</v>
      </c>
      <c r="B96" s="64" t="e">
        <f>'ADJ SUMMARY'!#REF!</f>
        <v>#REF!</v>
      </c>
      <c r="C96" s="44"/>
      <c r="D96" s="44"/>
      <c r="E96" s="48"/>
      <c r="F96" s="100" t="e">
        <f>'ADJ SUMMARY'!#REF!</f>
        <v>#REF!</v>
      </c>
    </row>
    <row r="97" spans="1:6" hidden="1">
      <c r="A97" s="279" t="e">
        <f>'ADJ SUMMARY'!#REF!</f>
        <v>#REF!</v>
      </c>
      <c r="B97" s="64" t="e">
        <f>'ADJ SUMMARY'!#REF!</f>
        <v>#REF!</v>
      </c>
      <c r="C97" s="44"/>
      <c r="D97" s="44"/>
      <c r="E97" s="48"/>
      <c r="F97" s="100" t="e">
        <f>'ADJ SUMMARY'!#REF!</f>
        <v>#REF!</v>
      </c>
    </row>
    <row r="98" spans="1:6" hidden="1">
      <c r="A98" s="279" t="e">
        <f>'ADJ SUMMARY'!#REF!</f>
        <v>#REF!</v>
      </c>
      <c r="B98" s="64" t="e">
        <f>'ADJ SUMMARY'!#REF!</f>
        <v>#REF!</v>
      </c>
      <c r="C98" s="44"/>
      <c r="D98" s="44"/>
      <c r="E98" s="48"/>
      <c r="F98" s="100" t="e">
        <f>'ADJ SUMMARY'!#REF!</f>
        <v>#REF!</v>
      </c>
    </row>
    <row r="99" spans="1:6" ht="5.25" hidden="1" customHeight="1">
      <c r="C99" s="44"/>
      <c r="D99" s="44"/>
      <c r="E99" s="48"/>
      <c r="F99" s="100"/>
    </row>
    <row r="100" spans="1:6" ht="13.5" hidden="1" customHeight="1">
      <c r="A100" s="279" t="e">
        <f>'ADJ SUMMARY'!#REF!</f>
        <v>#REF!</v>
      </c>
      <c r="B100" s="64" t="e">
        <f>'ADJ SUMMARY'!#REF!</f>
        <v>#REF!</v>
      </c>
      <c r="C100" s="44"/>
      <c r="D100" s="44"/>
      <c r="E100" s="48"/>
      <c r="F100" s="100" t="e">
        <f>'ADJ SUMMARY'!#REF!</f>
        <v>#REF!</v>
      </c>
    </row>
    <row r="101" spans="1:6" hidden="1">
      <c r="A101" s="279" t="e">
        <f>'ADJ SUMMARY'!#REF!</f>
        <v>#REF!</v>
      </c>
      <c r="B101" s="64" t="e">
        <f>'ADJ SUMMARY'!#REF!</f>
        <v>#REF!</v>
      </c>
      <c r="C101" s="44"/>
      <c r="D101" s="44"/>
      <c r="E101" s="48"/>
      <c r="F101" s="100" t="e">
        <f>'ADJ SUMMARY'!#REF!</f>
        <v>#REF!</v>
      </c>
    </row>
    <row r="102" spans="1:6" hidden="1">
      <c r="A102" s="279" t="e">
        <f>'ADJ SUMMARY'!#REF!</f>
        <v>#REF!</v>
      </c>
      <c r="B102" s="64" t="e">
        <f>'ADJ SUMMARY'!#REF!</f>
        <v>#REF!</v>
      </c>
      <c r="C102" s="44"/>
      <c r="D102" s="44"/>
      <c r="E102" s="48"/>
      <c r="F102" s="100" t="e">
        <f>'ADJ SUMMARY'!#REF!</f>
        <v>#REF!</v>
      </c>
    </row>
    <row r="103" spans="1:6" hidden="1">
      <c r="A103" s="279" t="e">
        <f>'ADJ SUMMARY'!#REF!</f>
        <v>#REF!</v>
      </c>
      <c r="B103" s="64" t="e">
        <f>'ADJ SUMMARY'!#REF!</f>
        <v>#REF!</v>
      </c>
      <c r="C103" s="44"/>
      <c r="D103" s="44"/>
      <c r="E103" s="48"/>
      <c r="F103" s="100" t="e">
        <f>'ADJ SUMMARY'!#REF!</f>
        <v>#REF!</v>
      </c>
    </row>
    <row r="104" spans="1:6" hidden="1">
      <c r="A104" s="279" t="e">
        <f>'ADJ SUMMARY'!#REF!</f>
        <v>#REF!</v>
      </c>
      <c r="B104" s="64" t="e">
        <f>'ADJ SUMMARY'!#REF!</f>
        <v>#REF!</v>
      </c>
      <c r="C104" s="44"/>
      <c r="D104" s="44"/>
      <c r="E104" s="48"/>
      <c r="F104" s="100" t="e">
        <f>'ADJ SUMMARY'!#REF!</f>
        <v>#REF!</v>
      </c>
    </row>
    <row r="105" spans="1:6" hidden="1">
      <c r="A105" s="279" t="e">
        <f>'ADJ SUMMARY'!#REF!</f>
        <v>#REF!</v>
      </c>
      <c r="B105" s="64" t="e">
        <f>'ADJ SUMMARY'!#REF!</f>
        <v>#REF!</v>
      </c>
      <c r="C105" s="44"/>
      <c r="D105" s="44"/>
      <c r="E105" s="48"/>
      <c r="F105" s="100" t="e">
        <f>'ADJ SUMMARY'!#REF!</f>
        <v>#REF!</v>
      </c>
    </row>
    <row r="106" spans="1:6" hidden="1">
      <c r="A106" s="279" t="e">
        <f>'ADJ SUMMARY'!#REF!</f>
        <v>#REF!</v>
      </c>
      <c r="B106" s="64" t="e">
        <f>'ADJ SUMMARY'!#REF!</f>
        <v>#REF!</v>
      </c>
      <c r="C106" s="44"/>
      <c r="D106" s="44"/>
      <c r="E106" s="48"/>
      <c r="F106" s="100" t="e">
        <f>'ADJ SUMMARY'!#REF!</f>
        <v>#REF!</v>
      </c>
    </row>
    <row r="107" spans="1:6" hidden="1">
      <c r="A107" s="279" t="e">
        <f>'ADJ SUMMARY'!#REF!</f>
        <v>#REF!</v>
      </c>
      <c r="B107" s="64" t="e">
        <f>'ADJ SUMMARY'!#REF!</f>
        <v>#REF!</v>
      </c>
      <c r="C107" s="44"/>
      <c r="D107" s="44"/>
      <c r="E107" s="48"/>
      <c r="F107" s="100" t="e">
        <f>'ADJ SUMMARY'!#REF!</f>
        <v>#REF!</v>
      </c>
    </row>
    <row r="108" spans="1:6" hidden="1">
      <c r="A108" s="279" t="e">
        <f>'ADJ SUMMARY'!#REF!</f>
        <v>#REF!</v>
      </c>
      <c r="B108" s="64" t="e">
        <f>'ADJ SUMMARY'!#REF!</f>
        <v>#REF!</v>
      </c>
      <c r="C108" s="44"/>
      <c r="D108" s="44"/>
      <c r="E108" s="48"/>
      <c r="F108" s="100" t="e">
        <f>'ADJ SUMMARY'!#REF!</f>
        <v>#REF!</v>
      </c>
    </row>
    <row r="109" spans="1:6" hidden="1">
      <c r="A109" s="279" t="e">
        <f>'ADJ SUMMARY'!#REF!</f>
        <v>#REF!</v>
      </c>
      <c r="B109" s="64" t="e">
        <f>'ADJ SUMMARY'!#REF!</f>
        <v>#REF!</v>
      </c>
      <c r="C109" s="44"/>
      <c r="D109" s="44"/>
      <c r="E109" s="48"/>
      <c r="F109" s="100" t="e">
        <f>'ADJ SUMMARY'!#REF!</f>
        <v>#REF!</v>
      </c>
    </row>
    <row r="110" spans="1:6" hidden="1">
      <c r="A110" s="279" t="e">
        <f>'ADJ SUMMARY'!#REF!</f>
        <v>#REF!</v>
      </c>
      <c r="B110" s="64" t="e">
        <f>'ADJ SUMMARY'!#REF!</f>
        <v>#REF!</v>
      </c>
      <c r="C110" s="44"/>
      <c r="D110" s="44"/>
      <c r="E110" s="48"/>
      <c r="F110" s="100" t="e">
        <f>'ADJ SUMMARY'!#REF!</f>
        <v>#REF!</v>
      </c>
    </row>
    <row r="111" spans="1:6" hidden="1">
      <c r="A111" s="279" t="e">
        <f>'ADJ SUMMARY'!#REF!</f>
        <v>#REF!</v>
      </c>
      <c r="B111" s="64" t="e">
        <f>'ADJ SUMMARY'!#REF!</f>
        <v>#REF!</v>
      </c>
      <c r="C111" s="44"/>
      <c r="D111" s="44"/>
      <c r="E111" s="48"/>
      <c r="F111" s="100" t="e">
        <f>'ADJ SUMMARY'!#REF!</f>
        <v>#REF!</v>
      </c>
    </row>
    <row r="112" spans="1:6" hidden="1">
      <c r="A112" s="279" t="e">
        <f>'ADJ SUMMARY'!#REF!</f>
        <v>#REF!</v>
      </c>
      <c r="B112" s="64" t="e">
        <f>'ADJ SUMMARY'!#REF!</f>
        <v>#REF!</v>
      </c>
      <c r="C112" s="44"/>
      <c r="D112" s="44"/>
      <c r="E112" s="48"/>
      <c r="F112" s="100" t="e">
        <f>'ADJ SUMMARY'!#REF!</f>
        <v>#REF!</v>
      </c>
    </row>
    <row r="113" spans="1:9" hidden="1">
      <c r="A113" s="279" t="e">
        <f>'ADJ SUMMARY'!#REF!</f>
        <v>#REF!</v>
      </c>
      <c r="B113" s="64" t="e">
        <f>'ADJ SUMMARY'!#REF!</f>
        <v>#REF!</v>
      </c>
      <c r="C113" s="44"/>
      <c r="D113" s="44"/>
      <c r="E113" s="48"/>
      <c r="F113" s="100" t="e">
        <f>'ADJ SUMMARY'!#REF!</f>
        <v>#REF!</v>
      </c>
    </row>
    <row r="114" spans="1:9" ht="13.5" hidden="1" customHeight="1">
      <c r="A114" s="279" t="e">
        <f>'ADJ SUMMARY'!#REF!</f>
        <v>#REF!</v>
      </c>
      <c r="B114" s="64" t="e">
        <f>'ADJ SUMMARY'!#REF!</f>
        <v>#REF!</v>
      </c>
      <c r="C114" s="44"/>
      <c r="D114" s="44"/>
      <c r="E114" s="48"/>
      <c r="F114" s="100" t="e">
        <f>'ADJ SUMMARY'!#REF!</f>
        <v>#REF!</v>
      </c>
    </row>
    <row r="115" spans="1:9" ht="0.75" hidden="1" customHeight="1">
      <c r="A115" s="279" t="e">
        <f>'ADJ SUMMARY'!#REF!</f>
        <v>#REF!</v>
      </c>
      <c r="B115" s="64" t="e">
        <f>'ADJ SUMMARY'!#REF!</f>
        <v>#REF!</v>
      </c>
      <c r="C115" s="44"/>
      <c r="D115" s="44"/>
      <c r="E115" s="48"/>
      <c r="F115" s="100" t="e">
        <f>'ADJ SUMMARY'!#REF!</f>
        <v>#REF!</v>
      </c>
    </row>
    <row r="116" spans="1:9" ht="13.5" hidden="1" customHeight="1">
      <c r="B116" s="64" t="s">
        <v>156</v>
      </c>
      <c r="C116" s="44"/>
      <c r="D116" s="44"/>
      <c r="E116" s="48"/>
      <c r="F116" s="49" t="e">
        <f>SUM(F78:F115)</f>
        <v>#REF!</v>
      </c>
    </row>
    <row r="117" spans="1:9" hidden="1">
      <c r="C117" s="44"/>
      <c r="D117" s="44"/>
      <c r="E117" s="44"/>
      <c r="F117" s="41"/>
      <c r="G117" s="111"/>
    </row>
    <row r="118" spans="1:9" hidden="1">
      <c r="B118" s="64" t="str">
        <f>B39</f>
        <v>Weighted Average Cost of Debt</v>
      </c>
      <c r="C118" s="61"/>
      <c r="D118" s="61"/>
      <c r="E118" s="62"/>
      <c r="F118" s="124" t="e">
        <f>'RR SUMMARY'!#REF!</f>
        <v>#REF!</v>
      </c>
      <c r="H118" s="125" t="s">
        <v>199</v>
      </c>
      <c r="I118" s="70"/>
    </row>
    <row r="119" spans="1:9" hidden="1">
      <c r="C119" s="44"/>
      <c r="D119" s="44"/>
      <c r="F119" s="41"/>
    </row>
    <row r="120" spans="1:9" hidden="1">
      <c r="B120" s="64" t="s">
        <v>120</v>
      </c>
      <c r="C120" s="44"/>
      <c r="D120" s="44"/>
      <c r="E120" s="48"/>
      <c r="F120" s="48" t="e">
        <f>F116*F118</f>
        <v>#REF!</v>
      </c>
    </row>
    <row r="121" spans="1:9" hidden="1">
      <c r="C121" s="44"/>
      <c r="D121" s="44"/>
      <c r="E121" s="44"/>
      <c r="F121" s="41"/>
    </row>
    <row r="122" spans="1:9" hidden="1">
      <c r="B122" s="64" t="s">
        <v>202</v>
      </c>
      <c r="C122" s="44"/>
      <c r="D122" s="44"/>
      <c r="F122" s="113">
        <v>21469</v>
      </c>
      <c r="H122" s="117" t="s">
        <v>206</v>
      </c>
    </row>
    <row r="123" spans="1:9" hidden="1">
      <c r="C123" s="44"/>
      <c r="D123" s="44"/>
      <c r="E123" s="44"/>
      <c r="F123" s="41"/>
    </row>
    <row r="124" spans="1:9" hidden="1">
      <c r="B124" s="64" t="s">
        <v>122</v>
      </c>
      <c r="C124" s="44"/>
      <c r="D124" s="44"/>
      <c r="E124" s="48"/>
      <c r="F124" s="48" t="e">
        <f>F120-F122</f>
        <v>#REF!</v>
      </c>
    </row>
    <row r="125" spans="1:9" hidden="1">
      <c r="B125" s="64" t="s">
        <v>123</v>
      </c>
      <c r="D125" s="44"/>
      <c r="E125" s="51"/>
      <c r="F125" s="52">
        <v>0.35</v>
      </c>
    </row>
    <row r="126" spans="1:9" hidden="1">
      <c r="D126" s="44"/>
      <c r="E126" s="44"/>
      <c r="F126" s="41"/>
    </row>
    <row r="127" spans="1:9" hidden="1">
      <c r="B127" s="64" t="s">
        <v>124</v>
      </c>
      <c r="D127" s="44"/>
      <c r="E127" s="48"/>
      <c r="F127" s="48" t="e">
        <f>F124*-F125</f>
        <v>#REF!</v>
      </c>
      <c r="G127" s="48"/>
    </row>
    <row r="128" spans="1:9" ht="13.8" hidden="1" thickTop="1">
      <c r="D128" s="44"/>
      <c r="E128" s="48"/>
      <c r="F128" s="63"/>
    </row>
    <row r="129" spans="1:6" hidden="1">
      <c r="A129" s="284"/>
      <c r="F129" s="41"/>
    </row>
    <row r="130" spans="1:6" hidden="1">
      <c r="A130" s="284"/>
      <c r="B130" s="286" t="s">
        <v>121</v>
      </c>
      <c r="F130" s="41"/>
    </row>
    <row r="131" spans="1:6" hidden="1">
      <c r="A131" s="284"/>
      <c r="B131" s="64" t="s">
        <v>125</v>
      </c>
      <c r="C131" s="48">
        <f>C53</f>
        <v>2430</v>
      </c>
      <c r="F131" s="41"/>
    </row>
    <row r="132" spans="1:6" hidden="1">
      <c r="A132" s="284"/>
      <c r="B132" s="64" t="s">
        <v>126</v>
      </c>
      <c r="C132" s="41">
        <f>C54</f>
        <v>2935</v>
      </c>
      <c r="F132" s="41"/>
    </row>
    <row r="133" spans="1:6" hidden="1">
      <c r="A133" s="284"/>
      <c r="B133" s="64" t="s">
        <v>127</v>
      </c>
      <c r="C133" s="49">
        <f>C131+C132</f>
        <v>5365</v>
      </c>
      <c r="F133" s="41"/>
    </row>
    <row r="134" spans="1:6" hidden="1">
      <c r="A134" s="284"/>
      <c r="C134" s="48"/>
      <c r="F134" s="41"/>
    </row>
    <row r="135" spans="1:6" hidden="1">
      <c r="A135" s="284"/>
      <c r="C135" s="53"/>
      <c r="D135" s="45"/>
      <c r="E135" s="45" t="s">
        <v>128</v>
      </c>
      <c r="F135" s="41"/>
    </row>
    <row r="136" spans="1:6" hidden="1">
      <c r="A136" s="284"/>
      <c r="C136" s="47" t="s">
        <v>96</v>
      </c>
      <c r="D136" s="47" t="s">
        <v>129</v>
      </c>
      <c r="E136" s="47" t="s">
        <v>27</v>
      </c>
      <c r="F136" s="41"/>
    </row>
    <row r="137" spans="1:6" hidden="1">
      <c r="A137" s="284"/>
      <c r="B137" s="64" t="s">
        <v>130</v>
      </c>
      <c r="C137" s="48" t="e">
        <f>$C$59</f>
        <v>#REF!</v>
      </c>
      <c r="D137" s="50" t="e">
        <f>C137/C140</f>
        <v>#REF!</v>
      </c>
      <c r="E137" s="48" t="e">
        <f>D137*E140</f>
        <v>#REF!</v>
      </c>
      <c r="F137" s="41"/>
    </row>
    <row r="138" spans="1:6" hidden="1">
      <c r="A138" s="284"/>
      <c r="B138" s="64" t="s">
        <v>131</v>
      </c>
      <c r="C138" s="41" t="e">
        <f>$C$60</f>
        <v>#REF!</v>
      </c>
      <c r="D138" s="59" t="e">
        <f>C138/C140</f>
        <v>#REF!</v>
      </c>
      <c r="E138" s="54" t="e">
        <f>D138*E140</f>
        <v>#REF!</v>
      </c>
      <c r="F138" s="41"/>
    </row>
    <row r="139" spans="1:6" hidden="1">
      <c r="A139" s="284"/>
      <c r="B139" s="64" t="s">
        <v>132</v>
      </c>
      <c r="C139" s="41" t="e">
        <f>$C$61</f>
        <v>#REF!</v>
      </c>
      <c r="D139" s="59" t="e">
        <f>C139/C140</f>
        <v>#REF!</v>
      </c>
      <c r="E139" s="54" t="e">
        <f>E140*D139</f>
        <v>#REF!</v>
      </c>
      <c r="F139" s="41"/>
    </row>
    <row r="140" spans="1:6" hidden="1">
      <c r="A140" s="284"/>
      <c r="B140" s="64" t="s">
        <v>133</v>
      </c>
      <c r="C140" s="49" t="e">
        <f>C137+C138+C139</f>
        <v>#REF!</v>
      </c>
      <c r="D140" s="55" t="e">
        <f>D137+D138+D139</f>
        <v>#REF!</v>
      </c>
      <c r="E140" s="49">
        <f>C133</f>
        <v>5365</v>
      </c>
      <c r="F140" s="41"/>
    </row>
    <row r="141" spans="1:6" hidden="1">
      <c r="A141" s="284"/>
      <c r="F141" s="41"/>
    </row>
    <row r="142" spans="1:6" hidden="1">
      <c r="A142" s="284"/>
      <c r="B142" s="64" t="s">
        <v>134</v>
      </c>
      <c r="C142" s="48" t="e">
        <f>$C$64</f>
        <v>#REF!</v>
      </c>
      <c r="D142" s="50" t="e">
        <f>C142/C144</f>
        <v>#REF!</v>
      </c>
      <c r="E142" s="48" t="e">
        <f>D142*E144</f>
        <v>#REF!</v>
      </c>
      <c r="F142" s="41"/>
    </row>
    <row r="143" spans="1:6" hidden="1">
      <c r="A143" s="284"/>
      <c r="B143" s="64" t="s">
        <v>135</v>
      </c>
      <c r="C143" s="41" t="e">
        <f>$C$65</f>
        <v>#REF!</v>
      </c>
      <c r="D143" s="50" t="e">
        <f>C143/C144</f>
        <v>#REF!</v>
      </c>
      <c r="E143" s="41" t="e">
        <f>D143*E144</f>
        <v>#REF!</v>
      </c>
      <c r="F143" s="41"/>
    </row>
    <row r="144" spans="1:6" hidden="1">
      <c r="A144" s="284"/>
      <c r="B144" s="64" t="s">
        <v>133</v>
      </c>
      <c r="C144" s="49" t="e">
        <f>C142+C143</f>
        <v>#REF!</v>
      </c>
      <c r="D144" s="55" t="e">
        <f>D142+D143</f>
        <v>#REF!</v>
      </c>
      <c r="E144" s="49" t="e">
        <f>E137</f>
        <v>#REF!</v>
      </c>
      <c r="F144" s="41"/>
    </row>
    <row r="145" spans="1:6" hidden="1">
      <c r="A145" s="284"/>
      <c r="F145" s="41"/>
    </row>
    <row r="146" spans="1:6" hidden="1">
      <c r="A146" s="284"/>
      <c r="B146" s="64" t="s">
        <v>136</v>
      </c>
      <c r="C146" s="48" t="e">
        <f>$C$68</f>
        <v>#REF!</v>
      </c>
      <c r="D146" s="56" t="e">
        <f>C146/C148</f>
        <v>#REF!</v>
      </c>
      <c r="E146" s="48" t="e">
        <f>E148*D146</f>
        <v>#REF!</v>
      </c>
      <c r="F146" s="41"/>
    </row>
    <row r="147" spans="1:6" hidden="1">
      <c r="A147" s="284"/>
      <c r="B147" s="64" t="s">
        <v>137</v>
      </c>
      <c r="C147" s="41" t="e">
        <f>C$69</f>
        <v>#REF!</v>
      </c>
      <c r="D147" s="57" t="e">
        <f>C147/C148</f>
        <v>#REF!</v>
      </c>
      <c r="E147" s="41" t="e">
        <f>E148*D147</f>
        <v>#REF!</v>
      </c>
      <c r="F147" s="41"/>
    </row>
    <row r="148" spans="1:6" hidden="1">
      <c r="A148" s="284"/>
      <c r="B148" s="64" t="s">
        <v>133</v>
      </c>
      <c r="C148" s="49" t="e">
        <f>SUM(C146:C147)</f>
        <v>#REF!</v>
      </c>
      <c r="D148" s="58" t="e">
        <f>SUM(D146:D147)</f>
        <v>#REF!</v>
      </c>
      <c r="E148" s="49" t="e">
        <f>E138</f>
        <v>#REF!</v>
      </c>
      <c r="F148" s="41"/>
    </row>
  </sheetData>
  <mergeCells count="6">
    <mergeCell ref="E7:G7"/>
    <mergeCell ref="A1:H1"/>
    <mergeCell ref="A2:H2"/>
    <mergeCell ref="A3:H3"/>
    <mergeCell ref="A4:H4"/>
    <mergeCell ref="A5:H5"/>
  </mergeCells>
  <phoneticPr fontId="0" type="noConversion"/>
  <printOptions horizontalCentered="1"/>
  <pageMargins left="0.75" right="0.75" top="0.5" bottom="0.5" header="0.5" footer="0.25"/>
  <pageSetup scale="86" orientation="portrait" horizontalDpi="300" verticalDpi="300" r:id="rId1"/>
  <headerFooter alignWithMargins="0">
    <oddFooter>&amp;Lfile:  &amp;F&amp;R&amp;D</oddFooter>
  </headerFooter>
  <rowBreaks count="1" manualBreakCount="1">
    <brk id="70" max="16383" man="1"/>
  </rowBreaks>
  <colBreaks count="1" manualBreakCount="1">
    <brk id="9" max="5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AF76D97CE6385419569574D0F429477" ma:contentTypeVersion="76" ma:contentTypeDescription="" ma:contentTypeScope="" ma:versionID="c4ea5ede09f6f815be440764eea04cc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2018-08-17T07:00:00+00:00</OpenedDate>
    <SignificantOrder xmlns="dc463f71-b30c-4ab2-9473-d307f9d35888">false</SignificantOrder>
    <Date1 xmlns="dc463f71-b30c-4ab2-9473-d307f9d35888">2018-08-17T07:00:00+00:00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180702</DocketNumber>
    <DelegatedOrder xmlns="dc463f71-b30c-4ab2-9473-d307f9d35888">false</DelegatedOrder>
  </documentManagement>
</p:properties>
</file>

<file path=customXml/itemProps1.xml><?xml version="1.0" encoding="utf-8"?>
<ds:datastoreItem xmlns:ds="http://schemas.openxmlformats.org/officeDocument/2006/customXml" ds:itemID="{1E2E8C43-9F98-4EB1-B1D5-3E4282B45CC1}"/>
</file>

<file path=customXml/itemProps2.xml><?xml version="1.0" encoding="utf-8"?>
<ds:datastoreItem xmlns:ds="http://schemas.openxmlformats.org/officeDocument/2006/customXml" ds:itemID="{787ACC04-67F6-44DE-9B2E-5928215DD5AF}"/>
</file>

<file path=customXml/itemProps3.xml><?xml version="1.0" encoding="utf-8"?>
<ds:datastoreItem xmlns:ds="http://schemas.openxmlformats.org/officeDocument/2006/customXml" ds:itemID="{975EB724-9099-4C12-BDCB-5D721A65C0D1}"/>
</file>

<file path=customXml/itemProps4.xml><?xml version="1.0" encoding="utf-8"?>
<ds:datastoreItem xmlns:ds="http://schemas.openxmlformats.org/officeDocument/2006/customXml" ds:itemID="{B3218AB7-8D77-4858-910B-1F4C2713E0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ADJ DETAIL-INPUT</vt:lpstr>
      <vt:lpstr>RR SUMMARY</vt:lpstr>
      <vt:lpstr>CF </vt:lpstr>
      <vt:lpstr>LEAD SHEETS-DO NOT ENTER</vt:lpstr>
      <vt:lpstr>ADJ SUMMARY</vt:lpstr>
      <vt:lpstr>ROO INPUT</vt:lpstr>
      <vt:lpstr>DEBT CALC</vt:lpstr>
      <vt:lpstr>ID_Elec</vt:lpstr>
      <vt:lpstr>'ADJ DETAIL-INPUT'!Print_Area</vt:lpstr>
      <vt:lpstr>'ADJ SUMMARY'!Print_Area</vt:lpstr>
      <vt:lpstr>'CF '!Print_Area</vt:lpstr>
      <vt:lpstr>'DEBT CALC'!Print_Area</vt:lpstr>
      <vt:lpstr>'LEAD SHEETS-DO NOT ENTER'!Print_Area</vt:lpstr>
      <vt:lpstr>'ROO INPUT'!Print_Area</vt:lpstr>
      <vt:lpstr>'RR SUMMARY'!Print_Area</vt:lpstr>
      <vt:lpstr>Print_for_CBReport</vt:lpstr>
      <vt:lpstr>'ADJ DETAIL-INPUT'!Print_Titles</vt:lpstr>
      <vt:lpstr>'LEAD SHEETS-DO NOT ENTER'!Print_Titles</vt:lpstr>
      <vt:lpstr>'ROO INPUT'!Print_Titles</vt:lpstr>
      <vt:lpstr>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gzhkw6</cp:lastModifiedBy>
  <cp:lastPrinted>2018-08-03T16:31:12Z</cp:lastPrinted>
  <dcterms:created xsi:type="dcterms:W3CDTF">1997-05-15T21:41:44Z</dcterms:created>
  <dcterms:modified xsi:type="dcterms:W3CDTF">2018-08-03T16:31:26Z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0x0101006E56B4D1795A2E4DB2F0B01679ED314A004AF76D97CE6385419569574D0F429477</vt:lpwstr>
  </property>
  <property fmtid="{D5CDD505-2E9C-101B-9397-08002B2CF9AE}" pid="3" name="_docset_NoMedatataSyncRequired">
    <vt:lpwstr>False</vt:lpwstr>
  </property>
  <property fmtid="{D5CDD505-2E9C-101B-9397-08002B2CF9AE}" pid="4" name="IsEFSEC">
    <vt:bool>false</vt:bool>
  </property>
</Properties>
</file>