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Decoupling Mechanisms\Tariff Filings\2017 Def WA Sch 75-175\Original work papers\2017 WA Earnings Test\"/>
    </mc:Choice>
  </mc:AlternateContent>
  <bookViews>
    <workbookView xWindow="0" yWindow="0" windowWidth="23040" windowHeight="10668" firstSheet="1" activeTab="1"/>
  </bookViews>
  <sheets>
    <sheet name="Acerno_Cache_XXXXX" sheetId="77" state="veryHidden" r:id="rId1"/>
    <sheet name="ADJ DETAIL INPUT" sheetId="1" r:id="rId2"/>
    <sheet name="RR SUMMARY" sheetId="55" r:id="rId3"/>
    <sheet name="CF" sheetId="56" r:id="rId4"/>
    <sheet name="ADJ SUMMARY" sheetId="3" r:id="rId5"/>
    <sheet name="LEAD SHEETS-DO NOT ENTER" sheetId="76" r:id="rId6"/>
    <sheet name="DEBT CALC" sheetId="75" r:id="rId7"/>
    <sheet name="ROO INPUT" sheetId="5" r:id="rId8"/>
  </sheets>
  <externalReferences>
    <externalReference r:id="rId9"/>
    <externalReference r:id="rId10"/>
    <externalReference r:id="rId11"/>
  </externalReferences>
  <definedNames>
    <definedName name="ID_Elec" localSheetId="3">[1]DebtCalc!#REF!</definedName>
    <definedName name="ID_Elec" localSheetId="6">'DEBT CALC'!$A$67:$F$144</definedName>
    <definedName name="ID_Elec" localSheetId="5">#REF!</definedName>
    <definedName name="ID_Elec" localSheetId="2">[2]DebtCalc!#REF!</definedName>
    <definedName name="ID_Elec">#REF!</definedName>
    <definedName name="ID_Gas" localSheetId="6">'DEBT CALC'!#REF!</definedName>
    <definedName name="ID_Gas" localSheetId="5">#REF!</definedName>
    <definedName name="ID_Gas">#REF!</definedName>
    <definedName name="_xlnm.Print_Area" localSheetId="1">'ADJ DETAIL INPUT'!$A$2:$AD$84</definedName>
    <definedName name="_xlnm.Print_Area" localSheetId="4">'ADJ SUMMARY'!$A$1:$F$36</definedName>
    <definedName name="_xlnm.Print_Area" localSheetId="3">CF!$A$1:$E$27</definedName>
    <definedName name="_xlnm.Print_Area" localSheetId="6">'DEBT CALC'!$A$1:$I$45</definedName>
    <definedName name="_xlnm.Print_Area" localSheetId="5">'LEAD SHEETS-DO NOT ENTER'!$A$2:$X$82</definedName>
    <definedName name="_xlnm.Print_Area" localSheetId="7">'ROO INPUT'!$A$3:$G$82</definedName>
    <definedName name="_xlnm.Print_Area" localSheetId="2">'RR SUMMARY'!$H$1:$M$22</definedName>
    <definedName name="Print_for_CBReport">'ADJ SUMMARY'!$A$1:$F$48</definedName>
    <definedName name="Print_for_Checking" localSheetId="6">'[3]ADJ SUMMARY'!$A$1:'[3]ADJ SUMMARY'!#REF!</definedName>
    <definedName name="Print_for_Checking">'ADJ SUMMARY'!$A$1:$F$48</definedName>
    <definedName name="_xlnm.Print_Titles" localSheetId="1">'ADJ DETAIL INPUT'!$A:$D,'ADJ DETAIL INPUT'!$2:$11</definedName>
    <definedName name="_xlnm.Print_Titles" localSheetId="5">'LEAD SHEETS-DO NOT ENTER'!$A:$D,'LEAD SHEETS-DO NOT ENTER'!$2:$11</definedName>
    <definedName name="Summary" localSheetId="6">#REF!</definedName>
    <definedName name="Summary" localSheetId="5">#REF!</definedName>
    <definedName name="Summary">#REF!</definedName>
    <definedName name="WA_Elec" localSheetId="3">[1]DebtCalc!#REF!</definedName>
    <definedName name="WA_Elec" localSheetId="6">'DEBT CALC'!$A$1:$F$66</definedName>
    <definedName name="WA_Elec" localSheetId="5">#REF!</definedName>
    <definedName name="WA_Elec" localSheetId="2">[2]DebtCalc!#REF!</definedName>
    <definedName name="WA_Elec">#REF!</definedName>
    <definedName name="WA_Gas" localSheetId="6">'DEBT CALC'!#REF!</definedName>
    <definedName name="WA_Gas" localSheetId="5">#REF!</definedName>
    <definedName name="WA_Gas">#REF!</definedName>
    <definedName name="Z_5BE913A1_B14F_11D2_B0DC_0000832CDFF0_.wvu.Cols" localSheetId="1" hidden="1">'ADJ DETAIL INPUT'!$T:$Y</definedName>
    <definedName name="Z_5BE913A1_B14F_11D2_B0DC_0000832CDFF0_.wvu.Cols" localSheetId="5" hidden="1">'LEAD SHEETS-DO NOT ENTER'!#REF!</definedName>
    <definedName name="Z_5BE913A1_B14F_11D2_B0DC_0000832CDFF0_.wvu.PrintArea" localSheetId="1" hidden="1">'ADJ DETAIL INPUT'!$E$12:$Y$83</definedName>
    <definedName name="Z_5BE913A1_B14F_11D2_B0DC_0000832CDFF0_.wvu.PrintArea" localSheetId="4" hidden="1">'ADJ SUMMARY'!$A$1:$F$48</definedName>
    <definedName name="Z_5BE913A1_B14F_11D2_B0DC_0000832CDFF0_.wvu.PrintArea" localSheetId="5" hidden="1">'LEAD SHEETS-DO NOT ENTER'!$E$12:$X$83</definedName>
    <definedName name="Z_5BE913A1_B14F_11D2_B0DC_0000832CDFF0_.wvu.PrintArea" localSheetId="7" hidden="1">'ROO INPUT'!$A$3:$G$82</definedName>
    <definedName name="Z_5BE913A1_B14F_11D2_B0DC_0000832CDFF0_.wvu.PrintTitles" localSheetId="1" hidden="1">'ADJ DETAIL INPUT'!$A:$D,'ADJ DETAIL INPUT'!$2:$11</definedName>
    <definedName name="Z_5BE913A1_B14F_11D2_B0DC_0000832CDFF0_.wvu.PrintTitles" localSheetId="5" hidden="1">'LEAD SHEETS-DO NOT ENTER'!$A:$D,'LEAD SHEETS-DO NOT ENTER'!$2:$11</definedName>
    <definedName name="Z_5BE913A1_B14F_11D2_B0DC_0000832CDFF0_.wvu.Rows" localSheetId="4" hidden="1">'ADJ SUMMARY'!$27:$27,'ADJ SUMMARY'!$34:$44,'ADJ SUMMARY'!#REF!</definedName>
    <definedName name="Z_A15D1964_B049_11D2_8670_0000832CEEE8_.wvu.Cols" localSheetId="1" hidden="1">'ADJ DETAIL INPUT'!$T:$Y</definedName>
    <definedName name="Z_A15D1964_B049_11D2_8670_0000832CEEE8_.wvu.Cols" localSheetId="5" hidden="1">'LEAD SHEETS-DO NOT ENTER'!#REF!</definedName>
    <definedName name="Z_A15D1964_B049_11D2_8670_0000832CEEE8_.wvu.PrintArea" localSheetId="1" hidden="1">'ADJ DETAIL INPUT'!$E$12:$Y$83</definedName>
    <definedName name="Z_A15D1964_B049_11D2_8670_0000832CEEE8_.wvu.PrintArea" localSheetId="4" hidden="1">'ADJ SUMMARY'!$A$1:$F$48</definedName>
    <definedName name="Z_A15D1964_B049_11D2_8670_0000832CEEE8_.wvu.PrintArea" localSheetId="5" hidden="1">'LEAD SHEETS-DO NOT ENTER'!$E$12:$X$83</definedName>
    <definedName name="Z_A15D1964_B049_11D2_8670_0000832CEEE8_.wvu.PrintArea" localSheetId="7" hidden="1">'ROO INPUT'!$A$3:$G$82</definedName>
    <definedName name="Z_A15D1964_B049_11D2_8670_0000832CEEE8_.wvu.PrintTitles" localSheetId="1" hidden="1">'ADJ DETAIL INPUT'!$A:$D,'ADJ DETAIL INPUT'!$2:$11</definedName>
    <definedName name="Z_A15D1964_B049_11D2_8670_0000832CEEE8_.wvu.PrintTitles" localSheetId="5" hidden="1">'LEAD SHEETS-DO NOT ENTER'!$A:$D,'LEAD SHEETS-DO NOT ENTER'!$2:$11</definedName>
    <definedName name="Z_A15D1964_B049_11D2_8670_0000832CEEE8_.wvu.Rows" localSheetId="4" hidden="1">'ADJ SUMMARY'!$27:$27,'ADJ SUMMARY'!$34:$44,'ADJ SUMMARY'!#REF!</definedName>
  </definedNames>
  <calcPr calcId="152511"/>
  <customWorkbookViews>
    <customWorkbookView name="Kathy Mitchell - Personal View" guid="{A15D1964-B049-11D2-8670-0000832CEEE8}" mergeInterval="0" personalView="1" maximized="1" windowWidth="796" windowHeight="436" activeSheetId="1"/>
    <customWorkbookView name="Don Falkner - Personal View" guid="{5BE913A1-B14F-11D2-B0DC-0000832CDFF0}" mergeInterval="0" personalView="1" maximized="1" windowWidth="1020" windowHeight="604" activeSheetId="2"/>
  </customWorkbookViews>
</workbook>
</file>

<file path=xl/calcChain.xml><?xml version="1.0" encoding="utf-8"?>
<calcChain xmlns="http://schemas.openxmlformats.org/spreadsheetml/2006/main">
  <c r="E33" i="3" l="1"/>
  <c r="D33" i="3"/>
  <c r="C33" i="3"/>
  <c r="B33" i="3"/>
  <c r="A33" i="3"/>
  <c r="E32" i="3"/>
  <c r="D32" i="3"/>
  <c r="C32" i="3"/>
  <c r="B32" i="3"/>
  <c r="A32" i="3"/>
  <c r="E31" i="3"/>
  <c r="D31" i="3"/>
  <c r="C31" i="3"/>
  <c r="B31" i="3"/>
  <c r="A31" i="3"/>
  <c r="E30" i="3"/>
  <c r="D30" i="3"/>
  <c r="C30" i="3"/>
  <c r="B30" i="3"/>
  <c r="A30" i="3"/>
  <c r="AA54" i="1" l="1"/>
  <c r="AB54" i="1"/>
  <c r="AC54" i="1"/>
  <c r="Z54" i="1"/>
  <c r="AD79" i="1" l="1"/>
  <c r="AD78" i="1"/>
  <c r="AD77" i="1"/>
  <c r="AD76" i="1"/>
  <c r="AD74" i="1"/>
  <c r="AD71" i="1"/>
  <c r="AD72" i="1" s="1"/>
  <c r="AD70" i="1"/>
  <c r="AD69" i="1"/>
  <c r="AD65" i="1"/>
  <c r="AD64" i="1"/>
  <c r="AD66" i="1" s="1"/>
  <c r="AD63" i="1"/>
  <c r="AD57" i="1"/>
  <c r="AD56" i="1"/>
  <c r="AD55" i="1"/>
  <c r="AD51" i="1"/>
  <c r="AD47" i="1"/>
  <c r="AD46" i="1"/>
  <c r="AD45" i="1"/>
  <c r="AD44" i="1"/>
  <c r="AD43" i="1"/>
  <c r="AD41" i="1"/>
  <c r="AD40" i="1"/>
  <c r="AD39" i="1"/>
  <c r="AD36" i="1"/>
  <c r="AD35" i="1"/>
  <c r="AD34" i="1"/>
  <c r="AD30" i="1"/>
  <c r="AD29" i="1"/>
  <c r="AD28" i="1"/>
  <c r="AD24" i="1"/>
  <c r="AD23" i="1"/>
  <c r="AD22" i="1"/>
  <c r="AD17" i="1"/>
  <c r="AD16" i="1"/>
  <c r="AD15" i="1"/>
  <c r="Z47" i="1"/>
  <c r="Z46" i="1"/>
  <c r="Z45" i="1"/>
  <c r="Z44" i="1"/>
  <c r="Z41" i="1"/>
  <c r="Z40" i="1"/>
  <c r="Z39" i="1"/>
  <c r="Z36" i="1"/>
  <c r="Z35" i="1"/>
  <c r="Z34" i="1"/>
  <c r="Z30" i="1"/>
  <c r="Z29" i="1"/>
  <c r="Z28" i="1"/>
  <c r="Z24" i="1"/>
  <c r="Z23" i="1"/>
  <c r="Z22" i="1"/>
  <c r="Z17" i="1"/>
  <c r="Z16" i="1"/>
  <c r="Z15" i="1"/>
  <c r="Z18" i="1" s="1"/>
  <c r="AC72" i="1"/>
  <c r="AC66" i="1"/>
  <c r="AC73" i="1" s="1"/>
  <c r="AC75" i="1" s="1"/>
  <c r="AC82" i="1" s="1"/>
  <c r="AC48" i="1"/>
  <c r="AC37" i="1"/>
  <c r="AC31" i="1"/>
  <c r="AC25" i="1"/>
  <c r="AC49" i="1" s="1"/>
  <c r="AC51" i="1" s="1"/>
  <c r="AC18" i="1"/>
  <c r="AB73" i="1"/>
  <c r="AB75" i="1" s="1"/>
  <c r="AB82" i="1" s="1"/>
  <c r="AB72" i="1"/>
  <c r="AB66" i="1"/>
  <c r="AB48" i="1"/>
  <c r="AB37" i="1"/>
  <c r="AB31" i="1"/>
  <c r="AB25" i="1"/>
  <c r="AB18" i="1"/>
  <c r="AA72" i="1"/>
  <c r="AA66" i="1"/>
  <c r="AA73" i="1" s="1"/>
  <c r="AA75" i="1" s="1"/>
  <c r="AA82" i="1" s="1"/>
  <c r="AA48" i="1"/>
  <c r="AA37" i="1"/>
  <c r="AA31" i="1"/>
  <c r="AA25" i="1"/>
  <c r="AA18" i="1"/>
  <c r="AA11" i="1"/>
  <c r="AB11" i="1" s="1"/>
  <c r="AC11" i="1" s="1"/>
  <c r="Z73" i="1"/>
  <c r="Z75" i="1" s="1"/>
  <c r="Z82" i="1" s="1"/>
  <c r="Z72" i="1"/>
  <c r="Z66" i="1"/>
  <c r="Z37" i="1"/>
  <c r="Z31" i="1"/>
  <c r="AB49" i="1" l="1"/>
  <c r="AB51" i="1" s="1"/>
  <c r="AA49" i="1"/>
  <c r="AA51" i="1"/>
  <c r="AA59" i="1" s="1"/>
  <c r="AA90" i="1" s="1"/>
  <c r="AA91" i="1" s="1"/>
  <c r="AA85" i="1" s="1"/>
  <c r="AD48" i="1"/>
  <c r="Z48" i="1"/>
  <c r="AD37" i="1"/>
  <c r="AD49" i="1" s="1"/>
  <c r="AD31" i="1"/>
  <c r="AD25" i="1"/>
  <c r="Z25" i="1"/>
  <c r="Z49" i="1" s="1"/>
  <c r="Z51" i="1" s="1"/>
  <c r="AD18" i="1"/>
  <c r="AD73" i="1"/>
  <c r="AD75" i="1" s="1"/>
  <c r="AD82" i="1" s="1"/>
  <c r="AC59" i="1"/>
  <c r="AC90" i="1" s="1"/>
  <c r="AC91" i="1" s="1"/>
  <c r="AC85" i="1" s="1"/>
  <c r="AB55" i="1"/>
  <c r="AA55" i="1"/>
  <c r="Z55" i="1"/>
  <c r="B15" i="75"/>
  <c r="I10" i="76"/>
  <c r="I79" i="76"/>
  <c r="I78" i="76"/>
  <c r="I77" i="76"/>
  <c r="I76" i="76"/>
  <c r="I74" i="76"/>
  <c r="I71" i="76"/>
  <c r="I70" i="76"/>
  <c r="I69" i="76"/>
  <c r="I72" i="76" s="1"/>
  <c r="I65" i="76"/>
  <c r="I64" i="76"/>
  <c r="I63" i="76"/>
  <c r="I66" i="76" s="1"/>
  <c r="I57" i="76"/>
  <c r="I56" i="76"/>
  <c r="I55" i="76"/>
  <c r="I54" i="76"/>
  <c r="I47" i="76"/>
  <c r="I46" i="76"/>
  <c r="I45" i="76"/>
  <c r="I44" i="76"/>
  <c r="I48" i="76" s="1"/>
  <c r="I41" i="76"/>
  <c r="I40" i="76"/>
  <c r="I39" i="76"/>
  <c r="I37" i="76"/>
  <c r="I36" i="76"/>
  <c r="I35" i="76"/>
  <c r="I34" i="76"/>
  <c r="I31" i="76"/>
  <c r="I30" i="76"/>
  <c r="I29" i="76"/>
  <c r="I28" i="76"/>
  <c r="I25" i="76"/>
  <c r="I49" i="76" s="1"/>
  <c r="I24" i="76"/>
  <c r="I23" i="76"/>
  <c r="I22" i="76"/>
  <c r="I18" i="76"/>
  <c r="I17" i="76"/>
  <c r="I16" i="76"/>
  <c r="I15" i="76"/>
  <c r="I12" i="76"/>
  <c r="I11" i="76"/>
  <c r="I9" i="76"/>
  <c r="I8" i="76"/>
  <c r="E12" i="3"/>
  <c r="F15" i="75" s="1"/>
  <c r="D12" i="3"/>
  <c r="B12" i="3"/>
  <c r="A12" i="3"/>
  <c r="A15" i="75" s="1"/>
  <c r="I72" i="1"/>
  <c r="I66" i="1"/>
  <c r="I48" i="1"/>
  <c r="I37" i="1"/>
  <c r="I31" i="1"/>
  <c r="I25" i="1"/>
  <c r="I49" i="1" s="1"/>
  <c r="I51" i="1" s="1"/>
  <c r="I18" i="1"/>
  <c r="I11" i="1"/>
  <c r="G15" i="75" l="1"/>
  <c r="I15" i="75"/>
  <c r="AB59" i="1"/>
  <c r="AB90" i="1" s="1"/>
  <c r="AB91" i="1" s="1"/>
  <c r="AB85" i="1" s="1"/>
  <c r="I73" i="76"/>
  <c r="I75" i="76" s="1"/>
  <c r="I82" i="76" s="1"/>
  <c r="I51" i="76"/>
  <c r="I59" i="76" s="1"/>
  <c r="I73" i="1"/>
  <c r="I75" i="1" s="1"/>
  <c r="I82" i="1" s="1"/>
  <c r="I54" i="1"/>
  <c r="I55" i="1"/>
  <c r="J15" i="55"/>
  <c r="Z59" i="1" l="1"/>
  <c r="Z90" i="1" s="1"/>
  <c r="Z91" i="1" s="1"/>
  <c r="Z85" i="1" s="1"/>
  <c r="I59" i="1"/>
  <c r="I90" i="1" s="1"/>
  <c r="I91" i="1" s="1"/>
  <c r="I85" i="1" s="1"/>
  <c r="F54" i="1"/>
  <c r="H54" i="1"/>
  <c r="J54" i="1"/>
  <c r="R54" i="1"/>
  <c r="V54" i="1"/>
  <c r="W54" i="1"/>
  <c r="J36" i="1"/>
  <c r="F76" i="5" l="1"/>
  <c r="F64" i="5"/>
  <c r="F69" i="5"/>
  <c r="F56" i="5"/>
  <c r="F46" i="5"/>
  <c r="F23" i="5"/>
  <c r="F17" i="5"/>
  <c r="G46" i="5"/>
  <c r="F195" i="5"/>
  <c r="F196" i="5"/>
  <c r="F197" i="5"/>
  <c r="F198" i="5"/>
  <c r="F199" i="5"/>
  <c r="F200" i="5"/>
  <c r="F201" i="5"/>
  <c r="F202" i="5"/>
  <c r="T25" i="1" l="1"/>
  <c r="E16" i="3" l="1"/>
  <c r="E17" i="3"/>
  <c r="F88" i="5" l="1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3" i="5"/>
  <c r="F104" i="5"/>
  <c r="F105" i="5"/>
  <c r="F106" i="5"/>
  <c r="F107" i="5"/>
  <c r="F22" i="5" s="1"/>
  <c r="F108" i="5"/>
  <c r="F109" i="5"/>
  <c r="F110" i="5"/>
  <c r="F111" i="5"/>
  <c r="F112" i="5"/>
  <c r="F113" i="5"/>
  <c r="F114" i="5"/>
  <c r="F115" i="5"/>
  <c r="F116" i="5"/>
  <c r="F117" i="5"/>
  <c r="F118" i="5"/>
  <c r="F28" i="5" s="1"/>
  <c r="F119" i="5"/>
  <c r="F120" i="5"/>
  <c r="F121" i="5"/>
  <c r="F122" i="5"/>
  <c r="F30" i="5" s="1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25" i="5" l="1"/>
  <c r="F29" i="5"/>
  <c r="F31" i="5" s="1"/>
  <c r="F24" i="5"/>
  <c r="F18" i="5"/>
  <c r="T82" i="1" l="1"/>
  <c r="S39" i="1"/>
  <c r="S39" i="76" s="1"/>
  <c r="T39" i="1"/>
  <c r="T39" i="76" s="1"/>
  <c r="F298" i="5"/>
  <c r="F299" i="5"/>
  <c r="V8" i="76"/>
  <c r="W8" i="76"/>
  <c r="X8" i="76"/>
  <c r="V9" i="76"/>
  <c r="W9" i="76"/>
  <c r="X9" i="76"/>
  <c r="V12" i="76"/>
  <c r="W12" i="76"/>
  <c r="X12" i="76"/>
  <c r="V15" i="76"/>
  <c r="W15" i="76"/>
  <c r="X15" i="76"/>
  <c r="V16" i="76"/>
  <c r="V18" i="76"/>
  <c r="W16" i="76"/>
  <c r="X16" i="76"/>
  <c r="V17" i="76"/>
  <c r="W17" i="76"/>
  <c r="W18" i="76" s="1"/>
  <c r="X17" i="76"/>
  <c r="X18" i="76"/>
  <c r="V22" i="76"/>
  <c r="W22" i="76"/>
  <c r="X22" i="76"/>
  <c r="V23" i="76"/>
  <c r="V25" i="76"/>
  <c r="W23" i="76"/>
  <c r="X23" i="76"/>
  <c r="V24" i="76"/>
  <c r="W24" i="76"/>
  <c r="W25" i="76" s="1"/>
  <c r="X24" i="76"/>
  <c r="X25" i="76"/>
  <c r="V28" i="76"/>
  <c r="V31" i="76" s="1"/>
  <c r="W28" i="76"/>
  <c r="X28" i="76"/>
  <c r="V29" i="76"/>
  <c r="W29" i="76"/>
  <c r="X29" i="76"/>
  <c r="V30" i="76"/>
  <c r="W30" i="76"/>
  <c r="X30" i="76"/>
  <c r="X31" i="76" s="1"/>
  <c r="X49" i="76" s="1"/>
  <c r="X51" i="76" s="1"/>
  <c r="V34" i="76"/>
  <c r="W34" i="76"/>
  <c r="X34" i="76"/>
  <c r="V35" i="76"/>
  <c r="V37" i="76" s="1"/>
  <c r="W35" i="76"/>
  <c r="X35" i="76"/>
  <c r="V36" i="76"/>
  <c r="W36" i="76"/>
  <c r="W37" i="76" s="1"/>
  <c r="X36" i="76"/>
  <c r="X37" i="76"/>
  <c r="V39" i="76"/>
  <c r="W39" i="76"/>
  <c r="X39" i="76"/>
  <c r="V40" i="76"/>
  <c r="W40" i="76"/>
  <c r="X40" i="76"/>
  <c r="V41" i="76"/>
  <c r="W41" i="76"/>
  <c r="X41" i="76"/>
  <c r="V44" i="76"/>
  <c r="W44" i="76"/>
  <c r="X44" i="76"/>
  <c r="X48" i="76" s="1"/>
  <c r="V45" i="76"/>
  <c r="W45" i="76"/>
  <c r="X45" i="76"/>
  <c r="V46" i="76"/>
  <c r="V48" i="76" s="1"/>
  <c r="W46" i="76"/>
  <c r="X46" i="76"/>
  <c r="V47" i="76"/>
  <c r="W47" i="76"/>
  <c r="X47" i="76"/>
  <c r="X55" i="76"/>
  <c r="V56" i="76"/>
  <c r="W56" i="76"/>
  <c r="X56" i="76"/>
  <c r="V57" i="76"/>
  <c r="W57" i="76"/>
  <c r="X57" i="76"/>
  <c r="V63" i="76"/>
  <c r="W63" i="76"/>
  <c r="X63" i="76"/>
  <c r="X66" i="76" s="1"/>
  <c r="V64" i="76"/>
  <c r="W64" i="76"/>
  <c r="X64" i="76"/>
  <c r="V65" i="76"/>
  <c r="V66" i="76" s="1"/>
  <c r="V73" i="76" s="1"/>
  <c r="V75" i="76" s="1"/>
  <c r="V82" i="76" s="1"/>
  <c r="W65" i="76"/>
  <c r="X65" i="76"/>
  <c r="V69" i="76"/>
  <c r="W69" i="76"/>
  <c r="W72" i="76" s="1"/>
  <c r="X69" i="76"/>
  <c r="X72" i="76" s="1"/>
  <c r="V70" i="76"/>
  <c r="W70" i="76"/>
  <c r="X70" i="76"/>
  <c r="V71" i="76"/>
  <c r="V72" i="76" s="1"/>
  <c r="W71" i="76"/>
  <c r="X71" i="76"/>
  <c r="V74" i="76"/>
  <c r="W74" i="76"/>
  <c r="X74" i="76"/>
  <c r="V76" i="76"/>
  <c r="W76" i="76"/>
  <c r="X76" i="76"/>
  <c r="V77" i="76"/>
  <c r="W77" i="76"/>
  <c r="X77" i="76"/>
  <c r="V78" i="76"/>
  <c r="W78" i="76"/>
  <c r="X78" i="76"/>
  <c r="V79" i="76"/>
  <c r="W79" i="76"/>
  <c r="X79" i="76"/>
  <c r="B29" i="75"/>
  <c r="E26" i="3"/>
  <c r="F29" i="75" s="1"/>
  <c r="G29" i="75" s="1"/>
  <c r="B26" i="3"/>
  <c r="W73" i="1"/>
  <c r="W75" i="1"/>
  <c r="W82" i="1"/>
  <c r="W72" i="1"/>
  <c r="W66" i="1"/>
  <c r="W48" i="1"/>
  <c r="W49" i="1" s="1"/>
  <c r="W51" i="1" s="1"/>
  <c r="W37" i="1"/>
  <c r="W31" i="1"/>
  <c r="W25" i="1"/>
  <c r="W18" i="1"/>
  <c r="F140" i="5"/>
  <c r="F150" i="5"/>
  <c r="F152" i="5"/>
  <c r="F36" i="5" s="1"/>
  <c r="F154" i="5"/>
  <c r="F156" i="5"/>
  <c r="F157" i="5"/>
  <c r="F164" i="5"/>
  <c r="F165" i="5"/>
  <c r="F170" i="5"/>
  <c r="F171" i="5"/>
  <c r="F176" i="5"/>
  <c r="F177" i="5"/>
  <c r="F190" i="5"/>
  <c r="F203" i="5"/>
  <c r="F205" i="5"/>
  <c r="F207" i="5"/>
  <c r="F209" i="5"/>
  <c r="F210" i="5"/>
  <c r="F211" i="5"/>
  <c r="F54" i="5" s="1"/>
  <c r="E54" i="1" s="1"/>
  <c r="E54" i="76" s="1"/>
  <c r="F212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63" i="5" s="1"/>
  <c r="F232" i="5"/>
  <c r="F233" i="5"/>
  <c r="F234" i="5"/>
  <c r="F235" i="5"/>
  <c r="F236" i="5"/>
  <c r="L13" i="55"/>
  <c r="N14" i="55" s="1"/>
  <c r="E21" i="56"/>
  <c r="J31" i="1"/>
  <c r="J25" i="1"/>
  <c r="J18" i="1"/>
  <c r="T44" i="1"/>
  <c r="T48" i="1" s="1"/>
  <c r="T36" i="1"/>
  <c r="T37" i="1" s="1"/>
  <c r="U79" i="76"/>
  <c r="T79" i="76"/>
  <c r="S79" i="76"/>
  <c r="U78" i="76"/>
  <c r="T78" i="76"/>
  <c r="S78" i="76"/>
  <c r="U77" i="76"/>
  <c r="T77" i="76"/>
  <c r="S77" i="76"/>
  <c r="U76" i="76"/>
  <c r="T76" i="76"/>
  <c r="S76" i="76"/>
  <c r="U74" i="76"/>
  <c r="T74" i="76"/>
  <c r="S74" i="76"/>
  <c r="U71" i="76"/>
  <c r="T71" i="76"/>
  <c r="T72" i="76" s="1"/>
  <c r="S71" i="76"/>
  <c r="U70" i="76"/>
  <c r="T70" i="76"/>
  <c r="S70" i="76"/>
  <c r="U69" i="76"/>
  <c r="T69" i="76"/>
  <c r="S69" i="76"/>
  <c r="U65" i="76"/>
  <c r="U66" i="76" s="1"/>
  <c r="U73" i="76" s="1"/>
  <c r="U75" i="76" s="1"/>
  <c r="U82" i="76" s="1"/>
  <c r="T65" i="76"/>
  <c r="S65" i="76"/>
  <c r="U64" i="76"/>
  <c r="T64" i="76"/>
  <c r="T66" i="76" s="1"/>
  <c r="T73" i="76" s="1"/>
  <c r="T75" i="76" s="1"/>
  <c r="T82" i="76" s="1"/>
  <c r="S64" i="76"/>
  <c r="U63" i="76"/>
  <c r="T63" i="76"/>
  <c r="S63" i="76"/>
  <c r="S66" i="76" s="1"/>
  <c r="U57" i="76"/>
  <c r="T57" i="76"/>
  <c r="S57" i="76"/>
  <c r="U56" i="76"/>
  <c r="T56" i="76"/>
  <c r="S56" i="76"/>
  <c r="U47" i="76"/>
  <c r="T47" i="76"/>
  <c r="S47" i="76"/>
  <c r="U46" i="76"/>
  <c r="T46" i="76"/>
  <c r="S46" i="76"/>
  <c r="U45" i="76"/>
  <c r="T45" i="76"/>
  <c r="S45" i="76"/>
  <c r="U44" i="76"/>
  <c r="T44" i="76"/>
  <c r="U41" i="76"/>
  <c r="T41" i="76"/>
  <c r="S41" i="76"/>
  <c r="U40" i="76"/>
  <c r="T40" i="76"/>
  <c r="S40" i="76"/>
  <c r="U39" i="76"/>
  <c r="U36" i="76"/>
  <c r="U35" i="76"/>
  <c r="T35" i="76"/>
  <c r="S35" i="76"/>
  <c r="U34" i="76"/>
  <c r="T34" i="76"/>
  <c r="S34" i="76"/>
  <c r="U30" i="76"/>
  <c r="T30" i="76"/>
  <c r="S30" i="76"/>
  <c r="U29" i="76"/>
  <c r="T29" i="76"/>
  <c r="S29" i="76"/>
  <c r="U28" i="76"/>
  <c r="U31" i="76" s="1"/>
  <c r="T28" i="76"/>
  <c r="T31" i="76" s="1"/>
  <c r="S28" i="76"/>
  <c r="U24" i="76"/>
  <c r="T24" i="76"/>
  <c r="S24" i="76"/>
  <c r="U23" i="76"/>
  <c r="T23" i="76"/>
  <c r="S23" i="76"/>
  <c r="U22" i="76"/>
  <c r="T22" i="76"/>
  <c r="S22" i="76"/>
  <c r="U17" i="76"/>
  <c r="T17" i="76"/>
  <c r="S17" i="76"/>
  <c r="U16" i="76"/>
  <c r="T16" i="76"/>
  <c r="S16" i="76"/>
  <c r="U15" i="76"/>
  <c r="T15" i="76"/>
  <c r="S15" i="76"/>
  <c r="U12" i="76"/>
  <c r="T12" i="76"/>
  <c r="S12" i="76"/>
  <c r="T10" i="76"/>
  <c r="U9" i="76"/>
  <c r="T9" i="76"/>
  <c r="S9" i="76"/>
  <c r="U8" i="76"/>
  <c r="T8" i="76"/>
  <c r="S8" i="76"/>
  <c r="R8" i="76"/>
  <c r="R9" i="76"/>
  <c r="R12" i="76"/>
  <c r="R15" i="76"/>
  <c r="R16" i="76"/>
  <c r="R17" i="76"/>
  <c r="R22" i="76"/>
  <c r="R25" i="76" s="1"/>
  <c r="R23" i="76"/>
  <c r="R24" i="76"/>
  <c r="R28" i="76"/>
  <c r="R29" i="76"/>
  <c r="R30" i="76"/>
  <c r="R34" i="76"/>
  <c r="R35" i="76"/>
  <c r="R36" i="76"/>
  <c r="R39" i="76"/>
  <c r="R40" i="76"/>
  <c r="R41" i="76"/>
  <c r="R44" i="76"/>
  <c r="R45" i="76"/>
  <c r="R46" i="76"/>
  <c r="R47" i="76"/>
  <c r="R56" i="76"/>
  <c r="R57" i="76"/>
  <c r="R63" i="76"/>
  <c r="R64" i="76"/>
  <c r="R65" i="76"/>
  <c r="R69" i="76"/>
  <c r="R70" i="76"/>
  <c r="R71" i="76"/>
  <c r="R74" i="76"/>
  <c r="R76" i="76"/>
  <c r="R77" i="76"/>
  <c r="R78" i="76"/>
  <c r="R79" i="76"/>
  <c r="B26" i="75"/>
  <c r="B23" i="3"/>
  <c r="T18" i="1"/>
  <c r="T31" i="1"/>
  <c r="T66" i="1"/>
  <c r="T72" i="1"/>
  <c r="S44" i="1"/>
  <c r="S44" i="76" s="1"/>
  <c r="S36" i="1"/>
  <c r="S37" i="1" s="1"/>
  <c r="S31" i="76"/>
  <c r="U25" i="76"/>
  <c r="U72" i="76"/>
  <c r="S72" i="76"/>
  <c r="R18" i="76"/>
  <c r="U37" i="76"/>
  <c r="T73" i="1"/>
  <c r="T75" i="1"/>
  <c r="E23" i="3"/>
  <c r="F26" i="75" s="1"/>
  <c r="G26" i="75" s="1"/>
  <c r="G8" i="76"/>
  <c r="H8" i="76"/>
  <c r="J8" i="76"/>
  <c r="K8" i="76"/>
  <c r="L8" i="76"/>
  <c r="M8" i="76"/>
  <c r="N8" i="76"/>
  <c r="O8" i="76"/>
  <c r="P8" i="76"/>
  <c r="Q8" i="76"/>
  <c r="G9" i="76"/>
  <c r="H9" i="76"/>
  <c r="J9" i="76"/>
  <c r="K9" i="76"/>
  <c r="L9" i="76"/>
  <c r="M9" i="76"/>
  <c r="N9" i="76"/>
  <c r="O9" i="76"/>
  <c r="P9" i="76"/>
  <c r="Q9" i="76"/>
  <c r="J10" i="76"/>
  <c r="K10" i="76"/>
  <c r="N10" i="76"/>
  <c r="O10" i="76"/>
  <c r="P10" i="76"/>
  <c r="Q10" i="76"/>
  <c r="J11" i="76"/>
  <c r="G12" i="76"/>
  <c r="H12" i="76"/>
  <c r="J12" i="76"/>
  <c r="K12" i="76"/>
  <c r="L12" i="76"/>
  <c r="M12" i="76"/>
  <c r="N12" i="76"/>
  <c r="O12" i="76"/>
  <c r="P12" i="76"/>
  <c r="Q12" i="76"/>
  <c r="G15" i="76"/>
  <c r="H15" i="76"/>
  <c r="J15" i="76"/>
  <c r="K15" i="76"/>
  <c r="L15" i="76"/>
  <c r="M15" i="76"/>
  <c r="N15" i="76"/>
  <c r="O15" i="76"/>
  <c r="P15" i="76"/>
  <c r="Q15" i="76"/>
  <c r="G16" i="76"/>
  <c r="H16" i="76"/>
  <c r="J16" i="76"/>
  <c r="K16" i="76"/>
  <c r="L16" i="76"/>
  <c r="M16" i="76"/>
  <c r="N16" i="76"/>
  <c r="N18" i="76" s="1"/>
  <c r="O16" i="76"/>
  <c r="P16" i="76"/>
  <c r="Q16" i="76"/>
  <c r="G17" i="76"/>
  <c r="H17" i="76"/>
  <c r="J17" i="76"/>
  <c r="K17" i="76"/>
  <c r="L17" i="76"/>
  <c r="M17" i="76"/>
  <c r="N17" i="76"/>
  <c r="O17" i="76"/>
  <c r="P17" i="76"/>
  <c r="Q17" i="76"/>
  <c r="G22" i="76"/>
  <c r="H22" i="76"/>
  <c r="J22" i="76"/>
  <c r="K22" i="76"/>
  <c r="L22" i="76"/>
  <c r="M22" i="76"/>
  <c r="N22" i="76"/>
  <c r="O22" i="76"/>
  <c r="P22" i="76"/>
  <c r="Q22" i="76"/>
  <c r="G23" i="76"/>
  <c r="H23" i="76"/>
  <c r="J23" i="76"/>
  <c r="K23" i="76"/>
  <c r="L23" i="76"/>
  <c r="L25" i="76" s="1"/>
  <c r="M23" i="76"/>
  <c r="N23" i="76"/>
  <c r="O23" i="76"/>
  <c r="P23" i="76"/>
  <c r="P25" i="76" s="1"/>
  <c r="Q23" i="76"/>
  <c r="G24" i="76"/>
  <c r="H24" i="76"/>
  <c r="J24" i="76"/>
  <c r="K24" i="76"/>
  <c r="L24" i="76"/>
  <c r="M24" i="76"/>
  <c r="N24" i="76"/>
  <c r="O24" i="76"/>
  <c r="P24" i="76"/>
  <c r="Q24" i="76"/>
  <c r="G28" i="76"/>
  <c r="H28" i="76"/>
  <c r="J28" i="76"/>
  <c r="K28" i="76"/>
  <c r="L28" i="76"/>
  <c r="M28" i="76"/>
  <c r="N28" i="76"/>
  <c r="O28" i="76"/>
  <c r="P28" i="76"/>
  <c r="P31" i="76" s="1"/>
  <c r="Q28" i="76"/>
  <c r="G29" i="76"/>
  <c r="H29" i="76"/>
  <c r="J29" i="76"/>
  <c r="J31" i="76" s="1"/>
  <c r="K29" i="76"/>
  <c r="L29" i="76"/>
  <c r="M29" i="76"/>
  <c r="N29" i="76"/>
  <c r="N31" i="76" s="1"/>
  <c r="O29" i="76"/>
  <c r="P29" i="76"/>
  <c r="Q29" i="76"/>
  <c r="G30" i="76"/>
  <c r="H30" i="76"/>
  <c r="J30" i="76"/>
  <c r="K30" i="76"/>
  <c r="L30" i="76"/>
  <c r="M30" i="76"/>
  <c r="N30" i="76"/>
  <c r="O30" i="76"/>
  <c r="P30" i="76"/>
  <c r="Q30" i="76"/>
  <c r="G34" i="76"/>
  <c r="H34" i="76"/>
  <c r="J34" i="76"/>
  <c r="K34" i="76"/>
  <c r="L34" i="76"/>
  <c r="M34" i="76"/>
  <c r="N34" i="76"/>
  <c r="O34" i="76"/>
  <c r="P34" i="76"/>
  <c r="Q34" i="76"/>
  <c r="G35" i="76"/>
  <c r="G37" i="76" s="1"/>
  <c r="H35" i="76"/>
  <c r="J35" i="76"/>
  <c r="K35" i="76"/>
  <c r="L35" i="76"/>
  <c r="L37" i="76" s="1"/>
  <c r="M35" i="76"/>
  <c r="N35" i="76"/>
  <c r="O35" i="76"/>
  <c r="P35" i="76"/>
  <c r="P37" i="76" s="1"/>
  <c r="Q35" i="76"/>
  <c r="G36" i="76"/>
  <c r="H36" i="76"/>
  <c r="J36" i="76"/>
  <c r="J37" i="76" s="1"/>
  <c r="K36" i="76"/>
  <c r="L36" i="76"/>
  <c r="M36" i="76"/>
  <c r="N36" i="76"/>
  <c r="O36" i="76"/>
  <c r="P36" i="76"/>
  <c r="Q36" i="76"/>
  <c r="Q37" i="76" s="1"/>
  <c r="G39" i="76"/>
  <c r="H39" i="76"/>
  <c r="J39" i="76"/>
  <c r="K39" i="76"/>
  <c r="L39" i="76"/>
  <c r="M39" i="76"/>
  <c r="N39" i="76"/>
  <c r="O39" i="76"/>
  <c r="P39" i="76"/>
  <c r="Q39" i="76"/>
  <c r="G40" i="76"/>
  <c r="H40" i="76"/>
  <c r="J40" i="76"/>
  <c r="K40" i="76"/>
  <c r="L40" i="76"/>
  <c r="M40" i="76"/>
  <c r="N40" i="76"/>
  <c r="O40" i="76"/>
  <c r="P40" i="76"/>
  <c r="Q40" i="76"/>
  <c r="G41" i="76"/>
  <c r="H41" i="76"/>
  <c r="J41" i="76"/>
  <c r="K41" i="76"/>
  <c r="L41" i="76"/>
  <c r="M41" i="76"/>
  <c r="N41" i="76"/>
  <c r="O41" i="76"/>
  <c r="P41" i="76"/>
  <c r="Q41" i="76"/>
  <c r="G44" i="76"/>
  <c r="H44" i="76"/>
  <c r="J44" i="76"/>
  <c r="J48" i="76" s="1"/>
  <c r="K44" i="76"/>
  <c r="L44" i="76"/>
  <c r="M44" i="76"/>
  <c r="N44" i="76"/>
  <c r="O44" i="76"/>
  <c r="P44" i="76"/>
  <c r="Q44" i="76"/>
  <c r="G45" i="76"/>
  <c r="H45" i="76"/>
  <c r="J45" i="76"/>
  <c r="K45" i="76"/>
  <c r="L45" i="76"/>
  <c r="M45" i="76"/>
  <c r="N45" i="76"/>
  <c r="O45" i="76"/>
  <c r="P45" i="76"/>
  <c r="Q45" i="76"/>
  <c r="G46" i="76"/>
  <c r="H46" i="76"/>
  <c r="J46" i="76"/>
  <c r="K46" i="76"/>
  <c r="L46" i="76"/>
  <c r="M46" i="76"/>
  <c r="N46" i="76"/>
  <c r="O46" i="76"/>
  <c r="P46" i="76"/>
  <c r="Q46" i="76"/>
  <c r="G47" i="76"/>
  <c r="H47" i="76"/>
  <c r="J47" i="76"/>
  <c r="K47" i="76"/>
  <c r="L47" i="76"/>
  <c r="M47" i="76"/>
  <c r="N47" i="76"/>
  <c r="O47" i="76"/>
  <c r="P47" i="76"/>
  <c r="Q47" i="76"/>
  <c r="O54" i="76"/>
  <c r="O55" i="76"/>
  <c r="G56" i="76"/>
  <c r="H56" i="76"/>
  <c r="J56" i="76"/>
  <c r="K56" i="76"/>
  <c r="L56" i="76"/>
  <c r="M56" i="76"/>
  <c r="N56" i="76"/>
  <c r="O56" i="76"/>
  <c r="P56" i="76"/>
  <c r="Q56" i="76"/>
  <c r="G57" i="76"/>
  <c r="H57" i="76"/>
  <c r="J57" i="76"/>
  <c r="K57" i="76"/>
  <c r="L57" i="76"/>
  <c r="M57" i="76"/>
  <c r="N57" i="76"/>
  <c r="O57" i="76"/>
  <c r="P57" i="76"/>
  <c r="Q57" i="76"/>
  <c r="G63" i="76"/>
  <c r="H63" i="76"/>
  <c r="J63" i="76"/>
  <c r="K63" i="76"/>
  <c r="L63" i="76"/>
  <c r="M63" i="76"/>
  <c r="N63" i="76"/>
  <c r="O63" i="76"/>
  <c r="P63" i="76"/>
  <c r="P66" i="76" s="1"/>
  <c r="Q63" i="76"/>
  <c r="G64" i="76"/>
  <c r="H64" i="76"/>
  <c r="J64" i="76"/>
  <c r="J66" i="76" s="1"/>
  <c r="K64" i="76"/>
  <c r="L64" i="76"/>
  <c r="M64" i="76"/>
  <c r="N64" i="76"/>
  <c r="N66" i="76" s="1"/>
  <c r="O64" i="76"/>
  <c r="P64" i="76"/>
  <c r="Q64" i="76"/>
  <c r="G65" i="76"/>
  <c r="H65" i="76"/>
  <c r="J65" i="76"/>
  <c r="K65" i="76"/>
  <c r="L65" i="76"/>
  <c r="M65" i="76"/>
  <c r="N65" i="76"/>
  <c r="O65" i="76"/>
  <c r="P65" i="76"/>
  <c r="Q65" i="76"/>
  <c r="G69" i="76"/>
  <c r="H69" i="76"/>
  <c r="J69" i="76"/>
  <c r="K69" i="76"/>
  <c r="L69" i="76"/>
  <c r="M69" i="76"/>
  <c r="N69" i="76"/>
  <c r="O69" i="76"/>
  <c r="P69" i="76"/>
  <c r="Q69" i="76"/>
  <c r="G70" i="76"/>
  <c r="G72" i="76" s="1"/>
  <c r="H70" i="76"/>
  <c r="J70" i="76"/>
  <c r="K70" i="76"/>
  <c r="L70" i="76"/>
  <c r="L72" i="76" s="1"/>
  <c r="M70" i="76"/>
  <c r="N70" i="76"/>
  <c r="O70" i="76"/>
  <c r="P70" i="76"/>
  <c r="P72" i="76" s="1"/>
  <c r="Q70" i="76"/>
  <c r="G71" i="76"/>
  <c r="H71" i="76"/>
  <c r="J71" i="76"/>
  <c r="K71" i="76"/>
  <c r="L71" i="76"/>
  <c r="M71" i="76"/>
  <c r="N71" i="76"/>
  <c r="O71" i="76"/>
  <c r="P71" i="76"/>
  <c r="Q71" i="76"/>
  <c r="G74" i="76"/>
  <c r="H74" i="76"/>
  <c r="J74" i="76"/>
  <c r="K74" i="76"/>
  <c r="L74" i="76"/>
  <c r="M74" i="76"/>
  <c r="N74" i="76"/>
  <c r="O74" i="76"/>
  <c r="P74" i="76"/>
  <c r="Q74" i="76"/>
  <c r="G76" i="76"/>
  <c r="H76" i="76"/>
  <c r="J76" i="76"/>
  <c r="K76" i="76"/>
  <c r="L76" i="76"/>
  <c r="M76" i="76"/>
  <c r="N76" i="76"/>
  <c r="O76" i="76"/>
  <c r="P76" i="76"/>
  <c r="Q76" i="76"/>
  <c r="G77" i="76"/>
  <c r="H77" i="76"/>
  <c r="J77" i="76"/>
  <c r="K77" i="76"/>
  <c r="L77" i="76"/>
  <c r="M77" i="76"/>
  <c r="N77" i="76"/>
  <c r="O77" i="76"/>
  <c r="P77" i="76"/>
  <c r="Q77" i="76"/>
  <c r="G78" i="76"/>
  <c r="H78" i="76"/>
  <c r="J78" i="76"/>
  <c r="K78" i="76"/>
  <c r="L78" i="76"/>
  <c r="M78" i="76"/>
  <c r="N78" i="76"/>
  <c r="O78" i="76"/>
  <c r="P78" i="76"/>
  <c r="Q78" i="76"/>
  <c r="G79" i="76"/>
  <c r="H79" i="76"/>
  <c r="J79" i="76"/>
  <c r="K79" i="76"/>
  <c r="L79" i="76"/>
  <c r="M79" i="76"/>
  <c r="N79" i="76"/>
  <c r="O79" i="76"/>
  <c r="P79" i="76"/>
  <c r="Q79" i="76"/>
  <c r="O37" i="76"/>
  <c r="Q31" i="76"/>
  <c r="Q72" i="76"/>
  <c r="K31" i="76"/>
  <c r="M31" i="76"/>
  <c r="O25" i="76"/>
  <c r="O49" i="76" s="1"/>
  <c r="O48" i="76"/>
  <c r="K48" i="76"/>
  <c r="G25" i="76"/>
  <c r="O66" i="76"/>
  <c r="Q25" i="76"/>
  <c r="O18" i="76"/>
  <c r="Q66" i="76"/>
  <c r="Q73" i="76" s="1"/>
  <c r="Q75" i="76" s="1"/>
  <c r="Q82" i="76" s="1"/>
  <c r="H66" i="76"/>
  <c r="K66" i="76"/>
  <c r="K25" i="76"/>
  <c r="O72" i="76"/>
  <c r="O31" i="76"/>
  <c r="H25" i="76"/>
  <c r="K18" i="76"/>
  <c r="Q48" i="76"/>
  <c r="M66" i="76"/>
  <c r="H31" i="76"/>
  <c r="H37" i="76"/>
  <c r="M25" i="76"/>
  <c r="Q18" i="76"/>
  <c r="M18" i="76"/>
  <c r="H18" i="76"/>
  <c r="H48" i="76"/>
  <c r="M37" i="76"/>
  <c r="H49" i="76"/>
  <c r="H51" i="76" s="1"/>
  <c r="F79" i="76"/>
  <c r="F284" i="5"/>
  <c r="K11" i="1"/>
  <c r="K11" i="76"/>
  <c r="L11" i="1"/>
  <c r="B17" i="75"/>
  <c r="B14" i="3"/>
  <c r="M11" i="1"/>
  <c r="L11" i="76"/>
  <c r="K72" i="1"/>
  <c r="K66" i="1"/>
  <c r="K48" i="1"/>
  <c r="K37" i="1"/>
  <c r="K31" i="1"/>
  <c r="K49" i="1" s="1"/>
  <c r="K51" i="1" s="1"/>
  <c r="K54" i="1" s="1"/>
  <c r="K25" i="1"/>
  <c r="K18" i="1"/>
  <c r="N11" i="1"/>
  <c r="M11" i="76"/>
  <c r="K73" i="1"/>
  <c r="K75" i="1"/>
  <c r="K82" i="1"/>
  <c r="E14" i="3"/>
  <c r="F17" i="75" s="1"/>
  <c r="G17" i="75" s="1"/>
  <c r="O11" i="1"/>
  <c r="N11" i="76"/>
  <c r="O11" i="76"/>
  <c r="P11" i="1"/>
  <c r="U84" i="55"/>
  <c r="AJ82" i="56"/>
  <c r="AF81" i="56"/>
  <c r="P11" i="76"/>
  <c r="Q11" i="1"/>
  <c r="R11" i="1"/>
  <c r="S11" i="1"/>
  <c r="R11" i="76"/>
  <c r="Q11" i="76"/>
  <c r="F63" i="76"/>
  <c r="F66" i="76" s="1"/>
  <c r="F8" i="76"/>
  <c r="F9" i="76"/>
  <c r="F10" i="76"/>
  <c r="F12" i="76"/>
  <c r="F15" i="76"/>
  <c r="F16" i="76"/>
  <c r="F17" i="76"/>
  <c r="F22" i="76"/>
  <c r="F25" i="76" s="1"/>
  <c r="F23" i="76"/>
  <c r="F24" i="76"/>
  <c r="F28" i="76"/>
  <c r="F29" i="76"/>
  <c r="F31" i="76" s="1"/>
  <c r="F30" i="76"/>
  <c r="F34" i="76"/>
  <c r="F35" i="76"/>
  <c r="F36" i="76"/>
  <c r="F37" i="76" s="1"/>
  <c r="F39" i="76"/>
  <c r="F40" i="76"/>
  <c r="F41" i="76"/>
  <c r="F44" i="76"/>
  <c r="F48" i="76" s="1"/>
  <c r="F45" i="76"/>
  <c r="F46" i="76"/>
  <c r="F47" i="76"/>
  <c r="F56" i="76"/>
  <c r="F57" i="76"/>
  <c r="F64" i="76"/>
  <c r="F65" i="76"/>
  <c r="F69" i="76"/>
  <c r="F72" i="76" s="1"/>
  <c r="F70" i="76"/>
  <c r="F71" i="76"/>
  <c r="F74" i="76"/>
  <c r="F76" i="76"/>
  <c r="F77" i="76"/>
  <c r="F78" i="76"/>
  <c r="E12" i="76"/>
  <c r="E11" i="76"/>
  <c r="E10" i="76"/>
  <c r="E9" i="76"/>
  <c r="E8" i="76"/>
  <c r="A5" i="76"/>
  <c r="A4" i="76"/>
  <c r="A3" i="76"/>
  <c r="A2" i="76"/>
  <c r="T11" i="1"/>
  <c r="S11" i="76"/>
  <c r="F18" i="76"/>
  <c r="U11" i="1"/>
  <c r="V11" i="1"/>
  <c r="T11" i="76"/>
  <c r="V11" i="76"/>
  <c r="W11" i="1"/>
  <c r="U11" i="76"/>
  <c r="U37" i="1"/>
  <c r="U31" i="1"/>
  <c r="U25" i="1"/>
  <c r="U18" i="1"/>
  <c r="X11" i="1"/>
  <c r="X11" i="76"/>
  <c r="A26" i="3"/>
  <c r="A29" i="75" s="1"/>
  <c r="W11" i="76"/>
  <c r="A23" i="3"/>
  <c r="A26" i="75" s="1"/>
  <c r="Q37" i="1"/>
  <c r="P37" i="1"/>
  <c r="V37" i="1"/>
  <c r="R37" i="1"/>
  <c r="Q31" i="1"/>
  <c r="P31" i="1"/>
  <c r="V31" i="1"/>
  <c r="R31" i="1"/>
  <c r="Q25" i="1"/>
  <c r="P25" i="1"/>
  <c r="V25" i="1"/>
  <c r="R25" i="1"/>
  <c r="Q18" i="1"/>
  <c r="P18" i="1"/>
  <c r="V18" i="1"/>
  <c r="R18" i="1"/>
  <c r="L15" i="55"/>
  <c r="G40" i="75"/>
  <c r="G15" i="5"/>
  <c r="G16" i="5"/>
  <c r="G17" i="5"/>
  <c r="G22" i="5"/>
  <c r="G25" i="5" s="1"/>
  <c r="G23" i="5"/>
  <c r="G24" i="5"/>
  <c r="G28" i="5"/>
  <c r="G29" i="5"/>
  <c r="G30" i="5"/>
  <c r="G34" i="5"/>
  <c r="G35" i="5"/>
  <c r="G37" i="5" s="1"/>
  <c r="G36" i="5"/>
  <c r="G39" i="5"/>
  <c r="G40" i="5"/>
  <c r="G41" i="5"/>
  <c r="G44" i="5"/>
  <c r="G48" i="5" s="1"/>
  <c r="G45" i="5"/>
  <c r="G54" i="5"/>
  <c r="G56" i="5"/>
  <c r="G57" i="5"/>
  <c r="G63" i="5"/>
  <c r="G64" i="5"/>
  <c r="G66" i="5" s="1"/>
  <c r="G73" i="5" s="1"/>
  <c r="G75" i="5" s="1"/>
  <c r="G82" i="5" s="1"/>
  <c r="G65" i="5"/>
  <c r="G69" i="5"/>
  <c r="G70" i="5"/>
  <c r="G72" i="5" s="1"/>
  <c r="G71" i="5"/>
  <c r="G74" i="5"/>
  <c r="G76" i="5"/>
  <c r="G77" i="5"/>
  <c r="G78" i="5"/>
  <c r="G79" i="5"/>
  <c r="G18" i="5"/>
  <c r="G31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70" i="5" s="1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5" i="5"/>
  <c r="F286" i="5"/>
  <c r="F287" i="5"/>
  <c r="F74" i="5" s="1"/>
  <c r="F288" i="5"/>
  <c r="F289" i="5"/>
  <c r="F290" i="5"/>
  <c r="F291" i="5"/>
  <c r="F292" i="5"/>
  <c r="F293" i="5"/>
  <c r="F294" i="5"/>
  <c r="F295" i="5"/>
  <c r="F296" i="5"/>
  <c r="F297" i="5"/>
  <c r="F300" i="5"/>
  <c r="F79" i="5" s="1"/>
  <c r="F301" i="5"/>
  <c r="F302" i="5"/>
  <c r="F303" i="5"/>
  <c r="F304" i="5"/>
  <c r="E55" i="1"/>
  <c r="E55" i="76" s="1"/>
  <c r="X18" i="1"/>
  <c r="F18" i="1"/>
  <c r="G18" i="1"/>
  <c r="H18" i="1"/>
  <c r="S18" i="1"/>
  <c r="L18" i="1"/>
  <c r="M18" i="1"/>
  <c r="N18" i="1"/>
  <c r="O18" i="1"/>
  <c r="A4" i="75"/>
  <c r="A70" i="75" s="1"/>
  <c r="B27" i="3"/>
  <c r="B24" i="3"/>
  <c r="B20" i="3"/>
  <c r="B19" i="3"/>
  <c r="B25" i="3"/>
  <c r="B21" i="3"/>
  <c r="B18" i="3"/>
  <c r="B17" i="3"/>
  <c r="B16" i="3"/>
  <c r="B15" i="3"/>
  <c r="B13" i="3"/>
  <c r="B22" i="3"/>
  <c r="B11" i="3"/>
  <c r="B10" i="3"/>
  <c r="B9" i="3"/>
  <c r="B8" i="3"/>
  <c r="C128" i="75"/>
  <c r="C127" i="75"/>
  <c r="B114" i="75"/>
  <c r="F112" i="75"/>
  <c r="A68" i="75"/>
  <c r="A67" i="75"/>
  <c r="C65" i="75"/>
  <c r="C143" i="75"/>
  <c r="C64" i="75"/>
  <c r="C142" i="75"/>
  <c r="C61" i="75"/>
  <c r="C139" i="75"/>
  <c r="C60" i="75"/>
  <c r="C138" i="75"/>
  <c r="C57" i="75"/>
  <c r="C135" i="75"/>
  <c r="C56" i="75"/>
  <c r="C134" i="75"/>
  <c r="C55" i="75"/>
  <c r="C133" i="75"/>
  <c r="C51" i="75"/>
  <c r="E58" i="75"/>
  <c r="I10" i="75"/>
  <c r="F116" i="75"/>
  <c r="F120" i="75"/>
  <c r="F123" i="75"/>
  <c r="C66" i="75"/>
  <c r="D65" i="75"/>
  <c r="C129" i="75"/>
  <c r="E136" i="75"/>
  <c r="C136" i="75"/>
  <c r="D135" i="75"/>
  <c r="C140" i="75"/>
  <c r="D139" i="75"/>
  <c r="C144" i="75"/>
  <c r="D142" i="75"/>
  <c r="D144" i="75"/>
  <c r="C62" i="75"/>
  <c r="D60" i="75"/>
  <c r="C58" i="75"/>
  <c r="D56" i="75"/>
  <c r="E56" i="75"/>
  <c r="E66" i="75"/>
  <c r="D61" i="75"/>
  <c r="D62" i="75"/>
  <c r="D134" i="75"/>
  <c r="D64" i="75"/>
  <c r="D66" i="75"/>
  <c r="D133" i="75"/>
  <c r="E133" i="75"/>
  <c r="E140" i="75"/>
  <c r="E139" i="75"/>
  <c r="E135" i="75"/>
  <c r="D143" i="75"/>
  <c r="E65" i="75"/>
  <c r="D57" i="75"/>
  <c r="E57" i="75"/>
  <c r="D55" i="75"/>
  <c r="D138" i="75"/>
  <c r="D136" i="75"/>
  <c r="E134" i="75"/>
  <c r="E144" i="75"/>
  <c r="E142" i="75"/>
  <c r="E64" i="75"/>
  <c r="D58" i="75"/>
  <c r="E55" i="75"/>
  <c r="E62" i="75"/>
  <c r="E138" i="75"/>
  <c r="D140" i="75"/>
  <c r="E143" i="75"/>
  <c r="E60" i="75"/>
  <c r="E61" i="75"/>
  <c r="F25" i="1"/>
  <c r="G25" i="1"/>
  <c r="H25" i="1"/>
  <c r="S25" i="1"/>
  <c r="L25" i="1"/>
  <c r="M25" i="1"/>
  <c r="N25" i="1"/>
  <c r="O25" i="1"/>
  <c r="X25" i="1"/>
  <c r="Y43" i="1"/>
  <c r="A3" i="1"/>
  <c r="A4" i="1"/>
  <c r="A4" i="55" s="1"/>
  <c r="A5" i="1"/>
  <c r="A2" i="1"/>
  <c r="A1" i="3" s="1"/>
  <c r="F11" i="1"/>
  <c r="C4" i="56"/>
  <c r="G11" i="1"/>
  <c r="G11" i="76"/>
  <c r="F11" i="76"/>
  <c r="H11" i="1"/>
  <c r="H11" i="76"/>
  <c r="E23" i="56"/>
  <c r="E25" i="56" s="1"/>
  <c r="B27" i="75"/>
  <c r="A10" i="3"/>
  <c r="A13" i="75" s="1"/>
  <c r="B13" i="75"/>
  <c r="A11" i="3"/>
  <c r="A14" i="75" s="1"/>
  <c r="B14" i="75"/>
  <c r="B25" i="75"/>
  <c r="B16" i="75"/>
  <c r="B18" i="75"/>
  <c r="B19" i="75"/>
  <c r="B20" i="75"/>
  <c r="B21" i="75"/>
  <c r="B24" i="75"/>
  <c r="B28" i="75"/>
  <c r="B22" i="75"/>
  <c r="B23" i="75"/>
  <c r="B30" i="75"/>
  <c r="B11" i="75"/>
  <c r="A9" i="3"/>
  <c r="A12" i="75" s="1"/>
  <c r="B12" i="75"/>
  <c r="A8" i="3"/>
  <c r="A11" i="75" s="1"/>
  <c r="H68" i="5"/>
  <c r="X48" i="1"/>
  <c r="S72" i="1"/>
  <c r="L48" i="1"/>
  <c r="O48" i="1"/>
  <c r="O31" i="1"/>
  <c r="U48" i="1"/>
  <c r="U49" i="1" s="1"/>
  <c r="G37" i="1"/>
  <c r="M31" i="1"/>
  <c r="G31" i="1"/>
  <c r="M37" i="1"/>
  <c r="J37" i="1"/>
  <c r="F31" i="1"/>
  <c r="L37" i="1"/>
  <c r="M48" i="1"/>
  <c r="N37" i="1"/>
  <c r="R48" i="1"/>
  <c r="V48" i="1"/>
  <c r="P48" i="1"/>
  <c r="P49" i="1" s="1"/>
  <c r="P51" i="1" s="1"/>
  <c r="P54" i="1" s="1"/>
  <c r="Q48" i="1"/>
  <c r="U72" i="1"/>
  <c r="Q66" i="1"/>
  <c r="N72" i="1"/>
  <c r="M66" i="1"/>
  <c r="H66" i="1"/>
  <c r="S31" i="1"/>
  <c r="N31" i="1"/>
  <c r="N66" i="1"/>
  <c r="M72" i="1"/>
  <c r="H72" i="1"/>
  <c r="F48" i="1"/>
  <c r="F37" i="1"/>
  <c r="H48" i="1"/>
  <c r="H37" i="1"/>
  <c r="L31" i="1"/>
  <c r="N48" i="1"/>
  <c r="N49" i="1" s="1"/>
  <c r="N51" i="1" s="1"/>
  <c r="N54" i="1" s="1"/>
  <c r="O37" i="1"/>
  <c r="Q72" i="1"/>
  <c r="P66" i="1"/>
  <c r="V72" i="1"/>
  <c r="O72" i="1"/>
  <c r="J17" i="55"/>
  <c r="X37" i="1"/>
  <c r="X72" i="1"/>
  <c r="V66" i="1"/>
  <c r="R72" i="1"/>
  <c r="L72" i="1"/>
  <c r="S66" i="1"/>
  <c r="F66" i="1"/>
  <c r="X31" i="1"/>
  <c r="H31" i="1"/>
  <c r="X66" i="1"/>
  <c r="R66" i="1"/>
  <c r="F72" i="1"/>
  <c r="U66" i="1"/>
  <c r="P72" i="1"/>
  <c r="O66" i="1"/>
  <c r="L66" i="1"/>
  <c r="J72" i="1"/>
  <c r="G72" i="1"/>
  <c r="G48" i="1"/>
  <c r="J48" i="1"/>
  <c r="J66" i="1"/>
  <c r="J73" i="1"/>
  <c r="G66" i="1"/>
  <c r="R73" i="1"/>
  <c r="L73" i="1"/>
  <c r="L75" i="1"/>
  <c r="U73" i="1"/>
  <c r="U75" i="1"/>
  <c r="S73" i="1"/>
  <c r="S75" i="1"/>
  <c r="O73" i="1"/>
  <c r="O75" i="1"/>
  <c r="N73" i="1"/>
  <c r="X73" i="1"/>
  <c r="X75" i="1"/>
  <c r="X82" i="1"/>
  <c r="G73" i="1"/>
  <c r="G75" i="1"/>
  <c r="G82" i="1"/>
  <c r="P73" i="1"/>
  <c r="M73" i="1"/>
  <c r="H73" i="1"/>
  <c r="F73" i="1"/>
  <c r="V73" i="1"/>
  <c r="Q73" i="1"/>
  <c r="H49" i="1"/>
  <c r="H51" i="1"/>
  <c r="H54" i="76"/>
  <c r="L49" i="1"/>
  <c r="L51" i="1" s="1"/>
  <c r="L54" i="1" s="1"/>
  <c r="X49" i="1"/>
  <c r="X51" i="1"/>
  <c r="Q49" i="1"/>
  <c r="Q51" i="1" s="1"/>
  <c r="Q54" i="1" s="1"/>
  <c r="J49" i="1"/>
  <c r="J51" i="1" s="1"/>
  <c r="J54" i="76" s="1"/>
  <c r="F49" i="1"/>
  <c r="F51" i="1"/>
  <c r="F54" i="76"/>
  <c r="M49" i="1"/>
  <c r="M51" i="1" s="1"/>
  <c r="M54" i="1" s="1"/>
  <c r="O49" i="1"/>
  <c r="O51" i="1"/>
  <c r="G49" i="1"/>
  <c r="G51" i="1" s="1"/>
  <c r="G54" i="1" s="1"/>
  <c r="V49" i="1"/>
  <c r="V51" i="1" s="1"/>
  <c r="E27" i="3"/>
  <c r="F30" i="75" s="1"/>
  <c r="G30" i="75" s="1"/>
  <c r="E10" i="3"/>
  <c r="F13" i="75" s="1"/>
  <c r="G13" i="75" s="1"/>
  <c r="U82" i="1"/>
  <c r="E24" i="3"/>
  <c r="F27" i="75" s="1"/>
  <c r="G27" i="75" s="1"/>
  <c r="S82" i="1"/>
  <c r="O82" i="1"/>
  <c r="L82" i="1"/>
  <c r="J75" i="1"/>
  <c r="M75" i="1"/>
  <c r="P75" i="1"/>
  <c r="F75" i="1"/>
  <c r="F82" i="1" s="1"/>
  <c r="R75" i="1"/>
  <c r="Q75" i="1"/>
  <c r="Q82" i="1"/>
  <c r="N75" i="1"/>
  <c r="N82" i="1"/>
  <c r="H75" i="1"/>
  <c r="H82" i="1"/>
  <c r="E11" i="3" s="1"/>
  <c r="F14" i="75" s="1"/>
  <c r="G14" i="75" s="1"/>
  <c r="V75" i="1"/>
  <c r="V82" i="1"/>
  <c r="E18" i="3"/>
  <c r="F21" i="75" s="1"/>
  <c r="G21" i="75" s="1"/>
  <c r="E22" i="3"/>
  <c r="F25" i="75" s="1"/>
  <c r="G25" i="75" s="1"/>
  <c r="E15" i="3"/>
  <c r="F18" i="75" s="1"/>
  <c r="G18" i="75" s="1"/>
  <c r="E25" i="3"/>
  <c r="F28" i="75" s="1"/>
  <c r="G28" i="75" s="1"/>
  <c r="E20" i="3"/>
  <c r="F23" i="75" s="1"/>
  <c r="G23" i="75" s="1"/>
  <c r="F20" i="75"/>
  <c r="G20" i="75" s="1"/>
  <c r="P82" i="1"/>
  <c r="E19" i="3"/>
  <c r="F22" i="75" s="1"/>
  <c r="G22" i="75" s="1"/>
  <c r="J82" i="1"/>
  <c r="M82" i="1"/>
  <c r="R82" i="1"/>
  <c r="E21" i="3"/>
  <c r="F24" i="75" s="1"/>
  <c r="G24" i="75" s="1"/>
  <c r="E13" i="3"/>
  <c r="F16" i="75" s="1"/>
  <c r="G16" i="75" s="1"/>
  <c r="O59" i="1"/>
  <c r="D18" i="3" s="1"/>
  <c r="F19" i="75"/>
  <c r="G19" i="75" s="1"/>
  <c r="A13" i="3"/>
  <c r="A16" i="75" s="1"/>
  <c r="A14" i="3"/>
  <c r="A17" i="75" s="1"/>
  <c r="A15" i="3"/>
  <c r="A18" i="75"/>
  <c r="A16" i="3"/>
  <c r="A19" i="75" s="1"/>
  <c r="A17" i="3"/>
  <c r="A20" i="75" s="1"/>
  <c r="A18" i="3"/>
  <c r="A21" i="75" s="1"/>
  <c r="A19" i="3"/>
  <c r="A22" i="75" s="1"/>
  <c r="A20" i="3"/>
  <c r="A23" i="75" s="1"/>
  <c r="A21" i="3"/>
  <c r="A24" i="75" s="1"/>
  <c r="A22" i="3"/>
  <c r="A25" i="75" s="1"/>
  <c r="A24" i="3"/>
  <c r="A27" i="75" s="1"/>
  <c r="E8" i="75"/>
  <c r="A27" i="3"/>
  <c r="A30" i="75" s="1"/>
  <c r="A25" i="3"/>
  <c r="A28" i="75" s="1"/>
  <c r="E79" i="1"/>
  <c r="E79" i="76" s="1"/>
  <c r="F208" i="5"/>
  <c r="F206" i="5"/>
  <c r="F141" i="5"/>
  <c r="F144" i="5"/>
  <c r="F182" i="5"/>
  <c r="F173" i="5"/>
  <c r="F181" i="5"/>
  <c r="F147" i="5"/>
  <c r="F162" i="5"/>
  <c r="F187" i="5"/>
  <c r="F192" i="5"/>
  <c r="F143" i="5"/>
  <c r="F142" i="5"/>
  <c r="F153" i="5"/>
  <c r="F155" i="5"/>
  <c r="F188" i="5"/>
  <c r="F168" i="5"/>
  <c r="F161" i="5"/>
  <c r="F183" i="5"/>
  <c r="F174" i="5"/>
  <c r="F213" i="5"/>
  <c r="F57" i="5" s="1"/>
  <c r="F185" i="5"/>
  <c r="F151" i="5"/>
  <c r="F35" i="5" s="1"/>
  <c r="F166" i="5"/>
  <c r="F169" i="5"/>
  <c r="F40" i="5" s="1"/>
  <c r="E40" i="1" s="1"/>
  <c r="E40" i="76" s="1"/>
  <c r="F149" i="5"/>
  <c r="F34" i="5" s="1"/>
  <c r="E34" i="5" s="1"/>
  <c r="H34" i="5" s="1"/>
  <c r="E34" i="1"/>
  <c r="Y34" i="1" s="1"/>
  <c r="F191" i="5"/>
  <c r="F193" i="5"/>
  <c r="F146" i="5"/>
  <c r="F194" i="5"/>
  <c r="F159" i="5"/>
  <c r="F148" i="5"/>
  <c r="F204" i="5"/>
  <c r="F167" i="5"/>
  <c r="F178" i="5"/>
  <c r="F189" i="5"/>
  <c r="F44" i="5" s="1"/>
  <c r="F158" i="5"/>
  <c r="F163" i="5"/>
  <c r="F39" i="5" s="1"/>
  <c r="F184" i="5"/>
  <c r="E23" i="1"/>
  <c r="Y23" i="1" s="1"/>
  <c r="F179" i="5"/>
  <c r="F160" i="5"/>
  <c r="F145" i="5"/>
  <c r="F186" i="5"/>
  <c r="F180" i="5"/>
  <c r="F172" i="5"/>
  <c r="F175" i="5"/>
  <c r="F41" i="5" s="1"/>
  <c r="E41" i="1" s="1"/>
  <c r="Y41" i="1" s="1"/>
  <c r="J72" i="76" l="1"/>
  <c r="L66" i="76"/>
  <c r="L73" i="76" s="1"/>
  <c r="L75" i="76" s="1"/>
  <c r="L82" i="76" s="1"/>
  <c r="G66" i="76"/>
  <c r="G73" i="76" s="1"/>
  <c r="G75" i="76" s="1"/>
  <c r="G82" i="76" s="1"/>
  <c r="P48" i="76"/>
  <c r="P49" i="76" s="1"/>
  <c r="G18" i="76"/>
  <c r="V49" i="76"/>
  <c r="V51" i="76" s="1"/>
  <c r="O73" i="76"/>
  <c r="O75" i="76" s="1"/>
  <c r="O82" i="76" s="1"/>
  <c r="K72" i="76"/>
  <c r="K37" i="76"/>
  <c r="N72" i="76"/>
  <c r="N73" i="76" s="1"/>
  <c r="N75" i="76" s="1"/>
  <c r="N82" i="76" s="1"/>
  <c r="G48" i="76"/>
  <c r="G31" i="76"/>
  <c r="J25" i="76"/>
  <c r="P18" i="76"/>
  <c r="S73" i="76"/>
  <c r="S75" i="76" s="1"/>
  <c r="S82" i="76" s="1"/>
  <c r="X73" i="76"/>
  <c r="X75" i="76" s="1"/>
  <c r="X82" i="76" s="1"/>
  <c r="O51" i="76"/>
  <c r="O59" i="76" s="1"/>
  <c r="H72" i="76"/>
  <c r="H73" i="76" s="1"/>
  <c r="H75" i="76" s="1"/>
  <c r="H82" i="76" s="1"/>
  <c r="M72" i="76"/>
  <c r="S48" i="76"/>
  <c r="R72" i="76"/>
  <c r="R66" i="76"/>
  <c r="R73" i="76" s="1"/>
  <c r="R75" i="76" s="1"/>
  <c r="R82" i="76" s="1"/>
  <c r="R48" i="76"/>
  <c r="R37" i="76"/>
  <c r="R31" i="76"/>
  <c r="R49" i="76" s="1"/>
  <c r="R51" i="76" s="1"/>
  <c r="U18" i="76"/>
  <c r="T25" i="76"/>
  <c r="W31" i="76"/>
  <c r="L48" i="76"/>
  <c r="N37" i="76"/>
  <c r="L31" i="76"/>
  <c r="N25" i="76"/>
  <c r="L18" i="76"/>
  <c r="M73" i="76"/>
  <c r="M75" i="76" s="1"/>
  <c r="M82" i="76" s="1"/>
  <c r="W66" i="76"/>
  <c r="W73" i="76" s="1"/>
  <c r="W75" i="76" s="1"/>
  <c r="W82" i="76" s="1"/>
  <c r="F73" i="76"/>
  <c r="J73" i="76"/>
  <c r="J75" i="76" s="1"/>
  <c r="J82" i="76" s="1"/>
  <c r="G49" i="76"/>
  <c r="G51" i="76" s="1"/>
  <c r="F49" i="76"/>
  <c r="P73" i="76"/>
  <c r="P75" i="76" s="1"/>
  <c r="P82" i="76" s="1"/>
  <c r="F51" i="76"/>
  <c r="K73" i="76"/>
  <c r="K75" i="76" s="1"/>
  <c r="K82" i="76" s="1"/>
  <c r="L49" i="76"/>
  <c r="L51" i="76" s="1"/>
  <c r="F75" i="76"/>
  <c r="F82" i="76" s="1"/>
  <c r="M48" i="76"/>
  <c r="M49" i="76" s="1"/>
  <c r="M51" i="76" s="1"/>
  <c r="N48" i="76"/>
  <c r="N49" i="76" s="1"/>
  <c r="N51" i="76" s="1"/>
  <c r="J49" i="76"/>
  <c r="S18" i="76"/>
  <c r="T48" i="76"/>
  <c r="W48" i="76"/>
  <c r="W49" i="76" s="1"/>
  <c r="W51" i="76" s="1"/>
  <c r="U48" i="76"/>
  <c r="U49" i="76" s="1"/>
  <c r="T36" i="76"/>
  <c r="T37" i="76" s="1"/>
  <c r="K49" i="76"/>
  <c r="K51" i="76" s="1"/>
  <c r="T49" i="1"/>
  <c r="T51" i="1" s="1"/>
  <c r="T54" i="1" s="1"/>
  <c r="E41" i="5"/>
  <c r="H41" i="5" s="1"/>
  <c r="E40" i="5"/>
  <c r="H40" i="5" s="1"/>
  <c r="G49" i="5"/>
  <c r="G51" i="5" s="1"/>
  <c r="G59" i="5" s="1"/>
  <c r="E79" i="5"/>
  <c r="H77" i="5" s="1"/>
  <c r="F71" i="5"/>
  <c r="F65" i="5"/>
  <c r="F66" i="5" s="1"/>
  <c r="F72" i="5"/>
  <c r="E54" i="5"/>
  <c r="H54" i="5" s="1"/>
  <c r="F77" i="5"/>
  <c r="A4" i="3"/>
  <c r="U51" i="1"/>
  <c r="T18" i="76"/>
  <c r="E27" i="56"/>
  <c r="F22" i="55" s="1"/>
  <c r="E88" i="1" s="1"/>
  <c r="S36" i="76"/>
  <c r="S37" i="76" s="1"/>
  <c r="S48" i="1"/>
  <c r="S49" i="1" s="1"/>
  <c r="S51" i="1" s="1"/>
  <c r="Q49" i="76"/>
  <c r="Q51" i="76" s="1"/>
  <c r="F78" i="5"/>
  <c r="F45" i="5"/>
  <c r="E41" i="76"/>
  <c r="F37" i="5"/>
  <c r="E46" i="5"/>
  <c r="G55" i="1"/>
  <c r="G55" i="76" s="1"/>
  <c r="S55" i="1"/>
  <c r="S55" i="76" s="1"/>
  <c r="V55" i="1"/>
  <c r="V55" i="76" s="1"/>
  <c r="L55" i="1"/>
  <c r="L55" i="76" s="1"/>
  <c r="H55" i="1"/>
  <c r="H55" i="76" s="1"/>
  <c r="H59" i="76" s="1"/>
  <c r="M55" i="1"/>
  <c r="M55" i="76" s="1"/>
  <c r="W55" i="1"/>
  <c r="W55" i="76" s="1"/>
  <c r="T55" i="1"/>
  <c r="T55" i="76" s="1"/>
  <c r="J55" i="1"/>
  <c r="J55" i="76" s="1"/>
  <c r="E36" i="75"/>
  <c r="U55" i="1"/>
  <c r="U55" i="76" s="1"/>
  <c r="P55" i="1"/>
  <c r="P55" i="76" s="1"/>
  <c r="R55" i="1"/>
  <c r="R55" i="76" s="1"/>
  <c r="K55" i="1"/>
  <c r="K55" i="76" s="1"/>
  <c r="Q55" i="1"/>
  <c r="Q55" i="76" s="1"/>
  <c r="N55" i="1"/>
  <c r="N55" i="76" s="1"/>
  <c r="L17" i="55"/>
  <c r="W54" i="76"/>
  <c r="T49" i="76"/>
  <c r="S25" i="76"/>
  <c r="R49" i="1"/>
  <c r="R51" i="1" s="1"/>
  <c r="R54" i="76"/>
  <c r="Q54" i="76"/>
  <c r="P54" i="76"/>
  <c r="N54" i="76"/>
  <c r="M54" i="76"/>
  <c r="L54" i="76"/>
  <c r="K54" i="76"/>
  <c r="J18" i="76"/>
  <c r="J51" i="76"/>
  <c r="G54" i="76"/>
  <c r="E9" i="3"/>
  <c r="F12" i="75" s="1"/>
  <c r="G12" i="75" s="1"/>
  <c r="F55" i="1"/>
  <c r="F55" i="76" s="1"/>
  <c r="F59" i="76" s="1"/>
  <c r="E23" i="76"/>
  <c r="Y79" i="1"/>
  <c r="E22" i="1"/>
  <c r="Y40" i="1"/>
  <c r="E34" i="76"/>
  <c r="E22" i="5"/>
  <c r="E23" i="5"/>
  <c r="H23" i="5" s="1"/>
  <c r="U51" i="76" l="1"/>
  <c r="P51" i="76"/>
  <c r="P59" i="76" s="1"/>
  <c r="S49" i="76"/>
  <c r="S51" i="76" s="1"/>
  <c r="S54" i="1"/>
  <c r="S54" i="76" s="1"/>
  <c r="U54" i="1"/>
  <c r="U54" i="76" s="1"/>
  <c r="U59" i="76" s="1"/>
  <c r="F48" i="5"/>
  <c r="E77" i="5"/>
  <c r="E77" i="1"/>
  <c r="E46" i="1"/>
  <c r="Y46" i="1" s="1"/>
  <c r="F49" i="5"/>
  <c r="F51" i="5" s="1"/>
  <c r="F59" i="5" s="1"/>
  <c r="W59" i="76"/>
  <c r="F59" i="1"/>
  <c r="D9" i="3" s="1"/>
  <c r="T51" i="76"/>
  <c r="L59" i="76"/>
  <c r="I12" i="75"/>
  <c r="F32" i="75"/>
  <c r="G59" i="76"/>
  <c r="P59" i="1"/>
  <c r="D19" i="3" s="1"/>
  <c r="Q59" i="76"/>
  <c r="M59" i="1"/>
  <c r="D16" i="3" s="1"/>
  <c r="J59" i="76"/>
  <c r="R59" i="76"/>
  <c r="H59" i="1"/>
  <c r="D11" i="3" s="1"/>
  <c r="J59" i="1"/>
  <c r="D13" i="3" s="1"/>
  <c r="L59" i="1"/>
  <c r="D15" i="3" s="1"/>
  <c r="N59" i="1"/>
  <c r="D17" i="3" s="1"/>
  <c r="V59" i="1"/>
  <c r="D25" i="3" s="1"/>
  <c r="N59" i="76"/>
  <c r="U59" i="1"/>
  <c r="D24" i="3" s="1"/>
  <c r="F14" i="55"/>
  <c r="E87" i="1"/>
  <c r="O90" i="1" s="1"/>
  <c r="O91" i="1" s="1"/>
  <c r="O85" i="1" s="1"/>
  <c r="I27" i="75"/>
  <c r="I21" i="75"/>
  <c r="I22" i="75"/>
  <c r="I16" i="75"/>
  <c r="I19" i="75"/>
  <c r="I30" i="75"/>
  <c r="I26" i="75"/>
  <c r="F36" i="75"/>
  <c r="I18" i="75"/>
  <c r="I23" i="75"/>
  <c r="I28" i="75"/>
  <c r="I13" i="75"/>
  <c r="I20" i="75"/>
  <c r="I24" i="75"/>
  <c r="I29" i="75"/>
  <c r="I17" i="75"/>
  <c r="I25" i="75"/>
  <c r="K59" i="76"/>
  <c r="M59" i="76"/>
  <c r="I14" i="75"/>
  <c r="W59" i="1"/>
  <c r="T54" i="76"/>
  <c r="R59" i="1"/>
  <c r="Q59" i="1"/>
  <c r="D20" i="3" s="1"/>
  <c r="K59" i="1"/>
  <c r="G59" i="1"/>
  <c r="Y55" i="1"/>
  <c r="F73" i="5"/>
  <c r="F75" i="5" s="1"/>
  <c r="F82" i="5" s="1"/>
  <c r="Y22" i="1"/>
  <c r="E22" i="76"/>
  <c r="H22" i="5"/>
  <c r="V54" i="76"/>
  <c r="V59" i="76" s="1"/>
  <c r="S59" i="76" l="1"/>
  <c r="S59" i="1"/>
  <c r="D22" i="3" s="1"/>
  <c r="E46" i="76"/>
  <c r="F84" i="5"/>
  <c r="Y77" i="1"/>
  <c r="E77" i="76"/>
  <c r="T59" i="76"/>
  <c r="F38" i="75"/>
  <c r="F42" i="75" s="1"/>
  <c r="F45" i="75" s="1"/>
  <c r="P90" i="1"/>
  <c r="P91" i="1" s="1"/>
  <c r="P85" i="1" s="1"/>
  <c r="F90" i="1"/>
  <c r="F91" i="1" s="1"/>
  <c r="F85" i="1" s="1"/>
  <c r="H90" i="1"/>
  <c r="H91" i="1" s="1"/>
  <c r="H85" i="1" s="1"/>
  <c r="M90" i="1"/>
  <c r="M91" i="1" s="1"/>
  <c r="M85" i="1" s="1"/>
  <c r="V90" i="1"/>
  <c r="V91" i="1" s="1"/>
  <c r="V85" i="1" s="1"/>
  <c r="L90" i="1"/>
  <c r="L91" i="1" s="1"/>
  <c r="L85" i="1" s="1"/>
  <c r="J90" i="1"/>
  <c r="J91" i="1" s="1"/>
  <c r="J85" i="1" s="1"/>
  <c r="N90" i="1"/>
  <c r="N91" i="1" s="1"/>
  <c r="N85" i="1" s="1"/>
  <c r="U90" i="1"/>
  <c r="U91" i="1" s="1"/>
  <c r="U85" i="1" s="1"/>
  <c r="W90" i="1"/>
  <c r="W91" i="1" s="1"/>
  <c r="W85" i="1" s="1"/>
  <c r="D26" i="3"/>
  <c r="T59" i="1"/>
  <c r="S90" i="1"/>
  <c r="S91" i="1" s="1"/>
  <c r="S85" i="1" s="1"/>
  <c r="D21" i="3"/>
  <c r="R90" i="1"/>
  <c r="R91" i="1" s="1"/>
  <c r="R85" i="1" s="1"/>
  <c r="Q90" i="1"/>
  <c r="Q91" i="1" s="1"/>
  <c r="Q85" i="1" s="1"/>
  <c r="D14" i="3"/>
  <c r="K90" i="1"/>
  <c r="K91" i="1" s="1"/>
  <c r="K85" i="1" s="1"/>
  <c r="G90" i="1"/>
  <c r="G91" i="1" s="1"/>
  <c r="G85" i="1" s="1"/>
  <c r="D10" i="3"/>
  <c r="D23" i="3" l="1"/>
  <c r="T90" i="1"/>
  <c r="T91" i="1" s="1"/>
  <c r="T85" i="1" s="1"/>
  <c r="H65" i="5" l="1"/>
  <c r="E76" i="5"/>
  <c r="H76" i="5" s="1"/>
  <c r="E39" i="5"/>
  <c r="H39" i="5" s="1"/>
  <c r="E29" i="1"/>
  <c r="E29" i="76" s="1"/>
  <c r="E45" i="1"/>
  <c r="Y45" i="1" s="1"/>
  <c r="E56" i="1"/>
  <c r="E56" i="76" s="1"/>
  <c r="E78" i="1"/>
  <c r="E78" i="76" s="1"/>
  <c r="H21" i="5"/>
  <c r="E78" i="5"/>
  <c r="E47" i="5"/>
  <c r="H47" i="5" s="1"/>
  <c r="E47" i="1"/>
  <c r="Y47" i="1" s="1"/>
  <c r="E76" i="1"/>
  <c r="Y76" i="1" s="1"/>
  <c r="E71" i="5"/>
  <c r="H71" i="5" s="1"/>
  <c r="E71" i="1"/>
  <c r="Y71" i="1" s="1"/>
  <c r="E56" i="5"/>
  <c r="H56" i="5"/>
  <c r="E36" i="1"/>
  <c r="E36" i="76" s="1"/>
  <c r="E57" i="5"/>
  <c r="H57" i="5" s="1"/>
  <c r="E57" i="1"/>
  <c r="Y57" i="1" s="1"/>
  <c r="E17" i="1"/>
  <c r="Y17" i="1" s="1"/>
  <c r="E17" i="5"/>
  <c r="H17" i="5" s="1"/>
  <c r="E39" i="1"/>
  <c r="Y39" i="1" s="1"/>
  <c r="E29" i="5"/>
  <c r="H29" i="5" s="1"/>
  <c r="E45" i="5"/>
  <c r="H45" i="5" s="1"/>
  <c r="E16" i="5"/>
  <c r="H16" i="5" s="1"/>
  <c r="E16" i="1"/>
  <c r="E16" i="76" s="1"/>
  <c r="E64" i="5"/>
  <c r="H64" i="5" s="1"/>
  <c r="E64" i="1"/>
  <c r="Y64" i="1" s="1"/>
  <c r="E74" i="5"/>
  <c r="H74" i="5" s="1"/>
  <c r="E74" i="1"/>
  <c r="E74" i="76" s="1"/>
  <c r="E30" i="5"/>
  <c r="H30" i="5" s="1"/>
  <c r="E70" i="5"/>
  <c r="H70" i="5" s="1"/>
  <c r="E70" i="1"/>
  <c r="E70" i="76" s="1"/>
  <c r="E36" i="5"/>
  <c r="H36" i="5" s="1"/>
  <c r="E65" i="5"/>
  <c r="E65" i="1"/>
  <c r="E65" i="76" s="1"/>
  <c r="E30" i="1"/>
  <c r="E30" i="76" s="1"/>
  <c r="E44" i="5"/>
  <c r="E44" i="1"/>
  <c r="E24" i="5"/>
  <c r="E24" i="1"/>
  <c r="E24" i="76" s="1"/>
  <c r="E25" i="76" s="1"/>
  <c r="E35" i="5"/>
  <c r="H35" i="5" s="1"/>
  <c r="E35" i="1"/>
  <c r="Y35" i="1" s="1"/>
  <c r="E69" i="5"/>
  <c r="H69" i="5" s="1"/>
  <c r="E69" i="1"/>
  <c r="Y69" i="1" s="1"/>
  <c r="E28" i="5"/>
  <c r="E28" i="1"/>
  <c r="E28" i="76" s="1"/>
  <c r="E15" i="5"/>
  <c r="E15" i="1"/>
  <c r="Y15" i="1" s="1"/>
  <c r="E63" i="5"/>
  <c r="H63" i="5" s="1"/>
  <c r="E63" i="1"/>
  <c r="E63" i="76" s="1"/>
  <c r="Y63" i="1"/>
  <c r="Y56" i="1" l="1"/>
  <c r="E48" i="1"/>
  <c r="E44" i="76"/>
  <c r="E39" i="76"/>
  <c r="E57" i="76"/>
  <c r="E76" i="76"/>
  <c r="E15" i="76"/>
  <c r="Y30" i="1"/>
  <c r="Y70" i="1"/>
  <c r="Y72" i="1" s="1"/>
  <c r="E47" i="76"/>
  <c r="E17" i="76"/>
  <c r="E18" i="76" s="1"/>
  <c r="E18" i="1"/>
  <c r="Y16" i="1"/>
  <c r="F26" i="55" s="1"/>
  <c r="Y24" i="1"/>
  <c r="Y25" i="1" s="1"/>
  <c r="E25" i="1"/>
  <c r="Y36" i="1"/>
  <c r="Y37" i="1" s="1"/>
  <c r="E31" i="1"/>
  <c r="E37" i="1"/>
  <c r="Y28" i="1"/>
  <c r="Y44" i="1"/>
  <c r="Y48" i="1" s="1"/>
  <c r="Y65" i="1"/>
  <c r="Y66" i="1" s="1"/>
  <c r="E64" i="76"/>
  <c r="E66" i="76" s="1"/>
  <c r="Y74" i="1"/>
  <c r="E72" i="5"/>
  <c r="H72" i="5" s="1"/>
  <c r="E66" i="1"/>
  <c r="E69" i="76"/>
  <c r="Y18" i="1"/>
  <c r="H28" i="5"/>
  <c r="E31" i="5"/>
  <c r="H31" i="5" s="1"/>
  <c r="H15" i="5"/>
  <c r="E18" i="5"/>
  <c r="E37" i="5"/>
  <c r="H37" i="5" s="1"/>
  <c r="E48" i="5"/>
  <c r="H48" i="5" s="1"/>
  <c r="H44" i="5"/>
  <c r="E25" i="5"/>
  <c r="H24" i="5"/>
  <c r="E31" i="76"/>
  <c r="E72" i="1"/>
  <c r="E66" i="5"/>
  <c r="E71" i="76"/>
  <c r="E45" i="76"/>
  <c r="Y29" i="1"/>
  <c r="Y78" i="1"/>
  <c r="E35" i="76"/>
  <c r="E37" i="76" s="1"/>
  <c r="E72" i="76" l="1"/>
  <c r="E48" i="76"/>
  <c r="E49" i="76" s="1"/>
  <c r="E51" i="76" s="1"/>
  <c r="E59" i="76" s="1"/>
  <c r="E49" i="1"/>
  <c r="E51" i="1" s="1"/>
  <c r="E59" i="1" s="1"/>
  <c r="Y31" i="1"/>
  <c r="Y49" i="1" s="1"/>
  <c r="Y73" i="1"/>
  <c r="Y75" i="1" s="1"/>
  <c r="Y82" i="1" s="1"/>
  <c r="E73" i="1"/>
  <c r="E75" i="1" s="1"/>
  <c r="E82" i="1" s="1"/>
  <c r="E8" i="3" s="1"/>
  <c r="E73" i="76"/>
  <c r="E75" i="76" s="1"/>
  <c r="E82" i="76" s="1"/>
  <c r="E73" i="5"/>
  <c r="E75" i="5" s="1"/>
  <c r="E82" i="5" s="1"/>
  <c r="H82" i="5" s="1"/>
  <c r="H66" i="5"/>
  <c r="H18" i="5"/>
  <c r="H25" i="5"/>
  <c r="E49" i="5"/>
  <c r="H49" i="5" s="1"/>
  <c r="Y51" i="1" l="1"/>
  <c r="D8" i="3"/>
  <c r="E83" i="1"/>
  <c r="E11" i="75"/>
  <c r="E29" i="3"/>
  <c r="E90" i="1"/>
  <c r="E91" i="1" s="1"/>
  <c r="E85" i="1" s="1"/>
  <c r="E51" i="5"/>
  <c r="F12" i="55" l="1"/>
  <c r="F16" i="55" s="1"/>
  <c r="E34" i="3"/>
  <c r="H51" i="5"/>
  <c r="E59" i="5"/>
  <c r="G11" i="75"/>
  <c r="G32" i="75" s="1"/>
  <c r="E32" i="75"/>
  <c r="E38" i="75" s="1"/>
  <c r="I11" i="75"/>
  <c r="I38" i="75" s="1"/>
  <c r="I45" i="75" s="1"/>
  <c r="H59" i="5" l="1"/>
  <c r="E84" i="5"/>
  <c r="G38" i="75"/>
  <c r="E42" i="75"/>
  <c r="E45" i="75" l="1"/>
  <c r="X54" i="1" s="1"/>
  <c r="G42" i="75"/>
  <c r="G45" i="75" l="1"/>
  <c r="J46" i="75" l="1"/>
  <c r="X59" i="1"/>
  <c r="X54" i="76"/>
  <c r="X59" i="76" s="1"/>
  <c r="Y54" i="1"/>
  <c r="Y59" i="1" l="1"/>
  <c r="Y83" i="1" s="1"/>
  <c r="AD54" i="1"/>
  <c r="AD59" i="1" s="1"/>
  <c r="D27" i="3"/>
  <c r="D29" i="3" s="1"/>
  <c r="X90" i="1"/>
  <c r="X91" i="1" s="1"/>
  <c r="X85" i="1" s="1"/>
  <c r="F34" i="3" l="1"/>
  <c r="D34" i="3"/>
  <c r="Y90" i="1"/>
  <c r="Y91" i="1" s="1"/>
  <c r="Y85" i="1" s="1"/>
  <c r="AD83" i="1"/>
  <c r="AD90" i="1"/>
  <c r="AD91" i="1" s="1"/>
  <c r="AD85" i="1" s="1"/>
  <c r="F29" i="3"/>
  <c r="F18" i="55"/>
  <c r="F20" i="55" s="1"/>
  <c r="F24" i="55" s="1"/>
  <c r="F28" i="55" l="1"/>
  <c r="J12" i="56"/>
  <c r="J17" i="56" l="1"/>
  <c r="J19" i="56"/>
  <c r="J15" i="56"/>
  <c r="J21" i="56" l="1"/>
  <c r="J23" i="56" s="1"/>
  <c r="J25" i="56" l="1"/>
  <c r="J27" i="56" s="1"/>
  <c r="J29" i="56" s="1"/>
  <c r="J30" i="56" s="1"/>
</calcChain>
</file>

<file path=xl/comments1.xml><?xml version="1.0" encoding="utf-8"?>
<comments xmlns="http://schemas.openxmlformats.org/spreadsheetml/2006/main">
  <authors>
    <author>gzhkw6</author>
  </authors>
  <commentList>
    <comment ref="O54" authorId="0" shapeId="0">
      <text>
        <r>
          <rPr>
            <b/>
            <sz val="9"/>
            <color indexed="81"/>
            <rFont val="Tahoma"/>
            <family val="2"/>
          </rPr>
          <t>tara knox:</t>
        </r>
        <r>
          <rPr>
            <sz val="9"/>
            <color indexed="81"/>
            <rFont val="Tahoma"/>
            <family val="2"/>
          </rPr>
          <t xml:space="preserve">
manual input, no formula for tax expense in this adjustment</t>
        </r>
      </text>
    </comment>
  </commentList>
</comments>
</file>

<file path=xl/comments2.xml><?xml version="1.0" encoding="utf-8"?>
<comments xmlns="http://schemas.openxmlformats.org/spreadsheetml/2006/main">
  <authors>
    <author>rzk7kq</author>
  </authors>
  <commentList>
    <comment ref="B48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14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3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<sst xmlns="http://schemas.openxmlformats.org/spreadsheetml/2006/main" count="726" uniqueCount="482">
  <si>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</si>
  <si>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</si>
  <si>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</si>
  <si>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</si>
  <si>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</si>
  <si>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</si>
  <si>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</si>
  <si>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</si>
  <si>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</si>
  <si>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</si>
  <si>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</si>
  <si>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</si>
  <si>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</si>
  <si>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 xml:space="preserve">and </t>
  </si>
  <si>
    <t>Debt</t>
  </si>
  <si>
    <t>Charges to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</si>
  <si>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</si>
  <si>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</si>
  <si>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</si>
  <si>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</si>
  <si>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</si>
  <si>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</si>
  <si>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</si>
  <si>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</si>
  <si>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</si>
  <si>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</si>
  <si>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</si>
  <si>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</si>
  <si>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</si>
  <si>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</si>
  <si>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</si>
  <si>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</si>
  <si>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</si>
  <si>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</si>
  <si>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</si>
  <si>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</si>
  <si>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</si>
  <si>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</si>
  <si>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</si>
  <si>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</si>
  <si>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</si>
  <si>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</si>
  <si>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</si>
  <si>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</si>
  <si>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</si>
  <si>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</si>
  <si>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</si>
  <si>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</si>
  <si>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</si>
  <si>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</si>
  <si>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</si>
  <si>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</si>
  <si>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</si>
  <si>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Distribution Plant</t>
  </si>
  <si>
    <t>General Plant</t>
  </si>
  <si>
    <t>Total Plant in Service</t>
  </si>
  <si>
    <t>ACCUMULATED DEPRECIATION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</si>
  <si>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</si>
  <si>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</si>
  <si>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</si>
  <si>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</si>
  <si>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</si>
  <si>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</si>
  <si>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</si>
  <si>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</si>
  <si>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</si>
  <si>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</si>
  <si>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</si>
  <si>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</si>
  <si>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</si>
  <si>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</si>
  <si>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</si>
  <si>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</si>
  <si>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</si>
  <si>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</si>
  <si>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</si>
  <si>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</si>
  <si>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</si>
  <si>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</si>
  <si>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</si>
  <si>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</si>
  <si>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</si>
  <si>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</si>
  <si>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</si>
  <si>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</si>
  <si>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</si>
  <si>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</si>
  <si>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</si>
  <si>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</si>
  <si>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</si>
  <si>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</si>
  <si>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</si>
  <si>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</si>
  <si>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</si>
  <si>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</si>
  <si>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</si>
  <si>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</si>
  <si>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</si>
  <si>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</si>
  <si>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</si>
  <si>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</si>
  <si>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</si>
  <si>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</si>
  <si>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Washington - Gas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</si>
  <si>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</si>
  <si>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</si>
  <si>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</si>
  <si>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</si>
  <si>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</si>
  <si>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</si>
  <si>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</si>
  <si>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</si>
  <si>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>Restate Debt Interest</t>
  </si>
  <si>
    <t>Jeanne</t>
  </si>
  <si>
    <t>Net</t>
  </si>
  <si>
    <t>Excise</t>
  </si>
  <si>
    <t>Calculation of General Revenue Requirement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</si>
  <si>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</si>
  <si>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</si>
  <si>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</si>
  <si>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</si>
  <si>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</si>
  <si>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</si>
  <si>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</si>
  <si>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</si>
  <si>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</si>
  <si>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</si>
  <si>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</si>
  <si>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Revenue Requirement</t>
  </si>
  <si>
    <t>Total General Business Revenues</t>
  </si>
  <si>
    <t>Percentage Revenue Increase</t>
  </si>
  <si>
    <t>(000's OF DOLLARS)</t>
  </si>
  <si>
    <t>WASH</t>
  </si>
  <si>
    <t xml:space="preserve">Pro Forma Rate Base </t>
  </si>
  <si>
    <t>Revenue Conversion Factor</t>
  </si>
  <si>
    <t>Washington - Gas System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</si>
  <si>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</si>
  <si>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</si>
  <si>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</si>
  <si>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</si>
  <si>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</si>
  <si>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</si>
  <si>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</si>
  <si>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</si>
  <si>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 xml:space="preserve">  Federal Income Tax @ 35%</t>
  </si>
  <si>
    <t>REVENUE CONVERSION FACTOR</t>
  </si>
  <si>
    <t>WA Wtd Debt</t>
  </si>
  <si>
    <t>All Inputs</t>
  </si>
  <si>
    <t>NOI Requirement</t>
  </si>
  <si>
    <t>Misc</t>
  </si>
  <si>
    <t>Restating</t>
  </si>
  <si>
    <t>REVENUE REQUIREMENT</t>
  </si>
  <si>
    <t xml:space="preserve">REVISED - Agreed to Cost of Capital in Partial Settlement Stipulation </t>
  </si>
  <si>
    <t>Common Equity</t>
  </si>
  <si>
    <t>Filed Revenue Requirement</t>
  </si>
  <si>
    <t xml:space="preserve">Adjusted Revenue Requirement </t>
  </si>
  <si>
    <t>NET PLANT</t>
  </si>
  <si>
    <t xml:space="preserve">WORKING CAPITAL </t>
  </si>
  <si>
    <t>WORKING CAPITAL</t>
  </si>
  <si>
    <t>Done</t>
  </si>
  <si>
    <t>Not Done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</si>
  <si>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</si>
  <si>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</si>
  <si>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</si>
  <si>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</si>
  <si>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</si>
  <si>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</si>
  <si>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</si>
  <si>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</si>
  <si>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</si>
  <si>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G-FIT</t>
  </si>
  <si>
    <t>G-NGL</t>
  </si>
  <si>
    <t>G-OSC</t>
  </si>
  <si>
    <t>G-MR</t>
  </si>
  <si>
    <t>G-DI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</si>
  <si>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</si>
  <si>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</si>
  <si>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</si>
  <si>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</si>
  <si>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</si>
  <si>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</si>
  <si>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</si>
  <si>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</si>
  <si>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</si>
  <si>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</si>
  <si>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</si>
  <si>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</si>
  <si>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</si>
  <si>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</si>
  <si>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</si>
  <si>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</si>
  <si>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</si>
  <si>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</si>
  <si>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</si>
  <si>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</si>
  <si>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</si>
  <si>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</si>
  <si>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</si>
  <si>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</si>
  <si>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</si>
  <si>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</si>
  <si>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</si>
  <si>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</si>
  <si>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</si>
  <si>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</si>
  <si>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</si>
  <si>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</si>
  <si>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</si>
  <si>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</si>
  <si>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</si>
  <si>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</si>
  <si>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</si>
  <si>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</si>
  <si>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</si>
  <si>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</si>
  <si>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</si>
  <si>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</si>
  <si>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</si>
  <si>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</si>
  <si>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</si>
  <si>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</si>
  <si>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</si>
  <si>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</si>
  <si>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</si>
  <si>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</si>
  <si>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</si>
  <si>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</si>
  <si>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</si>
  <si>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</si>
  <si>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</si>
  <si>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</si>
  <si>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</si>
  <si>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</si>
  <si>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</si>
  <si>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</si>
  <si>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</si>
  <si>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</si>
  <si>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</si>
  <si>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</si>
  <si>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</si>
  <si>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</si>
  <si>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</si>
  <si>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</si>
  <si>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</si>
  <si>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</si>
  <si>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</si>
  <si>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</si>
  <si>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</si>
  <si>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</si>
  <si>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</si>
  <si>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</si>
  <si>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</si>
  <si>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</si>
  <si>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</si>
  <si>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</si>
  <si>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</si>
  <si>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</si>
  <si>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</si>
  <si>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</si>
  <si>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</si>
  <si>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</si>
  <si>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</si>
  <si>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</si>
  <si>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</si>
  <si>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</si>
  <si>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</si>
  <si>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</si>
  <si>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</si>
  <si>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</si>
  <si>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</si>
  <si>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</si>
  <si>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</si>
  <si>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</si>
  <si>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</si>
  <si>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</si>
  <si>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</si>
  <si>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</si>
  <si>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</si>
  <si>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</si>
  <si>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</si>
  <si>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</si>
  <si>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</si>
  <si>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</si>
  <si>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</si>
  <si>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</si>
  <si>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</si>
  <si>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</si>
  <si>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</si>
  <si>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</si>
  <si>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</si>
  <si>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</si>
  <si>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</si>
  <si>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</si>
  <si>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</si>
  <si>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</si>
  <si>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</si>
  <si>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</si>
  <si>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</si>
  <si>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</si>
  <si>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</si>
  <si>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</si>
  <si>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</si>
  <si>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</si>
  <si>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</si>
  <si>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</si>
  <si>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</si>
  <si>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</si>
  <si>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</si>
  <si>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</si>
  <si>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</si>
  <si>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</si>
  <si>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</si>
  <si>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</si>
  <si>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</si>
  <si>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</si>
  <si>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</si>
  <si>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</si>
  <si>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</si>
  <si>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</si>
  <si>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</si>
  <si>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</si>
  <si>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</si>
  <si>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</si>
  <si>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</si>
  <si>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</si>
  <si>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</si>
  <si>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</si>
  <si>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</si>
  <si>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</si>
  <si>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</si>
  <si>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</si>
  <si>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</si>
  <si>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</si>
  <si>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</si>
  <si>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</si>
  <si>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</si>
  <si>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</si>
  <si>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</si>
  <si>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</si>
  <si>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</si>
  <si>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</si>
  <si>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</si>
  <si>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</si>
  <si>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</si>
  <si>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</si>
  <si>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</si>
  <si>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</si>
  <si>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</si>
  <si>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</si>
  <si>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</si>
  <si>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</si>
  <si>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</si>
  <si>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</si>
  <si>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</si>
  <si>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</si>
  <si>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</si>
  <si>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</si>
  <si>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</si>
  <si>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</si>
  <si>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</si>
  <si>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</si>
  <si>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</si>
  <si>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</si>
  <si>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</si>
  <si>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</si>
  <si>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</si>
  <si>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</si>
  <si>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</si>
  <si>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</si>
  <si>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</si>
  <si>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</si>
  <si>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</si>
  <si>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</si>
  <si>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</si>
  <si>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Gain on Sale of General Office Bldg</t>
  </si>
  <si>
    <t>DFIT - Gain on Sale of General Office Bldg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</si>
  <si>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</si>
  <si>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</si>
  <si>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</si>
  <si>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</si>
  <si>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</si>
  <si>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</si>
  <si>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</si>
  <si>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</si>
  <si>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</si>
  <si>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</si>
  <si>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</si>
  <si>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</si>
  <si>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</si>
  <si>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</si>
  <si>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OTHER</t>
  </si>
  <si>
    <t>Reviewed</t>
  </si>
  <si>
    <t>All other</t>
  </si>
  <si>
    <t>Summary</t>
  </si>
  <si>
    <t>Pro Forma Rate of Return</t>
  </si>
  <si>
    <t>G-RET</t>
  </si>
  <si>
    <t>R-Ttl</t>
  </si>
  <si>
    <t xml:space="preserve">FIT / </t>
  </si>
  <si>
    <t xml:space="preserve">DFIT </t>
  </si>
  <si>
    <t>Total Debt</t>
  </si>
  <si>
    <t>Revenue requirement</t>
  </si>
  <si>
    <t xml:space="preserve">Stl Attrition Adj= </t>
  </si>
  <si>
    <t>Restating adjustments</t>
  </si>
  <si>
    <t>Working</t>
  </si>
  <si>
    <t>G-WC</t>
  </si>
  <si>
    <t>Gains/Losses</t>
  </si>
  <si>
    <t>ADFIT - Common Plant (283750 from C-DTX)</t>
  </si>
  <si>
    <t>CB Restated</t>
  </si>
  <si>
    <t xml:space="preserve">Normalization </t>
  </si>
  <si>
    <t xml:space="preserve">    CB Restated Total</t>
  </si>
  <si>
    <t>G-WN</t>
  </si>
  <si>
    <t>CF</t>
  </si>
  <si>
    <t xml:space="preserve">Weather </t>
  </si>
  <si>
    <t>Deferred Debits</t>
  </si>
  <si>
    <t>&amp; Credits</t>
  </si>
  <si>
    <t>Tara</t>
  </si>
  <si>
    <t>Eliminate</t>
  </si>
  <si>
    <t>Adder</t>
  </si>
  <si>
    <t>Schedules</t>
  </si>
  <si>
    <t>G-EAS</t>
  </si>
  <si>
    <t>(Total Restate Debt)</t>
  </si>
  <si>
    <t>ACTUAL COST OF CAPITAL</t>
  </si>
  <si>
    <t xml:space="preserve">RATE OF RETURN </t>
  </si>
  <si>
    <t>G-ID</t>
  </si>
  <si>
    <t>Provision for Rate Refund</t>
  </si>
  <si>
    <t>Idaho Earnings Test Amortization</t>
  </si>
  <si>
    <t>Compass</t>
  </si>
  <si>
    <t>407468</t>
  </si>
  <si>
    <t>Project Compass Deferral - ID</t>
  </si>
  <si>
    <t>G-PT</t>
  </si>
  <si>
    <t>Non-Utility</t>
  </si>
  <si>
    <t>Incentives</t>
  </si>
  <si>
    <t>Joel</t>
  </si>
  <si>
    <t>Annette</t>
  </si>
  <si>
    <t>WA Excess Nat Gas Line Extension</t>
  </si>
  <si>
    <t>DFIT - WA Excess Nat Gas Line Extension</t>
  </si>
  <si>
    <t>Project</t>
  </si>
  <si>
    <t>Amortization</t>
  </si>
  <si>
    <t>G-CA</t>
  </si>
  <si>
    <t>G-RI</t>
  </si>
  <si>
    <t>Per Results Report</t>
  </si>
  <si>
    <t>Deferred FIT Rate Base</t>
  </si>
  <si>
    <t>Deferred Debits &amp; Credits</t>
  </si>
  <si>
    <t>Eliminate B &amp; O Taxes</t>
  </si>
  <si>
    <t>Restate Property Tax</t>
  </si>
  <si>
    <t>Uncollectible Expense</t>
  </si>
  <si>
    <t>Regulatory Expense</t>
  </si>
  <si>
    <t>FIT / DFIT Expense</t>
  </si>
  <si>
    <t>Office Space Charges to Non-Utility</t>
  </si>
  <si>
    <t>Restate Excise Taxes</t>
  </si>
  <si>
    <t>Net Gains/Losses</t>
  </si>
  <si>
    <t>Weather Normalization / Gas Cost Adjust</t>
  </si>
  <si>
    <t>Eliminate Adder Schedules</t>
  </si>
  <si>
    <t>Misc. Restating Non-Util / Non- Recurring Expenses</t>
  </si>
  <si>
    <t>Project Compass Amortization</t>
  </si>
  <si>
    <t>Restating Incentives</t>
  </si>
  <si>
    <t>DECEMBER 31, 2017</t>
  </si>
  <si>
    <t>TWELVE MONTHS ENDED DECEMBER 31, 2017</t>
  </si>
  <si>
    <t>407368</t>
  </si>
  <si>
    <t>407414</t>
  </si>
  <si>
    <t>Regulatory Credits-Deferral-FISERVE</t>
  </si>
  <si>
    <t>407436</t>
  </si>
  <si>
    <t>MDM System</t>
  </si>
  <si>
    <t>12/31/2017  AMA</t>
  </si>
  <si>
    <t>G-AMI</t>
  </si>
  <si>
    <t>AMI</t>
  </si>
  <si>
    <t>Rate</t>
  </si>
  <si>
    <t>Base</t>
  </si>
  <si>
    <t>AMI Rate Base</t>
  </si>
  <si>
    <t>Weather</t>
  </si>
  <si>
    <t>Provision for</t>
  </si>
  <si>
    <t>Earnings Test</t>
  </si>
  <si>
    <t>Decoupling</t>
  </si>
  <si>
    <t>Normalized</t>
  </si>
  <si>
    <t>Gas Cost</t>
  </si>
  <si>
    <t xml:space="preserve">Allowed </t>
  </si>
  <si>
    <t>Debt Cost</t>
  </si>
  <si>
    <t>ET-Ttl</t>
  </si>
  <si>
    <t>Earnings Test Refund</t>
  </si>
  <si>
    <t>Capital Structure</t>
  </si>
  <si>
    <t>FINAL</t>
  </si>
  <si>
    <t>Earnings Test Restated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</si>
</sst>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0.000000"/>
    <numFmt numFmtId="169" formatCode="0.000%"/>
    <numFmt numFmtId="170" formatCode="&quot;x &quot;0.00"/>
    <numFmt numFmtId="171" formatCode="&quot;x &quot;0.000"/>
    <numFmt numFmtId="172" formatCode="_(* #,##0_);_(* \(#,##0\);_(* &quot;-&quot;??_);_(@_)"/>
    <numFmt numFmtId="173" formatCode="_(&quot;$&quot;* #,##0_);_(&quot;$&quot;* \(#,##0\);_(&quot;$&quot;* &quot;-&quot;??_);_(@_)"/>
    <numFmt numFmtId="174" formatCode="0.00000"/>
    <numFmt numFmtId="175" formatCode="0000.00"/>
    <numFmt numFmtId="176" formatCode="0000"/>
    <numFmt numFmtId="177" formatCode="_(* #,##0.00000_);_(* \(#,##0.00000\);_(* &quot;-&quot;_);_(@_)"/>
  </numFmts>
  <fonts count="63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56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12"/>
      <name val="Times New Roman"/>
      <family val="1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56"/>
      <name val="Times New Roman"/>
      <family val="1"/>
    </font>
    <font>
      <sz val="12"/>
      <name val="Courier New"/>
      <family val="3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0"/>
      <color rgb="FFC00000"/>
      <name val="Times New Roman"/>
      <family val="1"/>
    </font>
    <font>
      <sz val="10"/>
      <color rgb="FF0000FF"/>
      <name val="Times New Roman"/>
      <family val="1"/>
    </font>
    <font>
      <b/>
      <u/>
      <sz val="10"/>
      <color indexed="62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sz val="9"/>
      <color theme="3"/>
      <name val="Times New Roman"/>
      <family val="1"/>
    </font>
    <font>
      <b/>
      <sz val="9"/>
      <color theme="3"/>
      <name val="Times New Roman"/>
      <family val="1"/>
    </font>
    <font>
      <b/>
      <sz val="10"/>
      <color theme="3"/>
      <name val="Times New Roman"/>
      <family val="1"/>
    </font>
    <font>
      <sz val="12"/>
      <name val="Tms Rmn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9" fillId="0" borderId="0"/>
    <xf numFmtId="44" fontId="1" fillId="0" borderId="0" applyFont="0" applyFill="0" applyBorder="0" applyAlignment="0" applyProtection="0"/>
    <xf numFmtId="0" fontId="45" fillId="3" borderId="0"/>
    <xf numFmtId="0" fontId="2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9" fillId="0" borderId="0"/>
    <xf numFmtId="43" fontId="49" fillId="0" borderId="0" applyFont="0" applyFill="0" applyBorder="0" applyAlignment="0" applyProtection="0"/>
  </cellStyleXfs>
  <cellXfs count="525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1" fillId="0" borderId="12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5" fontId="3" fillId="0" borderId="0" xfId="0" applyNumberFormat="1" applyFont="1"/>
    <xf numFmtId="0" fontId="8" fillId="0" borderId="0" xfId="0" applyFont="1" applyBorder="1"/>
    <xf numFmtId="5" fontId="8" fillId="0" borderId="0" xfId="0" applyNumberFormat="1" applyFont="1" applyBorder="1"/>
    <xf numFmtId="3" fontId="8" fillId="0" borderId="0" xfId="0" applyNumberFormat="1" applyFont="1" applyBorder="1"/>
    <xf numFmtId="37" fontId="8" fillId="0" borderId="0" xfId="0" applyNumberFormat="1" applyFont="1" applyBorder="1"/>
    <xf numFmtId="0" fontId="8" fillId="0" borderId="10" xfId="0" applyFont="1" applyBorder="1" applyAlignment="1">
      <alignment horizontal="center"/>
    </xf>
    <xf numFmtId="6" fontId="8" fillId="0" borderId="0" xfId="2" applyNumberFormat="1" applyFont="1" applyBorder="1"/>
    <xf numFmtId="3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Font="1"/>
    <xf numFmtId="5" fontId="12" fillId="0" borderId="0" xfId="0" applyNumberFormat="1" applyFont="1"/>
    <xf numFmtId="3" fontId="8" fillId="0" borderId="0" xfId="0" applyNumberFormat="1" applyFont="1"/>
    <xf numFmtId="5" fontId="8" fillId="0" borderId="0" xfId="0" applyNumberFormat="1" applyFont="1"/>
    <xf numFmtId="5" fontId="8" fillId="0" borderId="14" xfId="0" applyNumberFormat="1" applyFont="1" applyBorder="1"/>
    <xf numFmtId="0" fontId="8" fillId="0" borderId="13" xfId="0" applyFont="1" applyBorder="1" applyAlignment="1">
      <alignment horizontal="center"/>
    </xf>
    <xf numFmtId="37" fontId="12" fillId="0" borderId="0" xfId="0" applyNumberFormat="1" applyFont="1"/>
    <xf numFmtId="0" fontId="12" fillId="0" borderId="0" xfId="0" applyFont="1" applyAlignment="1">
      <alignment horizontal="center"/>
    </xf>
    <xf numFmtId="37" fontId="12" fillId="0" borderId="0" xfId="0" applyNumberFormat="1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37" fontId="13" fillId="0" borderId="0" xfId="0" applyNumberFormat="1" applyFont="1" applyBorder="1"/>
    <xf numFmtId="3" fontId="15" fillId="0" borderId="0" xfId="0" applyNumberFormat="1" applyFont="1" applyAlignment="1">
      <alignment horizontal="center"/>
    </xf>
    <xf numFmtId="10" fontId="8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Continuous"/>
    </xf>
    <xf numFmtId="37" fontId="3" fillId="0" borderId="0" xfId="5" applyNumberFormat="1" applyFont="1"/>
    <xf numFmtId="169" fontId="3" fillId="0" borderId="0" xfId="7" applyNumberFormat="1" applyFont="1" applyBorder="1"/>
    <xf numFmtId="5" fontId="3" fillId="0" borderId="16" xfId="0" applyNumberFormat="1" applyFont="1" applyBorder="1"/>
    <xf numFmtId="10" fontId="3" fillId="0" borderId="14" xfId="7" applyNumberFormat="1" applyFont="1" applyBorder="1"/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Border="1"/>
    <xf numFmtId="168" fontId="9" fillId="0" borderId="0" xfId="0" applyNumberFormat="1" applyFont="1" applyAlignment="1">
      <alignment horizontal="center"/>
    </xf>
    <xf numFmtId="168" fontId="22" fillId="0" borderId="0" xfId="0" applyNumberFormat="1" applyFont="1"/>
    <xf numFmtId="14" fontId="22" fillId="0" borderId="0" xfId="0" applyNumberFormat="1" applyFont="1"/>
    <xf numFmtId="0" fontId="22" fillId="0" borderId="0" xfId="0" applyFont="1"/>
    <xf numFmtId="168" fontId="22" fillId="0" borderId="0" xfId="0" applyNumberFormat="1" applyFont="1" applyAlignment="1">
      <alignment horizontal="right"/>
    </xf>
    <xf numFmtId="168" fontId="8" fillId="0" borderId="0" xfId="0" applyNumberFormat="1" applyFont="1"/>
    <xf numFmtId="168" fontId="23" fillId="0" borderId="0" xfId="0" applyNumberFormat="1" applyFont="1" applyAlignment="1">
      <alignment horizontal="center"/>
    </xf>
    <xf numFmtId="168" fontId="9" fillId="0" borderId="0" xfId="0" applyNumberFormat="1" applyFont="1"/>
    <xf numFmtId="5" fontId="8" fillId="0" borderId="0" xfId="1" applyNumberFormat="1" applyFont="1"/>
    <xf numFmtId="172" fontId="8" fillId="0" borderId="0" xfId="1" applyNumberFormat="1" applyFont="1"/>
    <xf numFmtId="168" fontId="24" fillId="0" borderId="0" xfId="0" applyNumberFormat="1" applyFont="1"/>
    <xf numFmtId="172" fontId="8" fillId="0" borderId="13" xfId="1" applyNumberFormat="1" applyFont="1" applyBorder="1"/>
    <xf numFmtId="172" fontId="8" fillId="0" borderId="0" xfId="1" applyNumberFormat="1" applyFont="1" applyBorder="1"/>
    <xf numFmtId="10" fontId="24" fillId="0" borderId="0" xfId="0" applyNumberFormat="1" applyFont="1"/>
    <xf numFmtId="172" fontId="8" fillId="0" borderId="10" xfId="1" applyNumberFormat="1" applyFont="1" applyBorder="1"/>
    <xf numFmtId="164" fontId="8" fillId="0" borderId="12" xfId="1" applyNumberFormat="1" applyFont="1" applyBorder="1"/>
    <xf numFmtId="0" fontId="17" fillId="0" borderId="0" xfId="0" applyFont="1"/>
    <xf numFmtId="0" fontId="25" fillId="0" borderId="0" xfId="0" applyFont="1"/>
    <xf numFmtId="0" fontId="0" fillId="0" borderId="0" xfId="0" applyFill="1"/>
    <xf numFmtId="3" fontId="12" fillId="0" borderId="0" xfId="0" applyNumberFormat="1" applyFont="1" applyFill="1"/>
    <xf numFmtId="37" fontId="12" fillId="0" borderId="0" xfId="0" applyNumberFormat="1" applyFont="1" applyFill="1"/>
    <xf numFmtId="0" fontId="13" fillId="0" borderId="0" xfId="0" applyFont="1" applyFill="1" applyAlignment="1">
      <alignment horizontal="center"/>
    </xf>
    <xf numFmtId="0" fontId="8" fillId="0" borderId="0" xfId="0" applyFont="1" applyFill="1" applyBorder="1"/>
    <xf numFmtId="37" fontId="8" fillId="0" borderId="0" xfId="0" applyNumberFormat="1" applyFont="1" applyFill="1" applyBorder="1"/>
    <xf numFmtId="0" fontId="8" fillId="0" borderId="0" xfId="0" applyFont="1" applyFill="1"/>
    <xf numFmtId="0" fontId="13" fillId="0" borderId="0" xfId="0" applyFont="1" applyFill="1"/>
    <xf numFmtId="37" fontId="13" fillId="0" borderId="0" xfId="0" applyNumberFormat="1" applyFont="1" applyFill="1" applyBorder="1"/>
    <xf numFmtId="0" fontId="18" fillId="0" borderId="0" xfId="0" applyFont="1" applyAlignment="1">
      <alignment horizontal="right"/>
    </xf>
    <xf numFmtId="0" fontId="26" fillId="0" borderId="0" xfId="0" applyFont="1" applyFill="1"/>
    <xf numFmtId="37" fontId="3" fillId="0" borderId="0" xfId="3" applyNumberFormat="1" applyFont="1" applyFill="1"/>
    <xf numFmtId="3" fontId="3" fillId="0" borderId="0" xfId="5" applyNumberFormat="1" applyFont="1"/>
    <xf numFmtId="168" fontId="9" fillId="0" borderId="0" xfId="0" applyNumberFormat="1" applyFont="1" applyAlignment="1"/>
    <xf numFmtId="0" fontId="9" fillId="0" borderId="0" xfId="0" applyFont="1" applyAlignment="1">
      <alignment horizontal="centerContinuous"/>
    </xf>
    <xf numFmtId="0" fontId="27" fillId="0" borderId="0" xfId="0" applyFont="1"/>
    <xf numFmtId="0" fontId="27" fillId="0" borderId="0" xfId="0" applyFont="1" applyFill="1"/>
    <xf numFmtId="37" fontId="27" fillId="0" borderId="0" xfId="5" applyNumberFormat="1" applyFont="1"/>
    <xf numFmtId="0" fontId="28" fillId="0" borderId="0" xfId="0" applyFont="1" applyFill="1" applyBorder="1" applyAlignment="1">
      <alignment horizontal="center"/>
    </xf>
    <xf numFmtId="37" fontId="27" fillId="0" borderId="0" xfId="5" applyNumberFormat="1" applyFont="1" applyFill="1" applyBorder="1"/>
    <xf numFmtId="5" fontId="30" fillId="0" borderId="0" xfId="0" applyNumberFormat="1" applyFont="1" applyFill="1" applyBorder="1"/>
    <xf numFmtId="172" fontId="27" fillId="0" borderId="0" xfId="1" applyNumberFormat="1" applyFont="1" applyFill="1" applyBorder="1"/>
    <xf numFmtId="5" fontId="27" fillId="0" borderId="0" xfId="0" applyNumberFormat="1" applyFont="1" applyFill="1" applyBorder="1"/>
    <xf numFmtId="0" fontId="28" fillId="0" borderId="0" xfId="0" applyFont="1" applyFill="1" applyBorder="1"/>
    <xf numFmtId="37" fontId="28" fillId="0" borderId="0" xfId="5" applyNumberFormat="1" applyFont="1" applyFill="1" applyBorder="1" applyAlignment="1">
      <alignment horizontal="center"/>
    </xf>
    <xf numFmtId="0" fontId="9" fillId="0" borderId="0" xfId="0" applyFont="1"/>
    <xf numFmtId="5" fontId="8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4" xfId="0" applyFont="1" applyBorder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2" fontId="4" fillId="0" borderId="0" xfId="1" applyNumberFormat="1" applyFont="1" applyAlignment="1">
      <alignment horizontal="center"/>
    </xf>
    <xf numFmtId="172" fontId="4" fillId="0" borderId="0" xfId="1" applyNumberFormat="1" applyFont="1"/>
    <xf numFmtId="3" fontId="3" fillId="0" borderId="0" xfId="0" applyNumberFormat="1" applyFont="1"/>
    <xf numFmtId="168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74" fontId="21" fillId="0" borderId="0" xfId="0" applyNumberFormat="1" applyFont="1"/>
    <xf numFmtId="168" fontId="9" fillId="0" borderId="0" xfId="0" applyNumberFormat="1" applyFont="1" applyAlignment="1">
      <alignment horizontal="center"/>
    </xf>
    <xf numFmtId="3" fontId="35" fillId="0" borderId="0" xfId="6" applyNumberFormat="1" applyFont="1" applyFill="1"/>
    <xf numFmtId="3" fontId="35" fillId="0" borderId="0" xfId="5" applyNumberFormat="1" applyFont="1" applyFill="1"/>
    <xf numFmtId="0" fontId="35" fillId="0" borderId="0" xfId="6" applyNumberFormat="1" applyFont="1" applyAlignment="1">
      <alignment horizontal="left"/>
    </xf>
    <xf numFmtId="0" fontId="35" fillId="0" borderId="0" xfId="6" applyFont="1"/>
    <xf numFmtId="3" fontId="37" fillId="0" borderId="0" xfId="6" applyNumberFormat="1" applyFont="1" applyFill="1"/>
    <xf numFmtId="3" fontId="35" fillId="0" borderId="0" xfId="6" applyNumberFormat="1" applyFont="1"/>
    <xf numFmtId="3" fontId="36" fillId="0" borderId="0" xfId="6" applyNumberFormat="1" applyFont="1"/>
    <xf numFmtId="3" fontId="38" fillId="0" borderId="0" xfId="6" applyNumberFormat="1" applyFont="1"/>
    <xf numFmtId="3" fontId="36" fillId="0" borderId="0" xfId="6" applyNumberFormat="1" applyFont="1" applyAlignment="1"/>
    <xf numFmtId="0" fontId="36" fillId="0" borderId="0" xfId="6" applyNumberFormat="1" applyFont="1" applyAlignment="1">
      <alignment horizontal="center"/>
    </xf>
    <xf numFmtId="0" fontId="36" fillId="0" borderId="0" xfId="6" applyFont="1" applyAlignment="1">
      <alignment horizontal="center"/>
    </xf>
    <xf numFmtId="3" fontId="36" fillId="0" borderId="0" xfId="6" applyNumberFormat="1" applyFont="1" applyAlignment="1">
      <alignment horizontal="center"/>
    </xf>
    <xf numFmtId="0" fontId="36" fillId="0" borderId="1" xfId="6" applyNumberFormat="1" applyFont="1" applyBorder="1" applyAlignment="1">
      <alignment horizontal="center"/>
    </xf>
    <xf numFmtId="0" fontId="36" fillId="0" borderId="2" xfId="6" applyFont="1" applyBorder="1" applyAlignment="1">
      <alignment horizontal="center"/>
    </xf>
    <xf numFmtId="0" fontId="36" fillId="0" borderId="3" xfId="6" applyFont="1" applyBorder="1" applyAlignment="1">
      <alignment horizontal="center"/>
    </xf>
    <xf numFmtId="0" fontId="35" fillId="0" borderId="4" xfId="6" applyFont="1" applyBorder="1"/>
    <xf numFmtId="3" fontId="36" fillId="0" borderId="1" xfId="6" applyNumberFormat="1" applyFont="1" applyBorder="1" applyAlignment="1">
      <alignment horizontal="center"/>
    </xf>
    <xf numFmtId="0" fontId="36" fillId="0" borderId="5" xfId="6" applyNumberFormat="1" applyFont="1" applyBorder="1" applyAlignment="1">
      <alignment horizontal="center"/>
    </xf>
    <xf numFmtId="0" fontId="36" fillId="0" borderId="6" xfId="6" applyFont="1" applyBorder="1" applyAlignment="1">
      <alignment horizontal="center"/>
    </xf>
    <xf numFmtId="0" fontId="36" fillId="0" borderId="0" xfId="6" applyFont="1" applyBorder="1" applyAlignment="1">
      <alignment horizontal="center"/>
    </xf>
    <xf numFmtId="0" fontId="35" fillId="0" borderId="7" xfId="6" applyFont="1" applyBorder="1"/>
    <xf numFmtId="3" fontId="36" fillId="0" borderId="5" xfId="6" applyNumberFormat="1" applyFont="1" applyBorder="1" applyAlignment="1">
      <alignment horizontal="center"/>
    </xf>
    <xf numFmtId="0" fontId="36" fillId="0" borderId="8" xfId="6" applyNumberFormat="1" applyFont="1" applyBorder="1" applyAlignment="1">
      <alignment horizontal="center"/>
    </xf>
    <xf numFmtId="0" fontId="36" fillId="0" borderId="9" xfId="6" applyFont="1" applyBorder="1" applyAlignment="1">
      <alignment horizontal="center"/>
    </xf>
    <xf numFmtId="0" fontId="36" fillId="0" borderId="10" xfId="6" applyFont="1" applyBorder="1" applyAlignment="1">
      <alignment horizontal="center"/>
    </xf>
    <xf numFmtId="0" fontId="36" fillId="0" borderId="11" xfId="6" applyFont="1" applyBorder="1" applyAlignment="1">
      <alignment horizontal="center"/>
    </xf>
    <xf numFmtId="3" fontId="36" fillId="0" borderId="8" xfId="6" applyNumberFormat="1" applyFont="1" applyBorder="1" applyAlignment="1">
      <alignment horizontal="center"/>
    </xf>
    <xf numFmtId="0" fontId="35" fillId="0" borderId="0" xfId="6" applyNumberFormat="1" applyFont="1" applyAlignment="1">
      <alignment horizontal="center"/>
    </xf>
    <xf numFmtId="5" fontId="35" fillId="0" borderId="0" xfId="6" applyNumberFormat="1" applyFont="1"/>
    <xf numFmtId="37" fontId="35" fillId="0" borderId="0" xfId="6" applyNumberFormat="1" applyFont="1"/>
    <xf numFmtId="0" fontId="35" fillId="0" borderId="0" xfId="6" applyNumberFormat="1" applyFont="1" applyBorder="1" applyAlignment="1">
      <alignment horizontal="center"/>
    </xf>
    <xf numFmtId="37" fontId="35" fillId="0" borderId="0" xfId="6" applyNumberFormat="1" applyFont="1" applyBorder="1"/>
    <xf numFmtId="0" fontId="35" fillId="0" borderId="0" xfId="6" applyFont="1" applyBorder="1"/>
    <xf numFmtId="0" fontId="35" fillId="0" borderId="0" xfId="6" applyNumberFormat="1" applyFont="1" applyFill="1" applyAlignment="1">
      <alignment horizontal="left"/>
    </xf>
    <xf numFmtId="0" fontId="35" fillId="0" borderId="0" xfId="6" applyFont="1" applyFill="1"/>
    <xf numFmtId="0" fontId="35" fillId="0" borderId="0" xfId="5" applyFont="1" applyFill="1"/>
    <xf numFmtId="10" fontId="35" fillId="0" borderId="0" xfId="7" applyNumberFormat="1" applyFont="1" applyFill="1"/>
    <xf numFmtId="0" fontId="35" fillId="0" borderId="0" xfId="6" applyNumberFormat="1" applyFont="1" applyFill="1" applyAlignment="1">
      <alignment horizontal="center"/>
    </xf>
    <xf numFmtId="0" fontId="35" fillId="0" borderId="0" xfId="5" applyFont="1" applyFill="1" applyAlignment="1">
      <alignment horizontal="right"/>
    </xf>
    <xf numFmtId="10" fontId="31" fillId="0" borderId="0" xfId="7" applyNumberFormat="1" applyFont="1" applyFill="1" applyBorder="1"/>
    <xf numFmtId="169" fontId="31" fillId="0" borderId="0" xfId="7" applyNumberFormat="1" applyFont="1" applyFill="1" applyBorder="1"/>
    <xf numFmtId="10" fontId="30" fillId="0" borderId="0" xfId="7" applyNumberFormat="1" applyFont="1" applyFill="1" applyBorder="1"/>
    <xf numFmtId="169" fontId="27" fillId="0" borderId="0" xfId="7" applyNumberFormat="1" applyFont="1" applyFill="1" applyBorder="1"/>
    <xf numFmtId="10" fontId="27" fillId="0" borderId="0" xfId="7" applyNumberFormat="1" applyFont="1" applyFill="1" applyBorder="1"/>
    <xf numFmtId="0" fontId="27" fillId="0" borderId="0" xfId="0" applyFont="1" applyFill="1" applyBorder="1"/>
    <xf numFmtId="37" fontId="27" fillId="0" borderId="0" xfId="3" applyNumberFormat="1" applyFont="1" applyFill="1" applyBorder="1"/>
    <xf numFmtId="0" fontId="29" fillId="0" borderId="0" xfId="0" applyFont="1" applyFill="1" applyBorder="1" applyAlignment="1">
      <alignment horizontal="center"/>
    </xf>
    <xf numFmtId="37" fontId="27" fillId="0" borderId="0" xfId="3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35" fillId="0" borderId="0" xfId="6" applyFont="1" applyAlignment="1">
      <alignment horizontal="left"/>
    </xf>
    <xf numFmtId="4" fontId="36" fillId="0" borderId="0" xfId="6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35" fillId="0" borderId="0" xfId="6" applyNumberFormat="1" applyFont="1"/>
    <xf numFmtId="41" fontId="35" fillId="0" borderId="10" xfId="6" applyNumberFormat="1" applyFont="1" applyBorder="1"/>
    <xf numFmtId="41" fontId="35" fillId="0" borderId="0" xfId="6" applyNumberFormat="1" applyFont="1" applyFill="1"/>
    <xf numFmtId="41" fontId="35" fillId="0" borderId="13" xfId="6" applyNumberFormat="1" applyFont="1" applyBorder="1"/>
    <xf numFmtId="41" fontId="35" fillId="0" borderId="0" xfId="6" applyNumberFormat="1" applyFont="1" applyBorder="1"/>
    <xf numFmtId="41" fontId="35" fillId="0" borderId="0" xfId="5" applyNumberFormat="1" applyFont="1" applyFill="1"/>
    <xf numFmtId="41" fontId="40" fillId="0" borderId="0" xfId="5" applyNumberFormat="1" applyFont="1" applyFill="1"/>
    <xf numFmtId="3" fontId="8" fillId="0" borderId="0" xfId="13" applyNumberFormat="1" applyFont="1"/>
    <xf numFmtId="4" fontId="8" fillId="0" borderId="0" xfId="13" applyNumberFormat="1" applyFont="1" applyBorder="1" applyAlignment="1">
      <alignment horizontal="centerContinuous"/>
    </xf>
    <xf numFmtId="3" fontId="8" fillId="0" borderId="0" xfId="13" applyNumberFormat="1" applyFont="1" applyBorder="1" applyAlignment="1">
      <alignment horizontal="left"/>
    </xf>
    <xf numFmtId="3" fontId="8" fillId="0" borderId="0" xfId="13" applyNumberFormat="1" applyFont="1" applyBorder="1" applyAlignment="1">
      <alignment horizontal="centerContinuous"/>
    </xf>
    <xf numFmtId="0" fontId="8" fillId="0" borderId="0" xfId="13" applyFont="1" applyBorder="1" applyAlignment="1">
      <alignment horizontal="centerContinuous"/>
    </xf>
    <xf numFmtId="3" fontId="8" fillId="0" borderId="0" xfId="13" applyNumberFormat="1" applyFont="1" applyAlignment="1">
      <alignment horizontal="center"/>
    </xf>
    <xf numFmtId="4" fontId="8" fillId="0" borderId="0" xfId="13" applyNumberFormat="1" applyFont="1" applyAlignment="1">
      <alignment horizontal="center"/>
    </xf>
    <xf numFmtId="3" fontId="8" fillId="0" borderId="0" xfId="13" applyNumberFormat="1" applyFont="1" applyAlignment="1">
      <alignment horizontal="left"/>
    </xf>
    <xf numFmtId="0" fontId="8" fillId="0" borderId="0" xfId="13" applyFont="1"/>
    <xf numFmtId="0" fontId="8" fillId="0" borderId="0" xfId="13" applyFont="1" applyAlignment="1">
      <alignment horizontal="center"/>
    </xf>
    <xf numFmtId="3" fontId="8" fillId="0" borderId="10" xfId="13" applyNumberFormat="1" applyFont="1" applyBorder="1" applyAlignment="1">
      <alignment horizontal="left"/>
    </xf>
    <xf numFmtId="0" fontId="8" fillId="0" borderId="10" xfId="13" applyFont="1" applyBorder="1" applyAlignment="1">
      <alignment horizontal="center"/>
    </xf>
    <xf numFmtId="3" fontId="8" fillId="0" borderId="10" xfId="13" applyNumberFormat="1" applyFont="1" applyBorder="1" applyAlignment="1">
      <alignment horizontal="center"/>
    </xf>
    <xf numFmtId="41" fontId="8" fillId="0" borderId="0" xfId="13" applyNumberFormat="1" applyFont="1" applyAlignment="1">
      <alignment horizontal="right"/>
    </xf>
    <xf numFmtId="4" fontId="8" fillId="0" borderId="0" xfId="13" applyNumberFormat="1" applyFont="1" applyAlignment="1">
      <alignment horizontal="left"/>
    </xf>
    <xf numFmtId="164" fontId="8" fillId="0" borderId="0" xfId="13" applyNumberFormat="1" applyFont="1"/>
    <xf numFmtId="0" fontId="8" fillId="0" borderId="0" xfId="13" applyFont="1" applyBorder="1"/>
    <xf numFmtId="4" fontId="25" fillId="0" borderId="0" xfId="13" applyNumberFormat="1" applyFont="1" applyAlignment="1">
      <alignment horizontal="center"/>
    </xf>
    <xf numFmtId="3" fontId="25" fillId="0" borderId="0" xfId="13" applyNumberFormat="1" applyFont="1" applyAlignment="1">
      <alignment horizontal="left"/>
    </xf>
    <xf numFmtId="164" fontId="14" fillId="0" borderId="0" xfId="13" applyNumberFormat="1" applyFont="1"/>
    <xf numFmtId="3" fontId="14" fillId="0" borderId="0" xfId="13" applyNumberFormat="1" applyFont="1"/>
    <xf numFmtId="164" fontId="8" fillId="0" borderId="3" xfId="13" applyNumberFormat="1" applyFont="1" applyBorder="1"/>
    <xf numFmtId="164" fontId="8" fillId="0" borderId="0" xfId="13" applyNumberFormat="1" applyFont="1" applyAlignment="1">
      <alignment horizontal="center"/>
    </xf>
    <xf numFmtId="164" fontId="8" fillId="0" borderId="0" xfId="13" applyNumberFormat="1" applyFont="1" applyFill="1"/>
    <xf numFmtId="10" fontId="8" fillId="0" borderId="0" xfId="13" applyNumberFormat="1" applyFont="1" applyFill="1"/>
    <xf numFmtId="0" fontId="25" fillId="0" borderId="0" xfId="13" applyFont="1"/>
    <xf numFmtId="3" fontId="8" fillId="0" borderId="0" xfId="13" applyNumberFormat="1" applyFont="1" applyFill="1" applyBorder="1"/>
    <xf numFmtId="164" fontId="8" fillId="0" borderId="3" xfId="13" applyNumberFormat="1" applyFont="1" applyFill="1" applyBorder="1"/>
    <xf numFmtId="10" fontId="8" fillId="0" borderId="3" xfId="13" applyNumberFormat="1" applyFont="1" applyFill="1" applyBorder="1"/>
    <xf numFmtId="3" fontId="8" fillId="0" borderId="0" xfId="13" applyNumberFormat="1" applyFont="1" applyFill="1"/>
    <xf numFmtId="169" fontId="8" fillId="0" borderId="0" xfId="7" applyNumberFormat="1" applyFont="1" applyFill="1"/>
    <xf numFmtId="169" fontId="8" fillId="0" borderId="0" xfId="13" applyNumberFormat="1" applyFont="1" applyFill="1"/>
    <xf numFmtId="169" fontId="8" fillId="0" borderId="3" xfId="13" applyNumberFormat="1" applyFont="1" applyFill="1" applyBorder="1"/>
    <xf numFmtId="4" fontId="9" fillId="0" borderId="0" xfId="13" applyNumberFormat="1" applyFont="1" applyAlignment="1">
      <alignment horizontal="centerContinuous"/>
    </xf>
    <xf numFmtId="3" fontId="8" fillId="0" borderId="0" xfId="13" applyNumberFormat="1" applyFont="1" applyAlignment="1">
      <alignment horizontal="centerContinuous"/>
    </xf>
    <xf numFmtId="0" fontId="8" fillId="0" borderId="0" xfId="13" applyFont="1" applyAlignment="1">
      <alignment horizontal="centerContinuous"/>
    </xf>
    <xf numFmtId="4" fontId="43" fillId="0" borderId="0" xfId="13" applyNumberFormat="1" applyFont="1" applyBorder="1" applyAlignment="1">
      <alignment horizontal="centerContinuous"/>
    </xf>
    <xf numFmtId="4" fontId="8" fillId="0" borderId="0" xfId="13" applyNumberFormat="1" applyFont="1" applyAlignment="1">
      <alignment horizontal="centerContinuous"/>
    </xf>
    <xf numFmtId="37" fontId="8" fillId="0" borderId="0" xfId="13" applyNumberFormat="1" applyFont="1" applyAlignment="1">
      <alignment horizontal="right"/>
    </xf>
    <xf numFmtId="3" fontId="44" fillId="0" borderId="0" xfId="13" applyNumberFormat="1" applyFont="1"/>
    <xf numFmtId="0" fontId="17" fillId="0" borderId="0" xfId="13" applyFont="1"/>
    <xf numFmtId="10" fontId="17" fillId="0" borderId="0" xfId="13" applyNumberFormat="1" applyFont="1"/>
    <xf numFmtId="10" fontId="25" fillId="0" borderId="10" xfId="13" applyNumberFormat="1" applyFont="1" applyFill="1" applyBorder="1"/>
    <xf numFmtId="3" fontId="44" fillId="0" borderId="0" xfId="13" applyNumberFormat="1" applyFont="1" applyFill="1"/>
    <xf numFmtId="3" fontId="14" fillId="0" borderId="10" xfId="13" applyNumberFormat="1" applyFont="1" applyBorder="1"/>
    <xf numFmtId="3" fontId="9" fillId="0" borderId="0" xfId="13" applyNumberFormat="1" applyFont="1"/>
    <xf numFmtId="170" fontId="8" fillId="0" borderId="0" xfId="13" applyNumberFormat="1" applyFont="1"/>
    <xf numFmtId="171" fontId="8" fillId="0" borderId="10" xfId="13" applyNumberFormat="1" applyFont="1" applyBorder="1"/>
    <xf numFmtId="164" fontId="8" fillId="0" borderId="15" xfId="13" applyNumberFormat="1" applyFont="1" applyBorder="1"/>
    <xf numFmtId="4" fontId="8" fillId="0" borderId="0" xfId="13" applyNumberFormat="1" applyFont="1"/>
    <xf numFmtId="10" fontId="8" fillId="0" borderId="0" xfId="13" applyNumberFormat="1" applyFont="1"/>
    <xf numFmtId="10" fontId="8" fillId="0" borderId="0" xfId="13" applyNumberFormat="1" applyFont="1" applyBorder="1"/>
    <xf numFmtId="3" fontId="8" fillId="0" borderId="0" xfId="13" applyNumberFormat="1" applyFont="1" applyBorder="1"/>
    <xf numFmtId="10" fontId="8" fillId="0" borderId="3" xfId="13" applyNumberFormat="1" applyFont="1" applyBorder="1"/>
    <xf numFmtId="169" fontId="8" fillId="0" borderId="0" xfId="7" applyNumberFormat="1" applyFont="1"/>
    <xf numFmtId="169" fontId="8" fillId="0" borderId="0" xfId="13" applyNumberFormat="1" applyFont="1"/>
    <xf numFmtId="169" fontId="8" fillId="0" borderId="3" xfId="13" applyNumberFormat="1" applyFont="1" applyBorder="1"/>
    <xf numFmtId="0" fontId="8" fillId="0" borderId="0" xfId="0" applyFont="1" applyAlignment="1">
      <alignment horizontal="left"/>
    </xf>
    <xf numFmtId="4" fontId="12" fillId="0" borderId="0" xfId="0" applyNumberFormat="1" applyFont="1" applyAlignment="1">
      <alignment horizontal="left"/>
    </xf>
    <xf numFmtId="4" fontId="8" fillId="0" borderId="0" xfId="0" applyNumberFormat="1" applyFont="1" applyFill="1" applyAlignment="1">
      <alignment horizontal="left"/>
    </xf>
    <xf numFmtId="3" fontId="12" fillId="0" borderId="0" xfId="0" applyNumberFormat="1" applyFont="1" applyAlignment="1">
      <alignment horizontal="left"/>
    </xf>
    <xf numFmtId="3" fontId="15" fillId="0" borderId="0" xfId="0" applyNumberFormat="1" applyFont="1" applyAlignment="1">
      <alignment horizontal="left"/>
    </xf>
    <xf numFmtId="41" fontId="8" fillId="0" borderId="0" xfId="13" applyNumberFormat="1" applyFont="1"/>
    <xf numFmtId="41" fontId="8" fillId="0" borderId="0" xfId="1" applyNumberFormat="1" applyFont="1"/>
    <xf numFmtId="41" fontId="8" fillId="0" borderId="0" xfId="1" applyNumberFormat="1" applyFont="1" applyAlignment="1">
      <alignment horizontal="right"/>
    </xf>
    <xf numFmtId="41" fontId="16" fillId="0" borderId="0" xfId="1" applyNumberFormat="1" applyFont="1"/>
    <xf numFmtId="41" fontId="8" fillId="0" borderId="10" xfId="1" applyNumberFormat="1" applyFont="1" applyBorder="1"/>
    <xf numFmtId="41" fontId="14" fillId="0" borderId="10" xfId="1" applyNumberFormat="1" applyFont="1" applyFill="1" applyBorder="1"/>
    <xf numFmtId="41" fontId="8" fillId="0" borderId="12" xfId="1" applyNumberFormat="1" applyFont="1" applyBorder="1"/>
    <xf numFmtId="9" fontId="8" fillId="0" borderId="10" xfId="7" applyFont="1" applyBorder="1"/>
    <xf numFmtId="9" fontId="8" fillId="0" borderId="0" xfId="7" applyFont="1"/>
    <xf numFmtId="0" fontId="4" fillId="0" borderId="0" xfId="0" applyFont="1" applyAlignment="1">
      <alignment horizontal="center"/>
    </xf>
    <xf numFmtId="10" fontId="8" fillId="0" borderId="10" xfId="7" applyNumberFormat="1" applyFont="1" applyBorder="1"/>
    <xf numFmtId="10" fontId="35" fillId="0" borderId="0" xfId="7" applyNumberFormat="1" applyFont="1"/>
    <xf numFmtId="42" fontId="35" fillId="0" borderId="0" xfId="6" applyNumberFormat="1" applyFont="1"/>
    <xf numFmtId="37" fontId="4" fillId="0" borderId="13" xfId="0" applyNumberFormat="1" applyFont="1" applyBorder="1"/>
    <xf numFmtId="41" fontId="4" fillId="0" borderId="10" xfId="0" applyNumberFormat="1" applyFont="1" applyBorder="1"/>
    <xf numFmtId="168" fontId="9" fillId="0" borderId="0" xfId="0" applyNumberFormat="1" applyFont="1" applyAlignment="1">
      <alignment horizontal="center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175" fontId="46" fillId="0" borderId="0" xfId="0" applyNumberFormat="1" applyFont="1"/>
    <xf numFmtId="3" fontId="46" fillId="0" borderId="0" xfId="0" applyNumberFormat="1" applyFont="1"/>
    <xf numFmtId="49" fontId="46" fillId="0" borderId="0" xfId="0" applyNumberFormat="1" applyFont="1" applyFill="1" applyAlignment="1">
      <alignment horizontal="center"/>
    </xf>
    <xf numFmtId="3" fontId="46" fillId="0" borderId="0" xfId="0" applyNumberFormat="1" applyFont="1" applyFill="1"/>
    <xf numFmtId="175" fontId="46" fillId="0" borderId="0" xfId="0" applyNumberFormat="1" applyFont="1" applyAlignment="1">
      <alignment horizontal="center"/>
    </xf>
    <xf numFmtId="176" fontId="46" fillId="0" borderId="0" xfId="0" applyNumberFormat="1" applyFont="1"/>
    <xf numFmtId="176" fontId="46" fillId="0" borderId="0" xfId="0" applyNumberFormat="1" applyFont="1" applyAlignment="1">
      <alignment horizontal="center"/>
    </xf>
    <xf numFmtId="0" fontId="46" fillId="0" borderId="0" xfId="0" applyFont="1"/>
    <xf numFmtId="175" fontId="46" fillId="4" borderId="0" xfId="0" applyNumberFormat="1" applyFont="1" applyFill="1"/>
    <xf numFmtId="3" fontId="46" fillId="4" borderId="0" xfId="0" applyNumberFormat="1" applyFont="1" applyFill="1"/>
    <xf numFmtId="176" fontId="46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4" fillId="0" borderId="0" xfId="0" applyFont="1" applyFill="1" applyAlignment="1">
      <alignment horizontal="center"/>
    </xf>
    <xf numFmtId="5" fontId="36" fillId="0" borderId="0" xfId="6" applyNumberFormat="1" applyFont="1"/>
    <xf numFmtId="42" fontId="35" fillId="0" borderId="12" xfId="6" applyNumberFormat="1" applyFont="1" applyBorder="1"/>
    <xf numFmtId="42" fontId="36" fillId="0" borderId="12" xfId="6" applyNumberFormat="1" applyFont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1" fontId="14" fillId="0" borderId="0" xfId="1" applyNumberFormat="1" applyFont="1" applyFill="1" applyBorder="1"/>
    <xf numFmtId="41" fontId="8" fillId="0" borderId="0" xfId="1" applyNumberFormat="1" applyFont="1" applyBorder="1"/>
    <xf numFmtId="3" fontId="47" fillId="0" borderId="0" xfId="13" applyNumberFormat="1" applyFont="1"/>
    <xf numFmtId="0" fontId="8" fillId="0" borderId="0" xfId="13" applyFont="1" applyBorder="1" applyAlignment="1">
      <alignment horizontal="center"/>
    </xf>
    <xf numFmtId="10" fontId="3" fillId="0" borderId="10" xfId="7" applyNumberFormat="1" applyFont="1" applyBorder="1"/>
    <xf numFmtId="177" fontId="35" fillId="0" borderId="0" xfId="5" applyNumberFormat="1" applyFont="1" applyFill="1"/>
    <xf numFmtId="10" fontId="35" fillId="2" borderId="0" xfId="7" applyNumberFormat="1" applyFont="1" applyFill="1"/>
    <xf numFmtId="41" fontId="8" fillId="2" borderId="16" xfId="1" applyNumberFormat="1" applyFont="1" applyFill="1" applyBorder="1"/>
    <xf numFmtId="42" fontId="3" fillId="0" borderId="0" xfId="0" applyNumberFormat="1" applyFont="1" applyBorder="1"/>
    <xf numFmtId="0" fontId="27" fillId="5" borderId="18" xfId="0" applyFont="1" applyFill="1" applyBorder="1"/>
    <xf numFmtId="0" fontId="27" fillId="5" borderId="19" xfId="0" applyFont="1" applyFill="1" applyBorder="1"/>
    <xf numFmtId="37" fontId="27" fillId="5" borderId="20" xfId="5" applyNumberFormat="1" applyFont="1" applyFill="1" applyBorder="1"/>
    <xf numFmtId="37" fontId="27" fillId="5" borderId="0" xfId="5" applyNumberFormat="1" applyFont="1" applyFill="1" applyBorder="1"/>
    <xf numFmtId="0" fontId="28" fillId="5" borderId="0" xfId="0" applyFont="1" applyFill="1" applyBorder="1"/>
    <xf numFmtId="37" fontId="28" fillId="5" borderId="0" xfId="5" applyNumberFormat="1" applyFont="1" applyFill="1" applyBorder="1" applyAlignment="1">
      <alignment horizontal="center"/>
    </xf>
    <xf numFmtId="0" fontId="28" fillId="5" borderId="0" xfId="0" applyFont="1" applyFill="1" applyBorder="1" applyAlignment="1">
      <alignment horizontal="center"/>
    </xf>
    <xf numFmtId="0" fontId="29" fillId="5" borderId="20" xfId="0" applyFont="1" applyFill="1" applyBorder="1" applyAlignment="1">
      <alignment horizontal="center"/>
    </xf>
    <xf numFmtId="0" fontId="28" fillId="5" borderId="22" xfId="0" applyFont="1" applyFill="1" applyBorder="1" applyAlignment="1">
      <alignment horizontal="center"/>
    </xf>
    <xf numFmtId="0" fontId="28" fillId="5" borderId="10" xfId="0" applyFont="1" applyFill="1" applyBorder="1" applyAlignment="1">
      <alignment horizontal="center"/>
    </xf>
    <xf numFmtId="0" fontId="8" fillId="5" borderId="20" xfId="0" applyFont="1" applyFill="1" applyBorder="1"/>
    <xf numFmtId="0" fontId="8" fillId="5" borderId="0" xfId="0" applyFont="1" applyFill="1" applyBorder="1"/>
    <xf numFmtId="0" fontId="27" fillId="5" borderId="20" xfId="0" applyFont="1" applyFill="1" applyBorder="1"/>
    <xf numFmtId="5" fontId="30" fillId="5" borderId="0" xfId="0" applyNumberFormat="1" applyFont="1" applyFill="1" applyBorder="1"/>
    <xf numFmtId="10" fontId="31" fillId="5" borderId="0" xfId="7" applyNumberFormat="1" applyFont="1" applyFill="1" applyBorder="1"/>
    <xf numFmtId="5" fontId="27" fillId="5" borderId="0" xfId="0" applyNumberFormat="1" applyFont="1" applyFill="1" applyBorder="1"/>
    <xf numFmtId="10" fontId="27" fillId="5" borderId="14" xfId="7" applyNumberFormat="1" applyFont="1" applyFill="1" applyBorder="1"/>
    <xf numFmtId="10" fontId="27" fillId="5" borderId="0" xfId="7" applyNumberFormat="1" applyFont="1" applyFill="1" applyBorder="1"/>
    <xf numFmtId="0" fontId="27" fillId="5" borderId="23" xfId="0" applyFont="1" applyFill="1" applyBorder="1"/>
    <xf numFmtId="0" fontId="27" fillId="5" borderId="24" xfId="0" applyFont="1" applyFill="1" applyBorder="1"/>
    <xf numFmtId="0" fontId="9" fillId="0" borderId="0" xfId="0" applyFont="1" applyAlignment="1"/>
    <xf numFmtId="0" fontId="9" fillId="0" borderId="0" xfId="0" applyFont="1" applyFill="1"/>
    <xf numFmtId="0" fontId="22" fillId="0" borderId="0" xfId="0" applyFont="1" applyFill="1"/>
    <xf numFmtId="41" fontId="8" fillId="0" borderId="10" xfId="13" applyNumberFormat="1" applyFont="1" applyBorder="1"/>
    <xf numFmtId="41" fontId="8" fillId="0" borderId="10" xfId="13" applyNumberFormat="1" applyFont="1" applyBorder="1" applyAlignment="1">
      <alignment horizontal="right"/>
    </xf>
    <xf numFmtId="41" fontId="16" fillId="0" borderId="10" xfId="13" applyNumberFormat="1" applyFont="1" applyBorder="1"/>
    <xf numFmtId="5" fontId="8" fillId="0" borderId="0" xfId="1" applyNumberFormat="1" applyFont="1" applyBorder="1"/>
    <xf numFmtId="164" fontId="8" fillId="0" borderId="0" xfId="1" applyNumberFormat="1" applyFont="1" applyBorder="1"/>
    <xf numFmtId="0" fontId="8" fillId="0" borderId="17" xfId="0" applyFont="1" applyFill="1" applyBorder="1"/>
    <xf numFmtId="0" fontId="8" fillId="0" borderId="19" xfId="0" applyFont="1" applyFill="1" applyBorder="1"/>
    <xf numFmtId="0" fontId="8" fillId="0" borderId="20" xfId="0" applyFont="1" applyBorder="1"/>
    <xf numFmtId="0" fontId="8" fillId="0" borderId="21" xfId="0" applyFont="1" applyBorder="1"/>
    <xf numFmtId="0" fontId="8" fillId="0" borderId="23" xfId="0" applyFont="1" applyBorder="1"/>
    <xf numFmtId="0" fontId="8" fillId="0" borderId="25" xfId="0" applyFont="1" applyBorder="1"/>
    <xf numFmtId="0" fontId="9" fillId="0" borderId="20" xfId="0" applyFont="1" applyBorder="1"/>
    <xf numFmtId="173" fontId="9" fillId="0" borderId="21" xfId="2" applyNumberFormat="1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4" fillId="0" borderId="0" xfId="0" applyFont="1" applyAlignment="1">
      <alignment horizontal="center"/>
    </xf>
    <xf numFmtId="168" fontId="8" fillId="0" borderId="0" xfId="0" applyNumberFormat="1" applyFont="1"/>
    <xf numFmtId="168" fontId="8" fillId="0" borderId="13" xfId="0" applyNumberFormat="1" applyFont="1" applyBorder="1"/>
    <xf numFmtId="166" fontId="48" fillId="0" borderId="0" xfId="0" applyNumberFormat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32" fillId="0" borderId="0" xfId="0" applyFont="1"/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10" fontId="8" fillId="5" borderId="0" xfId="7" applyNumberFormat="1" applyFont="1" applyFill="1" applyBorder="1"/>
    <xf numFmtId="10" fontId="14" fillId="5" borderId="0" xfId="7" applyNumberFormat="1" applyFont="1" applyFill="1" applyBorder="1"/>
    <xf numFmtId="5" fontId="3" fillId="0" borderId="10" xfId="0" applyNumberFormat="1" applyFont="1" applyBorder="1"/>
    <xf numFmtId="0" fontId="3" fillId="0" borderId="0" xfId="6" applyNumberFormat="1" applyFont="1" applyAlignment="1">
      <alignment horizontal="center"/>
    </xf>
    <xf numFmtId="0" fontId="3" fillId="0" borderId="0" xfId="6" applyFont="1"/>
    <xf numFmtId="0" fontId="3" fillId="0" borderId="0" xfId="6" applyNumberFormat="1" applyFont="1" applyAlignment="1">
      <alignment horizontal="left"/>
    </xf>
    <xf numFmtId="0" fontId="3" fillId="0" borderId="0" xfId="6" applyFont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0" fontId="3" fillId="0" borderId="0" xfId="6" applyFont="1" applyBorder="1"/>
    <xf numFmtId="5" fontId="5" fillId="0" borderId="0" xfId="6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0" fontId="3" fillId="0" borderId="0" xfId="6" applyNumberFormat="1" applyFont="1" applyFill="1" applyAlignment="1">
      <alignment horizontal="center"/>
    </xf>
    <xf numFmtId="0" fontId="3" fillId="0" borderId="0" xfId="5" applyFont="1" applyFill="1" applyAlignment="1">
      <alignment horizontal="righ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3" fontId="54" fillId="0" borderId="0" xfId="6" applyNumberFormat="1" applyFont="1" applyBorder="1"/>
    <xf numFmtId="41" fontId="53" fillId="0" borderId="0" xfId="5" applyNumberFormat="1" applyFont="1" applyFill="1" applyBorder="1" applyAlignment="1">
      <alignment horizontal="center"/>
    </xf>
    <xf numFmtId="3" fontId="54" fillId="0" borderId="0" xfId="6" applyNumberFormat="1" applyFont="1" applyBorder="1" applyAlignment="1">
      <alignment horizontal="center"/>
    </xf>
    <xf numFmtId="3" fontId="54" fillId="0" borderId="0" xfId="6" applyNumberFormat="1" applyFont="1" applyFill="1" applyBorder="1"/>
    <xf numFmtId="0" fontId="14" fillId="0" borderId="0" xfId="0" applyFont="1" applyAlignment="1">
      <alignment horizontal="left"/>
    </xf>
    <xf numFmtId="3" fontId="46" fillId="0" borderId="0" xfId="0" applyNumberFormat="1" applyFont="1" applyAlignment="1">
      <alignment horizontal="left"/>
    </xf>
    <xf numFmtId="3" fontId="46" fillId="0" borderId="0" xfId="0" applyNumberFormat="1" applyFont="1" applyFill="1" applyAlignment="1">
      <alignment horizontal="left"/>
    </xf>
    <xf numFmtId="3" fontId="56" fillId="0" borderId="0" xfId="6" applyNumberFormat="1" applyFont="1" applyAlignment="1">
      <alignment horizontal="center"/>
    </xf>
    <xf numFmtId="41" fontId="55" fillId="0" borderId="0" xfId="5" applyNumberFormat="1" applyFont="1" applyFill="1"/>
    <xf numFmtId="3" fontId="56" fillId="0" borderId="0" xfId="6" applyNumberFormat="1" applyFont="1"/>
    <xf numFmtId="41" fontId="55" fillId="0" borderId="0" xfId="5" applyNumberFormat="1" applyFont="1" applyFill="1" applyAlignment="1">
      <alignment horizontal="center"/>
    </xf>
    <xf numFmtId="3" fontId="57" fillId="6" borderId="2" xfId="6" applyNumberFormat="1" applyFont="1" applyFill="1" applyBorder="1" applyAlignment="1">
      <alignment horizontal="center"/>
    </xf>
    <xf numFmtId="3" fontId="57" fillId="6" borderId="6" xfId="6" applyNumberFormat="1" applyFont="1" applyFill="1" applyBorder="1" applyAlignment="1">
      <alignment horizontal="center"/>
    </xf>
    <xf numFmtId="3" fontId="57" fillId="6" borderId="9" xfId="6" applyNumberFormat="1" applyFont="1" applyFill="1" applyBorder="1" applyAlignment="1">
      <alignment horizontal="center"/>
    </xf>
    <xf numFmtId="3" fontId="56" fillId="6" borderId="0" xfId="6" applyNumberFormat="1" applyFont="1" applyFill="1" applyAlignment="1">
      <alignment horizontal="center"/>
    </xf>
    <xf numFmtId="3" fontId="56" fillId="6" borderId="0" xfId="6" applyNumberFormat="1" applyFont="1" applyFill="1"/>
    <xf numFmtId="42" fontId="56" fillId="6" borderId="0" xfId="6" applyNumberFormat="1" applyFont="1" applyFill="1"/>
    <xf numFmtId="41" fontId="56" fillId="6" borderId="0" xfId="6" applyNumberFormat="1" applyFont="1" applyFill="1"/>
    <xf numFmtId="41" fontId="56" fillId="6" borderId="10" xfId="6" applyNumberFormat="1" applyFont="1" applyFill="1" applyBorder="1"/>
    <xf numFmtId="42" fontId="56" fillId="6" borderId="12" xfId="6" applyNumberFormat="1" applyFont="1" applyFill="1" applyBorder="1"/>
    <xf numFmtId="41" fontId="56" fillId="0" borderId="0" xfId="6" applyNumberFormat="1" applyFont="1"/>
    <xf numFmtId="41" fontId="56" fillId="6" borderId="13" xfId="6" applyNumberFormat="1" applyFont="1" applyFill="1" applyBorder="1"/>
    <xf numFmtId="41" fontId="56" fillId="6" borderId="0" xfId="6" applyNumberFormat="1" applyFont="1" applyFill="1" applyBorder="1"/>
    <xf numFmtId="10" fontId="56" fillId="6" borderId="0" xfId="7" applyNumberFormat="1" applyFont="1" applyFill="1"/>
    <xf numFmtId="3" fontId="55" fillId="6" borderId="0" xfId="6" applyNumberFormat="1" applyFont="1" applyFill="1"/>
    <xf numFmtId="41" fontId="56" fillId="0" borderId="0" xfId="6" applyNumberFormat="1" applyFont="1" applyFill="1"/>
    <xf numFmtId="3" fontId="56" fillId="0" borderId="0" xfId="6" applyNumberFormat="1" applyFont="1" applyFill="1"/>
    <xf numFmtId="172" fontId="3" fillId="0" borderId="0" xfId="1" applyNumberFormat="1" applyFont="1"/>
    <xf numFmtId="0" fontId="28" fillId="5" borderId="21" xfId="0" applyFont="1" applyFill="1" applyBorder="1" applyAlignment="1">
      <alignment horizontal="center"/>
    </xf>
    <xf numFmtId="0" fontId="28" fillId="5" borderId="29" xfId="0" applyFont="1" applyFill="1" applyBorder="1" applyAlignment="1">
      <alignment horizontal="center"/>
    </xf>
    <xf numFmtId="37" fontId="27" fillId="5" borderId="21" xfId="5" applyNumberFormat="1" applyFont="1" applyFill="1" applyBorder="1"/>
    <xf numFmtId="0" fontId="8" fillId="5" borderId="21" xfId="0" applyFont="1" applyFill="1" applyBorder="1"/>
    <xf numFmtId="10" fontId="31" fillId="5" borderId="21" xfId="7" applyNumberFormat="1" applyFont="1" applyFill="1" applyBorder="1"/>
    <xf numFmtId="10" fontId="27" fillId="5" borderId="30" xfId="7" applyNumberFormat="1" applyFont="1" applyFill="1" applyBorder="1"/>
    <xf numFmtId="0" fontId="27" fillId="5" borderId="25" xfId="0" applyFont="1" applyFill="1" applyBorder="1"/>
    <xf numFmtId="0" fontId="27" fillId="5" borderId="0" xfId="0" applyFont="1" applyFill="1" applyBorder="1"/>
    <xf numFmtId="37" fontId="27" fillId="5" borderId="0" xfId="3" applyNumberFormat="1" applyFont="1" applyFill="1" applyBorder="1"/>
    <xf numFmtId="37" fontId="27" fillId="5" borderId="0" xfId="3" applyNumberFormat="1" applyFont="1" applyFill="1" applyBorder="1" applyAlignment="1">
      <alignment horizontal="center"/>
    </xf>
    <xf numFmtId="0" fontId="0" fillId="0" borderId="0" xfId="0" applyBorder="1"/>
    <xf numFmtId="168" fontId="14" fillId="0" borderId="0" xfId="0" applyNumberFormat="1" applyFont="1"/>
    <xf numFmtId="168" fontId="8" fillId="0" borderId="14" xfId="0" applyNumberFormat="1" applyFont="1" applyBorder="1"/>
    <xf numFmtId="37" fontId="3" fillId="0" borderId="0" xfId="1" applyNumberFormat="1" applyFont="1"/>
    <xf numFmtId="176" fontId="58" fillId="4" borderId="0" xfId="0" applyNumberFormat="1" applyFont="1" applyFill="1" applyAlignment="1">
      <alignment horizontal="center"/>
    </xf>
    <xf numFmtId="175" fontId="58" fillId="0" borderId="0" xfId="0" applyNumberFormat="1" applyFont="1"/>
    <xf numFmtId="0" fontId="0" fillId="0" borderId="0" xfId="0" applyAlignment="1">
      <alignment shrinkToFit="1"/>
    </xf>
    <xf numFmtId="0" fontId="9" fillId="0" borderId="0" xfId="0" applyFont="1" applyFill="1" applyAlignment="1">
      <alignment horizontal="centerContinuous"/>
    </xf>
    <xf numFmtId="175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176" fontId="1" fillId="0" borderId="0" xfId="0" applyNumberFormat="1" applyFont="1" applyAlignment="1">
      <alignment horizontal="left"/>
    </xf>
    <xf numFmtId="176" fontId="1" fillId="0" borderId="0" xfId="0" applyNumberFormat="1" applyFont="1" applyFill="1" applyAlignment="1">
      <alignment horizontal="left"/>
    </xf>
    <xf numFmtId="3" fontId="1" fillId="0" borderId="0" xfId="0" applyNumberFormat="1" applyFont="1" applyFill="1" applyAlignment="1">
      <alignment horizontal="left"/>
    </xf>
    <xf numFmtId="0" fontId="62" fillId="5" borderId="17" xfId="0" applyFont="1" applyFill="1" applyBorder="1"/>
    <xf numFmtId="0" fontId="61" fillId="5" borderId="18" xfId="0" applyFont="1" applyFill="1" applyBorder="1"/>
    <xf numFmtId="169" fontId="31" fillId="5" borderId="0" xfId="7" applyNumberFormat="1" applyFont="1" applyFill="1" applyBorder="1"/>
    <xf numFmtId="3" fontId="3" fillId="0" borderId="0" xfId="6" applyNumberFormat="1" applyFont="1"/>
    <xf numFmtId="41" fontId="3" fillId="0" borderId="0" xfId="5" applyNumberFormat="1" applyFont="1" applyFill="1"/>
    <xf numFmtId="3" fontId="32" fillId="0" borderId="0" xfId="6" applyNumberFormat="1" applyFont="1" applyFill="1"/>
    <xf numFmtId="3" fontId="48" fillId="0" borderId="0" xfId="6" applyNumberFormat="1" applyFont="1" applyFill="1"/>
    <xf numFmtId="3" fontId="27" fillId="0" borderId="0" xfId="6" applyNumberFormat="1" applyFont="1"/>
    <xf numFmtId="3" fontId="5" fillId="0" borderId="0" xfId="6" applyNumberFormat="1" applyFont="1"/>
    <xf numFmtId="41" fontId="5" fillId="0" borderId="0" xfId="20" applyNumberFormat="1" applyFont="1" applyFill="1" applyAlignment="1">
      <alignment horizontal="center"/>
    </xf>
    <xf numFmtId="3" fontId="3" fillId="0" borderId="0" xfId="6" applyNumberFormat="1" applyFont="1" applyAlignment="1">
      <alignment horizontal="center"/>
    </xf>
    <xf numFmtId="3" fontId="5" fillId="0" borderId="0" xfId="6" applyNumberFormat="1" applyFont="1" applyAlignment="1">
      <alignment horizontal="center"/>
    </xf>
    <xf numFmtId="3" fontId="5" fillId="0" borderId="1" xfId="6" applyNumberFormat="1" applyFont="1" applyBorder="1" applyAlignment="1">
      <alignment horizontal="center"/>
    </xf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4" fontId="5" fillId="0" borderId="0" xfId="6" applyNumberFormat="1" applyFont="1" applyAlignment="1">
      <alignment horizontal="center"/>
    </xf>
    <xf numFmtId="4" fontId="5" fillId="0" borderId="0" xfId="6" applyNumberFormat="1" applyFont="1" applyFill="1" applyAlignment="1">
      <alignment horizontal="center"/>
    </xf>
    <xf numFmtId="4" fontId="5" fillId="0" borderId="0" xfId="6" applyNumberFormat="1" applyFont="1" applyFill="1" applyBorder="1" applyAlignment="1">
      <alignment horizontal="center"/>
    </xf>
    <xf numFmtId="3" fontId="5" fillId="0" borderId="0" xfId="6" applyNumberFormat="1" applyFont="1" applyFill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/>
    <xf numFmtId="3" fontId="3" fillId="0" borderId="0" xfId="6" applyNumberFormat="1" applyFont="1" applyFill="1" applyBorder="1"/>
    <xf numFmtId="42" fontId="3" fillId="0" borderId="0" xfId="6" applyNumberFormat="1" applyFont="1"/>
    <xf numFmtId="42" fontId="3" fillId="0" borderId="0" xfId="4" applyNumberFormat="1" applyFont="1" applyFill="1"/>
    <xf numFmtId="41" fontId="3" fillId="0" borderId="0" xfId="6" applyNumberFormat="1" applyFont="1"/>
    <xf numFmtId="41" fontId="3" fillId="0" borderId="0" xfId="4" applyNumberFormat="1" applyFont="1" applyFill="1"/>
    <xf numFmtId="41" fontId="3" fillId="0" borderId="10" xfId="6" applyNumberFormat="1" applyFont="1" applyBorder="1"/>
    <xf numFmtId="41" fontId="3" fillId="0" borderId="10" xfId="4" applyNumberFormat="1" applyFont="1" applyFill="1" applyBorder="1"/>
    <xf numFmtId="41" fontId="3" fillId="0" borderId="0" xfId="6" applyNumberFormat="1" applyFont="1" applyFill="1"/>
    <xf numFmtId="41" fontId="3" fillId="0" borderId="0" xfId="4" applyNumberFormat="1" applyFont="1" applyFill="1" applyBorder="1"/>
    <xf numFmtId="42" fontId="3" fillId="0" borderId="12" xfId="6" applyNumberFormat="1" applyFont="1" applyBorder="1"/>
    <xf numFmtId="41" fontId="3" fillId="0" borderId="13" xfId="6" applyNumberFormat="1" applyFont="1" applyBorder="1"/>
    <xf numFmtId="41" fontId="3" fillId="0" borderId="0" xfId="6" applyNumberFormat="1" applyFont="1" applyBorder="1"/>
    <xf numFmtId="42" fontId="5" fillId="0" borderId="12" xfId="6" applyNumberFormat="1" applyFont="1" applyBorder="1"/>
    <xf numFmtId="10" fontId="3" fillId="0" borderId="0" xfId="7" applyNumberFormat="1" applyFont="1"/>
    <xf numFmtId="10" fontId="3" fillId="0" borderId="0" xfId="7" applyNumberFormat="1" applyFont="1" applyFill="1"/>
    <xf numFmtId="177" fontId="3" fillId="0" borderId="0" xfId="5" applyNumberFormat="1" applyFont="1" applyFill="1"/>
    <xf numFmtId="3" fontId="3" fillId="0" borderId="0" xfId="5" applyNumberFormat="1" applyFont="1" applyFill="1"/>
    <xf numFmtId="41" fontId="3" fillId="0" borderId="0" xfId="5" applyNumberFormat="1" applyFont="1" applyFill="1" applyAlignment="1">
      <alignment horizontal="center"/>
    </xf>
    <xf numFmtId="3" fontId="5" fillId="0" borderId="5" xfId="5" applyNumberFormat="1" applyFont="1" applyBorder="1" applyAlignment="1">
      <alignment horizontal="center"/>
    </xf>
    <xf numFmtId="3" fontId="5" fillId="0" borderId="8" xfId="5" applyNumberFormat="1" applyFont="1" applyBorder="1" applyAlignment="1">
      <alignment horizontal="center"/>
    </xf>
    <xf numFmtId="42" fontId="3" fillId="0" borderId="0" xfId="6" applyNumberFormat="1" applyFont="1" applyFill="1"/>
    <xf numFmtId="41" fontId="3" fillId="0" borderId="10" xfId="6" applyNumberFormat="1" applyFont="1" applyFill="1" applyBorder="1"/>
    <xf numFmtId="42" fontId="3" fillId="0" borderId="12" xfId="6" applyNumberFormat="1" applyFont="1" applyFill="1" applyBorder="1"/>
    <xf numFmtId="41" fontId="5" fillId="0" borderId="0" xfId="6" applyNumberFormat="1" applyFont="1"/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41" fontId="3" fillId="0" borderId="13" xfId="6" applyNumberFormat="1" applyFont="1" applyFill="1" applyBorder="1"/>
    <xf numFmtId="41" fontId="5" fillId="0" borderId="0" xfId="6" applyNumberFormat="1" applyFont="1" applyFill="1"/>
    <xf numFmtId="3" fontId="5" fillId="0" borderId="0" xfId="6" applyNumberFormat="1" applyFont="1" applyFill="1"/>
    <xf numFmtId="0" fontId="8" fillId="0" borderId="0" xfId="0" applyFont="1" applyAlignment="1">
      <alignment horizontal="center"/>
    </xf>
    <xf numFmtId="10" fontId="8" fillId="0" borderId="0" xfId="0" applyNumberFormat="1" applyFont="1" applyBorder="1" applyAlignment="1">
      <alignment horizontal="center"/>
    </xf>
    <xf numFmtId="3" fontId="52" fillId="0" borderId="0" xfId="0" applyNumberFormat="1" applyFont="1" applyFill="1" applyAlignment="1">
      <alignment horizontal="left"/>
    </xf>
    <xf numFmtId="3" fontId="12" fillId="0" borderId="0" xfId="0" applyNumberFormat="1" applyFont="1" applyFill="1" applyAlignment="1">
      <alignment horizontal="left"/>
    </xf>
    <xf numFmtId="4" fontId="12" fillId="0" borderId="0" xfId="0" applyNumberFormat="1" applyFont="1" applyFill="1" applyAlignment="1">
      <alignment horizontal="left"/>
    </xf>
    <xf numFmtId="0" fontId="9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5" fillId="0" borderId="0" xfId="5" applyNumberFormat="1" applyFont="1" applyAlignment="1">
      <alignment horizontal="center"/>
    </xf>
    <xf numFmtId="15" fontId="9" fillId="0" borderId="0" xfId="0" quotePrefix="1" applyNumberFormat="1" applyFont="1" applyFill="1" applyAlignment="1">
      <alignment horizont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6" xfId="13" applyFont="1" applyBorder="1" applyAlignment="1">
      <alignment horizontal="center"/>
    </xf>
    <xf numFmtId="0" fontId="8" fillId="0" borderId="27" xfId="13" applyFont="1" applyBorder="1" applyAlignment="1">
      <alignment horizontal="center"/>
    </xf>
    <xf numFmtId="0" fontId="8" fillId="0" borderId="28" xfId="13" applyFont="1" applyBorder="1" applyAlignment="1">
      <alignment horizontal="center"/>
    </xf>
    <xf numFmtId="4" fontId="41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4" fontId="42" fillId="0" borderId="0" xfId="13" applyNumberFormat="1" applyFont="1" applyBorder="1" applyAlignment="1">
      <alignment horizontal="center"/>
    </xf>
    <xf numFmtId="4" fontId="8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2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01m107\2005\2005%20WA%20E%20&amp;%20G%20General%20Case\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3.2"/>
  <cols>
    <col min="1" max="16384" width="9.109375" style="437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D128"/>
  <sheetViews>
    <sheetView tabSelected="1" topLeftCell="U1" workbookViewId="0"/>
  </sheetViews>
  <sheetFormatPr defaultColWidth="10.6640625" defaultRowHeight="12"/>
  <cols>
    <col min="1" max="1" width="5.6640625" style="360" customWidth="1"/>
    <col min="2" max="3" width="1.6640625" style="361" customWidth="1"/>
    <col min="4" max="4" width="28.6640625" style="361" customWidth="1"/>
    <col min="5" max="5" width="13.44140625" style="448" customWidth="1"/>
    <col min="6" max="14" width="14.5546875" style="448" customWidth="1"/>
    <col min="15" max="16" width="14.6640625" style="448" customWidth="1"/>
    <col min="17" max="18" width="14.5546875" style="448" customWidth="1"/>
    <col min="19" max="21" width="13.44140625" style="448" customWidth="1"/>
    <col min="22" max="22" width="13" style="453" customWidth="1"/>
    <col min="23" max="23" width="13.44140625" style="448" customWidth="1"/>
    <col min="24" max="24" width="13" style="469" customWidth="1"/>
    <col min="25" max="25" width="14.5546875" style="402" customWidth="1"/>
    <col min="26" max="26" width="11.88671875" style="393" customWidth="1"/>
    <col min="27" max="27" width="16.6640625" style="393" customWidth="1"/>
    <col min="28" max="28" width="11.88671875" style="393" customWidth="1"/>
    <col min="29" max="29" width="13.44140625" style="361" customWidth="1"/>
    <col min="30" max="30" width="14.77734375" style="361" customWidth="1"/>
    <col min="31" max="31" width="10.6640625" style="361" customWidth="1"/>
    <col min="32" max="16384" width="10.6640625" style="361"/>
  </cols>
  <sheetData>
    <row r="1" spans="1:30">
      <c r="F1" s="449"/>
      <c r="G1" s="449"/>
      <c r="H1" s="449"/>
      <c r="I1" s="449"/>
      <c r="J1" s="449"/>
      <c r="K1" s="449"/>
      <c r="L1" s="449"/>
      <c r="M1" s="449"/>
      <c r="N1" s="449"/>
      <c r="Q1" s="449"/>
      <c r="R1" s="449"/>
    </row>
    <row r="2" spans="1:30" ht="12.75" customHeight="1">
      <c r="A2" s="362" t="str">
        <f>'ROO INPUT'!A3:C3</f>
        <v>AVISTA UTILITIES</v>
      </c>
      <c r="E2" s="450"/>
      <c r="F2" s="361"/>
      <c r="G2" s="361"/>
      <c r="H2" s="361"/>
      <c r="I2" s="361"/>
      <c r="J2" s="361"/>
      <c r="K2" s="361"/>
      <c r="L2" s="361"/>
      <c r="M2" s="361"/>
      <c r="N2" s="361"/>
      <c r="O2" s="92"/>
      <c r="P2" s="92"/>
      <c r="Q2" s="361"/>
      <c r="R2" s="361"/>
      <c r="S2" s="450"/>
      <c r="T2" s="450"/>
      <c r="U2" s="450"/>
      <c r="V2" s="29"/>
      <c r="W2" s="450"/>
    </row>
    <row r="3" spans="1:30" ht="12.75" customHeight="1">
      <c r="A3" s="362" t="str">
        <f>'ROO INPUT'!A4:C4</f>
        <v xml:space="preserve">WASHINGTON NATURAL GAS RESULTS </v>
      </c>
      <c r="E3" s="451"/>
      <c r="O3" s="92"/>
      <c r="P3" s="92"/>
      <c r="S3" s="451"/>
      <c r="T3" s="451"/>
      <c r="U3" s="451"/>
      <c r="V3" s="29"/>
      <c r="W3" s="451"/>
    </row>
    <row r="4" spans="1:30" ht="12.75" customHeight="1">
      <c r="A4" s="362" t="str">
        <f>'ROO INPUT'!A5:C5</f>
        <v>TWELVE MONTHS ENDED DECEMBER 31, 2017</v>
      </c>
      <c r="E4" s="452"/>
      <c r="F4" s="453"/>
      <c r="G4" s="453"/>
      <c r="H4" s="453"/>
      <c r="I4" s="453"/>
      <c r="J4" s="453"/>
      <c r="K4" s="453"/>
      <c r="L4" s="453"/>
      <c r="M4" s="453"/>
      <c r="N4" s="453"/>
      <c r="O4" s="92"/>
      <c r="P4" s="92"/>
      <c r="Q4" s="453"/>
      <c r="R4" s="453"/>
      <c r="S4" s="452"/>
      <c r="T4" s="452"/>
      <c r="U4" s="452"/>
      <c r="V4" s="29"/>
      <c r="W4" s="452"/>
    </row>
    <row r="5" spans="1:30" s="363" customFormat="1">
      <c r="A5" s="362" t="str">
        <f>'ROO INPUT'!A6:C6</f>
        <v xml:space="preserve">(000'S OF DOLLARS)   </v>
      </c>
      <c r="B5" s="360"/>
      <c r="C5" s="360"/>
      <c r="D5" s="360"/>
      <c r="E5" s="360"/>
      <c r="F5" s="453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360"/>
      <c r="T5" s="360"/>
      <c r="U5" s="360"/>
      <c r="V5" s="487"/>
      <c r="W5" s="360"/>
      <c r="X5" s="454"/>
      <c r="Y5" s="403"/>
      <c r="Z5" s="394"/>
      <c r="AA5" s="394"/>
      <c r="AB5" s="394"/>
    </row>
    <row r="6" spans="1:30" ht="12.75" customHeight="1">
      <c r="A6" s="362"/>
      <c r="E6" s="455"/>
      <c r="F6" s="456"/>
      <c r="G6" s="455"/>
      <c r="H6" s="455"/>
      <c r="I6" s="455"/>
      <c r="J6" s="455"/>
      <c r="K6" s="456"/>
      <c r="L6" s="456"/>
      <c r="M6" s="456"/>
      <c r="N6" s="455"/>
      <c r="O6" s="456"/>
      <c r="P6" s="456"/>
      <c r="Q6" s="455"/>
      <c r="R6" s="455"/>
      <c r="S6" s="455"/>
      <c r="T6" s="456"/>
      <c r="U6" s="456"/>
      <c r="V6" s="456"/>
      <c r="W6" s="456"/>
      <c r="X6" s="455"/>
    </row>
    <row r="7" spans="1:30" s="365" customFormat="1" ht="10.5" customHeight="1">
      <c r="A7" s="364"/>
      <c r="E7" s="456"/>
      <c r="F7" s="456"/>
      <c r="G7" s="456"/>
      <c r="H7" s="456"/>
      <c r="I7" s="456"/>
      <c r="J7" s="456"/>
      <c r="K7" s="456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00"/>
      <c r="Z7" s="395"/>
      <c r="AA7" s="395"/>
      <c r="AB7" s="395"/>
    </row>
    <row r="8" spans="1:30" s="365" customFormat="1" ht="12" customHeight="1">
      <c r="A8" s="366"/>
      <c r="B8" s="367"/>
      <c r="C8" s="368"/>
      <c r="D8" s="369"/>
      <c r="E8" s="457" t="s">
        <v>0</v>
      </c>
      <c r="F8" s="457" t="s">
        <v>1</v>
      </c>
      <c r="G8" s="458" t="s">
        <v>413</v>
      </c>
      <c r="H8" s="458" t="s">
        <v>403</v>
      </c>
      <c r="I8" s="458" t="s">
        <v>465</v>
      </c>
      <c r="J8" s="457" t="s">
        <v>2</v>
      </c>
      <c r="K8" s="457" t="s">
        <v>5</v>
      </c>
      <c r="L8" s="457" t="s">
        <v>102</v>
      </c>
      <c r="M8" s="458" t="s">
        <v>3</v>
      </c>
      <c r="N8" s="457" t="s">
        <v>4</v>
      </c>
      <c r="O8" s="457" t="s">
        <v>397</v>
      </c>
      <c r="P8" s="457" t="s">
        <v>6</v>
      </c>
      <c r="Q8" s="457" t="s">
        <v>5</v>
      </c>
      <c r="R8" s="457" t="s">
        <v>114</v>
      </c>
      <c r="S8" s="457" t="s">
        <v>412</v>
      </c>
      <c r="T8" s="457" t="s">
        <v>416</v>
      </c>
      <c r="U8" s="458" t="s">
        <v>149</v>
      </c>
      <c r="V8" s="457" t="s">
        <v>436</v>
      </c>
      <c r="W8" s="457" t="s">
        <v>150</v>
      </c>
      <c r="X8" s="458" t="s">
        <v>5</v>
      </c>
      <c r="Y8" s="404" t="s">
        <v>407</v>
      </c>
      <c r="Z8" s="457" t="s">
        <v>416</v>
      </c>
      <c r="AA8" s="457" t="s">
        <v>416</v>
      </c>
      <c r="AB8" s="457" t="s">
        <v>472</v>
      </c>
      <c r="AC8" s="457" t="s">
        <v>475</v>
      </c>
      <c r="AD8" s="404" t="s">
        <v>471</v>
      </c>
    </row>
    <row r="9" spans="1:30" s="365" customFormat="1" ht="13.2">
      <c r="A9" s="370" t="s">
        <v>7</v>
      </c>
      <c r="B9" s="371"/>
      <c r="C9" s="372"/>
      <c r="D9" s="373"/>
      <c r="E9" s="459" t="s">
        <v>8</v>
      </c>
      <c r="F9" s="459" t="s">
        <v>9</v>
      </c>
      <c r="G9" s="460" t="s">
        <v>414</v>
      </c>
      <c r="H9" s="460" t="s">
        <v>118</v>
      </c>
      <c r="I9" s="460" t="s">
        <v>466</v>
      </c>
      <c r="J9" s="459" t="s">
        <v>10</v>
      </c>
      <c r="K9" s="459" t="s">
        <v>11</v>
      </c>
      <c r="L9" s="459" t="s">
        <v>12</v>
      </c>
      <c r="M9" s="460" t="s">
        <v>12</v>
      </c>
      <c r="N9" s="459" t="s">
        <v>13</v>
      </c>
      <c r="O9" s="459" t="s">
        <v>398</v>
      </c>
      <c r="P9" s="459" t="s">
        <v>15</v>
      </c>
      <c r="Q9" s="459" t="s">
        <v>115</v>
      </c>
      <c r="R9" s="459" t="s">
        <v>405</v>
      </c>
      <c r="S9" s="459" t="s">
        <v>408</v>
      </c>
      <c r="T9" s="459" t="s">
        <v>417</v>
      </c>
      <c r="U9" s="460" t="s">
        <v>150</v>
      </c>
      <c r="V9" s="488" t="s">
        <v>426</v>
      </c>
      <c r="W9" s="459" t="s">
        <v>431</v>
      </c>
      <c r="X9" s="460" t="s">
        <v>14</v>
      </c>
      <c r="Y9" s="405" t="s">
        <v>463</v>
      </c>
      <c r="Z9" s="459" t="s">
        <v>469</v>
      </c>
      <c r="AA9" s="459" t="s">
        <v>470</v>
      </c>
      <c r="AB9" s="459" t="s">
        <v>473</v>
      </c>
      <c r="AC9" s="459" t="s">
        <v>479</v>
      </c>
      <c r="AD9" s="405" t="s">
        <v>480</v>
      </c>
    </row>
    <row r="10" spans="1:30" s="365" customFormat="1" ht="13.2">
      <c r="A10" s="374" t="s">
        <v>16</v>
      </c>
      <c r="B10" s="375"/>
      <c r="C10" s="376"/>
      <c r="D10" s="377" t="s">
        <v>17</v>
      </c>
      <c r="E10" s="461" t="s">
        <v>18</v>
      </c>
      <c r="F10" s="461" t="s">
        <v>19</v>
      </c>
      <c r="G10" s="462" t="s">
        <v>100</v>
      </c>
      <c r="H10" s="462" t="s">
        <v>100</v>
      </c>
      <c r="I10" s="462" t="s">
        <v>467</v>
      </c>
      <c r="J10" s="461" t="s">
        <v>21</v>
      </c>
      <c r="K10" s="461" t="s">
        <v>22</v>
      </c>
      <c r="L10" s="461" t="s">
        <v>100</v>
      </c>
      <c r="M10" s="462" t="s">
        <v>100</v>
      </c>
      <c r="N10" s="461" t="s">
        <v>23</v>
      </c>
      <c r="O10" s="462" t="s">
        <v>12</v>
      </c>
      <c r="P10" s="463" t="s">
        <v>430</v>
      </c>
      <c r="Q10" s="461" t="s">
        <v>21</v>
      </c>
      <c r="R10" s="461" t="s">
        <v>100</v>
      </c>
      <c r="S10" s="461" t="s">
        <v>100</v>
      </c>
      <c r="T10" s="461" t="s">
        <v>418</v>
      </c>
      <c r="U10" s="462" t="s">
        <v>100</v>
      </c>
      <c r="V10" s="489" t="s">
        <v>437</v>
      </c>
      <c r="W10" s="461" t="s">
        <v>100</v>
      </c>
      <c r="X10" s="462" t="s">
        <v>24</v>
      </c>
      <c r="Y10" s="406" t="s">
        <v>25</v>
      </c>
      <c r="Z10" s="461" t="s">
        <v>20</v>
      </c>
      <c r="AA10" s="461" t="s">
        <v>478</v>
      </c>
      <c r="AB10" s="461" t="s">
        <v>474</v>
      </c>
      <c r="AC10" s="461" t="s">
        <v>476</v>
      </c>
      <c r="AD10" s="406" t="s">
        <v>186</v>
      </c>
    </row>
    <row r="11" spans="1:30" s="365" customFormat="1">
      <c r="A11" s="364"/>
      <c r="B11" s="378" t="s">
        <v>162</v>
      </c>
      <c r="E11" s="464">
        <v>1</v>
      </c>
      <c r="F11" s="464">
        <f>E11+0.01</f>
        <v>1.01</v>
      </c>
      <c r="G11" s="465">
        <f t="shared" ref="G11" si="0">F11+0.01</f>
        <v>1.02</v>
      </c>
      <c r="H11" s="465">
        <f>G11+0.01</f>
        <v>1.03</v>
      </c>
      <c r="I11" s="465">
        <f>H11+0.01</f>
        <v>1.04</v>
      </c>
      <c r="J11" s="464">
        <v>2.0099999999999998</v>
      </c>
      <c r="K11" s="464">
        <f>J11+0.01</f>
        <v>2.0199999999999996</v>
      </c>
      <c r="L11" s="464">
        <f t="shared" ref="L11:Q11" si="1">K11+0.01</f>
        <v>2.0299999999999994</v>
      </c>
      <c r="M11" s="465">
        <f t="shared" si="1"/>
        <v>2.0399999999999991</v>
      </c>
      <c r="N11" s="464">
        <f t="shared" si="1"/>
        <v>2.0499999999999989</v>
      </c>
      <c r="O11" s="466">
        <f t="shared" si="1"/>
        <v>2.0599999999999987</v>
      </c>
      <c r="P11" s="466">
        <f t="shared" si="1"/>
        <v>2.0699999999999985</v>
      </c>
      <c r="Q11" s="464">
        <f t="shared" si="1"/>
        <v>2.0799999999999983</v>
      </c>
      <c r="R11" s="464">
        <f t="shared" ref="R11" si="2">Q11+0.01</f>
        <v>2.0899999999999981</v>
      </c>
      <c r="S11" s="464">
        <f t="shared" ref="S11" si="3">R11+0.01</f>
        <v>2.0999999999999979</v>
      </c>
      <c r="T11" s="464">
        <f t="shared" ref="T11" si="4">S11+0.01</f>
        <v>2.1099999999999977</v>
      </c>
      <c r="U11" s="465">
        <f t="shared" ref="U11" si="5">T11+0.01</f>
        <v>2.1199999999999974</v>
      </c>
      <c r="V11" s="464">
        <f t="shared" ref="V11" si="6">U11+0.01</f>
        <v>2.1299999999999972</v>
      </c>
      <c r="W11" s="464">
        <f t="shared" ref="W11" si="7">V11+0.01</f>
        <v>2.139999999999997</v>
      </c>
      <c r="X11" s="464">
        <f t="shared" ref="X11" si="8">W11+0.01</f>
        <v>2.1499999999999968</v>
      </c>
      <c r="Y11" s="407"/>
      <c r="Z11" s="464">
        <v>3</v>
      </c>
      <c r="AA11" s="464">
        <f t="shared" ref="AA11:AC11" si="9">Z11+0.01</f>
        <v>3.01</v>
      </c>
      <c r="AB11" s="464">
        <f t="shared" si="9"/>
        <v>3.0199999999999996</v>
      </c>
      <c r="AC11" s="464">
        <f t="shared" si="9"/>
        <v>3.0299999999999994</v>
      </c>
      <c r="AD11" s="407"/>
    </row>
    <row r="12" spans="1:30" s="365" customFormat="1">
      <c r="A12" s="364"/>
      <c r="B12" s="378" t="s">
        <v>163</v>
      </c>
      <c r="E12" s="456" t="s">
        <v>164</v>
      </c>
      <c r="F12" s="456" t="s">
        <v>165</v>
      </c>
      <c r="G12" s="467" t="s">
        <v>166</v>
      </c>
      <c r="H12" s="467" t="s">
        <v>404</v>
      </c>
      <c r="I12" s="467" t="s">
        <v>464</v>
      </c>
      <c r="J12" s="456" t="s">
        <v>167</v>
      </c>
      <c r="K12" s="456" t="s">
        <v>429</v>
      </c>
      <c r="L12" s="456" t="s">
        <v>168</v>
      </c>
      <c r="M12" s="467" t="s">
        <v>169</v>
      </c>
      <c r="N12" s="456" t="s">
        <v>423</v>
      </c>
      <c r="O12" s="468" t="s">
        <v>170</v>
      </c>
      <c r="P12" s="468" t="s">
        <v>172</v>
      </c>
      <c r="Q12" s="456" t="s">
        <v>395</v>
      </c>
      <c r="R12" s="456" t="s">
        <v>171</v>
      </c>
      <c r="S12" s="456" t="s">
        <v>410</v>
      </c>
      <c r="T12" s="456" t="s">
        <v>419</v>
      </c>
      <c r="U12" s="467" t="s">
        <v>173</v>
      </c>
      <c r="V12" s="456" t="s">
        <v>438</v>
      </c>
      <c r="W12" s="456" t="s">
        <v>439</v>
      </c>
      <c r="X12" s="467" t="s">
        <v>174</v>
      </c>
      <c r="Y12" s="407" t="s">
        <v>396</v>
      </c>
      <c r="Z12" s="456" t="s">
        <v>100</v>
      </c>
      <c r="AA12" s="456" t="s">
        <v>100</v>
      </c>
      <c r="AB12" s="456" t="s">
        <v>100</v>
      </c>
      <c r="AC12" s="456" t="s">
        <v>100</v>
      </c>
      <c r="AD12" s="407" t="s">
        <v>477</v>
      </c>
    </row>
    <row r="13" spans="1:30">
      <c r="G13" s="469"/>
      <c r="H13" s="469"/>
      <c r="I13" s="469"/>
      <c r="M13" s="469"/>
      <c r="O13" s="470"/>
      <c r="P13" s="470"/>
      <c r="U13" s="469"/>
      <c r="V13" s="448"/>
      <c r="Y13" s="408"/>
      <c r="Z13" s="448"/>
      <c r="AA13" s="448"/>
      <c r="AB13" s="448"/>
      <c r="AC13" s="448"/>
      <c r="AD13" s="408"/>
    </row>
    <row r="14" spans="1:30">
      <c r="B14" s="361" t="s">
        <v>26</v>
      </c>
      <c r="G14" s="469"/>
      <c r="H14" s="469"/>
      <c r="I14" s="469"/>
      <c r="M14" s="469"/>
      <c r="O14" s="470"/>
      <c r="P14" s="470"/>
      <c r="U14" s="469"/>
      <c r="V14" s="448"/>
      <c r="Y14" s="408"/>
      <c r="Z14" s="448"/>
      <c r="AA14" s="448"/>
      <c r="AB14" s="448"/>
      <c r="AC14" s="448"/>
      <c r="AD14" s="408"/>
    </row>
    <row r="15" spans="1:30" s="379" customFormat="1">
      <c r="A15" s="360">
        <v>1</v>
      </c>
      <c r="B15" s="379" t="s">
        <v>27</v>
      </c>
      <c r="E15" s="471">
        <f>'ROO INPUT'!$F15</f>
        <v>165965</v>
      </c>
      <c r="F15" s="472">
        <v>0</v>
      </c>
      <c r="G15" s="472">
        <v>0</v>
      </c>
      <c r="H15" s="472">
        <v>0</v>
      </c>
      <c r="I15" s="472">
        <v>0</v>
      </c>
      <c r="J15" s="472">
        <v>-5986</v>
      </c>
      <c r="K15" s="472">
        <v>0</v>
      </c>
      <c r="L15" s="472">
        <v>0</v>
      </c>
      <c r="M15" s="472">
        <v>0</v>
      </c>
      <c r="N15" s="472">
        <v>0</v>
      </c>
      <c r="O15" s="472">
        <v>0</v>
      </c>
      <c r="P15" s="472">
        <v>0</v>
      </c>
      <c r="Q15" s="472">
        <v>0</v>
      </c>
      <c r="R15" s="472">
        <v>0</v>
      </c>
      <c r="S15" s="471">
        <v>-4558</v>
      </c>
      <c r="T15" s="471">
        <v>2322</v>
      </c>
      <c r="U15" s="490">
        <v>0</v>
      </c>
      <c r="V15" s="472">
        <v>0</v>
      </c>
      <c r="W15" s="471">
        <v>0</v>
      </c>
      <c r="X15" s="472">
        <v>0</v>
      </c>
      <c r="Y15" s="409">
        <f>SUM(E15:X15)</f>
        <v>157743</v>
      </c>
      <c r="Z15" s="471">
        <f>-S15</f>
        <v>4558</v>
      </c>
      <c r="AA15" s="471">
        <v>0</v>
      </c>
      <c r="AB15" s="471">
        <v>0</v>
      </c>
      <c r="AC15" s="471">
        <v>0</v>
      </c>
      <c r="AD15" s="409">
        <f>SUM(Y15:AC15)</f>
        <v>162301</v>
      </c>
    </row>
    <row r="16" spans="1:30">
      <c r="A16" s="360">
        <v>2</v>
      </c>
      <c r="B16" s="380" t="s">
        <v>28</v>
      </c>
      <c r="D16" s="380"/>
      <c r="E16" s="473">
        <f>'ROO INPUT'!$F16</f>
        <v>5181</v>
      </c>
      <c r="F16" s="474">
        <v>0</v>
      </c>
      <c r="G16" s="474">
        <v>0</v>
      </c>
      <c r="H16" s="474">
        <v>0</v>
      </c>
      <c r="I16" s="474">
        <v>0</v>
      </c>
      <c r="J16" s="474">
        <v>-132</v>
      </c>
      <c r="K16" s="474">
        <v>0</v>
      </c>
      <c r="L16" s="474">
        <v>0</v>
      </c>
      <c r="M16" s="474">
        <v>0</v>
      </c>
      <c r="N16" s="474">
        <v>0</v>
      </c>
      <c r="O16" s="474">
        <v>0</v>
      </c>
      <c r="P16" s="474">
        <v>0</v>
      </c>
      <c r="Q16" s="474">
        <v>0</v>
      </c>
      <c r="R16" s="474">
        <v>0</v>
      </c>
      <c r="S16" s="473"/>
      <c r="T16" s="473">
        <v>0</v>
      </c>
      <c r="U16" s="477">
        <v>0</v>
      </c>
      <c r="V16" s="474">
        <v>0</v>
      </c>
      <c r="W16" s="473">
        <v>0</v>
      </c>
      <c r="X16" s="474">
        <v>0</v>
      </c>
      <c r="Y16" s="410">
        <f>SUM(E16:X16)</f>
        <v>5049</v>
      </c>
      <c r="Z16" s="473">
        <f>-S16</f>
        <v>0</v>
      </c>
      <c r="AA16" s="473">
        <v>0</v>
      </c>
      <c r="AB16" s="473">
        <v>0</v>
      </c>
      <c r="AC16" s="473">
        <v>0</v>
      </c>
      <c r="AD16" s="410">
        <f>SUM(Y16:AC16)</f>
        <v>5049</v>
      </c>
    </row>
    <row r="17" spans="1:30">
      <c r="A17" s="360">
        <v>3</v>
      </c>
      <c r="B17" s="380" t="s">
        <v>29</v>
      </c>
      <c r="D17" s="380"/>
      <c r="E17" s="475">
        <f>'ROO INPUT'!$F17</f>
        <v>48146</v>
      </c>
      <c r="F17" s="476">
        <v>0</v>
      </c>
      <c r="G17" s="476">
        <v>0</v>
      </c>
      <c r="H17" s="476">
        <v>0</v>
      </c>
      <c r="I17" s="476">
        <v>0</v>
      </c>
      <c r="J17" s="476">
        <v>0</v>
      </c>
      <c r="K17" s="476">
        <v>0</v>
      </c>
      <c r="L17" s="476">
        <v>0</v>
      </c>
      <c r="M17" s="476">
        <v>0</v>
      </c>
      <c r="N17" s="476">
        <v>0</v>
      </c>
      <c r="O17" s="476">
        <v>0</v>
      </c>
      <c r="P17" s="476">
        <v>0</v>
      </c>
      <c r="Q17" s="476">
        <v>0</v>
      </c>
      <c r="R17" s="476">
        <v>0</v>
      </c>
      <c r="S17" s="475">
        <v>2235</v>
      </c>
      <c r="T17" s="475">
        <v>-51229</v>
      </c>
      <c r="U17" s="491">
        <v>24</v>
      </c>
      <c r="V17" s="476">
        <v>0</v>
      </c>
      <c r="W17" s="475">
        <v>0</v>
      </c>
      <c r="X17" s="476">
        <v>0</v>
      </c>
      <c r="Y17" s="411">
        <f>SUM(E17:X17)</f>
        <v>-824</v>
      </c>
      <c r="Z17" s="475">
        <f>-S17</f>
        <v>-2235</v>
      </c>
      <c r="AA17" s="475">
        <v>2368</v>
      </c>
      <c r="AB17" s="475">
        <v>0</v>
      </c>
      <c r="AC17" s="475">
        <v>0</v>
      </c>
      <c r="AD17" s="411">
        <f>SUM(Y17:AC17)</f>
        <v>-691</v>
      </c>
    </row>
    <row r="18" spans="1:30">
      <c r="A18" s="360">
        <v>4</v>
      </c>
      <c r="B18" s="361" t="s">
        <v>30</v>
      </c>
      <c r="C18" s="380"/>
      <c r="D18" s="380"/>
      <c r="E18" s="473">
        <f>SUM(E15:E17)</f>
        <v>219292</v>
      </c>
      <c r="F18" s="473">
        <f t="shared" ref="F18:O18" si="10">SUM(F15:F17)</f>
        <v>0</v>
      </c>
      <c r="G18" s="473">
        <f t="shared" si="10"/>
        <v>0</v>
      </c>
      <c r="H18" s="473">
        <f t="shared" si="10"/>
        <v>0</v>
      </c>
      <c r="I18" s="473">
        <f t="shared" ref="I18" si="11">SUM(I15:I17)</f>
        <v>0</v>
      </c>
      <c r="J18" s="473">
        <f t="shared" si="10"/>
        <v>-6118</v>
      </c>
      <c r="K18" s="473">
        <f>SUM(K15:K17)</f>
        <v>0</v>
      </c>
      <c r="L18" s="473">
        <f t="shared" si="10"/>
        <v>0</v>
      </c>
      <c r="M18" s="473">
        <f t="shared" si="10"/>
        <v>0</v>
      </c>
      <c r="N18" s="473">
        <f t="shared" si="10"/>
        <v>0</v>
      </c>
      <c r="O18" s="473">
        <f t="shared" si="10"/>
        <v>0</v>
      </c>
      <c r="P18" s="473">
        <f t="shared" ref="P18:Q18" si="12">SUM(P15:P17)</f>
        <v>0</v>
      </c>
      <c r="Q18" s="473">
        <f t="shared" si="12"/>
        <v>0</v>
      </c>
      <c r="R18" s="473">
        <f t="shared" ref="R18" si="13">SUM(R15:R17)</f>
        <v>0</v>
      </c>
      <c r="S18" s="473">
        <f>SUM(S15:S17)</f>
        <v>-2323</v>
      </c>
      <c r="T18" s="473">
        <f>SUM(T15:T17)</f>
        <v>-48907</v>
      </c>
      <c r="U18" s="477">
        <f t="shared" ref="U18:W18" si="14">SUM(U15:U17)</f>
        <v>24</v>
      </c>
      <c r="V18" s="473">
        <f>SUM(V15:V17)</f>
        <v>0</v>
      </c>
      <c r="W18" s="473">
        <f t="shared" si="14"/>
        <v>0</v>
      </c>
      <c r="X18" s="473">
        <f t="shared" ref="X18" si="15">SUM(X15:X17)</f>
        <v>0</v>
      </c>
      <c r="Y18" s="410">
        <f t="shared" ref="Y18:Z18" si="16">SUM(Y15:Y17)</f>
        <v>161968</v>
      </c>
      <c r="Z18" s="473">
        <f t="shared" si="16"/>
        <v>2323</v>
      </c>
      <c r="AA18" s="473">
        <f t="shared" ref="AA18:AD18" si="17">SUM(AA15:AA17)</f>
        <v>2368</v>
      </c>
      <c r="AB18" s="473">
        <f t="shared" si="17"/>
        <v>0</v>
      </c>
      <c r="AC18" s="473">
        <f t="shared" si="17"/>
        <v>0</v>
      </c>
      <c r="AD18" s="410">
        <f t="shared" si="17"/>
        <v>166659</v>
      </c>
    </row>
    <row r="19" spans="1:30">
      <c r="C19" s="380"/>
      <c r="D19" s="380"/>
      <c r="E19" s="473"/>
      <c r="F19" s="474"/>
      <c r="G19" s="474"/>
      <c r="H19" s="474"/>
      <c r="I19" s="474"/>
      <c r="J19" s="474"/>
      <c r="K19" s="474"/>
      <c r="L19" s="474"/>
      <c r="M19" s="474"/>
      <c r="N19" s="474"/>
      <c r="O19" s="474"/>
      <c r="P19" s="474"/>
      <c r="Q19" s="474"/>
      <c r="R19" s="474"/>
      <c r="S19" s="473"/>
      <c r="T19" s="473"/>
      <c r="U19" s="477"/>
      <c r="V19" s="474"/>
      <c r="W19" s="473"/>
      <c r="X19" s="474"/>
      <c r="Y19" s="410"/>
      <c r="Z19" s="473"/>
      <c r="AA19" s="473"/>
      <c r="AB19" s="473"/>
      <c r="AC19" s="473"/>
      <c r="AD19" s="410"/>
    </row>
    <row r="20" spans="1:30">
      <c r="B20" s="361" t="s">
        <v>31</v>
      </c>
      <c r="C20" s="380"/>
      <c r="D20" s="380"/>
      <c r="E20" s="473"/>
      <c r="F20" s="474"/>
      <c r="G20" s="474"/>
      <c r="H20" s="474"/>
      <c r="I20" s="474"/>
      <c r="J20" s="474"/>
      <c r="K20" s="474"/>
      <c r="L20" s="474"/>
      <c r="M20" s="474"/>
      <c r="N20" s="474"/>
      <c r="O20" s="474"/>
      <c r="P20" s="474"/>
      <c r="Q20" s="474"/>
      <c r="R20" s="474"/>
      <c r="S20" s="473"/>
      <c r="T20" s="473"/>
      <c r="U20" s="477"/>
      <c r="V20" s="474"/>
      <c r="W20" s="473"/>
      <c r="X20" s="474"/>
      <c r="Y20" s="410"/>
      <c r="Z20" s="473"/>
      <c r="AA20" s="473"/>
      <c r="AB20" s="473"/>
      <c r="AC20" s="473"/>
      <c r="AD20" s="410"/>
    </row>
    <row r="21" spans="1:30">
      <c r="B21" s="380" t="s">
        <v>179</v>
      </c>
      <c r="D21" s="380"/>
      <c r="E21" s="473"/>
      <c r="F21" s="474"/>
      <c r="G21" s="474"/>
      <c r="H21" s="474"/>
      <c r="I21" s="474"/>
      <c r="J21" s="474"/>
      <c r="K21" s="474"/>
      <c r="L21" s="474"/>
      <c r="M21" s="474"/>
      <c r="N21" s="474"/>
      <c r="O21" s="474"/>
      <c r="P21" s="474"/>
      <c r="Q21" s="474"/>
      <c r="R21" s="474"/>
      <c r="S21" s="473"/>
      <c r="T21" s="473"/>
      <c r="U21" s="477"/>
      <c r="V21" s="474"/>
      <c r="W21" s="473"/>
      <c r="X21" s="474"/>
      <c r="Y21" s="410"/>
      <c r="Z21" s="473"/>
      <c r="AA21" s="473"/>
      <c r="AB21" s="473"/>
      <c r="AC21" s="473"/>
      <c r="AD21" s="410"/>
    </row>
    <row r="22" spans="1:30">
      <c r="A22" s="360">
        <v>5</v>
      </c>
      <c r="C22" s="380" t="s">
        <v>32</v>
      </c>
      <c r="D22" s="380"/>
      <c r="E22" s="473">
        <f>'ROO INPUT'!$F22</f>
        <v>109496</v>
      </c>
      <c r="F22" s="474">
        <v>0</v>
      </c>
      <c r="G22" s="474">
        <v>0</v>
      </c>
      <c r="H22" s="474">
        <v>0</v>
      </c>
      <c r="I22" s="474">
        <v>0</v>
      </c>
      <c r="J22" s="474">
        <v>0</v>
      </c>
      <c r="K22" s="474">
        <v>0</v>
      </c>
      <c r="L22" s="474">
        <v>0</v>
      </c>
      <c r="M22" s="474">
        <v>0</v>
      </c>
      <c r="N22" s="474">
        <v>0</v>
      </c>
      <c r="O22" s="474">
        <v>0</v>
      </c>
      <c r="P22" s="474">
        <v>0</v>
      </c>
      <c r="Q22" s="474">
        <v>0</v>
      </c>
      <c r="R22" s="474">
        <v>0</v>
      </c>
      <c r="S22" s="473">
        <v>-2114</v>
      </c>
      <c r="T22" s="473">
        <v>-42968</v>
      </c>
      <c r="U22" s="477">
        <v>0</v>
      </c>
      <c r="V22" s="474">
        <v>0</v>
      </c>
      <c r="W22" s="473">
        <v>0</v>
      </c>
      <c r="X22" s="474">
        <v>0</v>
      </c>
      <c r="Y22" s="410">
        <f>SUM(E22:X22)</f>
        <v>64414</v>
      </c>
      <c r="Z22" s="473">
        <f>-S22</f>
        <v>2114</v>
      </c>
      <c r="AA22" s="473">
        <v>0</v>
      </c>
      <c r="AB22" s="473">
        <v>0</v>
      </c>
      <c r="AC22" s="473">
        <v>0</v>
      </c>
      <c r="AD22" s="410">
        <f>SUM(Y22:AC22)</f>
        <v>66528</v>
      </c>
    </row>
    <row r="23" spans="1:30">
      <c r="A23" s="360">
        <v>6</v>
      </c>
      <c r="C23" s="380" t="s">
        <v>33</v>
      </c>
      <c r="D23" s="380"/>
      <c r="E23" s="473">
        <f>'ROO INPUT'!$F23</f>
        <v>947</v>
      </c>
      <c r="F23" s="474">
        <v>0</v>
      </c>
      <c r="G23" s="474">
        <v>0</v>
      </c>
      <c r="H23" s="474">
        <v>0</v>
      </c>
      <c r="I23" s="474">
        <v>0</v>
      </c>
      <c r="J23" s="474">
        <v>0</v>
      </c>
      <c r="K23" s="474">
        <v>0</v>
      </c>
      <c r="L23" s="474">
        <v>0</v>
      </c>
      <c r="M23" s="474">
        <v>0</v>
      </c>
      <c r="N23" s="474">
        <v>0</v>
      </c>
      <c r="O23" s="474">
        <v>0</v>
      </c>
      <c r="P23" s="474">
        <v>0</v>
      </c>
      <c r="Q23" s="474">
        <v>0</v>
      </c>
      <c r="R23" s="474">
        <v>0</v>
      </c>
      <c r="S23" s="473">
        <v>-3</v>
      </c>
      <c r="T23" s="473">
        <v>0</v>
      </c>
      <c r="U23" s="477">
        <v>0</v>
      </c>
      <c r="V23" s="474">
        <v>0</v>
      </c>
      <c r="W23" s="473">
        <v>0</v>
      </c>
      <c r="X23" s="474">
        <v>0</v>
      </c>
      <c r="Y23" s="410">
        <f>SUM(E23:X23)</f>
        <v>944</v>
      </c>
      <c r="Z23" s="473">
        <f>-S23</f>
        <v>3</v>
      </c>
      <c r="AA23" s="473">
        <v>0</v>
      </c>
      <c r="AB23" s="473">
        <v>0</v>
      </c>
      <c r="AC23" s="473">
        <v>0</v>
      </c>
      <c r="AD23" s="410">
        <f>SUM(Y23:AC23)</f>
        <v>947</v>
      </c>
    </row>
    <row r="24" spans="1:30">
      <c r="A24" s="360">
        <v>7</v>
      </c>
      <c r="C24" s="380" t="s">
        <v>34</v>
      </c>
      <c r="D24" s="380"/>
      <c r="E24" s="475">
        <f>'ROO INPUT'!$F24</f>
        <v>-2351</v>
      </c>
      <c r="F24" s="476">
        <v>0</v>
      </c>
      <c r="G24" s="476">
        <v>0</v>
      </c>
      <c r="H24" s="476">
        <v>0</v>
      </c>
      <c r="I24" s="476">
        <v>0</v>
      </c>
      <c r="J24" s="476">
        <v>0</v>
      </c>
      <c r="K24" s="476">
        <v>0</v>
      </c>
      <c r="L24" s="476">
        <v>0</v>
      </c>
      <c r="M24" s="476">
        <v>0</v>
      </c>
      <c r="N24" s="476">
        <v>0</v>
      </c>
      <c r="O24" s="476">
        <v>0</v>
      </c>
      <c r="P24" s="476">
        <v>0</v>
      </c>
      <c r="Q24" s="476">
        <v>0</v>
      </c>
      <c r="R24" s="476">
        <v>0</v>
      </c>
      <c r="S24" s="475">
        <v>0</v>
      </c>
      <c r="T24" s="475">
        <v>2351</v>
      </c>
      <c r="U24" s="491">
        <v>0</v>
      </c>
      <c r="V24" s="476">
        <v>0</v>
      </c>
      <c r="W24" s="475">
        <v>0</v>
      </c>
      <c r="X24" s="476">
        <v>0</v>
      </c>
      <c r="Y24" s="411">
        <f>SUM(E24:X24)</f>
        <v>0</v>
      </c>
      <c r="Z24" s="475">
        <f>-S24</f>
        <v>0</v>
      </c>
      <c r="AA24" s="475">
        <v>0</v>
      </c>
      <c r="AB24" s="475">
        <v>0</v>
      </c>
      <c r="AC24" s="475">
        <v>0</v>
      </c>
      <c r="AD24" s="411">
        <f>SUM(Y24:AC24)</f>
        <v>0</v>
      </c>
    </row>
    <row r="25" spans="1:30">
      <c r="A25" s="360">
        <v>8</v>
      </c>
      <c r="B25" s="380" t="s">
        <v>35</v>
      </c>
      <c r="C25" s="380"/>
      <c r="E25" s="477">
        <f>SUM(E22:E24)</f>
        <v>108092</v>
      </c>
      <c r="F25" s="477">
        <f t="shared" ref="F25:O25" si="18">SUM(F22:F24)</f>
        <v>0</v>
      </c>
      <c r="G25" s="477">
        <f t="shared" si="18"/>
        <v>0</v>
      </c>
      <c r="H25" s="477">
        <f t="shared" si="18"/>
        <v>0</v>
      </c>
      <c r="I25" s="477">
        <f t="shared" ref="I25" si="19">SUM(I22:I24)</f>
        <v>0</v>
      </c>
      <c r="J25" s="477">
        <f t="shared" si="18"/>
        <v>0</v>
      </c>
      <c r="K25" s="477">
        <f>SUM(K22:K24)</f>
        <v>0</v>
      </c>
      <c r="L25" s="477">
        <f t="shared" si="18"/>
        <v>0</v>
      </c>
      <c r="M25" s="477">
        <f t="shared" si="18"/>
        <v>0</v>
      </c>
      <c r="N25" s="477">
        <f t="shared" si="18"/>
        <v>0</v>
      </c>
      <c r="O25" s="477">
        <f t="shared" si="18"/>
        <v>0</v>
      </c>
      <c r="P25" s="477">
        <f t="shared" ref="P25:Q25" si="20">SUM(P22:P24)</f>
        <v>0</v>
      </c>
      <c r="Q25" s="477">
        <f t="shared" si="20"/>
        <v>0</v>
      </c>
      <c r="R25" s="477">
        <f>SUM(R22:R24)</f>
        <v>0</v>
      </c>
      <c r="S25" s="477">
        <f>SUM(S22:S24)</f>
        <v>-2117</v>
      </c>
      <c r="T25" s="477">
        <f>SUM(T22:T24)</f>
        <v>-40617</v>
      </c>
      <c r="U25" s="477">
        <f t="shared" ref="U25:W25" si="21">SUM(U22:U24)</f>
        <v>0</v>
      </c>
      <c r="V25" s="477">
        <f>SUM(V22:V24)</f>
        <v>0</v>
      </c>
      <c r="W25" s="477">
        <f t="shared" si="21"/>
        <v>0</v>
      </c>
      <c r="X25" s="477">
        <f t="shared" ref="X25:Z25" si="22">SUM(X22:X24)</f>
        <v>0</v>
      </c>
      <c r="Y25" s="410">
        <f t="shared" si="22"/>
        <v>65358</v>
      </c>
      <c r="Z25" s="477">
        <f t="shared" si="22"/>
        <v>2117</v>
      </c>
      <c r="AA25" s="477">
        <f t="shared" ref="AA25:AD25" si="23">SUM(AA22:AA24)</f>
        <v>0</v>
      </c>
      <c r="AB25" s="477">
        <f t="shared" si="23"/>
        <v>0</v>
      </c>
      <c r="AC25" s="477">
        <f t="shared" si="23"/>
        <v>0</v>
      </c>
      <c r="AD25" s="410">
        <f t="shared" si="23"/>
        <v>67475</v>
      </c>
    </row>
    <row r="26" spans="1:30">
      <c r="B26" s="380"/>
      <c r="C26" s="380"/>
      <c r="E26" s="473"/>
      <c r="F26" s="473"/>
      <c r="G26" s="473"/>
      <c r="H26" s="473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7"/>
      <c r="V26" s="473"/>
      <c r="W26" s="473"/>
      <c r="X26" s="477"/>
      <c r="Y26" s="410"/>
      <c r="Z26" s="473"/>
      <c r="AA26" s="473"/>
      <c r="AB26" s="473"/>
      <c r="AC26" s="473"/>
      <c r="AD26" s="410"/>
    </row>
    <row r="27" spans="1:30">
      <c r="B27" s="380" t="s">
        <v>36</v>
      </c>
      <c r="D27" s="380"/>
      <c r="E27" s="473"/>
      <c r="F27" s="474"/>
      <c r="G27" s="474"/>
      <c r="H27" s="474"/>
      <c r="I27" s="474"/>
      <c r="J27" s="474"/>
      <c r="K27" s="474"/>
      <c r="L27" s="474"/>
      <c r="M27" s="474"/>
      <c r="N27" s="474"/>
      <c r="O27" s="474"/>
      <c r="P27" s="474"/>
      <c r="Q27" s="474"/>
      <c r="R27" s="474"/>
      <c r="S27" s="473"/>
      <c r="T27" s="473"/>
      <c r="U27" s="477"/>
      <c r="V27" s="474"/>
      <c r="W27" s="473"/>
      <c r="X27" s="474"/>
      <c r="Y27" s="410"/>
      <c r="Z27" s="473"/>
      <c r="AA27" s="473"/>
      <c r="AB27" s="473"/>
      <c r="AC27" s="473"/>
      <c r="AD27" s="410"/>
    </row>
    <row r="28" spans="1:30">
      <c r="A28" s="360">
        <v>9</v>
      </c>
      <c r="C28" s="380" t="s">
        <v>37</v>
      </c>
      <c r="D28" s="380"/>
      <c r="E28" s="473">
        <f>'ROO INPUT'!$F28</f>
        <v>1032</v>
      </c>
      <c r="F28" s="474">
        <v>0</v>
      </c>
      <c r="G28" s="474">
        <v>0</v>
      </c>
      <c r="H28" s="474">
        <v>0</v>
      </c>
      <c r="I28" s="474">
        <v>0</v>
      </c>
      <c r="J28" s="474">
        <v>0</v>
      </c>
      <c r="K28" s="474">
        <v>0</v>
      </c>
      <c r="L28" s="474">
        <v>0</v>
      </c>
      <c r="M28" s="474">
        <v>0</v>
      </c>
      <c r="N28" s="474">
        <v>0</v>
      </c>
      <c r="O28" s="474">
        <v>0</v>
      </c>
      <c r="P28" s="474">
        <v>0</v>
      </c>
      <c r="Q28" s="474">
        <v>0</v>
      </c>
      <c r="R28" s="474">
        <v>0</v>
      </c>
      <c r="S28" s="473">
        <v>0</v>
      </c>
      <c r="T28" s="473">
        <v>0</v>
      </c>
      <c r="U28" s="477">
        <v>0</v>
      </c>
      <c r="V28" s="474">
        <v>0</v>
      </c>
      <c r="W28" s="473">
        <v>0</v>
      </c>
      <c r="X28" s="474">
        <v>0</v>
      </c>
      <c r="Y28" s="410">
        <f>SUM(E28:X28)</f>
        <v>1032</v>
      </c>
      <c r="Z28" s="473">
        <f>-S28</f>
        <v>0</v>
      </c>
      <c r="AA28" s="473">
        <v>0</v>
      </c>
      <c r="AB28" s="473">
        <v>0</v>
      </c>
      <c r="AC28" s="473">
        <v>0</v>
      </c>
      <c r="AD28" s="410">
        <f>SUM(Y28:AC28)</f>
        <v>1032</v>
      </c>
    </row>
    <row r="29" spans="1:30">
      <c r="A29" s="360">
        <v>10</v>
      </c>
      <c r="C29" s="380" t="s">
        <v>175</v>
      </c>
      <c r="D29" s="380"/>
      <c r="E29" s="473">
        <f>'ROO INPUT'!$F29</f>
        <v>537</v>
      </c>
      <c r="F29" s="474">
        <v>0</v>
      </c>
      <c r="G29" s="474">
        <v>0</v>
      </c>
      <c r="H29" s="474">
        <v>0</v>
      </c>
      <c r="I29" s="474">
        <v>0</v>
      </c>
      <c r="J29" s="474">
        <v>0</v>
      </c>
      <c r="K29" s="474">
        <v>0</v>
      </c>
      <c r="L29" s="474">
        <v>0</v>
      </c>
      <c r="M29" s="474">
        <v>0</v>
      </c>
      <c r="N29" s="474">
        <v>0</v>
      </c>
      <c r="O29" s="474">
        <v>0</v>
      </c>
      <c r="P29" s="474">
        <v>0</v>
      </c>
      <c r="Q29" s="474">
        <v>0</v>
      </c>
      <c r="R29" s="474">
        <v>0</v>
      </c>
      <c r="S29" s="473">
        <v>0</v>
      </c>
      <c r="T29" s="473">
        <v>0</v>
      </c>
      <c r="U29" s="477">
        <v>0</v>
      </c>
      <c r="V29" s="474">
        <v>0</v>
      </c>
      <c r="W29" s="473">
        <v>0</v>
      </c>
      <c r="X29" s="474">
        <v>0</v>
      </c>
      <c r="Y29" s="410">
        <f>SUM(E29:X29)</f>
        <v>537</v>
      </c>
      <c r="Z29" s="473">
        <f>-S29</f>
        <v>0</v>
      </c>
      <c r="AA29" s="473">
        <v>0</v>
      </c>
      <c r="AB29" s="473">
        <v>0</v>
      </c>
      <c r="AC29" s="473">
        <v>0</v>
      </c>
      <c r="AD29" s="410">
        <f>SUM(Y29:AC29)</f>
        <v>537</v>
      </c>
    </row>
    <row r="30" spans="1:30">
      <c r="A30" s="360">
        <v>11</v>
      </c>
      <c r="C30" s="380" t="s">
        <v>21</v>
      </c>
      <c r="D30" s="380"/>
      <c r="E30" s="475">
        <f>'ROO INPUT'!$F30</f>
        <v>73</v>
      </c>
      <c r="F30" s="476">
        <v>0</v>
      </c>
      <c r="G30" s="476">
        <v>0</v>
      </c>
      <c r="H30" s="476">
        <v>0</v>
      </c>
      <c r="I30" s="476">
        <v>0</v>
      </c>
      <c r="J30" s="476">
        <v>0</v>
      </c>
      <c r="K30" s="476">
        <v>12</v>
      </c>
      <c r="L30" s="476">
        <v>0</v>
      </c>
      <c r="M30" s="476">
        <v>0</v>
      </c>
      <c r="N30" s="476">
        <v>0</v>
      </c>
      <c r="O30" s="476">
        <v>0</v>
      </c>
      <c r="P30" s="476">
        <v>0</v>
      </c>
      <c r="Q30" s="476">
        <v>0</v>
      </c>
      <c r="R30" s="476">
        <v>0</v>
      </c>
      <c r="S30" s="475">
        <v>0</v>
      </c>
      <c r="T30" s="475">
        <v>0</v>
      </c>
      <c r="U30" s="491">
        <v>0</v>
      </c>
      <c r="V30" s="476">
        <v>0</v>
      </c>
      <c r="W30" s="475">
        <v>0</v>
      </c>
      <c r="X30" s="476">
        <v>0</v>
      </c>
      <c r="Y30" s="411">
        <f>SUM(E30:X30)</f>
        <v>85</v>
      </c>
      <c r="Z30" s="475">
        <f>-S30</f>
        <v>0</v>
      </c>
      <c r="AA30" s="475">
        <v>0</v>
      </c>
      <c r="AB30" s="475">
        <v>0</v>
      </c>
      <c r="AC30" s="475">
        <v>0</v>
      </c>
      <c r="AD30" s="411">
        <f>SUM(Y30:AC30)</f>
        <v>85</v>
      </c>
    </row>
    <row r="31" spans="1:30">
      <c r="A31" s="360">
        <v>12</v>
      </c>
      <c r="B31" s="380" t="s">
        <v>38</v>
      </c>
      <c r="C31" s="380"/>
      <c r="E31" s="473">
        <f t="shared" ref="E31:Z31" si="24">SUM(E28:E30)</f>
        <v>1642</v>
      </c>
      <c r="F31" s="473">
        <f t="shared" si="24"/>
        <v>0</v>
      </c>
      <c r="G31" s="473">
        <f t="shared" si="24"/>
        <v>0</v>
      </c>
      <c r="H31" s="473">
        <f t="shared" si="24"/>
        <v>0</v>
      </c>
      <c r="I31" s="473">
        <f t="shared" ref="I31" si="25">SUM(I28:I30)</f>
        <v>0</v>
      </c>
      <c r="J31" s="473">
        <f t="shared" si="24"/>
        <v>0</v>
      </c>
      <c r="K31" s="473">
        <f>SUM(K28:K30)</f>
        <v>12</v>
      </c>
      <c r="L31" s="473">
        <f t="shared" si="24"/>
        <v>0</v>
      </c>
      <c r="M31" s="473">
        <f t="shared" si="24"/>
        <v>0</v>
      </c>
      <c r="N31" s="473">
        <f t="shared" si="24"/>
        <v>0</v>
      </c>
      <c r="O31" s="473">
        <f t="shared" si="24"/>
        <v>0</v>
      </c>
      <c r="P31" s="473">
        <f t="shared" ref="P31:Q31" si="26">SUM(P28:P30)</f>
        <v>0</v>
      </c>
      <c r="Q31" s="473">
        <f t="shared" si="26"/>
        <v>0</v>
      </c>
      <c r="R31" s="473">
        <f>SUM(R28:R30)</f>
        <v>0</v>
      </c>
      <c r="S31" s="473">
        <f>SUM(S28:S30)</f>
        <v>0</v>
      </c>
      <c r="T31" s="473">
        <f>SUM(T28:T30)</f>
        <v>0</v>
      </c>
      <c r="U31" s="477">
        <f t="shared" ref="U31:W31" si="27">SUM(U28:U30)</f>
        <v>0</v>
      </c>
      <c r="V31" s="473">
        <f>SUM(V28:V30)</f>
        <v>0</v>
      </c>
      <c r="W31" s="473">
        <f t="shared" si="27"/>
        <v>0</v>
      </c>
      <c r="X31" s="477">
        <f>SUM(X28:X30)</f>
        <v>0</v>
      </c>
      <c r="Y31" s="410">
        <f t="shared" si="24"/>
        <v>1654</v>
      </c>
      <c r="Z31" s="473">
        <f t="shared" si="24"/>
        <v>0</v>
      </c>
      <c r="AA31" s="473">
        <f t="shared" ref="AA31:AD31" si="28">SUM(AA28:AA30)</f>
        <v>0</v>
      </c>
      <c r="AB31" s="473">
        <f t="shared" si="28"/>
        <v>0</v>
      </c>
      <c r="AC31" s="473">
        <f t="shared" si="28"/>
        <v>0</v>
      </c>
      <c r="AD31" s="410">
        <f t="shared" si="28"/>
        <v>1654</v>
      </c>
    </row>
    <row r="32" spans="1:30">
      <c r="B32" s="380"/>
      <c r="C32" s="380"/>
      <c r="E32" s="473"/>
      <c r="F32" s="473"/>
      <c r="G32" s="473"/>
      <c r="H32" s="473"/>
      <c r="I32" s="473"/>
      <c r="J32" s="473"/>
      <c r="K32" s="473"/>
      <c r="L32" s="473"/>
      <c r="M32" s="473"/>
      <c r="N32" s="473"/>
      <c r="O32" s="473"/>
      <c r="P32" s="473"/>
      <c r="Q32" s="473"/>
      <c r="R32" s="473"/>
      <c r="S32" s="473"/>
      <c r="T32" s="473"/>
      <c r="U32" s="477"/>
      <c r="V32" s="473"/>
      <c r="W32" s="473"/>
      <c r="X32" s="477"/>
      <c r="Y32" s="410"/>
      <c r="Z32" s="473"/>
      <c r="AA32" s="473"/>
      <c r="AB32" s="473"/>
      <c r="AC32" s="473"/>
      <c r="AD32" s="410"/>
    </row>
    <row r="33" spans="1:30">
      <c r="B33" s="380" t="s">
        <v>39</v>
      </c>
      <c r="D33" s="380"/>
      <c r="E33" s="473"/>
      <c r="F33" s="474"/>
      <c r="G33" s="474"/>
      <c r="H33" s="474"/>
      <c r="I33" s="474"/>
      <c r="J33" s="474"/>
      <c r="K33" s="474"/>
      <c r="L33" s="474"/>
      <c r="M33" s="474"/>
      <c r="N33" s="474"/>
      <c r="O33" s="474"/>
      <c r="P33" s="474"/>
      <c r="Q33" s="474"/>
      <c r="R33" s="474"/>
      <c r="S33" s="473"/>
      <c r="T33" s="473"/>
      <c r="U33" s="477"/>
      <c r="V33" s="474"/>
      <c r="W33" s="473"/>
      <c r="X33" s="474"/>
      <c r="Y33" s="410"/>
      <c r="Z33" s="473"/>
      <c r="AA33" s="473"/>
      <c r="AB33" s="473"/>
      <c r="AC33" s="473"/>
      <c r="AD33" s="410"/>
    </row>
    <row r="34" spans="1:30">
      <c r="A34" s="360">
        <v>13</v>
      </c>
      <c r="C34" s="380" t="s">
        <v>37</v>
      </c>
      <c r="D34" s="380"/>
      <c r="E34" s="473">
        <f>'ROO INPUT'!$F34</f>
        <v>12390</v>
      </c>
      <c r="F34" s="474">
        <v>0</v>
      </c>
      <c r="G34" s="474">
        <v>0</v>
      </c>
      <c r="H34" s="474">
        <v>0</v>
      </c>
      <c r="I34" s="474">
        <v>0</v>
      </c>
      <c r="J34" s="474">
        <v>0</v>
      </c>
      <c r="K34" s="474">
        <v>0</v>
      </c>
      <c r="L34" s="474">
        <v>0</v>
      </c>
      <c r="M34" s="474">
        <v>0</v>
      </c>
      <c r="N34" s="474">
        <v>0</v>
      </c>
      <c r="O34" s="474">
        <v>0</v>
      </c>
      <c r="P34" s="474">
        <v>0</v>
      </c>
      <c r="Q34" s="474">
        <v>0</v>
      </c>
      <c r="R34" s="474">
        <v>0</v>
      </c>
      <c r="S34" s="473">
        <v>0</v>
      </c>
      <c r="T34" s="473">
        <v>0</v>
      </c>
      <c r="U34" s="477">
        <v>-10</v>
      </c>
      <c r="V34" s="474">
        <v>0</v>
      </c>
      <c r="W34" s="473">
        <v>0</v>
      </c>
      <c r="X34" s="474">
        <v>0</v>
      </c>
      <c r="Y34" s="410">
        <f>SUM(E34:X34)</f>
        <v>12380</v>
      </c>
      <c r="Z34" s="473">
        <f>-S34</f>
        <v>0</v>
      </c>
      <c r="AA34" s="473">
        <v>0</v>
      </c>
      <c r="AB34" s="473">
        <v>0</v>
      </c>
      <c r="AC34" s="473">
        <v>0</v>
      </c>
      <c r="AD34" s="410">
        <f>SUM(Y34:AC34)</f>
        <v>12380</v>
      </c>
    </row>
    <row r="35" spans="1:30">
      <c r="A35" s="360">
        <v>14</v>
      </c>
      <c r="C35" s="380" t="s">
        <v>175</v>
      </c>
      <c r="D35" s="380"/>
      <c r="E35" s="477">
        <f>'ROO INPUT'!$F35</f>
        <v>10638</v>
      </c>
      <c r="F35" s="474">
        <v>0</v>
      </c>
      <c r="G35" s="474">
        <v>0</v>
      </c>
      <c r="H35" s="474">
        <v>0</v>
      </c>
      <c r="I35" s="474">
        <v>0</v>
      </c>
      <c r="J35" s="474">
        <v>0</v>
      </c>
      <c r="K35" s="474">
        <v>0</v>
      </c>
      <c r="L35" s="474">
        <v>0</v>
      </c>
      <c r="M35" s="474">
        <v>0</v>
      </c>
      <c r="N35" s="474">
        <v>0</v>
      </c>
      <c r="O35" s="474">
        <v>0</v>
      </c>
      <c r="P35" s="474">
        <v>0</v>
      </c>
      <c r="Q35" s="474">
        <v>0</v>
      </c>
      <c r="R35" s="474">
        <v>0</v>
      </c>
      <c r="S35" s="477">
        <v>0</v>
      </c>
      <c r="T35" s="477">
        <v>0</v>
      </c>
      <c r="U35" s="477">
        <v>0</v>
      </c>
      <c r="V35" s="474">
        <v>0</v>
      </c>
      <c r="W35" s="477">
        <v>0</v>
      </c>
      <c r="X35" s="474">
        <v>0</v>
      </c>
      <c r="Y35" s="410">
        <f>SUM(E35:X35)</f>
        <v>10638</v>
      </c>
      <c r="Z35" s="473">
        <f>-S35</f>
        <v>0</v>
      </c>
      <c r="AA35" s="477">
        <v>0</v>
      </c>
      <c r="AB35" s="477">
        <v>0</v>
      </c>
      <c r="AC35" s="477">
        <v>0</v>
      </c>
      <c r="AD35" s="410">
        <f>SUM(Y35:AC35)</f>
        <v>10638</v>
      </c>
    </row>
    <row r="36" spans="1:30">
      <c r="A36" s="360">
        <v>15</v>
      </c>
      <c r="C36" s="380" t="s">
        <v>21</v>
      </c>
      <c r="D36" s="380"/>
      <c r="E36" s="475">
        <f>'ROO INPUT'!$F36</f>
        <v>15342</v>
      </c>
      <c r="F36" s="476">
        <v>0</v>
      </c>
      <c r="G36" s="476">
        <v>0</v>
      </c>
      <c r="H36" s="476">
        <v>0</v>
      </c>
      <c r="I36" s="476">
        <v>0</v>
      </c>
      <c r="J36" s="476">
        <f>-6106+14</f>
        <v>-6092</v>
      </c>
      <c r="K36" s="476">
        <v>-20</v>
      </c>
      <c r="L36" s="476">
        <v>0</v>
      </c>
      <c r="M36" s="476">
        <v>0</v>
      </c>
      <c r="N36" s="476">
        <v>0</v>
      </c>
      <c r="O36" s="476">
        <v>0</v>
      </c>
      <c r="P36" s="476">
        <v>0</v>
      </c>
      <c r="Q36" s="476">
        <v>0</v>
      </c>
      <c r="R36" s="476">
        <v>0</v>
      </c>
      <c r="S36" s="475">
        <f>ROUND(S$15*CF!$E$19,0)</f>
        <v>-175</v>
      </c>
      <c r="T36" s="475">
        <f>ROUND(T$15*CF!$E$19,0)</f>
        <v>89</v>
      </c>
      <c r="U36" s="491">
        <v>0</v>
      </c>
      <c r="V36" s="476">
        <v>0</v>
      </c>
      <c r="W36" s="475">
        <v>0</v>
      </c>
      <c r="X36" s="476">
        <v>0</v>
      </c>
      <c r="Y36" s="411">
        <f>SUM(E36:X36)</f>
        <v>9144</v>
      </c>
      <c r="Z36" s="475">
        <f>-S36</f>
        <v>175</v>
      </c>
      <c r="AA36" s="475">
        <v>0</v>
      </c>
      <c r="AB36" s="475">
        <v>0</v>
      </c>
      <c r="AC36" s="475">
        <v>0</v>
      </c>
      <c r="AD36" s="411">
        <f>SUM(Y36:AC36)</f>
        <v>9319</v>
      </c>
    </row>
    <row r="37" spans="1:30" ht="12.9" customHeight="1">
      <c r="A37" s="360">
        <v>16</v>
      </c>
      <c r="B37" s="380" t="s">
        <v>40</v>
      </c>
      <c r="C37" s="380"/>
      <c r="E37" s="473">
        <f t="shared" ref="E37:O37" si="29">SUM(E34:E36)</f>
        <v>38370</v>
      </c>
      <c r="F37" s="473">
        <f t="shared" si="29"/>
        <v>0</v>
      </c>
      <c r="G37" s="473">
        <f t="shared" si="29"/>
        <v>0</v>
      </c>
      <c r="H37" s="473">
        <f t="shared" si="29"/>
        <v>0</v>
      </c>
      <c r="I37" s="473">
        <f t="shared" ref="I37" si="30">SUM(I34:I36)</f>
        <v>0</v>
      </c>
      <c r="J37" s="473">
        <f t="shared" si="29"/>
        <v>-6092</v>
      </c>
      <c r="K37" s="473">
        <f>SUM(K34:K36)</f>
        <v>-20</v>
      </c>
      <c r="L37" s="473">
        <f t="shared" si="29"/>
        <v>0</v>
      </c>
      <c r="M37" s="473">
        <f t="shared" si="29"/>
        <v>0</v>
      </c>
      <c r="N37" s="473">
        <f t="shared" si="29"/>
        <v>0</v>
      </c>
      <c r="O37" s="473">
        <f t="shared" si="29"/>
        <v>0</v>
      </c>
      <c r="P37" s="473">
        <f t="shared" ref="P37:Q37" si="31">SUM(P34:P36)</f>
        <v>0</v>
      </c>
      <c r="Q37" s="473">
        <f t="shared" si="31"/>
        <v>0</v>
      </c>
      <c r="R37" s="473">
        <f t="shared" ref="R37:W37" si="32">SUM(R34:R36)</f>
        <v>0</v>
      </c>
      <c r="S37" s="473">
        <f t="shared" si="32"/>
        <v>-175</v>
      </c>
      <c r="T37" s="473">
        <f t="shared" si="32"/>
        <v>89</v>
      </c>
      <c r="U37" s="477">
        <f t="shared" si="32"/>
        <v>-10</v>
      </c>
      <c r="V37" s="473">
        <f t="shared" si="32"/>
        <v>0</v>
      </c>
      <c r="W37" s="473">
        <f t="shared" si="32"/>
        <v>0</v>
      </c>
      <c r="X37" s="477">
        <f t="shared" ref="X37" si="33">SUM(X34:X36)</f>
        <v>0</v>
      </c>
      <c r="Y37" s="410">
        <f>SUM(Y34:Y36)</f>
        <v>32162</v>
      </c>
      <c r="Z37" s="473">
        <f t="shared" ref="Z37:AA37" si="34">SUM(Z34:Z36)</f>
        <v>175</v>
      </c>
      <c r="AA37" s="473">
        <f t="shared" si="34"/>
        <v>0</v>
      </c>
      <c r="AB37" s="473">
        <f t="shared" ref="AB37:AC37" si="35">SUM(AB34:AB36)</f>
        <v>0</v>
      </c>
      <c r="AC37" s="473">
        <f t="shared" si="35"/>
        <v>0</v>
      </c>
      <c r="AD37" s="410">
        <f>SUM(AD34:AD36)</f>
        <v>32337</v>
      </c>
    </row>
    <row r="38" spans="1:30" ht="12.9" customHeight="1">
      <c r="C38" s="380"/>
      <c r="D38" s="380"/>
      <c r="E38" s="473"/>
      <c r="F38" s="473"/>
      <c r="G38" s="473"/>
      <c r="H38" s="473"/>
      <c r="I38" s="473"/>
      <c r="J38" s="473"/>
      <c r="K38" s="473"/>
      <c r="L38" s="473"/>
      <c r="M38" s="473"/>
      <c r="N38" s="473"/>
      <c r="O38" s="473"/>
      <c r="P38" s="473"/>
      <c r="Q38" s="473"/>
      <c r="R38" s="473"/>
      <c r="S38" s="473"/>
      <c r="T38" s="473"/>
      <c r="U38" s="477"/>
      <c r="V38" s="473"/>
      <c r="W38" s="473"/>
      <c r="X38" s="477"/>
      <c r="Y38" s="410"/>
      <c r="Z38" s="473"/>
      <c r="AA38" s="473"/>
      <c r="AB38" s="473"/>
      <c r="AC38" s="473"/>
      <c r="AD38" s="410"/>
    </row>
    <row r="39" spans="1:30" ht="12.9" customHeight="1">
      <c r="A39" s="360">
        <v>17</v>
      </c>
      <c r="B39" s="361" t="s">
        <v>41</v>
      </c>
      <c r="C39" s="380"/>
      <c r="D39" s="380"/>
      <c r="E39" s="473">
        <f>'ROO INPUT'!$F39</f>
        <v>7293</v>
      </c>
      <c r="F39" s="478">
        <v>0</v>
      </c>
      <c r="G39" s="478">
        <v>10</v>
      </c>
      <c r="H39" s="478">
        <v>0</v>
      </c>
      <c r="I39" s="478">
        <v>0</v>
      </c>
      <c r="J39" s="478">
        <v>0</v>
      </c>
      <c r="K39" s="478"/>
      <c r="L39" s="478">
        <v>-301</v>
      </c>
      <c r="M39" s="478">
        <v>0</v>
      </c>
      <c r="N39" s="478">
        <v>0</v>
      </c>
      <c r="O39" s="478">
        <v>0</v>
      </c>
      <c r="P39" s="478">
        <v>0</v>
      </c>
      <c r="Q39" s="478">
        <v>0</v>
      </c>
      <c r="R39" s="478">
        <v>0</v>
      </c>
      <c r="S39" s="473">
        <f>ROUND(S$15*CF!$E$15,0)</f>
        <v>-23</v>
      </c>
      <c r="T39" s="473">
        <f>ROUND(T$15*CF!$E$15,0)</f>
        <v>12</v>
      </c>
      <c r="U39" s="477">
        <v>0</v>
      </c>
      <c r="V39" s="473">
        <v>0</v>
      </c>
      <c r="W39" s="473">
        <v>0</v>
      </c>
      <c r="X39" s="478">
        <v>0</v>
      </c>
      <c r="Y39" s="410">
        <f>SUM(E39:X39)</f>
        <v>6991</v>
      </c>
      <c r="Z39" s="473">
        <f>-S39</f>
        <v>23</v>
      </c>
      <c r="AA39" s="473">
        <v>0</v>
      </c>
      <c r="AB39" s="473">
        <v>0</v>
      </c>
      <c r="AC39" s="473">
        <v>0</v>
      </c>
      <c r="AD39" s="410">
        <f>SUM(Y39:AC39)</f>
        <v>7014</v>
      </c>
    </row>
    <row r="40" spans="1:30">
      <c r="A40" s="360">
        <v>18</v>
      </c>
      <c r="B40" s="361" t="s">
        <v>42</v>
      </c>
      <c r="C40" s="380"/>
      <c r="D40" s="380"/>
      <c r="E40" s="473">
        <f>'ROO INPUT'!$F40</f>
        <v>8961</v>
      </c>
      <c r="F40" s="474">
        <v>0</v>
      </c>
      <c r="G40" s="474">
        <v>0</v>
      </c>
      <c r="H40" s="474">
        <v>0</v>
      </c>
      <c r="I40" s="474">
        <v>0</v>
      </c>
      <c r="J40" s="474">
        <v>0</v>
      </c>
      <c r="K40" s="474">
        <v>0</v>
      </c>
      <c r="L40" s="474">
        <v>0</v>
      </c>
      <c r="M40" s="474">
        <v>0</v>
      </c>
      <c r="N40" s="474">
        <v>0</v>
      </c>
      <c r="O40" s="474">
        <v>0</v>
      </c>
      <c r="P40" s="474">
        <v>0</v>
      </c>
      <c r="Q40" s="474">
        <v>0</v>
      </c>
      <c r="R40" s="474">
        <v>0</v>
      </c>
      <c r="S40" s="473">
        <v>0</v>
      </c>
      <c r="T40" s="473">
        <v>-7961</v>
      </c>
      <c r="U40" s="477">
        <v>0</v>
      </c>
      <c r="V40" s="474">
        <v>0</v>
      </c>
      <c r="W40" s="473">
        <v>0</v>
      </c>
      <c r="X40" s="474">
        <v>0</v>
      </c>
      <c r="Y40" s="410">
        <f>SUM(E40:X40)</f>
        <v>1000</v>
      </c>
      <c r="Z40" s="473">
        <f>-S40</f>
        <v>0</v>
      </c>
      <c r="AA40" s="473">
        <v>0</v>
      </c>
      <c r="AB40" s="473">
        <v>0</v>
      </c>
      <c r="AC40" s="473">
        <v>0</v>
      </c>
      <c r="AD40" s="410">
        <f>SUM(Y40:AC40)</f>
        <v>1000</v>
      </c>
    </row>
    <row r="41" spans="1:30">
      <c r="A41" s="360">
        <v>19</v>
      </c>
      <c r="B41" s="361" t="s">
        <v>43</v>
      </c>
      <c r="C41" s="380"/>
      <c r="D41" s="380"/>
      <c r="E41" s="473">
        <f>'ROO INPUT'!$F41</f>
        <v>0</v>
      </c>
      <c r="F41" s="474">
        <v>0</v>
      </c>
      <c r="G41" s="474">
        <v>0</v>
      </c>
      <c r="H41" s="474">
        <v>0</v>
      </c>
      <c r="I41" s="474">
        <v>0</v>
      </c>
      <c r="J41" s="474">
        <v>0</v>
      </c>
      <c r="K41" s="474">
        <v>0</v>
      </c>
      <c r="L41" s="474">
        <v>0</v>
      </c>
      <c r="M41" s="474">
        <v>0</v>
      </c>
      <c r="N41" s="474">
        <v>0</v>
      </c>
      <c r="O41" s="474">
        <v>0</v>
      </c>
      <c r="P41" s="474">
        <v>0</v>
      </c>
      <c r="Q41" s="474">
        <v>0</v>
      </c>
      <c r="R41" s="474">
        <v>0</v>
      </c>
      <c r="S41" s="473">
        <v>0</v>
      </c>
      <c r="T41" s="473">
        <v>0</v>
      </c>
      <c r="U41" s="477">
        <v>0</v>
      </c>
      <c r="V41" s="474">
        <v>0</v>
      </c>
      <c r="W41" s="473">
        <v>0</v>
      </c>
      <c r="X41" s="474">
        <v>0</v>
      </c>
      <c r="Y41" s="410">
        <f>SUM(E41:X41)</f>
        <v>0</v>
      </c>
      <c r="Z41" s="481">
        <f>-S41</f>
        <v>0</v>
      </c>
      <c r="AA41" s="473">
        <v>0</v>
      </c>
      <c r="AB41" s="473">
        <v>0</v>
      </c>
      <c r="AC41" s="473">
        <v>0</v>
      </c>
      <c r="AD41" s="410">
        <f>SUM(Y41:AC41)</f>
        <v>0</v>
      </c>
    </row>
    <row r="42" spans="1:30">
      <c r="C42" s="380"/>
      <c r="D42" s="380"/>
      <c r="E42" s="473"/>
      <c r="F42" s="474"/>
      <c r="G42" s="474"/>
      <c r="H42" s="474"/>
      <c r="I42" s="474"/>
      <c r="J42" s="474"/>
      <c r="K42" s="474"/>
      <c r="L42" s="474"/>
      <c r="M42" s="474"/>
      <c r="N42" s="474"/>
      <c r="O42" s="474"/>
      <c r="P42" s="474"/>
      <c r="Q42" s="474"/>
      <c r="R42" s="474"/>
      <c r="S42" s="473"/>
      <c r="T42" s="473"/>
      <c r="U42" s="477"/>
      <c r="V42" s="474"/>
      <c r="W42" s="473"/>
      <c r="X42" s="474"/>
      <c r="Y42" s="410"/>
      <c r="Z42" s="473"/>
      <c r="AA42" s="473"/>
      <c r="AB42" s="473"/>
      <c r="AC42" s="473"/>
      <c r="AD42" s="410"/>
    </row>
    <row r="43" spans="1:30">
      <c r="B43" s="361" t="s">
        <v>44</v>
      </c>
      <c r="C43" s="380"/>
      <c r="D43" s="380"/>
      <c r="E43" s="473"/>
      <c r="F43" s="474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3"/>
      <c r="T43" s="473"/>
      <c r="U43" s="477"/>
      <c r="V43" s="474"/>
      <c r="W43" s="473"/>
      <c r="X43" s="474"/>
      <c r="Y43" s="410">
        <f>SUM(E43:X43)</f>
        <v>0</v>
      </c>
      <c r="Z43" s="473"/>
      <c r="AA43" s="473"/>
      <c r="AB43" s="473"/>
      <c r="AC43" s="473"/>
      <c r="AD43" s="410">
        <f>SUM(Y43:AC43)</f>
        <v>0</v>
      </c>
    </row>
    <row r="44" spans="1:30">
      <c r="A44" s="360">
        <v>20</v>
      </c>
      <c r="C44" s="380" t="s">
        <v>37</v>
      </c>
      <c r="D44" s="380"/>
      <c r="E44" s="473">
        <f>'ROO INPUT'!$F44</f>
        <v>13887</v>
      </c>
      <c r="F44" s="474">
        <v>0</v>
      </c>
      <c r="G44" s="474">
        <v>0</v>
      </c>
      <c r="H44" s="474">
        <v>0</v>
      </c>
      <c r="I44" s="474">
        <v>0</v>
      </c>
      <c r="J44" s="474">
        <v>0</v>
      </c>
      <c r="K44" s="474">
        <v>0</v>
      </c>
      <c r="L44" s="474">
        <v>0</v>
      </c>
      <c r="M44" s="474">
        <v>41</v>
      </c>
      <c r="N44" s="474">
        <v>45</v>
      </c>
      <c r="O44" s="474">
        <v>0</v>
      </c>
      <c r="P44" s="474">
        <v>-15</v>
      </c>
      <c r="Q44" s="474">
        <v>0</v>
      </c>
      <c r="R44" s="474">
        <v>-13</v>
      </c>
      <c r="S44" s="473">
        <f>ROUND(S$15*CF!$E$17,0)</f>
        <v>-9</v>
      </c>
      <c r="T44" s="473">
        <f>ROUND(T$15*CF!$E$17,0)</f>
        <v>5</v>
      </c>
      <c r="U44" s="477">
        <v>-342</v>
      </c>
      <c r="V44" s="474">
        <v>0</v>
      </c>
      <c r="W44" s="473">
        <v>-224</v>
      </c>
      <c r="X44" s="474">
        <v>0</v>
      </c>
      <c r="Y44" s="410">
        <f>SUM(E44:X44)</f>
        <v>13375</v>
      </c>
      <c r="Z44" s="473">
        <f>-S44</f>
        <v>9</v>
      </c>
      <c r="AA44" s="473">
        <v>0</v>
      </c>
      <c r="AB44" s="473">
        <v>0</v>
      </c>
      <c r="AC44" s="473">
        <v>0</v>
      </c>
      <c r="AD44" s="410">
        <f>SUM(Y44:AC44)</f>
        <v>13384</v>
      </c>
    </row>
    <row r="45" spans="1:30">
      <c r="A45" s="360">
        <v>21</v>
      </c>
      <c r="C45" s="380" t="s">
        <v>175</v>
      </c>
      <c r="D45" s="380"/>
      <c r="E45" s="473">
        <f>'ROO INPUT'!$F45</f>
        <v>7014</v>
      </c>
      <c r="F45" s="474">
        <v>0</v>
      </c>
      <c r="G45" s="474">
        <v>0</v>
      </c>
      <c r="H45" s="474">
        <v>0</v>
      </c>
      <c r="I45" s="474">
        <v>0</v>
      </c>
      <c r="J45" s="474">
        <v>0</v>
      </c>
      <c r="K45" s="474">
        <v>0</v>
      </c>
      <c r="L45" s="474">
        <v>0</v>
      </c>
      <c r="M45" s="474">
        <v>0</v>
      </c>
      <c r="N45" s="474">
        <v>0</v>
      </c>
      <c r="O45" s="474">
        <v>0</v>
      </c>
      <c r="P45" s="474">
        <v>0</v>
      </c>
      <c r="Q45" s="474">
        <v>0</v>
      </c>
      <c r="R45" s="474">
        <v>0</v>
      </c>
      <c r="S45" s="473"/>
      <c r="T45" s="473">
        <v>0</v>
      </c>
      <c r="U45" s="477">
        <v>0</v>
      </c>
      <c r="V45" s="474">
        <v>0</v>
      </c>
      <c r="W45" s="473">
        <v>0</v>
      </c>
      <c r="X45" s="474">
        <v>0</v>
      </c>
      <c r="Y45" s="410">
        <f>SUM(E45:X45)</f>
        <v>7014</v>
      </c>
      <c r="Z45" s="473">
        <f>-S45</f>
        <v>0</v>
      </c>
      <c r="AA45" s="473">
        <v>0</v>
      </c>
      <c r="AB45" s="473">
        <v>0</v>
      </c>
      <c r="AC45" s="473">
        <v>0</v>
      </c>
      <c r="AD45" s="410">
        <f>SUM(Y45:AC45)</f>
        <v>7014</v>
      </c>
    </row>
    <row r="46" spans="1:30">
      <c r="A46" s="360">
        <v>22</v>
      </c>
      <c r="C46" s="32" t="s">
        <v>385</v>
      </c>
      <c r="D46" s="380"/>
      <c r="E46" s="473">
        <f>'ROO INPUT'!$F46</f>
        <v>-312</v>
      </c>
      <c r="F46" s="474"/>
      <c r="G46" s="474"/>
      <c r="H46" s="474"/>
      <c r="I46" s="474"/>
      <c r="J46" s="474"/>
      <c r="K46" s="474"/>
      <c r="L46" s="474"/>
      <c r="M46" s="474"/>
      <c r="N46" s="474"/>
      <c r="O46" s="474"/>
      <c r="P46" s="474"/>
      <c r="Q46" s="474"/>
      <c r="R46" s="474"/>
      <c r="S46" s="473">
        <v>0</v>
      </c>
      <c r="T46" s="473">
        <v>0</v>
      </c>
      <c r="U46" s="477">
        <v>0</v>
      </c>
      <c r="V46" s="474">
        <v>1079</v>
      </c>
      <c r="W46" s="473">
        <v>0</v>
      </c>
      <c r="X46" s="474">
        <v>0</v>
      </c>
      <c r="Y46" s="410">
        <f>SUM(E46:X46)</f>
        <v>767</v>
      </c>
      <c r="Z46" s="481">
        <f>-S46</f>
        <v>0</v>
      </c>
      <c r="AA46" s="473">
        <v>0</v>
      </c>
      <c r="AB46" s="473">
        <v>0</v>
      </c>
      <c r="AC46" s="473">
        <v>0</v>
      </c>
      <c r="AD46" s="410">
        <f>SUM(Y46:AC46)</f>
        <v>767</v>
      </c>
    </row>
    <row r="47" spans="1:30">
      <c r="A47" s="360">
        <v>23</v>
      </c>
      <c r="C47" s="380" t="s">
        <v>21</v>
      </c>
      <c r="D47" s="380"/>
      <c r="E47" s="475">
        <f>'ROO INPUT'!$F47</f>
        <v>0</v>
      </c>
      <c r="F47" s="476">
        <v>0</v>
      </c>
      <c r="G47" s="476">
        <v>0</v>
      </c>
      <c r="H47" s="476">
        <v>0</v>
      </c>
      <c r="I47" s="476">
        <v>0</v>
      </c>
      <c r="J47" s="476">
        <v>0</v>
      </c>
      <c r="K47" s="476">
        <v>0</v>
      </c>
      <c r="L47" s="476">
        <v>0</v>
      </c>
      <c r="M47" s="476">
        <v>0</v>
      </c>
      <c r="N47" s="476">
        <v>0</v>
      </c>
      <c r="O47" s="476">
        <v>0</v>
      </c>
      <c r="P47" s="476">
        <v>0</v>
      </c>
      <c r="Q47" s="476">
        <v>0</v>
      </c>
      <c r="R47" s="476">
        <v>0</v>
      </c>
      <c r="S47" s="475">
        <v>0</v>
      </c>
      <c r="T47" s="475">
        <v>0</v>
      </c>
      <c r="U47" s="491">
        <v>0</v>
      </c>
      <c r="V47" s="476">
        <v>0</v>
      </c>
      <c r="W47" s="475">
        <v>0</v>
      </c>
      <c r="X47" s="476">
        <v>0</v>
      </c>
      <c r="Y47" s="411">
        <f>SUM(E47:X47)</f>
        <v>0</v>
      </c>
      <c r="Z47" s="475">
        <f>S47</f>
        <v>0</v>
      </c>
      <c r="AA47" s="475">
        <v>0</v>
      </c>
      <c r="AB47" s="475">
        <v>0</v>
      </c>
      <c r="AC47" s="475">
        <v>0</v>
      </c>
      <c r="AD47" s="411">
        <f>SUM(Y47:AC47)</f>
        <v>0</v>
      </c>
    </row>
    <row r="48" spans="1:30">
      <c r="A48" s="360">
        <v>24</v>
      </c>
      <c r="B48" s="380" t="s">
        <v>45</v>
      </c>
      <c r="C48" s="380"/>
      <c r="E48" s="475">
        <f>SUM(E44:E47)</f>
        <v>20589</v>
      </c>
      <c r="F48" s="475">
        <f t="shared" ref="F48:O48" si="36">SUM(F44:F47)</f>
        <v>0</v>
      </c>
      <c r="G48" s="475">
        <f t="shared" si="36"/>
        <v>0</v>
      </c>
      <c r="H48" s="475">
        <f t="shared" si="36"/>
        <v>0</v>
      </c>
      <c r="I48" s="475">
        <f t="shared" ref="I48" si="37">SUM(I44:I47)</f>
        <v>0</v>
      </c>
      <c r="J48" s="475">
        <f t="shared" si="36"/>
        <v>0</v>
      </c>
      <c r="K48" s="475">
        <f>SUM(K44:K47)</f>
        <v>0</v>
      </c>
      <c r="L48" s="475">
        <f t="shared" si="36"/>
        <v>0</v>
      </c>
      <c r="M48" s="475">
        <f t="shared" si="36"/>
        <v>41</v>
      </c>
      <c r="N48" s="475">
        <f t="shared" si="36"/>
        <v>45</v>
      </c>
      <c r="O48" s="475">
        <f t="shared" si="36"/>
        <v>0</v>
      </c>
      <c r="P48" s="475">
        <f t="shared" ref="P48:Q48" si="38">SUM(P44:P47)</f>
        <v>-15</v>
      </c>
      <c r="Q48" s="475">
        <f t="shared" si="38"/>
        <v>0</v>
      </c>
      <c r="R48" s="475">
        <f t="shared" ref="R48:X48" si="39">SUM(R44:R47)</f>
        <v>-13</v>
      </c>
      <c r="S48" s="475">
        <f t="shared" si="39"/>
        <v>-9</v>
      </c>
      <c r="T48" s="475">
        <f t="shared" si="39"/>
        <v>5</v>
      </c>
      <c r="U48" s="491">
        <f>SUM(U44:U47)</f>
        <v>-342</v>
      </c>
      <c r="V48" s="475">
        <f>SUM(V44:V47)</f>
        <v>1079</v>
      </c>
      <c r="W48" s="475">
        <f>SUM(W44:W47)</f>
        <v>-224</v>
      </c>
      <c r="X48" s="491">
        <f t="shared" si="39"/>
        <v>0</v>
      </c>
      <c r="Y48" s="411">
        <f t="shared" ref="Y48" si="40">SUM(Y44:Y47)</f>
        <v>21156</v>
      </c>
      <c r="Z48" s="475">
        <f>SUM(Z44:Z47)</f>
        <v>9</v>
      </c>
      <c r="AA48" s="475">
        <f>SUM(AA44:AA47)</f>
        <v>0</v>
      </c>
      <c r="AB48" s="475">
        <f>SUM(AB44:AB47)</f>
        <v>0</v>
      </c>
      <c r="AC48" s="475">
        <f>SUM(AC44:AC47)</f>
        <v>0</v>
      </c>
      <c r="AD48" s="411">
        <f t="shared" ref="AD48" si="41">SUM(AD44:AD47)</f>
        <v>21165</v>
      </c>
    </row>
    <row r="49" spans="1:30" ht="19.5" customHeight="1">
      <c r="A49" s="360">
        <v>25</v>
      </c>
      <c r="B49" s="361" t="s">
        <v>46</v>
      </c>
      <c r="C49" s="380"/>
      <c r="D49" s="380"/>
      <c r="E49" s="475">
        <f t="shared" ref="E49:Y49" si="42">E21+E25+E31+E37+E39+E40+E41+E48</f>
        <v>184947</v>
      </c>
      <c r="F49" s="475">
        <f t="shared" si="42"/>
        <v>0</v>
      </c>
      <c r="G49" s="475">
        <f t="shared" si="42"/>
        <v>10</v>
      </c>
      <c r="H49" s="475">
        <f t="shared" si="42"/>
        <v>0</v>
      </c>
      <c r="I49" s="475">
        <f t="shared" ref="I49" si="43">I21+I25+I31+I37+I39+I40+I41+I48</f>
        <v>0</v>
      </c>
      <c r="J49" s="475">
        <f t="shared" si="42"/>
        <v>-6092</v>
      </c>
      <c r="K49" s="475">
        <f>K21+K25+K31+K37+K39+K40+K41+K48</f>
        <v>-8</v>
      </c>
      <c r="L49" s="475">
        <f t="shared" si="42"/>
        <v>-301</v>
      </c>
      <c r="M49" s="475">
        <f t="shared" si="42"/>
        <v>41</v>
      </c>
      <c r="N49" s="475">
        <f t="shared" si="42"/>
        <v>45</v>
      </c>
      <c r="O49" s="475">
        <f t="shared" si="42"/>
        <v>0</v>
      </c>
      <c r="P49" s="475">
        <f t="shared" si="42"/>
        <v>-15</v>
      </c>
      <c r="Q49" s="475">
        <f t="shared" si="42"/>
        <v>0</v>
      </c>
      <c r="R49" s="475">
        <f t="shared" ref="R49:X49" si="44">R21+R25+R31+R37+R39+R40+R41+R48</f>
        <v>-13</v>
      </c>
      <c r="S49" s="475">
        <f t="shared" si="44"/>
        <v>-2324</v>
      </c>
      <c r="T49" s="475">
        <f>T21+T25+T31+T37+T39+T40+T41+T48</f>
        <v>-48472</v>
      </c>
      <c r="U49" s="491">
        <f>U21+U25+U31+U37+U39+U40+U41+U48</f>
        <v>-352</v>
      </c>
      <c r="V49" s="475">
        <f>V21+V25+V31+V37+V39+V40+V41+V48</f>
        <v>1079</v>
      </c>
      <c r="W49" s="475">
        <f>W21+W25+W31+W37+W39+W40+W41+W48</f>
        <v>-224</v>
      </c>
      <c r="X49" s="475">
        <f t="shared" si="44"/>
        <v>0</v>
      </c>
      <c r="Y49" s="411">
        <f t="shared" si="42"/>
        <v>128321</v>
      </c>
      <c r="Z49" s="475">
        <f>Z21+Z25+Z31+Z37+Z39+Z40+Z41+Z48</f>
        <v>2324</v>
      </c>
      <c r="AA49" s="475">
        <f>AA21+AA25+AA31+AA37+AA39+AA40+AA41+AA48</f>
        <v>0</v>
      </c>
      <c r="AB49" s="475">
        <f>AB21+AB25+AB31+AB37+AB39+AB40+AB41+AB48</f>
        <v>0</v>
      </c>
      <c r="AC49" s="475">
        <f>AC21+AC25+AC31+AC37+AC39+AC40+AC41+AC48</f>
        <v>0</v>
      </c>
      <c r="AD49" s="411">
        <f t="shared" ref="AD49" si="45">AD21+AD25+AD31+AD37+AD39+AD40+AD41+AD48</f>
        <v>130645</v>
      </c>
    </row>
    <row r="50" spans="1:30">
      <c r="C50" s="380"/>
      <c r="D50" s="380"/>
      <c r="E50" s="473"/>
      <c r="F50" s="473"/>
      <c r="G50" s="473"/>
      <c r="H50" s="473"/>
      <c r="I50" s="473"/>
      <c r="J50" s="473"/>
      <c r="K50" s="473"/>
      <c r="L50" s="473"/>
      <c r="M50" s="473"/>
      <c r="N50" s="473"/>
      <c r="O50" s="473"/>
      <c r="P50" s="473"/>
      <c r="Q50" s="473"/>
      <c r="R50" s="473"/>
      <c r="S50" s="473"/>
      <c r="T50" s="473"/>
      <c r="U50" s="477"/>
      <c r="V50" s="473"/>
      <c r="W50" s="473"/>
      <c r="X50" s="477"/>
      <c r="Y50" s="410"/>
      <c r="Z50" s="473"/>
      <c r="AA50" s="473"/>
      <c r="AB50" s="473"/>
      <c r="AC50" s="473"/>
      <c r="AD50" s="410"/>
    </row>
    <row r="51" spans="1:30" ht="12.9" customHeight="1">
      <c r="A51" s="360">
        <v>26</v>
      </c>
      <c r="B51" s="361" t="s">
        <v>47</v>
      </c>
      <c r="C51" s="380"/>
      <c r="D51" s="380"/>
      <c r="E51" s="473">
        <f t="shared" ref="E51:Q51" si="46">E18-E49</f>
        <v>34345</v>
      </c>
      <c r="F51" s="473">
        <f t="shared" si="46"/>
        <v>0</v>
      </c>
      <c r="G51" s="473">
        <f t="shared" si="46"/>
        <v>-10</v>
      </c>
      <c r="H51" s="473">
        <f t="shared" si="46"/>
        <v>0</v>
      </c>
      <c r="I51" s="473">
        <f t="shared" ref="I51" si="47">I18-I49</f>
        <v>0</v>
      </c>
      <c r="J51" s="473">
        <f t="shared" si="46"/>
        <v>-26</v>
      </c>
      <c r="K51" s="473">
        <f>K18-K49</f>
        <v>8</v>
      </c>
      <c r="L51" s="473">
        <f t="shared" si="46"/>
        <v>301</v>
      </c>
      <c r="M51" s="473">
        <f t="shared" si="46"/>
        <v>-41</v>
      </c>
      <c r="N51" s="473">
        <f t="shared" si="46"/>
        <v>-45</v>
      </c>
      <c r="O51" s="473">
        <f t="shared" si="46"/>
        <v>0</v>
      </c>
      <c r="P51" s="473">
        <f t="shared" si="46"/>
        <v>15</v>
      </c>
      <c r="Q51" s="473">
        <f t="shared" si="46"/>
        <v>0</v>
      </c>
      <c r="R51" s="473">
        <f t="shared" ref="R51:X51" si="48">R18-R49</f>
        <v>13</v>
      </c>
      <c r="S51" s="473">
        <f t="shared" si="48"/>
        <v>1</v>
      </c>
      <c r="T51" s="473">
        <f>T18-T49</f>
        <v>-435</v>
      </c>
      <c r="U51" s="477">
        <f>U18-U49</f>
        <v>376</v>
      </c>
      <c r="V51" s="473">
        <f>V18-V49</f>
        <v>-1079</v>
      </c>
      <c r="W51" s="473">
        <f>W18-W49</f>
        <v>224</v>
      </c>
      <c r="X51" s="477">
        <f t="shared" si="48"/>
        <v>0</v>
      </c>
      <c r="Y51" s="410">
        <f>SUM(E51:X51)</f>
        <v>33647</v>
      </c>
      <c r="Z51" s="473">
        <f>Z18-Z49</f>
        <v>-1</v>
      </c>
      <c r="AA51" s="473">
        <f>AA18-AA49</f>
        <v>2368</v>
      </c>
      <c r="AB51" s="473">
        <f>AB18-AB49</f>
        <v>0</v>
      </c>
      <c r="AC51" s="473">
        <f>AC18-AC49</f>
        <v>0</v>
      </c>
      <c r="AD51" s="410">
        <f>SUM(Y51:AC51)</f>
        <v>36014</v>
      </c>
    </row>
    <row r="52" spans="1:30" ht="12.9" customHeight="1">
      <c r="C52" s="380"/>
      <c r="D52" s="380"/>
      <c r="E52" s="473"/>
      <c r="F52" s="473"/>
      <c r="G52" s="473"/>
      <c r="H52" s="473"/>
      <c r="I52" s="473"/>
      <c r="J52" s="473"/>
      <c r="K52" s="473"/>
      <c r="L52" s="473"/>
      <c r="M52" s="473"/>
      <c r="N52" s="473"/>
      <c r="O52" s="473"/>
      <c r="P52" s="473"/>
      <c r="Q52" s="473"/>
      <c r="R52" s="473"/>
      <c r="S52" s="473"/>
      <c r="T52" s="473"/>
      <c r="U52" s="477"/>
      <c r="V52" s="473"/>
      <c r="W52" s="473"/>
      <c r="X52" s="477"/>
      <c r="Y52" s="410"/>
      <c r="Z52" s="473"/>
      <c r="AA52" s="473"/>
      <c r="AB52" s="473"/>
      <c r="AC52" s="473"/>
      <c r="AD52" s="410"/>
    </row>
    <row r="53" spans="1:30" ht="12.9" customHeight="1">
      <c r="B53" s="361" t="s">
        <v>48</v>
      </c>
      <c r="C53" s="380"/>
      <c r="D53" s="380"/>
      <c r="E53" s="473"/>
      <c r="F53" s="474"/>
      <c r="G53" s="474"/>
      <c r="H53" s="474"/>
      <c r="I53" s="474"/>
      <c r="J53" s="474"/>
      <c r="K53" s="474"/>
      <c r="L53" s="474"/>
      <c r="M53" s="474"/>
      <c r="N53" s="474"/>
      <c r="O53" s="474"/>
      <c r="P53" s="474"/>
      <c r="Q53" s="474"/>
      <c r="R53" s="474"/>
      <c r="S53" s="473"/>
      <c r="T53" s="473"/>
      <c r="U53" s="477"/>
      <c r="V53" s="474"/>
      <c r="W53" s="473"/>
      <c r="X53" s="474"/>
      <c r="Y53" s="410"/>
      <c r="Z53" s="473"/>
      <c r="AA53" s="473"/>
      <c r="AB53" s="473"/>
      <c r="AC53" s="473"/>
      <c r="AD53" s="410"/>
    </row>
    <row r="54" spans="1:30">
      <c r="A54" s="360">
        <v>27</v>
      </c>
      <c r="B54" s="380" t="s">
        <v>49</v>
      </c>
      <c r="D54" s="380"/>
      <c r="E54" s="473">
        <f>'ROO INPUT'!$F54</f>
        <v>2792</v>
      </c>
      <c r="F54" s="474">
        <f>F51*0.35</f>
        <v>0</v>
      </c>
      <c r="G54" s="474">
        <f>G51*0.35</f>
        <v>-3.5</v>
      </c>
      <c r="H54" s="474">
        <f t="shared" ref="H54:I54" si="49">H51*0.35</f>
        <v>0</v>
      </c>
      <c r="I54" s="474">
        <f t="shared" si="49"/>
        <v>0</v>
      </c>
      <c r="J54" s="474">
        <f t="shared" ref="J54:N54" si="50">J51*0.35</f>
        <v>-9.1</v>
      </c>
      <c r="K54" s="474">
        <f>K51*0.35</f>
        <v>2.8</v>
      </c>
      <c r="L54" s="474">
        <f t="shared" si="50"/>
        <v>105.35</v>
      </c>
      <c r="M54" s="474">
        <f t="shared" si="50"/>
        <v>-14.35</v>
      </c>
      <c r="N54" s="474">
        <f t="shared" si="50"/>
        <v>-15.749999999999998</v>
      </c>
      <c r="O54" s="474">
        <v>0</v>
      </c>
      <c r="P54" s="474">
        <f>P51*0.35</f>
        <v>5.25</v>
      </c>
      <c r="Q54" s="474">
        <f t="shared" ref="Q54" si="51">Q51*0.35</f>
        <v>0</v>
      </c>
      <c r="R54" s="474">
        <f t="shared" ref="R54:W54" si="52">R51*0.35</f>
        <v>4.55</v>
      </c>
      <c r="S54" s="473">
        <f t="shared" si="52"/>
        <v>0.35</v>
      </c>
      <c r="T54" s="473">
        <f>T51*0.35</f>
        <v>-152.25</v>
      </c>
      <c r="U54" s="477">
        <f t="shared" si="52"/>
        <v>131.6</v>
      </c>
      <c r="V54" s="474">
        <f t="shared" si="52"/>
        <v>-377.65</v>
      </c>
      <c r="W54" s="473">
        <f t="shared" si="52"/>
        <v>78.399999999999991</v>
      </c>
      <c r="X54" s="474">
        <f>'DEBT CALC'!E45</f>
        <v>82</v>
      </c>
      <c r="Y54" s="410">
        <f>SUM(E54:X54)</f>
        <v>2629.7000000000003</v>
      </c>
      <c r="Z54" s="473">
        <f>ROUND(Z51*0.35,0)</f>
        <v>0</v>
      </c>
      <c r="AA54" s="473">
        <f t="shared" ref="AA54:AC54" si="53">ROUND(AA51*0.35,0)</f>
        <v>829</v>
      </c>
      <c r="AB54" s="473">
        <f t="shared" si="53"/>
        <v>0</v>
      </c>
      <c r="AC54" s="473">
        <f t="shared" si="53"/>
        <v>0</v>
      </c>
      <c r="AD54" s="410">
        <f>SUM(Y54:AC54)</f>
        <v>3458.7000000000003</v>
      </c>
    </row>
    <row r="55" spans="1:30">
      <c r="A55" s="360">
        <v>28</v>
      </c>
      <c r="B55" s="380" t="s">
        <v>161</v>
      </c>
      <c r="D55" s="380"/>
      <c r="E55" s="473">
        <f>'ROO INPUT'!$F55</f>
        <v>0</v>
      </c>
      <c r="F55" s="474">
        <f>(F82*'RR SUMMARY'!$N$14)*-0.35</f>
        <v>2.7302729999999995</v>
      </c>
      <c r="G55" s="474">
        <f>(G82*'RR SUMMARY'!$N$14)*-0.35</f>
        <v>0</v>
      </c>
      <c r="H55" s="474">
        <f>(H82*'RR SUMMARY'!$N$14)*-0.35</f>
        <v>0</v>
      </c>
      <c r="I55" s="474">
        <f>(I82*'RR SUMMARY'!$N$14)*-0.35</f>
        <v>10.492618499999999</v>
      </c>
      <c r="J55" s="474">
        <f>(J82*'RR SUMMARY'!$N$14)*-0.35</f>
        <v>0</v>
      </c>
      <c r="K55" s="474">
        <f>(K82*'RR SUMMARY'!$N$14)*-0.35</f>
        <v>0</v>
      </c>
      <c r="L55" s="474">
        <f>(L82*'RR SUMMARY'!$N$14)*-0.35</f>
        <v>0</v>
      </c>
      <c r="M55" s="474">
        <f>(M82*'RR SUMMARY'!$N$14)*-0.35</f>
        <v>0</v>
      </c>
      <c r="N55" s="474">
        <f>(N82*'RR SUMMARY'!$N$14)*-0.35</f>
        <v>0</v>
      </c>
      <c r="O55" s="474"/>
      <c r="P55" s="474">
        <f>(P82*'RR SUMMARY'!$N$14)*-0.35</f>
        <v>0</v>
      </c>
      <c r="Q55" s="474">
        <f>(Q82*'RR SUMMARY'!$N$14)*-0.35</f>
        <v>0</v>
      </c>
      <c r="R55" s="474">
        <f>(R82*'RR SUMMARY'!$N$14)*-0.35</f>
        <v>0</v>
      </c>
      <c r="S55" s="473">
        <f>(S82*'RR SUMMARY'!$N$14)*-0.35</f>
        <v>0</v>
      </c>
      <c r="T55" s="473">
        <f>(T82*'RR SUMMARY'!$N$14)*-0.35</f>
        <v>0</v>
      </c>
      <c r="U55" s="477">
        <f>(U82*'RR SUMMARY'!$N$14)*-0.35</f>
        <v>0</v>
      </c>
      <c r="V55" s="474">
        <f>(V82*'RR SUMMARY'!$N$14)*-0.35</f>
        <v>0</v>
      </c>
      <c r="W55" s="473">
        <f>(W82*'RR SUMMARY'!$N$14)*-0.35</f>
        <v>0</v>
      </c>
      <c r="X55" s="474"/>
      <c r="Y55" s="410">
        <f>SUM(E55:X55)</f>
        <v>13.222891499999999</v>
      </c>
      <c r="Z55" s="473">
        <f>(Z82*'RR SUMMARY'!$N$14)*-0.35</f>
        <v>0</v>
      </c>
      <c r="AA55" s="473">
        <f>(AA82*'RR SUMMARY'!$N$14)*-0.35</f>
        <v>0</v>
      </c>
      <c r="AB55" s="473">
        <f>(AB82*'RR SUMMARY'!$N$14)*-0.35</f>
        <v>0</v>
      </c>
      <c r="AC55" s="473">
        <v>38</v>
      </c>
      <c r="AD55" s="410">
        <f>SUM(Y55:AC55)</f>
        <v>51.222891500000003</v>
      </c>
    </row>
    <row r="56" spans="1:30">
      <c r="A56" s="360">
        <v>29</v>
      </c>
      <c r="B56" s="380" t="s">
        <v>50</v>
      </c>
      <c r="D56" s="380"/>
      <c r="E56" s="473">
        <f>'ROO INPUT'!$F56</f>
        <v>6462</v>
      </c>
      <c r="F56" s="474">
        <v>0</v>
      </c>
      <c r="G56" s="474">
        <v>0</v>
      </c>
      <c r="H56" s="474">
        <v>0</v>
      </c>
      <c r="I56" s="474">
        <v>0</v>
      </c>
      <c r="J56" s="474">
        <v>0</v>
      </c>
      <c r="K56" s="474">
        <v>0</v>
      </c>
      <c r="L56" s="474">
        <v>0</v>
      </c>
      <c r="M56" s="474">
        <v>0</v>
      </c>
      <c r="N56" s="474">
        <v>0</v>
      </c>
      <c r="O56" s="474">
        <v>0</v>
      </c>
      <c r="P56" s="474">
        <v>0</v>
      </c>
      <c r="Q56" s="474">
        <v>0</v>
      </c>
      <c r="R56" s="474">
        <v>0</v>
      </c>
      <c r="S56" s="473">
        <v>0</v>
      </c>
      <c r="T56" s="473">
        <v>0</v>
      </c>
      <c r="U56" s="477">
        <v>0</v>
      </c>
      <c r="V56" s="474">
        <v>0</v>
      </c>
      <c r="W56" s="473">
        <v>0</v>
      </c>
      <c r="X56" s="474">
        <v>0</v>
      </c>
      <c r="Y56" s="410">
        <f>SUM(E56:X56)</f>
        <v>6462</v>
      </c>
      <c r="Z56" s="473">
        <v>0</v>
      </c>
      <c r="AA56" s="473">
        <v>0</v>
      </c>
      <c r="AB56" s="473">
        <v>0</v>
      </c>
      <c r="AC56" s="473">
        <v>0</v>
      </c>
      <c r="AD56" s="410">
        <f>SUM(Y56:AC56)</f>
        <v>6462</v>
      </c>
    </row>
    <row r="57" spans="1:30">
      <c r="A57" s="360">
        <v>30</v>
      </c>
      <c r="B57" s="380" t="s">
        <v>51</v>
      </c>
      <c r="D57" s="380"/>
      <c r="E57" s="475">
        <f>'ROO INPUT'!$F57</f>
        <v>-15</v>
      </c>
      <c r="F57" s="476"/>
      <c r="G57" s="476"/>
      <c r="H57" s="476"/>
      <c r="I57" s="476"/>
      <c r="J57" s="476">
        <v>0</v>
      </c>
      <c r="K57" s="476">
        <v>0</v>
      </c>
      <c r="L57" s="476">
        <v>0</v>
      </c>
      <c r="M57" s="476">
        <v>0</v>
      </c>
      <c r="N57" s="476">
        <v>0</v>
      </c>
      <c r="O57" s="476">
        <v>0</v>
      </c>
      <c r="P57" s="476">
        <v>0</v>
      </c>
      <c r="Q57" s="476">
        <v>0</v>
      </c>
      <c r="R57" s="476">
        <v>0</v>
      </c>
      <c r="S57" s="475">
        <v>0</v>
      </c>
      <c r="T57" s="475">
        <v>0</v>
      </c>
      <c r="U57" s="491">
        <v>0</v>
      </c>
      <c r="V57" s="476">
        <v>0</v>
      </c>
      <c r="W57" s="475">
        <v>0</v>
      </c>
      <c r="X57" s="476">
        <v>0</v>
      </c>
      <c r="Y57" s="411">
        <f>SUM(E57:X57)</f>
        <v>-15</v>
      </c>
      <c r="Z57" s="475">
        <v>0</v>
      </c>
      <c r="AA57" s="475">
        <v>0</v>
      </c>
      <c r="AB57" s="475">
        <v>0</v>
      </c>
      <c r="AC57" s="475">
        <v>0</v>
      </c>
      <c r="AD57" s="411">
        <f>SUM(Y57:AC57)</f>
        <v>-15</v>
      </c>
    </row>
    <row r="58" spans="1:30">
      <c r="E58" s="473"/>
      <c r="F58" s="473"/>
      <c r="G58" s="473"/>
      <c r="H58" s="473"/>
      <c r="I58" s="473"/>
      <c r="J58" s="473"/>
      <c r="K58" s="473"/>
      <c r="L58" s="473"/>
      <c r="M58" s="473"/>
      <c r="N58" s="473"/>
      <c r="O58" s="473"/>
      <c r="P58" s="473"/>
      <c r="Q58" s="473"/>
      <c r="R58" s="473"/>
      <c r="S58" s="473"/>
      <c r="T58" s="473"/>
      <c r="U58" s="477"/>
      <c r="V58" s="473"/>
      <c r="W58" s="473"/>
      <c r="X58" s="477"/>
      <c r="Y58" s="410"/>
      <c r="Z58" s="473"/>
      <c r="AA58" s="473"/>
      <c r="AB58" s="473"/>
      <c r="AC58" s="473"/>
      <c r="AD58" s="410"/>
    </row>
    <row r="59" spans="1:30" s="379" customFormat="1" ht="12.6" thickBot="1">
      <c r="A59" s="360">
        <v>31</v>
      </c>
      <c r="B59" s="379" t="s">
        <v>52</v>
      </c>
      <c r="E59" s="479">
        <f>E51-SUM(E54:E57)</f>
        <v>25106</v>
      </c>
      <c r="F59" s="479">
        <f t="shared" ref="F59:P59" si="54">F51-SUM(F54:F57)</f>
        <v>-2.7302729999999995</v>
      </c>
      <c r="G59" s="479">
        <f>G51-SUM(G54:G57)</f>
        <v>-6.5</v>
      </c>
      <c r="H59" s="479">
        <f t="shared" si="54"/>
        <v>0</v>
      </c>
      <c r="I59" s="479">
        <f t="shared" ref="I59" si="55">I51-SUM(I54:I57)</f>
        <v>-10.492618499999999</v>
      </c>
      <c r="J59" s="479">
        <f t="shared" si="54"/>
        <v>-16.899999999999999</v>
      </c>
      <c r="K59" s="479">
        <f>K51-SUM(K54:K57)</f>
        <v>5.2</v>
      </c>
      <c r="L59" s="479">
        <f t="shared" si="54"/>
        <v>195.65</v>
      </c>
      <c r="M59" s="479">
        <f t="shared" si="54"/>
        <v>-26.65</v>
      </c>
      <c r="N59" s="479">
        <f t="shared" si="54"/>
        <v>-29.25</v>
      </c>
      <c r="O59" s="479">
        <f t="shared" si="54"/>
        <v>0</v>
      </c>
      <c r="P59" s="479">
        <f t="shared" si="54"/>
        <v>9.75</v>
      </c>
      <c r="Q59" s="479">
        <f t="shared" ref="Q59:S59" si="56">Q51-SUM(Q54:Q57)</f>
        <v>0</v>
      </c>
      <c r="R59" s="479">
        <f t="shared" si="56"/>
        <v>8.4499999999999993</v>
      </c>
      <c r="S59" s="479">
        <f t="shared" si="56"/>
        <v>0.65</v>
      </c>
      <c r="T59" s="479">
        <f t="shared" ref="T59" si="57">T51-SUM(T54:T57)</f>
        <v>-282.75</v>
      </c>
      <c r="U59" s="492">
        <f>U51-SUM(U54:U57)</f>
        <v>244.4</v>
      </c>
      <c r="V59" s="479">
        <f>V51-SUM(V54:V57)</f>
        <v>-701.35</v>
      </c>
      <c r="W59" s="479">
        <f>W51-SUM(W54:W57)</f>
        <v>145.60000000000002</v>
      </c>
      <c r="X59" s="492">
        <f t="shared" ref="X59" si="58">X51-SUM(X54:X57)</f>
        <v>-82</v>
      </c>
      <c r="Y59" s="412">
        <f>Y51-SUM(Y54:Y57)+Y58</f>
        <v>24557.077108500001</v>
      </c>
      <c r="Z59" s="479">
        <f>Z51-SUM(Z54:Z57)</f>
        <v>-1</v>
      </c>
      <c r="AA59" s="479">
        <f>AA51-SUM(AA54:AA57)</f>
        <v>1539</v>
      </c>
      <c r="AB59" s="479">
        <f>AB51-SUM(AB54:AB57)</f>
        <v>0</v>
      </c>
      <c r="AC59" s="479">
        <f>AC51-SUM(AC54:AC57)</f>
        <v>-38</v>
      </c>
      <c r="AD59" s="412">
        <f>AD51-SUM(AD54:AD57)+AD58</f>
        <v>26057.077108500001</v>
      </c>
    </row>
    <row r="60" spans="1:30" ht="12.6" thickTop="1">
      <c r="E60" s="473"/>
      <c r="F60" s="473"/>
      <c r="G60" s="473"/>
      <c r="H60" s="473"/>
      <c r="I60" s="473"/>
      <c r="J60" s="473"/>
      <c r="K60" s="473"/>
      <c r="L60" s="473"/>
      <c r="M60" s="473"/>
      <c r="N60" s="473"/>
      <c r="O60" s="473"/>
      <c r="P60" s="473"/>
      <c r="Q60" s="473"/>
      <c r="R60" s="473"/>
      <c r="S60" s="473"/>
      <c r="T60" s="473"/>
      <c r="U60" s="477"/>
      <c r="V60" s="493"/>
      <c r="W60" s="473"/>
      <c r="X60" s="477"/>
      <c r="Y60" s="410"/>
      <c r="Z60" s="473"/>
      <c r="AA60" s="473"/>
      <c r="AB60" s="473"/>
      <c r="AC60" s="473"/>
      <c r="AD60" s="410"/>
    </row>
    <row r="61" spans="1:30">
      <c r="B61" s="361" t="s">
        <v>93</v>
      </c>
      <c r="E61" s="473"/>
      <c r="F61" s="473"/>
      <c r="G61" s="473"/>
      <c r="H61" s="473"/>
      <c r="I61" s="473"/>
      <c r="J61" s="473"/>
      <c r="K61" s="473"/>
      <c r="L61" s="473"/>
      <c r="M61" s="473"/>
      <c r="N61" s="473"/>
      <c r="O61" s="473"/>
      <c r="P61" s="473"/>
      <c r="Q61" s="473"/>
      <c r="R61" s="473"/>
      <c r="S61" s="473"/>
      <c r="T61" s="473"/>
      <c r="U61" s="477"/>
      <c r="V61" s="493"/>
      <c r="W61" s="473"/>
      <c r="X61" s="477"/>
      <c r="Y61" s="410"/>
      <c r="Z61" s="473"/>
      <c r="AA61" s="473"/>
      <c r="AB61" s="473"/>
      <c r="AC61" s="473"/>
      <c r="AD61" s="410"/>
    </row>
    <row r="62" spans="1:30">
      <c r="B62" s="361" t="s">
        <v>94</v>
      </c>
      <c r="E62" s="473"/>
      <c r="F62" s="474"/>
      <c r="G62" s="474"/>
      <c r="H62" s="474"/>
      <c r="I62" s="474"/>
      <c r="J62" s="474"/>
      <c r="K62" s="474"/>
      <c r="L62" s="474"/>
      <c r="M62" s="474"/>
      <c r="N62" s="474"/>
      <c r="O62" s="474"/>
      <c r="P62" s="474"/>
      <c r="Q62" s="474"/>
      <c r="R62" s="474"/>
      <c r="S62" s="473"/>
      <c r="T62" s="473"/>
      <c r="U62" s="477"/>
      <c r="V62" s="494"/>
      <c r="W62" s="473"/>
      <c r="X62" s="474"/>
      <c r="Y62" s="410"/>
      <c r="Z62" s="473"/>
      <c r="AA62" s="473"/>
      <c r="AB62" s="473"/>
      <c r="AC62" s="473"/>
      <c r="AD62" s="410"/>
    </row>
    <row r="63" spans="1:30">
      <c r="A63" s="360">
        <v>32</v>
      </c>
      <c r="B63" s="380"/>
      <c r="C63" s="380" t="s">
        <v>36</v>
      </c>
      <c r="D63" s="380"/>
      <c r="E63" s="471">
        <f>'ROO INPUT'!$F63</f>
        <v>27138</v>
      </c>
      <c r="F63" s="472">
        <v>0</v>
      </c>
      <c r="G63" s="472">
        <v>0</v>
      </c>
      <c r="H63" s="472">
        <v>0</v>
      </c>
      <c r="I63" s="472">
        <v>0</v>
      </c>
      <c r="J63" s="472">
        <v>0</v>
      </c>
      <c r="K63" s="472">
        <v>0</v>
      </c>
      <c r="L63" s="472">
        <v>0</v>
      </c>
      <c r="M63" s="472">
        <v>0</v>
      </c>
      <c r="N63" s="472">
        <v>0</v>
      </c>
      <c r="O63" s="472">
        <v>0</v>
      </c>
      <c r="P63" s="472">
        <v>0</v>
      </c>
      <c r="Q63" s="472">
        <v>0</v>
      </c>
      <c r="R63" s="472">
        <v>0</v>
      </c>
      <c r="S63" s="471">
        <v>0</v>
      </c>
      <c r="T63" s="471">
        <v>0</v>
      </c>
      <c r="U63" s="490">
        <v>0</v>
      </c>
      <c r="V63" s="495">
        <v>0</v>
      </c>
      <c r="W63" s="471">
        <v>0</v>
      </c>
      <c r="X63" s="472">
        <v>0</v>
      </c>
      <c r="Y63" s="409">
        <f>SUM(E63:X63)</f>
        <v>27138</v>
      </c>
      <c r="Z63" s="471">
        <v>0</v>
      </c>
      <c r="AA63" s="471">
        <v>0</v>
      </c>
      <c r="AB63" s="471">
        <v>0</v>
      </c>
      <c r="AC63" s="471">
        <v>0</v>
      </c>
      <c r="AD63" s="409">
        <f>SUM(Y63:AC63)</f>
        <v>27138</v>
      </c>
    </row>
    <row r="64" spans="1:30">
      <c r="A64" s="360">
        <v>33</v>
      </c>
      <c r="B64" s="380"/>
      <c r="C64" s="380" t="s">
        <v>53</v>
      </c>
      <c r="D64" s="380"/>
      <c r="E64" s="473">
        <f>'ROO INPUT'!$F64</f>
        <v>422774</v>
      </c>
      <c r="F64" s="474">
        <v>0</v>
      </c>
      <c r="G64" s="474">
        <v>0</v>
      </c>
      <c r="H64" s="474">
        <v>0</v>
      </c>
      <c r="I64" s="474">
        <v>0</v>
      </c>
      <c r="J64" s="474">
        <v>0</v>
      </c>
      <c r="K64" s="474">
        <v>0</v>
      </c>
      <c r="L64" s="474">
        <v>0</v>
      </c>
      <c r="M64" s="474">
        <v>0</v>
      </c>
      <c r="N64" s="474">
        <v>0</v>
      </c>
      <c r="O64" s="474">
        <v>0</v>
      </c>
      <c r="P64" s="474">
        <v>0</v>
      </c>
      <c r="Q64" s="474">
        <v>0</v>
      </c>
      <c r="R64" s="474">
        <v>0</v>
      </c>
      <c r="S64" s="473">
        <v>0</v>
      </c>
      <c r="T64" s="473">
        <v>0</v>
      </c>
      <c r="U64" s="477">
        <v>0</v>
      </c>
      <c r="V64" s="494">
        <v>0</v>
      </c>
      <c r="W64" s="473">
        <v>0</v>
      </c>
      <c r="X64" s="474">
        <v>0</v>
      </c>
      <c r="Y64" s="410">
        <f>SUM(E64:X64)</f>
        <v>422774</v>
      </c>
      <c r="Z64" s="473">
        <v>0</v>
      </c>
      <c r="AA64" s="473">
        <v>0</v>
      </c>
      <c r="AB64" s="473">
        <v>0</v>
      </c>
      <c r="AC64" s="473">
        <v>0</v>
      </c>
      <c r="AD64" s="410">
        <f>SUM(Y64:AC64)</f>
        <v>422774</v>
      </c>
    </row>
    <row r="65" spans="1:30">
      <c r="A65" s="360">
        <v>34</v>
      </c>
      <c r="B65" s="380"/>
      <c r="C65" s="380" t="s">
        <v>54</v>
      </c>
      <c r="D65" s="380"/>
      <c r="E65" s="475">
        <f>'ROO INPUT'!$F65</f>
        <v>94586</v>
      </c>
      <c r="F65" s="476">
        <v>0</v>
      </c>
      <c r="G65" s="476">
        <v>0</v>
      </c>
      <c r="H65" s="476">
        <v>0</v>
      </c>
      <c r="I65" s="476">
        <v>-1095</v>
      </c>
      <c r="J65" s="476">
        <v>0</v>
      </c>
      <c r="K65" s="476">
        <v>0</v>
      </c>
      <c r="L65" s="476">
        <v>0</v>
      </c>
      <c r="M65" s="476">
        <v>0</v>
      </c>
      <c r="N65" s="476">
        <v>0</v>
      </c>
      <c r="O65" s="476">
        <v>0</v>
      </c>
      <c r="P65" s="476">
        <v>0</v>
      </c>
      <c r="Q65" s="476">
        <v>0</v>
      </c>
      <c r="R65" s="476">
        <v>0</v>
      </c>
      <c r="S65" s="475">
        <v>0</v>
      </c>
      <c r="T65" s="475">
        <v>0</v>
      </c>
      <c r="U65" s="491">
        <v>0</v>
      </c>
      <c r="V65" s="496">
        <v>0</v>
      </c>
      <c r="W65" s="475">
        <v>0</v>
      </c>
      <c r="X65" s="476">
        <v>0</v>
      </c>
      <c r="Y65" s="411">
        <f>SUM(E65:X65)</f>
        <v>93491</v>
      </c>
      <c r="Z65" s="475">
        <v>0</v>
      </c>
      <c r="AA65" s="475">
        <v>0</v>
      </c>
      <c r="AB65" s="475">
        <v>0</v>
      </c>
      <c r="AC65" s="475">
        <v>0</v>
      </c>
      <c r="AD65" s="411">
        <f>SUM(Y65:AC65)</f>
        <v>93491</v>
      </c>
    </row>
    <row r="66" spans="1:30" ht="18" customHeight="1">
      <c r="A66" s="360">
        <v>35</v>
      </c>
      <c r="B66" s="380" t="s">
        <v>55</v>
      </c>
      <c r="C66" s="380"/>
      <c r="E66" s="473">
        <f>SUM(E63:E65)</f>
        <v>544498</v>
      </c>
      <c r="F66" s="473">
        <f t="shared" ref="F66:O66" si="59">SUM(F63:F65)</f>
        <v>0</v>
      </c>
      <c r="G66" s="473">
        <f t="shared" si="59"/>
        <v>0</v>
      </c>
      <c r="H66" s="473">
        <f t="shared" si="59"/>
        <v>0</v>
      </c>
      <c r="I66" s="473">
        <f t="shared" ref="I66" si="60">SUM(I63:I65)</f>
        <v>-1095</v>
      </c>
      <c r="J66" s="473">
        <f t="shared" si="59"/>
        <v>0</v>
      </c>
      <c r="K66" s="473">
        <f>SUM(K63:K65)</f>
        <v>0</v>
      </c>
      <c r="L66" s="473">
        <f t="shared" si="59"/>
        <v>0</v>
      </c>
      <c r="M66" s="473">
        <f t="shared" si="59"/>
        <v>0</v>
      </c>
      <c r="N66" s="473">
        <f t="shared" si="59"/>
        <v>0</v>
      </c>
      <c r="O66" s="473">
        <f t="shared" si="59"/>
        <v>0</v>
      </c>
      <c r="P66" s="473">
        <f t="shared" ref="P66:Z66" si="61">SUM(P63:P65)</f>
        <v>0</v>
      </c>
      <c r="Q66" s="473">
        <f t="shared" si="61"/>
        <v>0</v>
      </c>
      <c r="R66" s="473">
        <f t="shared" ref="R66:W66" si="62">SUM(R63:R65)</f>
        <v>0</v>
      </c>
      <c r="S66" s="473">
        <f t="shared" si="62"/>
        <v>0</v>
      </c>
      <c r="T66" s="473">
        <f t="shared" si="62"/>
        <v>0</v>
      </c>
      <c r="U66" s="477">
        <f t="shared" si="62"/>
        <v>0</v>
      </c>
      <c r="V66" s="473">
        <f t="shared" si="62"/>
        <v>0</v>
      </c>
      <c r="W66" s="473">
        <f t="shared" si="62"/>
        <v>0</v>
      </c>
      <c r="X66" s="477">
        <f t="shared" ref="X66" si="63">SUM(X63:X65)</f>
        <v>0</v>
      </c>
      <c r="Y66" s="410">
        <f t="shared" si="61"/>
        <v>543403</v>
      </c>
      <c r="Z66" s="473">
        <f t="shared" si="61"/>
        <v>0</v>
      </c>
      <c r="AA66" s="473">
        <f t="shared" ref="AA66:AD66" si="64">SUM(AA63:AA65)</f>
        <v>0</v>
      </c>
      <c r="AB66" s="473">
        <f t="shared" si="64"/>
        <v>0</v>
      </c>
      <c r="AC66" s="473">
        <f t="shared" si="64"/>
        <v>0</v>
      </c>
      <c r="AD66" s="410">
        <f t="shared" si="64"/>
        <v>543403</v>
      </c>
    </row>
    <row r="67" spans="1:30" ht="12.75" customHeight="1">
      <c r="B67" s="380"/>
      <c r="C67" s="380"/>
      <c r="E67" s="473"/>
      <c r="F67" s="473"/>
      <c r="G67" s="473"/>
      <c r="H67" s="473"/>
      <c r="I67" s="473"/>
      <c r="J67" s="473"/>
      <c r="K67" s="473"/>
      <c r="L67" s="473"/>
      <c r="M67" s="473"/>
      <c r="N67" s="473"/>
      <c r="O67" s="473"/>
      <c r="P67" s="473"/>
      <c r="Q67" s="473"/>
      <c r="R67" s="473"/>
      <c r="S67" s="473"/>
      <c r="T67" s="473"/>
      <c r="U67" s="477"/>
      <c r="V67" s="473"/>
      <c r="W67" s="473"/>
      <c r="X67" s="477"/>
      <c r="Y67" s="410"/>
      <c r="Z67" s="473"/>
      <c r="AA67" s="473"/>
      <c r="AB67" s="473"/>
      <c r="AC67" s="473"/>
      <c r="AD67" s="410"/>
    </row>
    <row r="68" spans="1:30">
      <c r="B68" s="380" t="s">
        <v>177</v>
      </c>
      <c r="C68" s="380"/>
      <c r="D68" s="380"/>
      <c r="E68" s="473"/>
      <c r="F68" s="474"/>
      <c r="G68" s="474"/>
      <c r="H68" s="474"/>
      <c r="I68" s="474"/>
      <c r="J68" s="474"/>
      <c r="K68" s="474"/>
      <c r="L68" s="474"/>
      <c r="M68" s="474"/>
      <c r="N68" s="474"/>
      <c r="O68" s="474"/>
      <c r="P68" s="474"/>
      <c r="Q68" s="474"/>
      <c r="R68" s="474"/>
      <c r="S68" s="473"/>
      <c r="T68" s="473"/>
      <c r="U68" s="477"/>
      <c r="V68" s="474"/>
      <c r="W68" s="473"/>
      <c r="X68" s="474"/>
      <c r="Y68" s="410"/>
      <c r="Z68" s="473"/>
      <c r="AA68" s="473"/>
      <c r="AB68" s="473"/>
      <c r="AC68" s="473"/>
      <c r="AD68" s="410"/>
    </row>
    <row r="69" spans="1:30">
      <c r="A69" s="360">
        <v>36</v>
      </c>
      <c r="B69" s="380"/>
      <c r="C69" s="380" t="s">
        <v>36</v>
      </c>
      <c r="D69" s="380"/>
      <c r="E69" s="473">
        <f>'ROO INPUT'!$F69</f>
        <v>-10493</v>
      </c>
      <c r="F69" s="474">
        <v>0</v>
      </c>
      <c r="G69" s="474">
        <v>0</v>
      </c>
      <c r="H69" s="474">
        <v>0</v>
      </c>
      <c r="I69" s="474">
        <v>0</v>
      </c>
      <c r="J69" s="474">
        <v>0</v>
      </c>
      <c r="K69" s="474">
        <v>0</v>
      </c>
      <c r="L69" s="474">
        <v>0</v>
      </c>
      <c r="M69" s="474">
        <v>0</v>
      </c>
      <c r="N69" s="474">
        <v>0</v>
      </c>
      <c r="O69" s="474">
        <v>0</v>
      </c>
      <c r="P69" s="474">
        <v>0</v>
      </c>
      <c r="Q69" s="474">
        <v>0</v>
      </c>
      <c r="R69" s="474">
        <v>0</v>
      </c>
      <c r="S69" s="473">
        <v>0</v>
      </c>
      <c r="T69" s="473">
        <v>0</v>
      </c>
      <c r="U69" s="477">
        <v>0</v>
      </c>
      <c r="V69" s="474">
        <v>0</v>
      </c>
      <c r="W69" s="473">
        <v>0</v>
      </c>
      <c r="X69" s="474">
        <v>0</v>
      </c>
      <c r="Y69" s="410">
        <f>SUM(E69:X69)</f>
        <v>-10493</v>
      </c>
      <c r="Z69" s="473">
        <v>0</v>
      </c>
      <c r="AA69" s="473">
        <v>0</v>
      </c>
      <c r="AB69" s="473">
        <v>0</v>
      </c>
      <c r="AC69" s="473">
        <v>0</v>
      </c>
      <c r="AD69" s="410">
        <f>SUM(Y69:AC69)</f>
        <v>-10493</v>
      </c>
    </row>
    <row r="70" spans="1:30">
      <c r="A70" s="360">
        <v>37</v>
      </c>
      <c r="B70" s="380"/>
      <c r="C70" s="380" t="s">
        <v>53</v>
      </c>
      <c r="D70" s="380"/>
      <c r="E70" s="473">
        <f>'ROO INPUT'!$F70</f>
        <v>-136840</v>
      </c>
      <c r="F70" s="474">
        <v>0</v>
      </c>
      <c r="G70" s="474">
        <v>0</v>
      </c>
      <c r="H70" s="474">
        <v>0</v>
      </c>
      <c r="I70" s="474">
        <v>0</v>
      </c>
      <c r="J70" s="474">
        <v>0</v>
      </c>
      <c r="K70" s="474">
        <v>0</v>
      </c>
      <c r="L70" s="474">
        <v>0</v>
      </c>
      <c r="M70" s="474">
        <v>0</v>
      </c>
      <c r="N70" s="474">
        <v>0</v>
      </c>
      <c r="O70" s="474">
        <v>0</v>
      </c>
      <c r="P70" s="474">
        <v>0</v>
      </c>
      <c r="Q70" s="474">
        <v>0</v>
      </c>
      <c r="R70" s="474">
        <v>0</v>
      </c>
      <c r="S70" s="473">
        <v>0</v>
      </c>
      <c r="T70" s="473">
        <v>0</v>
      </c>
      <c r="U70" s="477">
        <v>0</v>
      </c>
      <c r="V70" s="474">
        <v>0</v>
      </c>
      <c r="W70" s="473">
        <v>0</v>
      </c>
      <c r="X70" s="474">
        <v>0</v>
      </c>
      <c r="Y70" s="410">
        <f>SUM(E70:X70)</f>
        <v>-136840</v>
      </c>
      <c r="Z70" s="473">
        <v>0</v>
      </c>
      <c r="AA70" s="473">
        <v>0</v>
      </c>
      <c r="AB70" s="473">
        <v>0</v>
      </c>
      <c r="AC70" s="473">
        <v>0</v>
      </c>
      <c r="AD70" s="410">
        <f>SUM(Y70:AC70)</f>
        <v>-136840</v>
      </c>
    </row>
    <row r="71" spans="1:30">
      <c r="A71" s="360">
        <v>38</v>
      </c>
      <c r="B71" s="380"/>
      <c r="C71" s="380" t="s">
        <v>54</v>
      </c>
      <c r="D71" s="380"/>
      <c r="E71" s="473">
        <f>'ROO INPUT'!$F71</f>
        <v>-27528</v>
      </c>
      <c r="F71" s="474">
        <v>0</v>
      </c>
      <c r="G71" s="474">
        <v>0</v>
      </c>
      <c r="H71" s="474">
        <v>0</v>
      </c>
      <c r="I71" s="474">
        <v>31</v>
      </c>
      <c r="J71" s="474">
        <v>0</v>
      </c>
      <c r="K71" s="474">
        <v>0</v>
      </c>
      <c r="L71" s="474">
        <v>0</v>
      </c>
      <c r="M71" s="474">
        <v>0</v>
      </c>
      <c r="N71" s="474">
        <v>0</v>
      </c>
      <c r="O71" s="474">
        <v>0</v>
      </c>
      <c r="P71" s="474">
        <v>0</v>
      </c>
      <c r="Q71" s="474">
        <v>0</v>
      </c>
      <c r="R71" s="474">
        <v>0</v>
      </c>
      <c r="S71" s="473">
        <v>0</v>
      </c>
      <c r="T71" s="473">
        <v>0</v>
      </c>
      <c r="U71" s="477">
        <v>0</v>
      </c>
      <c r="V71" s="474">
        <v>0</v>
      </c>
      <c r="W71" s="473">
        <v>0</v>
      </c>
      <c r="X71" s="474">
        <v>0</v>
      </c>
      <c r="Y71" s="410">
        <f>SUM(E71:X71)</f>
        <v>-27497</v>
      </c>
      <c r="Z71" s="473">
        <v>0</v>
      </c>
      <c r="AA71" s="473">
        <v>0</v>
      </c>
      <c r="AB71" s="473">
        <v>0</v>
      </c>
      <c r="AC71" s="473">
        <v>0</v>
      </c>
      <c r="AD71" s="410">
        <f>SUM(Y71:AC71)</f>
        <v>-27497</v>
      </c>
    </row>
    <row r="72" spans="1:30">
      <c r="A72" s="360">
        <v>39</v>
      </c>
      <c r="B72" s="380" t="s">
        <v>389</v>
      </c>
      <c r="C72" s="380"/>
      <c r="E72" s="480">
        <f>SUM(E69:E71)</f>
        <v>-174861</v>
      </c>
      <c r="F72" s="480">
        <f t="shared" ref="F72:O72" si="65">SUM(F69:F71)</f>
        <v>0</v>
      </c>
      <c r="G72" s="480">
        <f t="shared" si="65"/>
        <v>0</v>
      </c>
      <c r="H72" s="480">
        <f t="shared" si="65"/>
        <v>0</v>
      </c>
      <c r="I72" s="480">
        <f t="shared" ref="I72" si="66">SUM(I69:I71)</f>
        <v>31</v>
      </c>
      <c r="J72" s="480">
        <f t="shared" si="65"/>
        <v>0</v>
      </c>
      <c r="K72" s="480">
        <f>SUM(K69:K71)</f>
        <v>0</v>
      </c>
      <c r="L72" s="480">
        <f t="shared" si="65"/>
        <v>0</v>
      </c>
      <c r="M72" s="480">
        <f t="shared" si="65"/>
        <v>0</v>
      </c>
      <c r="N72" s="480">
        <f t="shared" si="65"/>
        <v>0</v>
      </c>
      <c r="O72" s="480">
        <f t="shared" si="65"/>
        <v>0</v>
      </c>
      <c r="P72" s="480">
        <f t="shared" ref="P72:Q72" si="67">SUM(P69:P71)</f>
        <v>0</v>
      </c>
      <c r="Q72" s="480">
        <f t="shared" si="67"/>
        <v>0</v>
      </c>
      <c r="R72" s="480">
        <f t="shared" ref="R72:X72" si="68">SUM(R69:R71)</f>
        <v>0</v>
      </c>
      <c r="S72" s="480">
        <f t="shared" si="68"/>
        <v>0</v>
      </c>
      <c r="T72" s="480">
        <f t="shared" si="68"/>
        <v>0</v>
      </c>
      <c r="U72" s="497">
        <f>SUM(U69:U71)</f>
        <v>0</v>
      </c>
      <c r="V72" s="480">
        <f t="shared" ref="V72" si="69">SUM(V69:V71)</f>
        <v>0</v>
      </c>
      <c r="W72" s="480">
        <f>SUM(W69:W71)</f>
        <v>0</v>
      </c>
      <c r="X72" s="497">
        <f t="shared" si="68"/>
        <v>0</v>
      </c>
      <c r="Y72" s="414">
        <f t="shared" ref="Y72" si="70">SUM(Y69:Y71)</f>
        <v>-174830</v>
      </c>
      <c r="Z72" s="480">
        <f>SUM(Z69:Z71)</f>
        <v>0</v>
      </c>
      <c r="AA72" s="480">
        <f>SUM(AA69:AA71)</f>
        <v>0</v>
      </c>
      <c r="AB72" s="480">
        <f>SUM(AB69:AB71)</f>
        <v>0</v>
      </c>
      <c r="AC72" s="480">
        <f>SUM(AC69:AC71)</f>
        <v>0</v>
      </c>
      <c r="AD72" s="414">
        <f t="shared" ref="AD72" si="71">SUM(AD69:AD71)</f>
        <v>-174830</v>
      </c>
    </row>
    <row r="73" spans="1:30">
      <c r="A73" s="360">
        <v>40</v>
      </c>
      <c r="B73" s="380" t="s">
        <v>156</v>
      </c>
      <c r="C73" s="380"/>
      <c r="D73" s="380"/>
      <c r="E73" s="481">
        <f>E66+E72</f>
        <v>369637</v>
      </c>
      <c r="F73" s="481">
        <f t="shared" ref="F73:Y73" si="72">F66+F72</f>
        <v>0</v>
      </c>
      <c r="G73" s="481">
        <f t="shared" si="72"/>
        <v>0</v>
      </c>
      <c r="H73" s="481">
        <f t="shared" si="72"/>
        <v>0</v>
      </c>
      <c r="I73" s="481">
        <f t="shared" ref="I73" si="73">I66+I72</f>
        <v>-1064</v>
      </c>
      <c r="J73" s="481">
        <f t="shared" si="72"/>
        <v>0</v>
      </c>
      <c r="K73" s="481">
        <f t="shared" si="72"/>
        <v>0</v>
      </c>
      <c r="L73" s="481">
        <f t="shared" si="72"/>
        <v>0</v>
      </c>
      <c r="M73" s="481">
        <f t="shared" si="72"/>
        <v>0</v>
      </c>
      <c r="N73" s="481">
        <f t="shared" si="72"/>
        <v>0</v>
      </c>
      <c r="O73" s="481">
        <f t="shared" si="72"/>
        <v>0</v>
      </c>
      <c r="P73" s="481">
        <f t="shared" si="72"/>
        <v>0</v>
      </c>
      <c r="Q73" s="481">
        <f t="shared" si="72"/>
        <v>0</v>
      </c>
      <c r="R73" s="481">
        <f t="shared" si="72"/>
        <v>0</v>
      </c>
      <c r="S73" s="481">
        <f t="shared" si="72"/>
        <v>0</v>
      </c>
      <c r="T73" s="481">
        <f t="shared" ref="T73" si="74">T66+T72</f>
        <v>0</v>
      </c>
      <c r="U73" s="481">
        <f>U66+U72</f>
        <v>0</v>
      </c>
      <c r="V73" s="481">
        <f>V66+V72</f>
        <v>0</v>
      </c>
      <c r="W73" s="481">
        <f>W66+W72</f>
        <v>0</v>
      </c>
      <c r="X73" s="481">
        <f t="shared" si="72"/>
        <v>0</v>
      </c>
      <c r="Y73" s="415">
        <f t="shared" si="72"/>
        <v>368573</v>
      </c>
      <c r="Z73" s="481">
        <f>Z66+Z72</f>
        <v>0</v>
      </c>
      <c r="AA73" s="481">
        <f>AA66+AA72</f>
        <v>0</v>
      </c>
      <c r="AB73" s="481">
        <f>AB66+AB72</f>
        <v>0</v>
      </c>
      <c r="AC73" s="481">
        <f>AC66+AC72</f>
        <v>0</v>
      </c>
      <c r="AD73" s="415">
        <f t="shared" ref="AD73" si="75">AD66+AD72</f>
        <v>368573</v>
      </c>
    </row>
    <row r="74" spans="1:30" s="383" customFormat="1" ht="18.899999999999999" customHeight="1">
      <c r="A74" s="381">
        <v>41</v>
      </c>
      <c r="B74" s="382" t="s">
        <v>99</v>
      </c>
      <c r="C74" s="382"/>
      <c r="D74" s="382"/>
      <c r="E74" s="475">
        <f>'ROO INPUT'!$F74</f>
        <v>-82870</v>
      </c>
      <c r="F74" s="476">
        <v>-274</v>
      </c>
      <c r="G74" s="476">
        <v>0</v>
      </c>
      <c r="H74" s="476">
        <v>0</v>
      </c>
      <c r="I74" s="476">
        <v>11</v>
      </c>
      <c r="J74" s="476">
        <v>0</v>
      </c>
      <c r="K74" s="476">
        <v>0</v>
      </c>
      <c r="L74" s="476">
        <v>0</v>
      </c>
      <c r="M74" s="476">
        <v>0</v>
      </c>
      <c r="N74" s="476">
        <v>0</v>
      </c>
      <c r="O74" s="476">
        <v>0</v>
      </c>
      <c r="P74" s="476">
        <v>0</v>
      </c>
      <c r="Q74" s="476">
        <v>0</v>
      </c>
      <c r="R74" s="476">
        <v>0</v>
      </c>
      <c r="S74" s="475">
        <v>0</v>
      </c>
      <c r="T74" s="475"/>
      <c r="U74" s="475">
        <v>0</v>
      </c>
      <c r="V74" s="476">
        <v>0</v>
      </c>
      <c r="W74" s="475">
        <v>0</v>
      </c>
      <c r="X74" s="476">
        <v>0</v>
      </c>
      <c r="Y74" s="411">
        <f>SUM(E74:X74)</f>
        <v>-83133</v>
      </c>
      <c r="Z74" s="475">
        <v>0</v>
      </c>
      <c r="AA74" s="475">
        <v>0</v>
      </c>
      <c r="AB74" s="475">
        <v>0</v>
      </c>
      <c r="AC74" s="475">
        <v>0</v>
      </c>
      <c r="AD74" s="411">
        <f>SUM(Y74:AC74)</f>
        <v>-83133</v>
      </c>
    </row>
    <row r="75" spans="1:30" s="383" customFormat="1" ht="18.899999999999999" customHeight="1">
      <c r="A75" s="381">
        <v>42</v>
      </c>
      <c r="B75" s="382" t="s">
        <v>178</v>
      </c>
      <c r="C75" s="382"/>
      <c r="D75" s="382"/>
      <c r="E75" s="481">
        <f>E73+E74</f>
        <v>286767</v>
      </c>
      <c r="F75" s="481">
        <f>F73+F74</f>
        <v>-274</v>
      </c>
      <c r="G75" s="481">
        <f t="shared" ref="G75:Q75" si="76">G73+G74</f>
        <v>0</v>
      </c>
      <c r="H75" s="481">
        <f t="shared" si="76"/>
        <v>0</v>
      </c>
      <c r="I75" s="481">
        <f t="shared" ref="I75" si="77">I73+I74</f>
        <v>-1053</v>
      </c>
      <c r="J75" s="481">
        <f t="shared" si="76"/>
        <v>0</v>
      </c>
      <c r="K75" s="481">
        <f>K73+K74</f>
        <v>0</v>
      </c>
      <c r="L75" s="481">
        <f t="shared" si="76"/>
        <v>0</v>
      </c>
      <c r="M75" s="481">
        <f t="shared" si="76"/>
        <v>0</v>
      </c>
      <c r="N75" s="481">
        <f t="shared" si="76"/>
        <v>0</v>
      </c>
      <c r="O75" s="481">
        <f t="shared" si="76"/>
        <v>0</v>
      </c>
      <c r="P75" s="481">
        <f t="shared" si="76"/>
        <v>0</v>
      </c>
      <c r="Q75" s="481">
        <f t="shared" si="76"/>
        <v>0</v>
      </c>
      <c r="R75" s="481">
        <f t="shared" ref="R75:W75" si="78">R73+R74</f>
        <v>0</v>
      </c>
      <c r="S75" s="481">
        <f t="shared" si="78"/>
        <v>0</v>
      </c>
      <c r="T75" s="481">
        <f t="shared" si="78"/>
        <v>0</v>
      </c>
      <c r="U75" s="481">
        <f t="shared" si="78"/>
        <v>0</v>
      </c>
      <c r="V75" s="481">
        <f t="shared" si="78"/>
        <v>0</v>
      </c>
      <c r="W75" s="481">
        <f t="shared" si="78"/>
        <v>0</v>
      </c>
      <c r="X75" s="481">
        <f t="shared" ref="X75:Z75" si="79">X73+X74</f>
        <v>0</v>
      </c>
      <c r="Y75" s="415">
        <f t="shared" si="79"/>
        <v>285440</v>
      </c>
      <c r="Z75" s="481">
        <f t="shared" si="79"/>
        <v>0</v>
      </c>
      <c r="AA75" s="481">
        <f t="shared" ref="AA75:AD75" si="80">AA73+AA74</f>
        <v>0</v>
      </c>
      <c r="AB75" s="481">
        <f t="shared" si="80"/>
        <v>0</v>
      </c>
      <c r="AC75" s="481">
        <f t="shared" si="80"/>
        <v>0</v>
      </c>
      <c r="AD75" s="415">
        <f t="shared" si="80"/>
        <v>285440</v>
      </c>
    </row>
    <row r="76" spans="1:30">
      <c r="A76" s="360">
        <v>43</v>
      </c>
      <c r="B76" s="380" t="s">
        <v>57</v>
      </c>
      <c r="C76" s="380"/>
      <c r="D76" s="380"/>
      <c r="E76" s="473">
        <f>'ROO INPUT'!$F76</f>
        <v>10595</v>
      </c>
      <c r="F76" s="474">
        <v>0</v>
      </c>
      <c r="G76" s="474">
        <v>0</v>
      </c>
      <c r="H76" s="474">
        <v>0</v>
      </c>
      <c r="I76" s="474">
        <v>0</v>
      </c>
      <c r="J76" s="474">
        <v>0</v>
      </c>
      <c r="K76" s="474">
        <v>0</v>
      </c>
      <c r="L76" s="474">
        <v>0</v>
      </c>
      <c r="M76" s="474">
        <v>0</v>
      </c>
      <c r="N76" s="474">
        <v>0</v>
      </c>
      <c r="O76" s="474">
        <v>0</v>
      </c>
      <c r="P76" s="474">
        <v>0</v>
      </c>
      <c r="Q76" s="474">
        <v>0</v>
      </c>
      <c r="R76" s="474">
        <v>0</v>
      </c>
      <c r="S76" s="473">
        <v>0</v>
      </c>
      <c r="T76" s="473"/>
      <c r="U76" s="473">
        <v>0</v>
      </c>
      <c r="V76" s="474">
        <v>0</v>
      </c>
      <c r="W76" s="473">
        <v>0</v>
      </c>
      <c r="X76" s="474">
        <v>0</v>
      </c>
      <c r="Y76" s="410">
        <f>SUM(E76:X76)</f>
        <v>10595</v>
      </c>
      <c r="Z76" s="473">
        <v>0</v>
      </c>
      <c r="AA76" s="473">
        <v>0</v>
      </c>
      <c r="AB76" s="473">
        <v>0</v>
      </c>
      <c r="AC76" s="473">
        <v>0</v>
      </c>
      <c r="AD76" s="410">
        <f>SUM(Y76:AC76)</f>
        <v>10595</v>
      </c>
    </row>
    <row r="77" spans="1:30" s="383" customFormat="1">
      <c r="A77" s="381">
        <v>44</v>
      </c>
      <c r="B77" s="382" t="s">
        <v>58</v>
      </c>
      <c r="C77" s="382"/>
      <c r="D77" s="382"/>
      <c r="E77" s="473">
        <f>'ROO INPUT'!$F77</f>
        <v>0</v>
      </c>
      <c r="F77" s="478">
        <v>0</v>
      </c>
      <c r="G77" s="478">
        <v>0</v>
      </c>
      <c r="H77" s="478">
        <v>0</v>
      </c>
      <c r="I77" s="478">
        <v>0</v>
      </c>
      <c r="J77" s="478">
        <v>0</v>
      </c>
      <c r="K77" s="478">
        <v>0</v>
      </c>
      <c r="L77" s="478">
        <v>0</v>
      </c>
      <c r="M77" s="478">
        <v>0</v>
      </c>
      <c r="N77" s="478">
        <v>0</v>
      </c>
      <c r="O77" s="478">
        <v>0</v>
      </c>
      <c r="P77" s="478">
        <v>0</v>
      </c>
      <c r="Q77" s="478">
        <v>0</v>
      </c>
      <c r="R77" s="478">
        <v>0</v>
      </c>
      <c r="S77" s="473">
        <v>0</v>
      </c>
      <c r="T77" s="473"/>
      <c r="U77" s="473">
        <v>0</v>
      </c>
      <c r="V77" s="478">
        <v>0</v>
      </c>
      <c r="W77" s="473">
        <v>0</v>
      </c>
      <c r="X77" s="478">
        <v>0</v>
      </c>
      <c r="Y77" s="415">
        <f>SUM(E77:X77)</f>
        <v>0</v>
      </c>
      <c r="Z77" s="473">
        <v>0</v>
      </c>
      <c r="AA77" s="473">
        <v>0</v>
      </c>
      <c r="AB77" s="473">
        <v>0</v>
      </c>
      <c r="AC77" s="473">
        <v>0</v>
      </c>
      <c r="AD77" s="415">
        <f>SUM(Y77:AC77)</f>
        <v>0</v>
      </c>
    </row>
    <row r="78" spans="1:30" s="383" customFormat="1">
      <c r="A78" s="381">
        <v>45</v>
      </c>
      <c r="B78" s="382" t="s">
        <v>390</v>
      </c>
      <c r="C78" s="382"/>
      <c r="D78" s="382"/>
      <c r="E78" s="473">
        <f>'ROO INPUT'!$F78</f>
        <v>2064</v>
      </c>
      <c r="F78" s="478"/>
      <c r="G78" s="478">
        <v>0</v>
      </c>
      <c r="H78" s="478">
        <v>0</v>
      </c>
      <c r="I78" s="478">
        <v>0</v>
      </c>
      <c r="J78" s="478"/>
      <c r="K78" s="478"/>
      <c r="L78" s="478"/>
      <c r="M78" s="478"/>
      <c r="N78" s="478"/>
      <c r="O78" s="478"/>
      <c r="P78" s="478"/>
      <c r="Q78" s="478"/>
      <c r="R78" s="478"/>
      <c r="S78" s="473"/>
      <c r="T78" s="473"/>
      <c r="U78" s="473"/>
      <c r="V78" s="478"/>
      <c r="W78" s="473"/>
      <c r="X78" s="478"/>
      <c r="Y78" s="415">
        <f>SUM(E78:X78)</f>
        <v>2064</v>
      </c>
      <c r="Z78" s="473"/>
      <c r="AA78" s="473"/>
      <c r="AB78" s="473"/>
      <c r="AC78" s="473"/>
      <c r="AD78" s="415">
        <f>SUM(Y78:AC78)</f>
        <v>2064</v>
      </c>
    </row>
    <row r="79" spans="1:30">
      <c r="A79" s="360">
        <v>46</v>
      </c>
      <c r="B79" s="380" t="s">
        <v>157</v>
      </c>
      <c r="C79" s="380"/>
      <c r="D79" s="380"/>
      <c r="E79" s="475">
        <f>'ROO INPUT'!$F79</f>
        <v>15075</v>
      </c>
      <c r="F79" s="476">
        <v>0</v>
      </c>
      <c r="G79" s="476">
        <v>0</v>
      </c>
      <c r="H79" s="476">
        <v>0</v>
      </c>
      <c r="I79" s="476">
        <v>0</v>
      </c>
      <c r="J79" s="476">
        <v>0</v>
      </c>
      <c r="K79" s="476">
        <v>0</v>
      </c>
      <c r="L79" s="476">
        <v>0</v>
      </c>
      <c r="M79" s="476">
        <v>0</v>
      </c>
      <c r="N79" s="476">
        <v>0</v>
      </c>
      <c r="O79" s="476">
        <v>0</v>
      </c>
      <c r="P79" s="476">
        <v>0</v>
      </c>
      <c r="Q79" s="476">
        <v>0</v>
      </c>
      <c r="R79" s="476">
        <v>0</v>
      </c>
      <c r="S79" s="475">
        <v>0</v>
      </c>
      <c r="T79" s="475"/>
      <c r="U79" s="475">
        <v>0</v>
      </c>
      <c r="V79" s="476">
        <v>0</v>
      </c>
      <c r="W79" s="475">
        <v>0</v>
      </c>
      <c r="X79" s="476">
        <v>0</v>
      </c>
      <c r="Y79" s="411">
        <f>SUM(E79:X79)</f>
        <v>15075</v>
      </c>
      <c r="Z79" s="475">
        <v>0</v>
      </c>
      <c r="AA79" s="475">
        <v>0</v>
      </c>
      <c r="AB79" s="475">
        <v>0</v>
      </c>
      <c r="AC79" s="475">
        <v>0</v>
      </c>
      <c r="AD79" s="411">
        <f>SUM(Y79:AC79)</f>
        <v>15075</v>
      </c>
    </row>
    <row r="80" spans="1:30">
      <c r="Y80" s="408"/>
      <c r="Z80" s="448"/>
      <c r="AA80" s="448"/>
      <c r="AB80" s="448"/>
      <c r="AC80" s="448"/>
      <c r="AD80" s="408"/>
    </row>
    <row r="81" spans="1:30">
      <c r="E81" s="473"/>
      <c r="F81" s="473"/>
      <c r="G81" s="473"/>
      <c r="H81" s="473"/>
      <c r="I81" s="473"/>
      <c r="J81" s="473"/>
      <c r="K81" s="473"/>
      <c r="L81" s="473"/>
      <c r="M81" s="473"/>
      <c r="N81" s="473"/>
      <c r="O81" s="473"/>
      <c r="P81" s="473"/>
      <c r="Q81" s="473"/>
      <c r="R81" s="473"/>
      <c r="S81" s="473"/>
      <c r="T81" s="473"/>
      <c r="U81" s="473"/>
      <c r="V81" s="473"/>
      <c r="W81" s="473"/>
      <c r="X81" s="477"/>
      <c r="Y81" s="410"/>
      <c r="Z81" s="473"/>
      <c r="AA81" s="473"/>
      <c r="AB81" s="473"/>
      <c r="AC81" s="473"/>
      <c r="AD81" s="410"/>
    </row>
    <row r="82" spans="1:30" s="384" customFormat="1" thickBot="1">
      <c r="A82" s="364">
        <v>47</v>
      </c>
      <c r="B82" s="384" t="s">
        <v>59</v>
      </c>
      <c r="E82" s="482">
        <f>E75+E76+E77+E79+E78</f>
        <v>314501</v>
      </c>
      <c r="F82" s="482">
        <f t="shared" ref="F82:Y82" si="81">F75+F76+F77+F79+F78</f>
        <v>-274</v>
      </c>
      <c r="G82" s="482">
        <f>G75+G76+G77+G79+G78</f>
        <v>0</v>
      </c>
      <c r="H82" s="482">
        <f t="shared" si="81"/>
        <v>0</v>
      </c>
      <c r="I82" s="482">
        <f t="shared" ref="I82" si="82">I75+I76+I77+I79+I78</f>
        <v>-1053</v>
      </c>
      <c r="J82" s="482">
        <f t="shared" si="81"/>
        <v>0</v>
      </c>
      <c r="K82" s="482">
        <f>K75+K76+K77+K79+K78</f>
        <v>0</v>
      </c>
      <c r="L82" s="482">
        <f t="shared" si="81"/>
        <v>0</v>
      </c>
      <c r="M82" s="482">
        <f t="shared" si="81"/>
        <v>0</v>
      </c>
      <c r="N82" s="482">
        <f t="shared" si="81"/>
        <v>0</v>
      </c>
      <c r="O82" s="482">
        <f t="shared" si="81"/>
        <v>0</v>
      </c>
      <c r="P82" s="482">
        <f t="shared" si="81"/>
        <v>0</v>
      </c>
      <c r="Q82" s="482">
        <f t="shared" si="81"/>
        <v>0</v>
      </c>
      <c r="R82" s="482">
        <f t="shared" ref="R82:X82" si="83">R75+R76+R77+R79+R78</f>
        <v>0</v>
      </c>
      <c r="S82" s="482">
        <f t="shared" si="83"/>
        <v>0</v>
      </c>
      <c r="T82" s="482">
        <f>T75+T76+T77+T79+T78</f>
        <v>0</v>
      </c>
      <c r="U82" s="482">
        <f>U75+U76+U77+U79+U78</f>
        <v>0</v>
      </c>
      <c r="V82" s="482">
        <f>V75+V76+V77+V79+V78</f>
        <v>0</v>
      </c>
      <c r="W82" s="482">
        <f>W75+W76+W77+W79+W78</f>
        <v>0</v>
      </c>
      <c r="X82" s="482">
        <f t="shared" si="83"/>
        <v>0</v>
      </c>
      <c r="Y82" s="412">
        <f t="shared" si="81"/>
        <v>313174</v>
      </c>
      <c r="Z82" s="482">
        <f>Z75+Z76+Z77+Z79+Z78</f>
        <v>0</v>
      </c>
      <c r="AA82" s="482">
        <f>AA75+AA76+AA77+AA79+AA78</f>
        <v>0</v>
      </c>
      <c r="AB82" s="482">
        <f>AB75+AB76+AB77+AB79+AB78</f>
        <v>0</v>
      </c>
      <c r="AC82" s="482">
        <f>AC75+AC76+AC77+AC79+AC78</f>
        <v>0</v>
      </c>
      <c r="AD82" s="412">
        <f t="shared" ref="AD82" si="84">AD75+AD76+AD77+AD79+AD78</f>
        <v>313174</v>
      </c>
    </row>
    <row r="83" spans="1:30" ht="18" customHeight="1" thickTop="1">
      <c r="A83" s="360">
        <v>48</v>
      </c>
      <c r="B83" s="361" t="s">
        <v>422</v>
      </c>
      <c r="E83" s="483">
        <f>ROUND(E59/E82,4)</f>
        <v>7.9799999999999996E-2</v>
      </c>
      <c r="F83" s="473"/>
      <c r="G83" s="473"/>
      <c r="H83" s="473"/>
      <c r="I83" s="473"/>
      <c r="J83" s="473"/>
      <c r="K83" s="473"/>
      <c r="L83" s="473"/>
      <c r="M83" s="473"/>
      <c r="N83" s="473"/>
      <c r="O83" s="473"/>
      <c r="P83" s="473"/>
      <c r="Q83" s="473"/>
      <c r="R83" s="473"/>
      <c r="S83" s="483"/>
      <c r="T83" s="483"/>
      <c r="U83" s="483"/>
      <c r="V83" s="493"/>
      <c r="W83" s="483"/>
      <c r="X83" s="477"/>
      <c r="Y83" s="416">
        <f>ROUND(Y59/Y82,4)</f>
        <v>7.8399999999999997E-2</v>
      </c>
      <c r="Z83" s="483"/>
      <c r="AA83" s="483"/>
      <c r="AB83" s="483"/>
      <c r="AC83" s="483"/>
      <c r="AD83" s="416">
        <f>ROUND(AD59/AD82,4)</f>
        <v>8.3199999999999996E-2</v>
      </c>
    </row>
    <row r="84" spans="1:30" ht="18" customHeight="1">
      <c r="E84" s="483"/>
      <c r="F84" s="473"/>
      <c r="G84" s="473"/>
      <c r="H84" s="473"/>
      <c r="I84" s="473"/>
      <c r="J84" s="473"/>
      <c r="K84" s="473"/>
      <c r="L84" s="473"/>
      <c r="M84" s="473"/>
      <c r="N84" s="473"/>
      <c r="O84" s="473"/>
      <c r="P84" s="473"/>
      <c r="Q84" s="473"/>
      <c r="R84" s="473"/>
      <c r="S84" s="483"/>
      <c r="T84" s="483"/>
      <c r="U84" s="483"/>
      <c r="V84" s="493"/>
      <c r="W84" s="483"/>
      <c r="X84" s="477"/>
      <c r="Y84" s="416"/>
      <c r="Z84" s="483"/>
      <c r="AA84" s="483"/>
      <c r="AB84" s="483"/>
      <c r="AC84" s="483"/>
      <c r="AD84" s="416"/>
    </row>
    <row r="85" spans="1:30" ht="21" customHeight="1">
      <c r="A85" s="360">
        <v>50</v>
      </c>
      <c r="B85" s="361" t="s">
        <v>151</v>
      </c>
      <c r="E85" s="448">
        <f>E91</f>
        <v>-2969.0120219812152</v>
      </c>
      <c r="F85" s="448">
        <f t="shared" ref="F85:Y85" si="85">F91</f>
        <v>-28.26214203986914</v>
      </c>
      <c r="G85" s="448">
        <f t="shared" si="85"/>
        <v>10.474916603548579</v>
      </c>
      <c r="H85" s="448">
        <f t="shared" si="85"/>
        <v>0</v>
      </c>
      <c r="I85" s="448">
        <f t="shared" ref="I85" si="86">I91</f>
        <v>-108.6132684962854</v>
      </c>
      <c r="J85" s="448">
        <f t="shared" si="85"/>
        <v>27.234783169226304</v>
      </c>
      <c r="K85" s="448">
        <f t="shared" ref="K85" si="87">K91</f>
        <v>-8.3799332828388629</v>
      </c>
      <c r="L85" s="448">
        <f t="shared" si="85"/>
        <v>-315.29498976681225</v>
      </c>
      <c r="M85" s="448">
        <f t="shared" si="85"/>
        <v>42.947158074549172</v>
      </c>
      <c r="N85" s="448">
        <f t="shared" si="85"/>
        <v>47.137124715968604</v>
      </c>
      <c r="O85" s="448">
        <f t="shared" si="85"/>
        <v>0</v>
      </c>
      <c r="P85" s="448">
        <f t="shared" si="85"/>
        <v>-15.712374905322868</v>
      </c>
      <c r="Q85" s="448">
        <f t="shared" si="85"/>
        <v>0</v>
      </c>
      <c r="R85" s="448">
        <f t="shared" ref="R85:X85" si="88">R91</f>
        <v>-13.617391584613152</v>
      </c>
      <c r="S85" s="448">
        <f t="shared" si="88"/>
        <v>-1.0474916603548579</v>
      </c>
      <c r="T85" s="448">
        <f t="shared" si="88"/>
        <v>455.65887225436319</v>
      </c>
      <c r="U85" s="448">
        <f>U91</f>
        <v>-393.85686429342655</v>
      </c>
      <c r="V85" s="448">
        <f>V91</f>
        <v>1130.2435015228916</v>
      </c>
      <c r="W85" s="448">
        <f>W91</f>
        <v>-234.63813191948822</v>
      </c>
      <c r="X85" s="448">
        <f t="shared" si="88"/>
        <v>132.14510176784361</v>
      </c>
      <c r="Y85" s="417">
        <f t="shared" si="85"/>
        <v>-2242.5931518218354</v>
      </c>
      <c r="Z85" s="448">
        <f>Z91</f>
        <v>1.611525631315166</v>
      </c>
      <c r="AA85" s="448">
        <f>AA91</f>
        <v>-2480.1379465940404</v>
      </c>
      <c r="AB85" s="448">
        <f>AB91</f>
        <v>0</v>
      </c>
      <c r="AC85" s="448">
        <f>AC91</f>
        <v>61.237973989976311</v>
      </c>
      <c r="AD85" s="417">
        <f t="shared" ref="AD85" si="89">AD91</f>
        <v>-4659.8815987945845</v>
      </c>
    </row>
    <row r="86" spans="1:30">
      <c r="E86" s="473"/>
      <c r="F86" s="473"/>
      <c r="G86" s="473"/>
      <c r="H86" s="473"/>
      <c r="I86" s="473"/>
      <c r="J86" s="473"/>
      <c r="K86" s="473"/>
      <c r="L86" s="473"/>
      <c r="M86" s="473"/>
      <c r="N86" s="473"/>
      <c r="O86" s="473"/>
      <c r="P86" s="473"/>
      <c r="Q86" s="473"/>
      <c r="R86" s="473"/>
      <c r="S86" s="473"/>
      <c r="T86" s="473"/>
      <c r="U86" s="473"/>
      <c r="V86" s="493"/>
      <c r="W86" s="473"/>
      <c r="X86" s="477"/>
      <c r="Y86" s="413"/>
      <c r="Z86" s="473"/>
      <c r="AA86" s="473"/>
      <c r="AB86" s="473"/>
      <c r="AC86" s="473"/>
      <c r="AD86" s="413"/>
    </row>
    <row r="87" spans="1:30" s="386" customFormat="1">
      <c r="A87" s="385"/>
      <c r="D87" s="387" t="s">
        <v>394</v>
      </c>
      <c r="E87" s="484">
        <f>'RR SUMMARY'!L17</f>
        <v>7.3969999999999994E-2</v>
      </c>
      <c r="F87" s="477"/>
      <c r="G87" s="477"/>
      <c r="H87" s="477"/>
      <c r="I87" s="477"/>
      <c r="J87" s="477"/>
      <c r="K87" s="477"/>
      <c r="L87" s="477"/>
      <c r="M87" s="477"/>
      <c r="N87" s="477"/>
      <c r="O87" s="477"/>
      <c r="P87" s="477"/>
      <c r="Q87" s="477"/>
      <c r="R87" s="477"/>
      <c r="S87" s="484"/>
      <c r="T87" s="484"/>
      <c r="U87" s="484"/>
      <c r="V87" s="498"/>
      <c r="W87" s="484"/>
      <c r="X87" s="477"/>
      <c r="Y87" s="418"/>
      <c r="Z87" s="484"/>
      <c r="AA87" s="484"/>
      <c r="AB87" s="484"/>
      <c r="AC87" s="484"/>
      <c r="AD87" s="418"/>
    </row>
    <row r="88" spans="1:30" s="386" customFormat="1">
      <c r="A88" s="388"/>
      <c r="D88" s="387" t="s">
        <v>134</v>
      </c>
      <c r="E88" s="485">
        <f>'RR SUMMARY'!F22</f>
        <v>0.62053000000000003</v>
      </c>
      <c r="F88" s="477"/>
      <c r="G88" s="477"/>
      <c r="H88" s="477"/>
      <c r="I88" s="477"/>
      <c r="J88" s="477"/>
      <c r="K88" s="477"/>
      <c r="L88" s="477"/>
      <c r="M88" s="477"/>
      <c r="N88" s="477"/>
      <c r="O88" s="477"/>
      <c r="P88" s="477"/>
      <c r="Q88" s="477"/>
      <c r="R88" s="477"/>
      <c r="S88" s="485"/>
      <c r="T88" s="485"/>
      <c r="U88" s="485"/>
      <c r="V88" s="498"/>
      <c r="W88" s="485"/>
      <c r="X88" s="477"/>
      <c r="Y88" s="418"/>
      <c r="Z88" s="485"/>
      <c r="AA88" s="485"/>
      <c r="AB88" s="485"/>
      <c r="AC88" s="485"/>
      <c r="AD88" s="418"/>
    </row>
    <row r="89" spans="1:30" s="386" customFormat="1">
      <c r="A89" s="388"/>
      <c r="D89" s="387"/>
      <c r="E89" s="449"/>
      <c r="F89" s="477"/>
      <c r="G89" s="477"/>
      <c r="H89" s="477"/>
      <c r="I89" s="477"/>
      <c r="J89" s="477"/>
      <c r="K89" s="477"/>
      <c r="L89" s="477"/>
      <c r="M89" s="477"/>
      <c r="N89" s="477"/>
      <c r="O89" s="477"/>
      <c r="P89" s="477"/>
      <c r="Q89" s="477"/>
      <c r="R89" s="477"/>
      <c r="S89" s="449"/>
      <c r="T89" s="449"/>
      <c r="U89" s="449"/>
      <c r="V89" s="498"/>
      <c r="W89" s="449"/>
      <c r="X89" s="477"/>
      <c r="Y89" s="418"/>
      <c r="Z89" s="449"/>
      <c r="AA89" s="449"/>
      <c r="AB89" s="449"/>
      <c r="AC89" s="449"/>
      <c r="AD89" s="418"/>
    </row>
    <row r="90" spans="1:30" s="386" customFormat="1">
      <c r="A90" s="388"/>
      <c r="D90" s="387" t="s">
        <v>148</v>
      </c>
      <c r="E90" s="449">
        <f>E82*$E$87-E59</f>
        <v>-1842.3610300000037</v>
      </c>
      <c r="F90" s="449">
        <f>F82*$E$87-F59</f>
        <v>-17.537506999999998</v>
      </c>
      <c r="G90" s="449">
        <f>G82*$E$87-G59</f>
        <v>6.5</v>
      </c>
      <c r="H90" s="449">
        <f>H82*$E$87-H59</f>
        <v>0</v>
      </c>
      <c r="I90" s="449">
        <f>I82*$E$87-I59</f>
        <v>-67.397791499999983</v>
      </c>
      <c r="J90" s="449">
        <f t="shared" ref="J90:Q90" si="90">J82*$E$87-J59</f>
        <v>16.899999999999999</v>
      </c>
      <c r="K90" s="449">
        <f>K82*$E$87-K59</f>
        <v>-5.2</v>
      </c>
      <c r="L90" s="449">
        <f t="shared" si="90"/>
        <v>-195.65</v>
      </c>
      <c r="M90" s="449">
        <f t="shared" si="90"/>
        <v>26.65</v>
      </c>
      <c r="N90" s="449">
        <f t="shared" si="90"/>
        <v>29.25</v>
      </c>
      <c r="O90" s="449">
        <f t="shared" si="90"/>
        <v>0</v>
      </c>
      <c r="P90" s="449">
        <f t="shared" si="90"/>
        <v>-9.75</v>
      </c>
      <c r="Q90" s="449">
        <f t="shared" si="90"/>
        <v>0</v>
      </c>
      <c r="R90" s="449">
        <f t="shared" ref="R90:X90" si="91">R82*$E$87-R59</f>
        <v>-8.4499999999999993</v>
      </c>
      <c r="S90" s="449">
        <f t="shared" si="91"/>
        <v>-0.65</v>
      </c>
      <c r="T90" s="449">
        <f t="shared" ref="T90" si="92">T82*$E$87-T59</f>
        <v>282.75</v>
      </c>
      <c r="U90" s="449">
        <f>U82*$E$87-U59</f>
        <v>-244.4</v>
      </c>
      <c r="V90" s="449">
        <f>V82*$E$87-V59</f>
        <v>701.35</v>
      </c>
      <c r="W90" s="449">
        <f>W82*$E$87-W59</f>
        <v>-145.60000000000002</v>
      </c>
      <c r="X90" s="449">
        <f t="shared" si="91"/>
        <v>82</v>
      </c>
      <c r="Y90" s="401">
        <f t="shared" ref="Y90" si="93">Y82*$E$87-Y59</f>
        <v>-1391.5963285000034</v>
      </c>
      <c r="Z90" s="449">
        <f>Z82*$E$87-Z59</f>
        <v>1</v>
      </c>
      <c r="AA90" s="449">
        <f>AA82*$E$87-AA59</f>
        <v>-1539</v>
      </c>
      <c r="AB90" s="449">
        <f>AB82*$E$87-AB59</f>
        <v>0</v>
      </c>
      <c r="AC90" s="449">
        <f>AC82*$E$87-AC59</f>
        <v>38</v>
      </c>
      <c r="AD90" s="401">
        <f t="shared" ref="AD90" si="94">AD82*$E$87-AD59</f>
        <v>-2891.5963285000034</v>
      </c>
    </row>
    <row r="91" spans="1:30" s="386" customFormat="1">
      <c r="A91" s="388"/>
      <c r="D91" s="387" t="s">
        <v>128</v>
      </c>
      <c r="E91" s="449">
        <f t="shared" ref="E91:H91" si="95">E90/$E$88</f>
        <v>-2969.0120219812152</v>
      </c>
      <c r="F91" s="449">
        <f t="shared" si="95"/>
        <v>-28.26214203986914</v>
      </c>
      <c r="G91" s="449">
        <f t="shared" si="95"/>
        <v>10.474916603548579</v>
      </c>
      <c r="H91" s="449">
        <f t="shared" si="95"/>
        <v>0</v>
      </c>
      <c r="I91" s="449">
        <f t="shared" ref="I91" si="96">I90/$E$88</f>
        <v>-108.6132684962854</v>
      </c>
      <c r="J91" s="449">
        <f t="shared" ref="J91:Q91" si="97">J90/$E$88</f>
        <v>27.234783169226304</v>
      </c>
      <c r="K91" s="449">
        <f>K90/$E$88</f>
        <v>-8.3799332828388629</v>
      </c>
      <c r="L91" s="449">
        <f t="shared" si="97"/>
        <v>-315.29498976681225</v>
      </c>
      <c r="M91" s="449">
        <f t="shared" si="97"/>
        <v>42.947158074549172</v>
      </c>
      <c r="N91" s="449">
        <f t="shared" si="97"/>
        <v>47.137124715968604</v>
      </c>
      <c r="O91" s="449">
        <f t="shared" si="97"/>
        <v>0</v>
      </c>
      <c r="P91" s="449">
        <f t="shared" si="97"/>
        <v>-15.712374905322868</v>
      </c>
      <c r="Q91" s="449">
        <f t="shared" si="97"/>
        <v>0</v>
      </c>
      <c r="R91" s="449">
        <f t="shared" ref="R91:X91" si="98">R90/$E$88</f>
        <v>-13.617391584613152</v>
      </c>
      <c r="S91" s="449">
        <f t="shared" si="98"/>
        <v>-1.0474916603548579</v>
      </c>
      <c r="T91" s="449">
        <f t="shared" ref="T91" si="99">T90/$E$88</f>
        <v>455.65887225436319</v>
      </c>
      <c r="U91" s="449">
        <f>U90/$E$88</f>
        <v>-393.85686429342655</v>
      </c>
      <c r="V91" s="449">
        <f>V90/$E$88</f>
        <v>1130.2435015228916</v>
      </c>
      <c r="W91" s="449">
        <f>W90/$E$88</f>
        <v>-234.63813191948822</v>
      </c>
      <c r="X91" s="449">
        <f t="shared" si="98"/>
        <v>132.14510176784361</v>
      </c>
      <c r="Y91" s="401">
        <f t="shared" ref="Y91" si="100">Y90/$E$88</f>
        <v>-2242.5931518218354</v>
      </c>
      <c r="Z91" s="449">
        <f>Z90/$E$88</f>
        <v>1.611525631315166</v>
      </c>
      <c r="AA91" s="449">
        <f>AA90/$E$88</f>
        <v>-2480.1379465940404</v>
      </c>
      <c r="AB91" s="449">
        <f>AB90/$E$88</f>
        <v>0</v>
      </c>
      <c r="AC91" s="449">
        <f>AC90/$E$88</f>
        <v>61.237973989976311</v>
      </c>
      <c r="AD91" s="401">
        <f t="shared" ref="AD91" si="101">AD90/$E$88</f>
        <v>-4659.8815987945845</v>
      </c>
    </row>
    <row r="92" spans="1:30" s="386" customFormat="1">
      <c r="A92" s="388"/>
      <c r="D92" s="387"/>
      <c r="E92" s="486"/>
      <c r="F92" s="486"/>
      <c r="G92" s="486"/>
      <c r="H92" s="486"/>
      <c r="I92" s="486"/>
      <c r="J92" s="486"/>
      <c r="K92" s="486"/>
      <c r="L92" s="486"/>
      <c r="M92" s="486"/>
      <c r="N92" s="486"/>
      <c r="O92" s="486"/>
      <c r="P92" s="486"/>
      <c r="Q92" s="486"/>
      <c r="R92" s="486"/>
      <c r="S92" s="486"/>
      <c r="T92" s="486"/>
      <c r="U92" s="486"/>
      <c r="V92" s="486"/>
      <c r="W92" s="486"/>
      <c r="X92" s="486"/>
      <c r="Y92" s="419"/>
      <c r="Z92" s="396"/>
      <c r="AA92" s="396"/>
      <c r="AB92" s="396"/>
    </row>
    <row r="93" spans="1:30" s="386" customFormat="1">
      <c r="A93" s="385"/>
      <c r="D93" s="387"/>
      <c r="E93" s="484"/>
      <c r="F93" s="486"/>
      <c r="G93" s="486"/>
      <c r="H93" s="486"/>
      <c r="I93" s="486"/>
      <c r="J93" s="486"/>
      <c r="K93" s="486"/>
      <c r="L93" s="486"/>
      <c r="M93" s="486"/>
      <c r="N93" s="486"/>
      <c r="O93" s="486"/>
      <c r="P93" s="486"/>
      <c r="Q93" s="486"/>
      <c r="R93" s="486"/>
      <c r="S93" s="484"/>
      <c r="T93" s="484"/>
      <c r="U93" s="484"/>
      <c r="V93" s="486"/>
      <c r="W93" s="484"/>
      <c r="X93" s="486"/>
      <c r="Y93" s="419"/>
      <c r="Z93" s="396"/>
      <c r="AA93" s="396"/>
      <c r="AB93" s="396"/>
    </row>
    <row r="94" spans="1:30" s="386" customFormat="1">
      <c r="A94" s="388"/>
      <c r="E94" s="486"/>
      <c r="F94" s="486"/>
      <c r="G94" s="486"/>
      <c r="H94" s="486"/>
      <c r="I94" s="486"/>
      <c r="J94" s="486"/>
      <c r="K94" s="486"/>
      <c r="L94" s="486"/>
      <c r="M94" s="486"/>
      <c r="N94" s="486"/>
      <c r="O94" s="486"/>
      <c r="P94" s="486"/>
      <c r="Q94" s="486"/>
      <c r="R94" s="486"/>
      <c r="S94" s="486"/>
      <c r="T94" s="486"/>
      <c r="U94" s="486"/>
      <c r="V94" s="486"/>
      <c r="W94" s="486"/>
      <c r="X94" s="486"/>
      <c r="Y94" s="419"/>
      <c r="Z94" s="396"/>
      <c r="AA94" s="396"/>
      <c r="AB94" s="396"/>
    </row>
    <row r="95" spans="1:30" s="386" customFormat="1">
      <c r="A95" s="388"/>
      <c r="D95" s="387"/>
      <c r="E95" s="486"/>
      <c r="F95" s="486"/>
      <c r="G95" s="486"/>
      <c r="H95" s="486"/>
      <c r="I95" s="486"/>
      <c r="J95" s="486"/>
      <c r="K95" s="486"/>
      <c r="L95" s="486"/>
      <c r="M95" s="486"/>
      <c r="N95" s="486"/>
      <c r="O95" s="486"/>
      <c r="P95" s="486"/>
      <c r="Q95" s="486"/>
      <c r="R95" s="486"/>
      <c r="S95" s="486"/>
      <c r="T95" s="486"/>
      <c r="U95" s="486"/>
      <c r="V95" s="486"/>
      <c r="W95" s="486"/>
      <c r="X95" s="486"/>
      <c r="Y95" s="419"/>
      <c r="Z95" s="396"/>
      <c r="AA95" s="396"/>
      <c r="AB95" s="396"/>
    </row>
    <row r="96" spans="1:30" s="386" customFormat="1">
      <c r="A96" s="388"/>
      <c r="D96" s="387"/>
      <c r="E96" s="486"/>
      <c r="F96" s="486"/>
      <c r="G96" s="486"/>
      <c r="H96" s="486"/>
      <c r="I96" s="486"/>
      <c r="J96" s="486"/>
      <c r="K96" s="486"/>
      <c r="L96" s="486"/>
      <c r="M96" s="486"/>
      <c r="N96" s="486"/>
      <c r="O96" s="486"/>
      <c r="P96" s="486"/>
      <c r="Q96" s="486"/>
      <c r="R96" s="486"/>
      <c r="S96" s="486"/>
      <c r="T96" s="486"/>
      <c r="U96" s="486"/>
      <c r="V96" s="486"/>
      <c r="W96" s="486"/>
      <c r="X96" s="486"/>
      <c r="Y96" s="419"/>
      <c r="Z96" s="396"/>
      <c r="AA96" s="396"/>
      <c r="AB96" s="396"/>
    </row>
    <row r="97" spans="1:28" s="386" customFormat="1">
      <c r="A97" s="388"/>
      <c r="D97" s="389"/>
      <c r="E97" s="486"/>
      <c r="F97" s="486"/>
      <c r="G97" s="486"/>
      <c r="H97" s="486"/>
      <c r="I97" s="486"/>
      <c r="J97" s="486"/>
      <c r="K97" s="486"/>
      <c r="L97" s="486"/>
      <c r="M97" s="486"/>
      <c r="N97" s="486"/>
      <c r="O97" s="486"/>
      <c r="P97" s="486"/>
      <c r="Q97" s="486"/>
      <c r="R97" s="486"/>
      <c r="S97" s="486"/>
      <c r="T97" s="486"/>
      <c r="U97" s="486"/>
      <c r="V97" s="486"/>
      <c r="W97" s="486"/>
      <c r="X97" s="486"/>
      <c r="Y97" s="419"/>
      <c r="Z97" s="396"/>
      <c r="AA97" s="396"/>
      <c r="AB97" s="396"/>
    </row>
    <row r="98" spans="1:28" s="386" customFormat="1">
      <c r="A98" s="388"/>
      <c r="E98" s="469"/>
      <c r="F98" s="469"/>
      <c r="G98" s="469"/>
      <c r="H98" s="469"/>
      <c r="I98" s="469"/>
      <c r="J98" s="469"/>
      <c r="K98" s="469"/>
      <c r="L98" s="469"/>
      <c r="M98" s="469"/>
      <c r="N98" s="469"/>
      <c r="O98" s="469"/>
      <c r="P98" s="469"/>
      <c r="Q98" s="469"/>
      <c r="R98" s="469"/>
      <c r="S98" s="469"/>
      <c r="T98" s="469"/>
      <c r="U98" s="469"/>
      <c r="V98" s="499"/>
      <c r="W98" s="469"/>
      <c r="X98" s="469"/>
      <c r="Y98" s="419"/>
      <c r="Z98" s="396"/>
      <c r="AA98" s="396"/>
      <c r="AB98" s="396"/>
    </row>
    <row r="99" spans="1:28" s="386" customFormat="1">
      <c r="A99" s="388"/>
      <c r="E99" s="469"/>
      <c r="F99" s="469"/>
      <c r="G99" s="469"/>
      <c r="H99" s="469"/>
      <c r="I99" s="469"/>
      <c r="J99" s="469"/>
      <c r="K99" s="469"/>
      <c r="L99" s="469"/>
      <c r="M99" s="469"/>
      <c r="N99" s="469"/>
      <c r="O99" s="469"/>
      <c r="P99" s="469"/>
      <c r="Q99" s="469"/>
      <c r="R99" s="469"/>
      <c r="S99" s="469"/>
      <c r="T99" s="469"/>
      <c r="U99" s="469"/>
      <c r="V99" s="499"/>
      <c r="W99" s="469"/>
      <c r="X99" s="469"/>
      <c r="Y99" s="419"/>
      <c r="Z99" s="396"/>
      <c r="AA99" s="396"/>
      <c r="AB99" s="396"/>
    </row>
    <row r="127" spans="19:19">
      <c r="S127" s="448" t="s">
        <v>154</v>
      </c>
    </row>
    <row r="128" spans="19:19">
      <c r="S128" s="448" t="s">
        <v>155</v>
      </c>
    </row>
  </sheetData>
  <customSheetViews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phoneticPr fontId="0" type="noConversion"/>
  <pageMargins left="0.75" right="0.5" top="0.72" bottom="0.84" header="0.5" footer="0.5"/>
  <pageSetup scale="65" firstPageNumber="4" fitToWidth="5" orientation="portrait" r:id="rId3"/>
  <headerFooter scaleWithDoc="0" alignWithMargins="0">
    <oddHeader>&amp;RCBR 12/2017 Natural Gas</oddHeader>
    <oddFooter>&amp;C&amp;F&amp;RPage &amp;P of &amp;N</oddFooter>
  </headerFooter>
  <colBreaks count="3" manualBreakCount="3">
    <brk id="11" min="1" max="83" man="1"/>
    <brk id="18" min="1" max="83" man="1"/>
    <brk id="25" min="1" max="83" man="1"/>
  </colBreak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B84"/>
  <sheetViews>
    <sheetView workbookViewId="0"/>
  </sheetViews>
  <sheetFormatPr defaultRowHeight="13.2"/>
  <cols>
    <col min="1" max="1" width="10.6640625" style="29" customWidth="1"/>
    <col min="2" max="3" width="9.109375" style="29"/>
    <col min="4" max="4" width="22" style="29" customWidth="1"/>
    <col min="5" max="5" width="10.6640625" style="29" customWidth="1"/>
    <col min="6" max="6" width="9.6640625" style="29" customWidth="1"/>
    <col min="7" max="7" width="6.5546875" style="29" customWidth="1"/>
    <col min="8" max="8" width="12.88671875" style="29" customWidth="1"/>
    <col min="9" max="9" width="7.88671875" style="29" customWidth="1"/>
    <col min="10" max="10" width="11.44140625" style="29" customWidth="1"/>
    <col min="11" max="11" width="14.33203125" style="29" customWidth="1"/>
    <col min="12" max="12" width="14.88671875" style="29" customWidth="1"/>
    <col min="13" max="13" width="2.109375" style="29" customWidth="1"/>
    <col min="14" max="14" width="19" customWidth="1"/>
  </cols>
  <sheetData>
    <row r="1" spans="1:28">
      <c r="A1" s="60" t="s">
        <v>101</v>
      </c>
      <c r="B1" s="60"/>
      <c r="C1" s="60"/>
      <c r="D1" s="60"/>
      <c r="E1" s="60"/>
      <c r="F1" s="60"/>
      <c r="G1" s="111"/>
      <c r="H1" s="100" t="s">
        <v>101</v>
      </c>
      <c r="I1" s="100"/>
      <c r="J1" s="100"/>
      <c r="K1" s="100"/>
      <c r="L1" s="100"/>
      <c r="M1" s="100"/>
      <c r="N1" s="29"/>
    </row>
    <row r="2" spans="1:28">
      <c r="A2" s="60" t="s">
        <v>116</v>
      </c>
      <c r="B2" s="60"/>
      <c r="C2" s="60"/>
      <c r="D2" s="60"/>
      <c r="E2" s="60"/>
      <c r="F2" s="60"/>
      <c r="H2" s="505" t="s">
        <v>421</v>
      </c>
      <c r="I2" s="505"/>
      <c r="J2" s="505"/>
      <c r="K2" s="505"/>
      <c r="L2" s="505"/>
      <c r="M2" s="505"/>
      <c r="N2" s="29"/>
    </row>
    <row r="3" spans="1:28">
      <c r="A3" s="60" t="s">
        <v>103</v>
      </c>
      <c r="B3" s="60"/>
      <c r="C3" s="60"/>
      <c r="D3" s="60"/>
      <c r="E3" s="60"/>
      <c r="F3" s="60"/>
      <c r="G3" s="111"/>
      <c r="H3" s="438" t="s">
        <v>103</v>
      </c>
      <c r="I3" s="438"/>
      <c r="J3" s="438"/>
      <c r="K3" s="438"/>
      <c r="L3" s="438"/>
      <c r="M3" s="438"/>
      <c r="N3" s="29"/>
    </row>
    <row r="4" spans="1:28">
      <c r="A4" s="511" t="str">
        <f>'ADJ DETAIL INPUT'!A4</f>
        <v>TWELVE MONTHS ENDED DECEMBER 31, 2017</v>
      </c>
      <c r="B4" s="511"/>
      <c r="C4" s="511"/>
      <c r="D4" s="511"/>
      <c r="E4" s="511"/>
      <c r="F4" s="511"/>
      <c r="H4" s="512" t="s">
        <v>456</v>
      </c>
      <c r="I4" s="512"/>
      <c r="J4" s="512"/>
      <c r="K4" s="512"/>
      <c r="L4" s="512"/>
      <c r="M4" s="512"/>
    </row>
    <row r="5" spans="1:28">
      <c r="A5" s="505" t="s">
        <v>131</v>
      </c>
      <c r="B5" s="505"/>
      <c r="C5" s="505"/>
      <c r="D5" s="505"/>
      <c r="E5" s="505"/>
      <c r="F5" s="505"/>
      <c r="G5" s="111"/>
      <c r="H5" s="510"/>
      <c r="I5" s="510"/>
      <c r="J5" s="510"/>
      <c r="K5" s="510"/>
      <c r="L5" s="510"/>
      <c r="M5" s="510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</row>
    <row r="6" spans="1:28" ht="16.2" thickBot="1">
      <c r="A6" s="111"/>
      <c r="B6" s="111"/>
      <c r="C6" s="111"/>
      <c r="D6" s="111"/>
      <c r="E6" s="111"/>
      <c r="F6" s="111"/>
      <c r="G6" s="101"/>
      <c r="H6" s="102"/>
      <c r="I6" s="102"/>
      <c r="J6" s="102"/>
      <c r="K6" s="102"/>
      <c r="L6" s="102"/>
      <c r="N6" s="170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</row>
    <row r="7" spans="1:28" ht="15.6">
      <c r="G7" s="101"/>
      <c r="H7" s="445"/>
      <c r="I7" s="446"/>
      <c r="J7" s="308"/>
      <c r="K7" s="308"/>
      <c r="L7" s="309"/>
      <c r="N7" s="428"/>
    </row>
    <row r="8" spans="1:28" ht="15.6">
      <c r="A8" s="32"/>
      <c r="B8" s="32"/>
      <c r="C8" s="32"/>
      <c r="D8" s="32"/>
      <c r="E8" s="32"/>
      <c r="F8" s="34"/>
      <c r="G8" s="103"/>
      <c r="H8" s="310"/>
      <c r="I8" s="311"/>
      <c r="J8" s="312"/>
      <c r="K8" s="313"/>
      <c r="L8" s="421"/>
      <c r="N8" s="429"/>
    </row>
    <row r="9" spans="1:28" ht="15.6">
      <c r="A9" s="65" t="s">
        <v>117</v>
      </c>
      <c r="B9" s="33"/>
      <c r="C9" s="506" t="s">
        <v>62</v>
      </c>
      <c r="D9" s="507"/>
      <c r="E9" s="34"/>
      <c r="F9" s="65"/>
      <c r="G9" s="103"/>
      <c r="H9" s="315"/>
      <c r="I9" s="314"/>
      <c r="J9" s="314" t="s">
        <v>118</v>
      </c>
      <c r="K9" s="314"/>
      <c r="L9" s="421" t="s">
        <v>119</v>
      </c>
      <c r="N9" s="429"/>
    </row>
    <row r="10" spans="1:28" ht="15.6">
      <c r="A10" s="66" t="s">
        <v>16</v>
      </c>
      <c r="B10" s="33"/>
      <c r="C10" s="508"/>
      <c r="D10" s="509"/>
      <c r="E10" s="34"/>
      <c r="F10" s="66" t="s">
        <v>132</v>
      </c>
      <c r="G10" s="103"/>
      <c r="H10" s="316" t="s">
        <v>120</v>
      </c>
      <c r="I10" s="314"/>
      <c r="J10" s="317" t="s">
        <v>121</v>
      </c>
      <c r="K10" s="317" t="s">
        <v>122</v>
      </c>
      <c r="L10" s="422" t="s">
        <v>122</v>
      </c>
      <c r="N10" s="429"/>
    </row>
    <row r="11" spans="1:28" ht="15.6">
      <c r="A11" s="32"/>
      <c r="B11" s="32"/>
      <c r="C11" s="32"/>
      <c r="D11" s="32"/>
      <c r="E11" s="67"/>
      <c r="G11" s="103"/>
      <c r="H11" s="310"/>
      <c r="I11" s="311"/>
      <c r="J11" s="311"/>
      <c r="K11" s="311"/>
      <c r="L11" s="423"/>
      <c r="N11" s="429"/>
    </row>
    <row r="12" spans="1:28" ht="15.6">
      <c r="A12" s="36">
        <v>1</v>
      </c>
      <c r="B12" s="32"/>
      <c r="C12" s="32" t="s">
        <v>133</v>
      </c>
      <c r="D12" s="32"/>
      <c r="E12" s="32"/>
      <c r="F12" s="37">
        <f>'ADJ SUMMARY'!E29</f>
        <v>313174</v>
      </c>
      <c r="G12" s="103"/>
      <c r="H12" s="318"/>
      <c r="I12" s="319"/>
      <c r="J12" s="319"/>
      <c r="K12" s="319"/>
      <c r="L12" s="424"/>
      <c r="N12" s="429"/>
    </row>
    <row r="13" spans="1:28" ht="15.6">
      <c r="A13" s="36"/>
      <c r="B13" s="32"/>
      <c r="C13" s="32"/>
      <c r="D13" s="32"/>
      <c r="E13" s="32"/>
      <c r="F13" s="37"/>
      <c r="G13" s="103"/>
      <c r="H13" s="320" t="s">
        <v>399</v>
      </c>
      <c r="I13" s="321"/>
      <c r="J13" s="322">
        <v>0.52139999999999997</v>
      </c>
      <c r="K13" s="447">
        <v>5.4609999999999999E-2</v>
      </c>
      <c r="L13" s="425">
        <f>ROUND(J13*K13,5)</f>
        <v>2.8469999999999999E-2</v>
      </c>
      <c r="N13" s="430" t="s">
        <v>146</v>
      </c>
    </row>
    <row r="14" spans="1:28" ht="15.6">
      <c r="A14" s="36">
        <v>2</v>
      </c>
      <c r="B14" s="32"/>
      <c r="C14" s="32" t="s">
        <v>123</v>
      </c>
      <c r="D14" s="32"/>
      <c r="E14" s="32"/>
      <c r="F14" s="303">
        <f>L17</f>
        <v>7.3969999999999994E-2</v>
      </c>
      <c r="G14" s="103"/>
      <c r="H14" s="320"/>
      <c r="I14" s="321"/>
      <c r="J14" s="322"/>
      <c r="K14" s="322"/>
      <c r="L14" s="425"/>
      <c r="N14" s="325">
        <f>L13+L14</f>
        <v>2.8469999999999999E-2</v>
      </c>
    </row>
    <row r="15" spans="1:28" ht="15.6">
      <c r="A15" s="36"/>
      <c r="B15" s="32"/>
      <c r="C15" s="32"/>
      <c r="D15" s="32"/>
      <c r="E15" s="32"/>
      <c r="F15" s="62"/>
      <c r="G15" s="103"/>
      <c r="H15" s="320" t="s">
        <v>153</v>
      </c>
      <c r="I15" s="321"/>
      <c r="J15" s="322">
        <f>1-J13</f>
        <v>0.47860000000000003</v>
      </c>
      <c r="K15" s="322">
        <v>9.5000000000000001E-2</v>
      </c>
      <c r="L15" s="425">
        <f>ROUND(J15*K15,4)</f>
        <v>4.5499999999999999E-2</v>
      </c>
      <c r="N15" s="429"/>
    </row>
    <row r="16" spans="1:28" ht="15.6">
      <c r="A16" s="36">
        <v>3</v>
      </c>
      <c r="B16" s="32"/>
      <c r="C16" s="32" t="s">
        <v>124</v>
      </c>
      <c r="D16" s="32"/>
      <c r="E16" s="32"/>
      <c r="F16" s="37">
        <f>ROUND(F12*F14,0)</f>
        <v>23165</v>
      </c>
      <c r="G16" s="103"/>
      <c r="H16" s="318"/>
      <c r="I16" s="319"/>
      <c r="J16" s="319"/>
      <c r="K16" s="319"/>
      <c r="L16" s="424"/>
      <c r="N16" s="429"/>
    </row>
    <row r="17" spans="1:14" ht="16.2" thickBot="1">
      <c r="A17" s="36"/>
      <c r="B17" s="32"/>
      <c r="C17" s="32"/>
      <c r="D17" s="32"/>
      <c r="E17" s="32"/>
      <c r="F17" s="37"/>
      <c r="G17" s="103"/>
      <c r="H17" s="320" t="s">
        <v>25</v>
      </c>
      <c r="I17" s="323"/>
      <c r="J17" s="324">
        <f>SUM(J13:J15)</f>
        <v>1</v>
      </c>
      <c r="K17" s="325"/>
      <c r="L17" s="426">
        <f>SUM(L13:L15)</f>
        <v>7.3969999999999994E-2</v>
      </c>
      <c r="N17" s="429"/>
    </row>
    <row r="18" spans="1:14" ht="16.8" thickTop="1" thickBot="1">
      <c r="A18" s="36">
        <v>4</v>
      </c>
      <c r="B18" s="32"/>
      <c r="C18" s="32" t="s">
        <v>125</v>
      </c>
      <c r="D18" s="32"/>
      <c r="E18" s="32"/>
      <c r="F18" s="359">
        <f>'ADJ SUMMARY'!D29</f>
        <v>24557.077108500001</v>
      </c>
      <c r="G18" s="103"/>
      <c r="H18" s="326"/>
      <c r="I18" s="327"/>
      <c r="J18" s="327"/>
      <c r="K18" s="327"/>
      <c r="L18" s="427"/>
      <c r="N18" s="429"/>
    </row>
    <row r="19" spans="1:14" ht="15.6">
      <c r="A19" s="36"/>
      <c r="B19" s="32"/>
      <c r="C19" s="32"/>
      <c r="D19" s="32"/>
      <c r="E19" s="32"/>
      <c r="F19" s="32"/>
      <c r="G19" s="103"/>
      <c r="H19" s="92"/>
      <c r="I19" s="92"/>
      <c r="J19" s="92"/>
      <c r="K19" s="92"/>
      <c r="L19" s="92"/>
      <c r="M19" s="97"/>
      <c r="N19" s="431"/>
    </row>
    <row r="20" spans="1:14" ht="15.6">
      <c r="A20" s="36">
        <v>5</v>
      </c>
      <c r="B20" s="32"/>
      <c r="C20" s="32" t="s">
        <v>126</v>
      </c>
      <c r="D20" s="32"/>
      <c r="E20" s="32"/>
      <c r="F20" s="37">
        <f>F16-F18</f>
        <v>-1392.0771085000015</v>
      </c>
      <c r="G20" s="103"/>
      <c r="H20" s="90"/>
      <c r="I20" s="90"/>
      <c r="J20" s="90"/>
      <c r="K20" s="90"/>
      <c r="L20" s="90"/>
      <c r="M20" s="90"/>
    </row>
    <row r="21" spans="1:14" ht="15.6">
      <c r="A21" s="36"/>
      <c r="B21" s="32"/>
      <c r="C21" s="32"/>
      <c r="D21" s="32"/>
      <c r="E21" s="32"/>
      <c r="F21" s="32"/>
      <c r="G21" s="61"/>
      <c r="H21" s="170"/>
      <c r="I21" s="170"/>
      <c r="J21" s="170"/>
      <c r="K21" s="170"/>
      <c r="L21" s="170"/>
      <c r="M21" s="170"/>
    </row>
    <row r="22" spans="1:14" ht="15.6">
      <c r="A22" s="36">
        <v>6</v>
      </c>
      <c r="B22" s="32"/>
      <c r="C22" s="32" t="s">
        <v>127</v>
      </c>
      <c r="D22" s="32"/>
      <c r="E22" s="32"/>
      <c r="F22" s="124">
        <f>CF!E27</f>
        <v>0.62053000000000003</v>
      </c>
      <c r="G22" s="61"/>
      <c r="H22" s="105"/>
      <c r="I22" s="105"/>
      <c r="J22" s="109"/>
      <c r="K22" s="110"/>
      <c r="L22" s="104"/>
      <c r="M22" s="171"/>
      <c r="N22" s="96"/>
    </row>
    <row r="23" spans="1:14" ht="16.2" thickBot="1">
      <c r="A23" s="36"/>
      <c r="B23" s="32"/>
      <c r="C23" s="32"/>
      <c r="D23" s="32"/>
      <c r="E23" s="32"/>
      <c r="F23" s="32"/>
      <c r="G23" s="61"/>
      <c r="H23" s="172"/>
      <c r="I23" s="104"/>
      <c r="J23" s="104"/>
      <c r="K23" s="104"/>
      <c r="L23" s="104"/>
      <c r="M23" s="171"/>
      <c r="N23" s="96"/>
    </row>
    <row r="24" spans="1:14" ht="16.2" thickBot="1">
      <c r="A24" s="36">
        <v>7</v>
      </c>
      <c r="B24" s="32"/>
      <c r="C24" s="32" t="s">
        <v>128</v>
      </c>
      <c r="D24" s="32"/>
      <c r="E24" s="95"/>
      <c r="F24" s="63">
        <f>ROUND(F20/F22,0)</f>
        <v>-2243</v>
      </c>
      <c r="G24" s="61"/>
      <c r="H24" s="104"/>
      <c r="I24" s="104"/>
      <c r="J24" s="357"/>
      <c r="K24" s="358"/>
      <c r="L24" s="104"/>
      <c r="M24" s="171"/>
      <c r="N24" s="96"/>
    </row>
    <row r="25" spans="1:14" ht="15.6">
      <c r="A25" s="32"/>
      <c r="B25" s="32"/>
      <c r="C25" s="32"/>
      <c r="D25" s="32"/>
      <c r="E25" s="95"/>
      <c r="F25" s="32"/>
      <c r="G25" s="61"/>
      <c r="H25" s="105"/>
      <c r="I25" s="105"/>
      <c r="J25" s="357"/>
      <c r="K25" s="358"/>
      <c r="L25" s="105"/>
      <c r="M25" s="171"/>
      <c r="N25" s="96"/>
    </row>
    <row r="26" spans="1:14" ht="15.6">
      <c r="A26" s="36">
        <v>8</v>
      </c>
      <c r="B26" s="32"/>
      <c r="C26" s="32" t="s">
        <v>129</v>
      </c>
      <c r="D26" s="32"/>
      <c r="E26" s="32"/>
      <c r="F26" s="307">
        <f>'ADJ DETAIL INPUT'!Y15+'ADJ DETAIL INPUT'!Y16</f>
        <v>162792</v>
      </c>
      <c r="G26" s="61"/>
      <c r="H26" s="38"/>
      <c r="I26" s="38"/>
      <c r="J26" s="357"/>
      <c r="K26" s="358"/>
      <c r="L26" s="38"/>
      <c r="M26" s="171"/>
      <c r="N26" s="96"/>
    </row>
    <row r="27" spans="1:14" ht="15.6">
      <c r="A27" s="32"/>
      <c r="B27" s="32"/>
      <c r="C27" s="32"/>
      <c r="D27" s="32"/>
      <c r="E27" s="32"/>
      <c r="F27" s="32"/>
      <c r="G27" s="61"/>
      <c r="H27" s="170"/>
      <c r="I27" s="106"/>
      <c r="J27" s="165"/>
      <c r="K27" s="165"/>
      <c r="L27" s="165"/>
      <c r="M27" s="173"/>
      <c r="N27" s="96"/>
    </row>
    <row r="28" spans="1:14" ht="16.2" thickBot="1">
      <c r="A28" s="36">
        <v>9</v>
      </c>
      <c r="B28" s="32"/>
      <c r="C28" s="32" t="s">
        <v>130</v>
      </c>
      <c r="D28" s="32"/>
      <c r="E28" s="32"/>
      <c r="F28" s="64">
        <f>ROUND(F24/F26,4)</f>
        <v>-1.38E-2</v>
      </c>
      <c r="H28" s="170"/>
      <c r="I28" s="106"/>
      <c r="J28" s="165"/>
      <c r="K28" s="166"/>
      <c r="L28" s="165"/>
      <c r="M28" s="169"/>
      <c r="N28" s="96"/>
    </row>
    <row r="29" spans="1:14" ht="16.2" thickTop="1">
      <c r="B29" s="32"/>
      <c r="C29" s="61"/>
      <c r="D29" s="61"/>
      <c r="E29" s="61"/>
      <c r="F29" s="61"/>
      <c r="H29" s="170"/>
      <c r="I29" s="107"/>
      <c r="J29" s="167"/>
      <c r="K29" s="167"/>
      <c r="L29" s="168"/>
      <c r="M29" s="171"/>
      <c r="N29" s="96"/>
    </row>
    <row r="30" spans="1:14" ht="15.6">
      <c r="H30" s="170"/>
      <c r="I30" s="106"/>
      <c r="J30" s="165"/>
      <c r="K30" s="165"/>
      <c r="L30" s="165"/>
      <c r="M30" s="171"/>
      <c r="N30" s="96"/>
    </row>
    <row r="31" spans="1:14" ht="15.6">
      <c r="H31" s="170"/>
      <c r="I31" s="107"/>
      <c r="J31" s="167"/>
      <c r="K31" s="167"/>
      <c r="L31" s="168"/>
      <c r="M31" s="171"/>
      <c r="N31" s="96"/>
    </row>
    <row r="32" spans="1:14" ht="15.75" customHeight="1">
      <c r="F32" s="92"/>
      <c r="H32" s="38"/>
      <c r="I32" s="38"/>
      <c r="J32" s="38"/>
      <c r="K32" s="38"/>
      <c r="L32" s="38"/>
      <c r="M32" s="171"/>
      <c r="N32" s="96"/>
    </row>
    <row r="33" spans="6:14" ht="15.6">
      <c r="H33" s="170"/>
      <c r="I33" s="108"/>
      <c r="J33" s="169"/>
      <c r="K33" s="169"/>
      <c r="L33" s="169"/>
      <c r="M33" s="171"/>
      <c r="N33" s="96"/>
    </row>
    <row r="34" spans="6:14" ht="15.6">
      <c r="H34" s="170"/>
      <c r="I34" s="170"/>
      <c r="J34" s="170"/>
      <c r="K34" s="170"/>
      <c r="L34" s="170"/>
      <c r="M34" s="171"/>
      <c r="N34" s="96"/>
    </row>
    <row r="35" spans="6:14">
      <c r="H35" s="38"/>
      <c r="I35" s="38"/>
      <c r="J35" s="38"/>
      <c r="K35" s="38"/>
      <c r="L35" s="38"/>
      <c r="M35" s="38"/>
      <c r="N35" s="96"/>
    </row>
    <row r="36" spans="6:14">
      <c r="H36"/>
      <c r="I36"/>
      <c r="J36"/>
      <c r="K36"/>
      <c r="L36"/>
      <c r="M36"/>
    </row>
    <row r="37" spans="6:14">
      <c r="H37"/>
      <c r="I37"/>
      <c r="J37"/>
      <c r="K37"/>
      <c r="L37"/>
      <c r="M37"/>
    </row>
    <row r="38" spans="6:14">
      <c r="G38"/>
      <c r="H38"/>
      <c r="I38"/>
      <c r="J38"/>
      <c r="K38"/>
      <c r="L38"/>
      <c r="M38"/>
    </row>
    <row r="39" spans="6:14">
      <c r="F39" s="92"/>
      <c r="G39"/>
      <c r="H39"/>
      <c r="I39"/>
      <c r="J39"/>
      <c r="K39"/>
      <c r="L39"/>
      <c r="M39"/>
    </row>
    <row r="40" spans="6:14">
      <c r="F40" s="92"/>
      <c r="G40"/>
      <c r="H40"/>
      <c r="I40"/>
      <c r="J40"/>
      <c r="K40"/>
      <c r="L40"/>
      <c r="M40"/>
    </row>
    <row r="41" spans="6:14">
      <c r="F41" s="92"/>
      <c r="G41"/>
      <c r="H41"/>
      <c r="I41"/>
      <c r="J41"/>
      <c r="K41"/>
      <c r="L41"/>
      <c r="M41"/>
    </row>
    <row r="42" spans="6:14">
      <c r="F42" s="92"/>
      <c r="G42"/>
      <c r="H42"/>
      <c r="I42"/>
      <c r="J42"/>
      <c r="K42"/>
      <c r="L42"/>
      <c r="M42"/>
    </row>
    <row r="43" spans="6:14">
      <c r="F43" s="92"/>
      <c r="G43"/>
      <c r="H43"/>
      <c r="I43"/>
      <c r="J43"/>
      <c r="K43"/>
      <c r="L43"/>
      <c r="M43"/>
    </row>
    <row r="44" spans="6:14">
      <c r="F44" s="92"/>
      <c r="G44"/>
      <c r="H44"/>
      <c r="I44"/>
      <c r="J44"/>
      <c r="K44"/>
      <c r="L44"/>
      <c r="M44"/>
    </row>
    <row r="45" spans="6:14">
      <c r="F45" s="92"/>
      <c r="G45"/>
      <c r="H45"/>
      <c r="I45"/>
      <c r="J45"/>
      <c r="K45"/>
      <c r="L45"/>
      <c r="M45"/>
    </row>
    <row r="46" spans="6:14">
      <c r="F46" s="92"/>
      <c r="G46"/>
      <c r="H46"/>
      <c r="I46"/>
      <c r="J46"/>
      <c r="K46"/>
      <c r="L46"/>
      <c r="M46"/>
    </row>
    <row r="47" spans="6:14">
      <c r="F47" s="92"/>
      <c r="G47"/>
      <c r="H47"/>
      <c r="I47"/>
      <c r="J47"/>
      <c r="K47"/>
      <c r="L47"/>
      <c r="M47"/>
    </row>
    <row r="48" spans="6:14">
      <c r="F48" s="92"/>
      <c r="G48"/>
      <c r="H48"/>
      <c r="I48"/>
      <c r="J48"/>
      <c r="K48"/>
      <c r="L48"/>
      <c r="M48"/>
    </row>
    <row r="49" spans="6:14">
      <c r="F49" s="92"/>
      <c r="G49"/>
      <c r="H49"/>
      <c r="I49"/>
      <c r="J49"/>
      <c r="K49"/>
      <c r="L49"/>
      <c r="M49"/>
    </row>
    <row r="50" spans="6:14">
      <c r="F50" s="92"/>
      <c r="G50"/>
      <c r="H50"/>
      <c r="I50"/>
      <c r="J50"/>
      <c r="K50"/>
      <c r="L50"/>
      <c r="M50"/>
    </row>
    <row r="51" spans="6:14">
      <c r="F51" s="92"/>
      <c r="G51"/>
      <c r="H51"/>
      <c r="I51"/>
      <c r="J51"/>
      <c r="K51"/>
      <c r="L51"/>
      <c r="M51"/>
    </row>
    <row r="52" spans="6:14">
      <c r="F52" s="92"/>
      <c r="G52"/>
      <c r="H52"/>
      <c r="I52"/>
      <c r="J52"/>
      <c r="K52"/>
      <c r="L52"/>
      <c r="M52"/>
    </row>
    <row r="53" spans="6:14">
      <c r="F53" s="92"/>
      <c r="G53"/>
      <c r="H53" s="92"/>
      <c r="I53" s="92"/>
      <c r="J53" s="92"/>
      <c r="K53" s="92"/>
      <c r="L53" s="92"/>
      <c r="M53" s="92"/>
    </row>
    <row r="54" spans="6:14">
      <c r="F54" s="92"/>
      <c r="G54"/>
      <c r="H54" s="92"/>
      <c r="I54" s="92"/>
      <c r="J54" s="92"/>
      <c r="K54" s="92"/>
      <c r="L54" s="92"/>
      <c r="M54" s="92"/>
    </row>
    <row r="55" spans="6:14">
      <c r="F55" s="92"/>
      <c r="G55" s="92"/>
      <c r="H55" s="92"/>
      <c r="I55" s="92"/>
      <c r="J55" s="92"/>
      <c r="K55" s="92"/>
      <c r="L55" s="92"/>
      <c r="M55" s="92"/>
      <c r="N55" s="86"/>
    </row>
    <row r="56" spans="6:14">
      <c r="F56" s="92"/>
      <c r="G56" s="92"/>
      <c r="H56" s="92"/>
      <c r="I56" s="92"/>
      <c r="J56" s="92"/>
      <c r="K56" s="92"/>
      <c r="L56" s="92"/>
      <c r="M56" s="92"/>
      <c r="N56" s="86"/>
    </row>
    <row r="57" spans="6:14">
      <c r="F57" s="92"/>
      <c r="G57" s="92"/>
      <c r="N57" s="86"/>
    </row>
    <row r="58" spans="6:14">
      <c r="F58" s="92"/>
      <c r="G58" s="92"/>
      <c r="N58" s="86"/>
    </row>
    <row r="84" spans="21:21">
      <c r="U84">
        <f>U90</f>
        <v>0</v>
      </c>
    </row>
  </sheetData>
  <mergeCells count="6">
    <mergeCell ref="H2:M2"/>
    <mergeCell ref="A5:F5"/>
    <mergeCell ref="C9:D10"/>
    <mergeCell ref="H5:M5"/>
    <mergeCell ref="A4:F4"/>
    <mergeCell ref="H4:M4"/>
  </mergeCells>
  <phoneticPr fontId="0" type="noConversion"/>
  <printOptions horizontalCentered="1"/>
  <pageMargins left="0.75" right="0.5" top="0.72" bottom="0.84" header="0.5" footer="0.5"/>
  <pageSetup scale="110" orientation="portrait" r:id="rId1"/>
  <headerFooter scaleWithDoc="0" alignWithMargins="0">
    <oddHeader>&amp;RCBR 12/2017 Natural Gas</oddHeader>
    <oddFooter>&amp;RPage &amp;P of &amp;N</oddFooter>
  </headerFooter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AQ82"/>
  <sheetViews>
    <sheetView workbookViewId="0">
      <selection activeCell="E15" sqref="E15:E19"/>
    </sheetView>
  </sheetViews>
  <sheetFormatPr defaultColWidth="9.109375" defaultRowHeight="13.2"/>
  <cols>
    <col min="1" max="1" width="9.109375" style="29"/>
    <col min="2" max="2" width="6.5546875" style="29" customWidth="1"/>
    <col min="3" max="3" width="42" style="29" customWidth="1"/>
    <col min="4" max="4" width="9.109375" style="29"/>
    <col min="5" max="5" width="20.109375" style="84" customWidth="1"/>
    <col min="6" max="6" width="9.109375" style="29"/>
    <col min="7" max="7" width="14.6640625" style="29" customWidth="1"/>
    <col min="8" max="8" width="10.33203125" style="29" customWidth="1"/>
    <col min="9" max="9" width="9.109375" style="29"/>
    <col min="10" max="10" width="19.88671875" style="29" bestFit="1" customWidth="1"/>
    <col min="11" max="30" width="9.109375" style="29"/>
    <col min="31" max="31" width="14.6640625" style="29" customWidth="1"/>
    <col min="32" max="32" width="13" style="29" customWidth="1"/>
    <col min="33" max="16384" width="9.109375" style="29"/>
  </cols>
  <sheetData>
    <row r="1" spans="1:43" s="71" customFormat="1">
      <c r="A1" s="29"/>
      <c r="B1" s="29"/>
      <c r="C1" s="68" t="s">
        <v>101</v>
      </c>
      <c r="D1" s="69"/>
      <c r="E1" s="70"/>
      <c r="G1" s="329"/>
      <c r="H1" s="330"/>
      <c r="I1" s="330"/>
      <c r="J1" s="29"/>
      <c r="Q1" s="505" t="s">
        <v>101</v>
      </c>
      <c r="R1" s="505"/>
      <c r="S1" s="505"/>
      <c r="T1" s="505"/>
      <c r="U1" s="505"/>
      <c r="V1" s="505"/>
      <c r="W1" s="505"/>
    </row>
    <row r="2" spans="1:43" s="71" customFormat="1">
      <c r="B2" s="29"/>
      <c r="C2" s="125" t="s">
        <v>134</v>
      </c>
      <c r="D2" s="69"/>
      <c r="E2" s="72"/>
      <c r="J2" s="29"/>
      <c r="Q2" s="505" t="s">
        <v>152</v>
      </c>
      <c r="R2" s="505"/>
      <c r="S2" s="505"/>
      <c r="T2" s="505"/>
      <c r="U2" s="505"/>
      <c r="V2" s="505"/>
      <c r="W2" s="505"/>
    </row>
    <row r="3" spans="1:43" s="71" customFormat="1">
      <c r="B3" s="29"/>
      <c r="C3" s="68" t="s">
        <v>135</v>
      </c>
      <c r="D3" s="69"/>
      <c r="E3" s="72"/>
      <c r="J3" s="29"/>
      <c r="Q3" s="328"/>
      <c r="R3" s="328"/>
      <c r="S3" s="328"/>
      <c r="T3" s="328"/>
      <c r="U3" s="328"/>
      <c r="V3" s="328"/>
      <c r="W3" s="328"/>
    </row>
    <row r="4" spans="1:43">
      <c r="B4" s="99"/>
      <c r="C4" s="265" t="str">
        <f>'ADJ DETAIL INPUT'!A4</f>
        <v>TWELVE MONTHS ENDED DECEMBER 31, 2017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68"/>
      <c r="O4" s="68"/>
      <c r="P4" s="68"/>
    </row>
    <row r="5" spans="1:43" ht="13.8" thickBot="1">
      <c r="C5" s="34"/>
      <c r="D5" s="73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</row>
    <row r="6" spans="1:43">
      <c r="A6" s="34"/>
      <c r="C6" s="74"/>
      <c r="D6" s="73"/>
      <c r="E6" s="69"/>
      <c r="P6" s="92"/>
      <c r="Y6" s="92"/>
      <c r="Z6" s="92"/>
      <c r="AD6" s="92"/>
      <c r="AE6" s="336"/>
      <c r="AF6" s="337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</row>
    <row r="7" spans="1:43">
      <c r="A7" s="34"/>
      <c r="C7" s="74"/>
      <c r="D7" s="73"/>
      <c r="E7" s="69"/>
      <c r="AE7" s="338"/>
      <c r="AF7" s="339"/>
    </row>
    <row r="8" spans="1:43">
      <c r="A8" s="34"/>
      <c r="C8" s="73"/>
      <c r="D8" s="73"/>
      <c r="E8" s="122"/>
      <c r="F8" s="123"/>
      <c r="G8" s="123"/>
      <c r="AE8" s="338"/>
      <c r="AF8" s="339"/>
    </row>
    <row r="9" spans="1:43">
      <c r="A9" s="34" t="s">
        <v>117</v>
      </c>
      <c r="C9" s="34"/>
      <c r="D9" s="73"/>
      <c r="E9" s="34"/>
      <c r="J9" s="85" t="s">
        <v>147</v>
      </c>
      <c r="M9" s="38"/>
      <c r="N9" s="38"/>
      <c r="O9" s="38"/>
      <c r="P9" s="38"/>
      <c r="AE9" s="338"/>
      <c r="AF9" s="339"/>
    </row>
    <row r="10" spans="1:43">
      <c r="A10" s="35" t="s">
        <v>16</v>
      </c>
      <c r="C10" s="35" t="s">
        <v>62</v>
      </c>
      <c r="D10" s="73"/>
      <c r="E10" s="35" t="s">
        <v>136</v>
      </c>
      <c r="M10" s="38"/>
      <c r="N10" s="38"/>
      <c r="O10" s="38"/>
      <c r="P10" s="38"/>
      <c r="AE10" s="338"/>
      <c r="AF10" s="339"/>
    </row>
    <row r="11" spans="1:43">
      <c r="A11" s="34"/>
      <c r="C11" s="73"/>
      <c r="D11" s="73"/>
      <c r="E11" s="73"/>
      <c r="M11" s="38"/>
      <c r="N11" s="38"/>
      <c r="O11" s="38"/>
      <c r="P11" s="38"/>
      <c r="AE11" s="338"/>
      <c r="AF11" s="339"/>
    </row>
    <row r="12" spans="1:43">
      <c r="A12" s="30">
        <v>1</v>
      </c>
      <c r="C12" s="75" t="s">
        <v>137</v>
      </c>
      <c r="D12" s="73"/>
      <c r="E12" s="347">
        <v>1</v>
      </c>
      <c r="J12" s="76">
        <f>'RR SUMMARY'!F24</f>
        <v>-2243</v>
      </c>
      <c r="M12" s="38"/>
      <c r="N12" s="334"/>
      <c r="O12" s="38"/>
      <c r="P12" s="38"/>
      <c r="AE12" s="338"/>
      <c r="AF12" s="339"/>
    </row>
    <row r="13" spans="1:43">
      <c r="A13" s="30"/>
      <c r="C13" s="75"/>
      <c r="D13" s="73"/>
      <c r="E13" s="347"/>
      <c r="M13" s="38"/>
      <c r="N13" s="38"/>
      <c r="O13" s="38"/>
      <c r="P13" s="38"/>
      <c r="AE13" s="338"/>
      <c r="AF13" s="339"/>
    </row>
    <row r="14" spans="1:43">
      <c r="A14" s="30"/>
      <c r="C14" s="75" t="s">
        <v>138</v>
      </c>
      <c r="D14" s="73"/>
      <c r="E14" s="347"/>
      <c r="M14" s="38"/>
      <c r="N14" s="38"/>
      <c r="O14" s="38"/>
      <c r="P14" s="38"/>
      <c r="AE14" s="338"/>
      <c r="AF14" s="339"/>
    </row>
    <row r="15" spans="1:43">
      <c r="A15" s="30">
        <v>2</v>
      </c>
      <c r="B15" s="33"/>
      <c r="C15" s="73" t="s">
        <v>139</v>
      </c>
      <c r="D15" s="73"/>
      <c r="E15" s="347">
        <v>5.012E-3</v>
      </c>
      <c r="J15" s="77">
        <f>ROUND($J$12*E15,0)</f>
        <v>-11</v>
      </c>
      <c r="M15" s="38"/>
      <c r="N15" s="80"/>
      <c r="O15" s="38"/>
      <c r="P15" s="38"/>
      <c r="AE15" s="338"/>
      <c r="AF15" s="339"/>
    </row>
    <row r="16" spans="1:43">
      <c r="A16" s="30"/>
      <c r="C16" s="73"/>
      <c r="D16" s="73"/>
      <c r="E16" s="347"/>
      <c r="M16" s="38"/>
      <c r="N16" s="38"/>
      <c r="O16" s="38"/>
      <c r="P16" s="38"/>
      <c r="AE16" s="338"/>
      <c r="AF16" s="339"/>
    </row>
    <row r="17" spans="1:32">
      <c r="A17" s="30">
        <v>3</v>
      </c>
      <c r="C17" s="73" t="s">
        <v>140</v>
      </c>
      <c r="D17" s="73"/>
      <c r="E17" s="78">
        <v>2E-3</v>
      </c>
      <c r="J17" s="77">
        <f>ROUND($J$12*E17,0)</f>
        <v>-4</v>
      </c>
      <c r="M17" s="38"/>
      <c r="N17" s="80"/>
      <c r="O17" s="38"/>
      <c r="P17" s="38"/>
      <c r="AE17" s="338"/>
      <c r="AF17" s="339"/>
    </row>
    <row r="18" spans="1:32">
      <c r="A18" s="30"/>
      <c r="C18" s="73"/>
      <c r="D18" s="73"/>
      <c r="E18" s="347"/>
      <c r="M18" s="38"/>
      <c r="N18" s="38"/>
      <c r="O18" s="38"/>
      <c r="P18" s="38"/>
      <c r="AE18" s="338"/>
      <c r="AF18" s="339"/>
    </row>
    <row r="19" spans="1:32">
      <c r="A19" s="30">
        <v>4</v>
      </c>
      <c r="C19" s="73" t="s">
        <v>141</v>
      </c>
      <c r="D19" s="73"/>
      <c r="E19" s="347">
        <v>3.8327E-2</v>
      </c>
      <c r="J19" s="77">
        <f>ROUND($J$12*E19,0)</f>
        <v>-86</v>
      </c>
      <c r="M19" s="38"/>
      <c r="N19" s="80"/>
      <c r="O19" s="38"/>
      <c r="P19" s="38"/>
      <c r="AE19" s="338"/>
      <c r="AF19" s="339"/>
    </row>
    <row r="20" spans="1:32">
      <c r="A20" s="30"/>
      <c r="C20" s="73"/>
      <c r="D20" s="73"/>
      <c r="E20" s="432"/>
      <c r="M20" s="38"/>
      <c r="N20" s="38"/>
      <c r="O20" s="38"/>
      <c r="P20" s="38"/>
      <c r="AE20" s="338"/>
      <c r="AF20" s="339"/>
    </row>
    <row r="21" spans="1:32">
      <c r="A21" s="30">
        <v>5</v>
      </c>
      <c r="C21" s="73" t="s">
        <v>142</v>
      </c>
      <c r="D21" s="73"/>
      <c r="E21" s="348">
        <f>SUM(E15:E20)</f>
        <v>4.5338999999999997E-2</v>
      </c>
      <c r="J21" s="79">
        <f>SUM(J15:J20)</f>
        <v>-101</v>
      </c>
      <c r="M21" s="38"/>
      <c r="N21" s="80"/>
      <c r="O21" s="38"/>
      <c r="P21" s="38"/>
      <c r="AE21" s="338"/>
      <c r="AF21" s="339"/>
    </row>
    <row r="22" spans="1:32">
      <c r="A22" s="30"/>
      <c r="C22" s="73"/>
      <c r="D22" s="73"/>
      <c r="E22" s="347"/>
      <c r="J22" s="80"/>
      <c r="M22" s="38"/>
      <c r="N22" s="80"/>
      <c r="O22" s="38"/>
      <c r="P22" s="38"/>
      <c r="AE22" s="338"/>
      <c r="AF22" s="339"/>
    </row>
    <row r="23" spans="1:32">
      <c r="A23" s="30">
        <v>6</v>
      </c>
      <c r="C23" s="73" t="s">
        <v>143</v>
      </c>
      <c r="D23" s="73"/>
      <c r="E23" s="347">
        <f>E12-E21</f>
        <v>0.95466099999999998</v>
      </c>
      <c r="J23" s="80">
        <f>J12-J21</f>
        <v>-2142</v>
      </c>
      <c r="M23" s="38"/>
      <c r="N23" s="80"/>
      <c r="O23" s="38"/>
      <c r="P23" s="38"/>
      <c r="AE23" s="338"/>
      <c r="AF23" s="339"/>
    </row>
    <row r="24" spans="1:32">
      <c r="A24" s="30"/>
      <c r="C24" s="73"/>
      <c r="D24" s="73"/>
      <c r="E24" s="347"/>
      <c r="M24" s="38"/>
      <c r="N24" s="38"/>
      <c r="O24" s="38"/>
      <c r="P24" s="38"/>
      <c r="AE24" s="338"/>
      <c r="AF24" s="339"/>
    </row>
    <row r="25" spans="1:32">
      <c r="A25" s="30">
        <v>7</v>
      </c>
      <c r="C25" s="73" t="s">
        <v>144</v>
      </c>
      <c r="D25" s="81"/>
      <c r="E25" s="347">
        <f>E23*0.35</f>
        <v>0.33413134999999999</v>
      </c>
      <c r="J25" s="82">
        <f>ROUND(J23*0.35,0)</f>
        <v>-750</v>
      </c>
      <c r="M25" s="38"/>
      <c r="N25" s="80"/>
      <c r="O25" s="38"/>
      <c r="P25" s="38"/>
      <c r="AE25" s="338"/>
      <c r="AF25" s="339"/>
    </row>
    <row r="26" spans="1:32">
      <c r="C26" s="73"/>
      <c r="D26" s="73"/>
      <c r="E26" s="347"/>
      <c r="M26" s="38"/>
      <c r="N26" s="38"/>
      <c r="O26" s="38"/>
      <c r="P26" s="38"/>
      <c r="AE26" s="338"/>
      <c r="AF26" s="339"/>
    </row>
    <row r="27" spans="1:32" ht="13.8" thickBot="1">
      <c r="A27" s="30">
        <v>8</v>
      </c>
      <c r="C27" s="73" t="s">
        <v>145</v>
      </c>
      <c r="D27" s="73"/>
      <c r="E27" s="433">
        <f>ROUND(E23-E25,6)</f>
        <v>0.62053000000000003</v>
      </c>
      <c r="F27" s="513"/>
      <c r="G27" s="513"/>
      <c r="H27" s="513"/>
      <c r="J27" s="83">
        <f>J23-J25</f>
        <v>-1392</v>
      </c>
      <c r="M27" s="38"/>
      <c r="N27" s="335"/>
      <c r="O27" s="38"/>
      <c r="P27" s="38"/>
      <c r="AE27" s="338"/>
      <c r="AF27" s="339"/>
    </row>
    <row r="28" spans="1:32" ht="13.8" thickTop="1">
      <c r="C28" s="73"/>
      <c r="D28" s="73"/>
      <c r="F28" s="513"/>
      <c r="G28" s="513"/>
      <c r="H28" s="513"/>
      <c r="M28" s="38"/>
      <c r="N28" s="38"/>
      <c r="O28" s="38"/>
      <c r="P28" s="38"/>
      <c r="AE28" s="338"/>
      <c r="AF28" s="339"/>
    </row>
    <row r="29" spans="1:32">
      <c r="C29" s="73"/>
      <c r="D29" s="73"/>
      <c r="J29" s="77">
        <f>J27/E27</f>
        <v>-2243.2436787907109</v>
      </c>
      <c r="K29" s="29" t="s">
        <v>400</v>
      </c>
      <c r="M29" s="38"/>
      <c r="N29" s="38"/>
      <c r="O29" s="38"/>
      <c r="P29" s="38"/>
      <c r="AE29" s="338"/>
      <c r="AF29" s="339"/>
    </row>
    <row r="30" spans="1:32">
      <c r="C30" s="73"/>
      <c r="D30" s="73"/>
      <c r="F30" s="92"/>
      <c r="J30" s="49">
        <f>J29-'RR SUMMARY'!F24</f>
        <v>-0.24367879071087373</v>
      </c>
      <c r="K30" s="29" t="s">
        <v>72</v>
      </c>
      <c r="M30" s="38"/>
      <c r="N30" s="38"/>
      <c r="O30" s="38"/>
      <c r="P30" s="38"/>
      <c r="AE30" s="338"/>
      <c r="AF30" s="339"/>
    </row>
    <row r="31" spans="1:32">
      <c r="C31" s="73"/>
      <c r="D31" s="73"/>
      <c r="M31" s="38"/>
      <c r="N31" s="38"/>
      <c r="O31" s="38"/>
      <c r="P31" s="38"/>
      <c r="AE31" s="338"/>
      <c r="AF31" s="339"/>
    </row>
    <row r="32" spans="1:32">
      <c r="C32" s="73"/>
      <c r="D32" s="73"/>
      <c r="M32" s="38"/>
      <c r="N32" s="38"/>
      <c r="O32" s="38"/>
      <c r="P32" s="38"/>
      <c r="AE32" s="338"/>
      <c r="AF32" s="339"/>
    </row>
    <row r="33" spans="3:32">
      <c r="C33" s="73"/>
      <c r="D33" s="73"/>
      <c r="M33" s="38"/>
      <c r="N33" s="38"/>
      <c r="O33" s="38"/>
      <c r="P33" s="38"/>
      <c r="AE33" s="338"/>
      <c r="AF33" s="339"/>
    </row>
    <row r="34" spans="3:32">
      <c r="C34" s="73"/>
      <c r="D34" s="73"/>
      <c r="M34" s="38"/>
      <c r="N34" s="38"/>
      <c r="O34" s="38"/>
      <c r="P34" s="38"/>
      <c r="AE34" s="338"/>
      <c r="AF34" s="339"/>
    </row>
    <row r="35" spans="3:32">
      <c r="C35" s="73"/>
      <c r="D35" s="73"/>
      <c r="AE35" s="338"/>
      <c r="AF35" s="339"/>
    </row>
    <row r="36" spans="3:32">
      <c r="C36" s="73"/>
      <c r="D36" s="73"/>
      <c r="AE36" s="338"/>
      <c r="AF36" s="339"/>
    </row>
    <row r="37" spans="3:32">
      <c r="C37" s="73"/>
      <c r="D37" s="73"/>
      <c r="AE37" s="338"/>
      <c r="AF37" s="339"/>
    </row>
    <row r="38" spans="3:32">
      <c r="C38" s="78"/>
      <c r="D38" s="73"/>
      <c r="AE38" s="338"/>
      <c r="AF38" s="339"/>
    </row>
    <row r="39" spans="3:32">
      <c r="C39" s="73"/>
      <c r="D39" s="73"/>
      <c r="AE39" s="338"/>
      <c r="AF39" s="339"/>
    </row>
    <row r="40" spans="3:32">
      <c r="C40" s="73"/>
      <c r="D40" s="73"/>
      <c r="AE40" s="338"/>
      <c r="AF40" s="339"/>
    </row>
    <row r="41" spans="3:32">
      <c r="C41" s="73"/>
      <c r="D41" s="73"/>
      <c r="AE41" s="338"/>
      <c r="AF41" s="339"/>
    </row>
    <row r="42" spans="3:32">
      <c r="C42" s="73"/>
      <c r="D42" s="73"/>
      <c r="AE42" s="338"/>
      <c r="AF42" s="339"/>
    </row>
    <row r="43" spans="3:32">
      <c r="C43" s="73"/>
      <c r="D43" s="73"/>
      <c r="AE43" s="338"/>
      <c r="AF43" s="339"/>
    </row>
    <row r="44" spans="3:32">
      <c r="C44" s="73"/>
      <c r="AE44" s="338"/>
      <c r="AF44" s="339"/>
    </row>
    <row r="45" spans="3:32">
      <c r="C45" s="73"/>
      <c r="AE45" s="338"/>
      <c r="AF45" s="339"/>
    </row>
    <row r="46" spans="3:32">
      <c r="C46" s="73"/>
      <c r="D46" s="73"/>
      <c r="AE46" s="338"/>
      <c r="AF46" s="339"/>
    </row>
    <row r="47" spans="3:32">
      <c r="C47" s="73"/>
      <c r="D47" s="73"/>
      <c r="AE47" s="338"/>
      <c r="AF47" s="339"/>
    </row>
    <row r="48" spans="3:32">
      <c r="C48" s="73"/>
      <c r="D48" s="73"/>
      <c r="AE48" s="338"/>
      <c r="AF48" s="339"/>
    </row>
    <row r="49" spans="3:32">
      <c r="C49" s="73"/>
      <c r="D49" s="73"/>
      <c r="AE49" s="338"/>
      <c r="AF49" s="339"/>
    </row>
    <row r="50" spans="3:32">
      <c r="C50" s="73"/>
      <c r="D50" s="73"/>
      <c r="AE50" s="338"/>
      <c r="AF50" s="339"/>
    </row>
    <row r="51" spans="3:32">
      <c r="C51" s="73"/>
      <c r="D51" s="73"/>
      <c r="AE51" s="338"/>
      <c r="AF51" s="339"/>
    </row>
    <row r="52" spans="3:32">
      <c r="C52" s="73"/>
      <c r="D52" s="73"/>
      <c r="AE52" s="338"/>
      <c r="AF52" s="339"/>
    </row>
    <row r="53" spans="3:32">
      <c r="D53" s="73"/>
      <c r="AE53" s="338"/>
      <c r="AF53" s="339"/>
    </row>
    <row r="54" spans="3:32">
      <c r="C54" s="73"/>
      <c r="D54" s="73"/>
      <c r="AE54" s="338"/>
      <c r="AF54" s="339"/>
    </row>
    <row r="55" spans="3:32">
      <c r="C55" s="73"/>
      <c r="D55" s="73"/>
      <c r="AE55" s="338"/>
      <c r="AF55" s="339"/>
    </row>
    <row r="56" spans="3:32">
      <c r="AE56" s="338"/>
      <c r="AF56" s="339"/>
    </row>
    <row r="57" spans="3:32">
      <c r="AE57" s="338"/>
      <c r="AF57" s="339"/>
    </row>
    <row r="58" spans="3:32">
      <c r="AE58" s="338"/>
      <c r="AF58" s="339"/>
    </row>
    <row r="59" spans="3:32">
      <c r="AE59" s="338"/>
      <c r="AF59" s="339"/>
    </row>
    <row r="60" spans="3:32">
      <c r="AE60" s="338"/>
      <c r="AF60" s="339"/>
    </row>
    <row r="61" spans="3:32">
      <c r="AE61" s="338"/>
      <c r="AF61" s="339"/>
    </row>
    <row r="62" spans="3:32">
      <c r="AE62" s="338"/>
      <c r="AF62" s="339"/>
    </row>
    <row r="63" spans="3:32">
      <c r="AE63" s="338"/>
      <c r="AF63" s="339"/>
    </row>
    <row r="64" spans="3:32">
      <c r="AE64" s="338"/>
      <c r="AF64" s="339"/>
    </row>
    <row r="65" spans="31:32">
      <c r="AE65" s="338"/>
      <c r="AF65" s="339"/>
    </row>
    <row r="66" spans="31:32">
      <c r="AE66" s="338"/>
      <c r="AF66" s="339"/>
    </row>
    <row r="67" spans="31:32">
      <c r="AE67" s="338"/>
      <c r="AF67" s="339"/>
    </row>
    <row r="68" spans="31:32">
      <c r="AE68" s="338"/>
      <c r="AF68" s="339"/>
    </row>
    <row r="69" spans="31:32">
      <c r="AE69" s="338"/>
      <c r="AF69" s="339"/>
    </row>
    <row r="70" spans="31:32">
      <c r="AE70" s="338"/>
      <c r="AF70" s="339"/>
    </row>
    <row r="71" spans="31:32">
      <c r="AE71" s="338"/>
      <c r="AF71" s="339"/>
    </row>
    <row r="72" spans="31:32">
      <c r="AE72" s="338"/>
      <c r="AF72" s="339"/>
    </row>
    <row r="73" spans="31:32">
      <c r="AE73" s="338"/>
      <c r="AF73" s="339"/>
    </row>
    <row r="74" spans="31:32">
      <c r="AE74" s="338"/>
      <c r="AF74" s="339"/>
    </row>
    <row r="75" spans="31:32">
      <c r="AE75" s="338"/>
      <c r="AF75" s="339"/>
    </row>
    <row r="76" spans="31:32">
      <c r="AE76" s="338"/>
      <c r="AF76" s="339"/>
    </row>
    <row r="77" spans="31:32">
      <c r="AE77" s="338"/>
      <c r="AF77" s="339"/>
    </row>
    <row r="78" spans="31:32">
      <c r="AE78" s="338"/>
      <c r="AF78" s="339"/>
    </row>
    <row r="79" spans="31:32">
      <c r="AE79" s="338"/>
      <c r="AF79" s="339"/>
    </row>
    <row r="80" spans="31:32">
      <c r="AE80" s="338"/>
      <c r="AF80" s="339"/>
    </row>
    <row r="81" spans="31:36">
      <c r="AE81" s="342" t="s">
        <v>401</v>
      </c>
      <c r="AF81" s="343">
        <f>AF82+AE82</f>
        <v>0</v>
      </c>
    </row>
    <row r="82" spans="31:36" ht="13.8" thickBot="1">
      <c r="AE82" s="340"/>
      <c r="AF82" s="341"/>
      <c r="AJ82" s="29">
        <f>AJ88</f>
        <v>0</v>
      </c>
    </row>
  </sheetData>
  <mergeCells count="3">
    <mergeCell ref="Q1:W1"/>
    <mergeCell ref="Q2:W2"/>
    <mergeCell ref="F27:H28"/>
  </mergeCells>
  <phoneticPr fontId="0" type="noConversion"/>
  <pageMargins left="0.75" right="0.5" top="0.72" bottom="0.84" header="0.5" footer="0.5"/>
  <pageSetup scale="105" orientation="portrait" r:id="rId1"/>
  <headerFooter alignWithMargins="0">
    <oddHeader>&amp;RCBR 12/2017 Natural Gas</oddHeader>
    <oddFooter>&amp;RPage &amp;P of &amp;N</oddFooter>
  </headerFooter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52"/>
  <sheetViews>
    <sheetView topLeftCell="A9" workbookViewId="0">
      <selection activeCell="D39" sqref="D39"/>
    </sheetView>
  </sheetViews>
  <sheetFormatPr defaultColWidth="11.44140625" defaultRowHeight="13.2"/>
  <cols>
    <col min="1" max="1" width="6.44140625" style="29" customWidth="1"/>
    <col min="2" max="2" width="8.5546875" style="245" bestFit="1" customWidth="1"/>
    <col min="3" max="3" width="41.88671875" style="29" customWidth="1"/>
    <col min="4" max="5" width="11.44140625" style="29" customWidth="1"/>
    <col min="6" max="6" width="6.33203125" style="30" customWidth="1"/>
    <col min="7" max="7" width="8.88671875" style="297" customWidth="1"/>
    <col min="8" max="8" width="9.33203125" style="391" customWidth="1"/>
    <col min="9" max="9" width="8.33203125" style="29" bestFit="1" customWidth="1"/>
    <col min="10" max="10" width="11.44140625" style="29" customWidth="1"/>
    <col min="11" max="16384" width="11.44140625" style="29"/>
  </cols>
  <sheetData>
    <row r="1" spans="1:10">
      <c r="A1" s="505" t="str">
        <f>'ADJ DETAIL INPUT'!A2</f>
        <v>AVISTA UTILITIES</v>
      </c>
      <c r="B1" s="505"/>
      <c r="C1" s="505"/>
      <c r="D1" s="505"/>
      <c r="E1" s="505"/>
      <c r="F1" s="505"/>
      <c r="G1" s="296"/>
      <c r="H1" s="390"/>
      <c r="I1" s="98"/>
      <c r="J1" s="39"/>
    </row>
    <row r="2" spans="1:10">
      <c r="A2" s="515" t="s">
        <v>60</v>
      </c>
      <c r="B2" s="515"/>
      <c r="C2" s="515"/>
      <c r="D2" s="515"/>
      <c r="E2" s="515"/>
      <c r="F2" s="515"/>
      <c r="I2" s="98"/>
      <c r="J2" s="38"/>
    </row>
    <row r="3" spans="1:10" s="38" customFormat="1">
      <c r="A3" s="514" t="s">
        <v>131</v>
      </c>
      <c r="B3" s="514"/>
      <c r="C3" s="514"/>
      <c r="D3" s="514"/>
      <c r="E3" s="514"/>
      <c r="F3" s="514"/>
      <c r="G3" s="298"/>
      <c r="H3" s="392"/>
      <c r="I3" s="40"/>
      <c r="J3" s="41"/>
    </row>
    <row r="4" spans="1:10" s="38" customFormat="1">
      <c r="A4" s="514" t="str">
        <f>'ADJ DETAIL INPUT'!A4</f>
        <v>TWELVE MONTHS ENDED DECEMBER 31, 2017</v>
      </c>
      <c r="B4" s="514"/>
      <c r="C4" s="514"/>
      <c r="D4" s="514"/>
      <c r="E4" s="514"/>
      <c r="F4" s="514"/>
      <c r="G4" s="298"/>
      <c r="H4" s="392"/>
      <c r="I4" s="40"/>
      <c r="J4" s="41"/>
    </row>
    <row r="5" spans="1:10" s="38" customFormat="1">
      <c r="A5" s="29"/>
      <c r="B5" s="245"/>
      <c r="C5" s="29"/>
      <c r="D5" s="42"/>
      <c r="E5" s="42" t="s">
        <v>60</v>
      </c>
      <c r="F5" s="30"/>
      <c r="G5" s="298"/>
      <c r="H5" s="392"/>
      <c r="I5" s="40"/>
      <c r="J5" s="43"/>
    </row>
    <row r="6" spans="1:10">
      <c r="A6" s="42" t="s">
        <v>61</v>
      </c>
      <c r="B6" s="174" t="s">
        <v>210</v>
      </c>
      <c r="C6" s="42" t="s">
        <v>62</v>
      </c>
      <c r="D6" s="42" t="s">
        <v>63</v>
      </c>
      <c r="E6" s="42" t="s">
        <v>19</v>
      </c>
      <c r="F6" s="51" t="s">
        <v>64</v>
      </c>
      <c r="G6" s="350" t="s">
        <v>160</v>
      </c>
      <c r="H6" s="350" t="s">
        <v>159</v>
      </c>
      <c r="I6" s="351" t="s">
        <v>391</v>
      </c>
      <c r="J6" s="31"/>
    </row>
    <row r="7" spans="1:10">
      <c r="A7" s="345" t="s">
        <v>402</v>
      </c>
      <c r="B7" s="344"/>
      <c r="C7" s="344"/>
      <c r="D7" s="344"/>
      <c r="E7" s="344"/>
      <c r="F7" s="344"/>
      <c r="G7" s="356"/>
      <c r="H7" s="356"/>
      <c r="I7" s="38"/>
      <c r="J7" s="344"/>
    </row>
    <row r="8" spans="1:10">
      <c r="A8" s="177">
        <f>'ADJ DETAIL INPUT'!E$11</f>
        <v>1</v>
      </c>
      <c r="B8" s="246" t="str">
        <f>'ADJ DETAIL INPUT'!E$12</f>
        <v>G-ROO</v>
      </c>
      <c r="C8" s="45" t="s">
        <v>440</v>
      </c>
      <c r="D8" s="47">
        <f>'ADJ DETAIL INPUT'!E$59</f>
        <v>25106</v>
      </c>
      <c r="E8" s="47">
        <f>'ADJ DETAIL INPUT'!E$82</f>
        <v>314501</v>
      </c>
      <c r="G8" s="356"/>
      <c r="H8" s="356" t="s">
        <v>113</v>
      </c>
      <c r="J8" s="41"/>
    </row>
    <row r="9" spans="1:10" s="55" customFormat="1">
      <c r="A9" s="177">
        <f>'ADJ DETAIL INPUT'!F$11</f>
        <v>1.01</v>
      </c>
      <c r="B9" s="246" t="str">
        <f>'ADJ DETAIL INPUT'!F$12</f>
        <v>G-DFIT</v>
      </c>
      <c r="C9" s="45" t="s">
        <v>441</v>
      </c>
      <c r="D9" s="52">
        <f>'ADJ DETAIL INPUT'!F$59</f>
        <v>-2.7302729999999995</v>
      </c>
      <c r="E9" s="52">
        <f>'ADJ DETAIL INPUT'!F$82</f>
        <v>-274</v>
      </c>
      <c r="F9" s="56"/>
      <c r="G9" s="356"/>
      <c r="H9" s="356" t="s">
        <v>415</v>
      </c>
      <c r="I9" s="29"/>
      <c r="J9" s="57"/>
    </row>
    <row r="10" spans="1:10" s="55" customFormat="1">
      <c r="A10" s="177">
        <f>'ADJ DETAIL INPUT'!G$11</f>
        <v>1.02</v>
      </c>
      <c r="B10" s="246" t="str">
        <f>'ADJ DETAIL INPUT'!G$12</f>
        <v>G-DDC</v>
      </c>
      <c r="C10" s="45" t="s">
        <v>442</v>
      </c>
      <c r="D10" s="52">
        <f>'ADJ DETAIL INPUT'!G$59</f>
        <v>-6.5</v>
      </c>
      <c r="E10" s="52">
        <f>'ADJ DETAIL INPUT'!G$82</f>
        <v>0</v>
      </c>
      <c r="F10" s="56"/>
      <c r="G10" s="356"/>
      <c r="H10" s="356" t="s">
        <v>432</v>
      </c>
      <c r="I10" s="29"/>
      <c r="J10" s="57"/>
    </row>
    <row r="11" spans="1:10" s="55" customFormat="1">
      <c r="A11" s="177">
        <f>'ADJ DETAIL INPUT'!H$11</f>
        <v>1.03</v>
      </c>
      <c r="B11" s="246" t="str">
        <f>'ADJ DETAIL INPUT'!H$12</f>
        <v>G-WC</v>
      </c>
      <c r="C11" s="45" t="s">
        <v>380</v>
      </c>
      <c r="D11" s="52">
        <f>'ADJ DETAIL INPUT'!H$59</f>
        <v>0</v>
      </c>
      <c r="E11" s="52">
        <f>'ADJ DETAIL INPUT'!H$82</f>
        <v>0</v>
      </c>
      <c r="F11" s="56"/>
      <c r="G11" s="346"/>
      <c r="H11" s="346" t="s">
        <v>113</v>
      </c>
      <c r="I11" s="29"/>
      <c r="J11" s="57"/>
    </row>
    <row r="12" spans="1:10" s="55" customFormat="1">
      <c r="A12" s="177">
        <f>'ADJ DETAIL INPUT'!I$11</f>
        <v>1.04</v>
      </c>
      <c r="B12" s="246" t="str">
        <f>'ADJ DETAIL INPUT'!I$12</f>
        <v>G-AMI</v>
      </c>
      <c r="C12" s="45" t="s">
        <v>468</v>
      </c>
      <c r="D12" s="52">
        <f>'ADJ DETAIL INPUT'!I$59</f>
        <v>-10.492618499999999</v>
      </c>
      <c r="E12" s="52">
        <f>'ADJ DETAIL INPUT'!I$82</f>
        <v>-1053</v>
      </c>
      <c r="F12" s="56"/>
      <c r="G12" s="346"/>
      <c r="H12" s="346" t="s">
        <v>113</v>
      </c>
      <c r="I12" s="29"/>
      <c r="J12" s="57"/>
    </row>
    <row r="13" spans="1:10" s="55" customFormat="1">
      <c r="A13" s="177">
        <f>'ADJ DETAIL INPUT'!J$11</f>
        <v>2.0099999999999998</v>
      </c>
      <c r="B13" s="246" t="str">
        <f>'ADJ DETAIL INPUT'!J$12</f>
        <v>G-EBO</v>
      </c>
      <c r="C13" s="45" t="s">
        <v>443</v>
      </c>
      <c r="D13" s="52">
        <f>'ADJ DETAIL INPUT'!J$59</f>
        <v>-16.899999999999999</v>
      </c>
      <c r="E13" s="52">
        <f>'ADJ DETAIL INPUT'!J$82</f>
        <v>0</v>
      </c>
      <c r="F13" s="56"/>
      <c r="G13" s="346"/>
      <c r="H13" s="346" t="s">
        <v>415</v>
      </c>
      <c r="I13" s="29"/>
      <c r="J13" s="57"/>
    </row>
    <row r="14" spans="1:10" s="55" customFormat="1">
      <c r="A14" s="177">
        <f>'ADJ DETAIL INPUT'!K$11</f>
        <v>2.0199999999999996</v>
      </c>
      <c r="B14" s="246" t="str">
        <f>'ADJ DETAIL INPUT'!K$12</f>
        <v>G-PT</v>
      </c>
      <c r="C14" s="45" t="s">
        <v>444</v>
      </c>
      <c r="D14" s="52">
        <f>'ADJ DETAIL INPUT'!K$59</f>
        <v>5.2</v>
      </c>
      <c r="E14" s="52">
        <f>'ADJ DETAIL INPUT'!K$82</f>
        <v>0</v>
      </c>
      <c r="F14" s="56"/>
      <c r="G14" s="356"/>
      <c r="H14" s="356" t="s">
        <v>415</v>
      </c>
      <c r="I14" s="29"/>
      <c r="J14" s="57"/>
    </row>
    <row r="15" spans="1:10" s="55" customFormat="1">
      <c r="A15" s="177">
        <f>'ADJ DETAIL INPUT'!L$11</f>
        <v>2.0299999999999994</v>
      </c>
      <c r="B15" s="246" t="str">
        <f>'ADJ DETAIL INPUT'!L$12</f>
        <v>G-UE</v>
      </c>
      <c r="C15" s="45" t="s">
        <v>445</v>
      </c>
      <c r="D15" s="52">
        <f>'ADJ DETAIL INPUT'!L$59</f>
        <v>195.65</v>
      </c>
      <c r="E15" s="52">
        <f>'ADJ DETAIL INPUT'!L$82</f>
        <v>0</v>
      </c>
      <c r="F15" s="56"/>
      <c r="G15" s="346"/>
      <c r="H15" s="346" t="s">
        <v>432</v>
      </c>
      <c r="I15" s="29"/>
      <c r="J15" s="57"/>
    </row>
    <row r="16" spans="1:10" s="55" customFormat="1">
      <c r="A16" s="177">
        <f>'ADJ DETAIL INPUT'!M$11</f>
        <v>2.0399999999999991</v>
      </c>
      <c r="B16" s="246" t="str">
        <f>'ADJ DETAIL INPUT'!M$12</f>
        <v>G-RE</v>
      </c>
      <c r="C16" s="45" t="s">
        <v>446</v>
      </c>
      <c r="D16" s="52">
        <f>'ADJ DETAIL INPUT'!M$59</f>
        <v>-26.65</v>
      </c>
      <c r="E16" s="52">
        <f>'ADJ DETAIL INPUT'!M$82</f>
        <v>0</v>
      </c>
      <c r="F16" s="56"/>
      <c r="G16" s="346"/>
      <c r="H16" s="346" t="s">
        <v>432</v>
      </c>
      <c r="I16" s="29"/>
      <c r="J16" s="57"/>
    </row>
    <row r="17" spans="1:10" s="55" customFormat="1">
      <c r="A17" s="177">
        <f>'ADJ DETAIL INPUT'!N$11</f>
        <v>2.0499999999999989</v>
      </c>
      <c r="B17" s="246" t="str">
        <f>'ADJ DETAIL INPUT'!N$12</f>
        <v>G-ID</v>
      </c>
      <c r="C17" s="45" t="s">
        <v>294</v>
      </c>
      <c r="D17" s="52">
        <f>'ADJ DETAIL INPUT'!N$59</f>
        <v>-29.25</v>
      </c>
      <c r="E17" s="52">
        <f>'ADJ DETAIL INPUT'!N$82</f>
        <v>0</v>
      </c>
      <c r="F17" s="56"/>
      <c r="G17" s="346"/>
      <c r="H17" s="346" t="s">
        <v>432</v>
      </c>
      <c r="I17" s="29"/>
      <c r="J17" s="57"/>
    </row>
    <row r="18" spans="1:10" s="55" customFormat="1">
      <c r="A18" s="177">
        <f>'ADJ DETAIL INPUT'!O$11</f>
        <v>2.0599999999999987</v>
      </c>
      <c r="B18" s="246" t="str">
        <f>'ADJ DETAIL INPUT'!O$12</f>
        <v>G-FIT</v>
      </c>
      <c r="C18" s="45" t="s">
        <v>447</v>
      </c>
      <c r="D18" s="88">
        <f>'ADJ DETAIL INPUT'!O$59</f>
        <v>0</v>
      </c>
      <c r="E18" s="52">
        <f>'ADJ DETAIL INPUT'!O$82</f>
        <v>0</v>
      </c>
      <c r="F18" s="56"/>
      <c r="G18" s="356"/>
      <c r="H18" s="356" t="s">
        <v>415</v>
      </c>
      <c r="I18" s="29"/>
      <c r="J18" s="57"/>
    </row>
    <row r="19" spans="1:10" s="55" customFormat="1">
      <c r="A19" s="177">
        <f>'ADJ DETAIL INPUT'!P$11</f>
        <v>2.0699999999999985</v>
      </c>
      <c r="B19" s="246" t="str">
        <f>'ADJ DETAIL INPUT'!P$12</f>
        <v>G-OSC</v>
      </c>
      <c r="C19" s="45" t="s">
        <v>448</v>
      </c>
      <c r="D19" s="52">
        <f>'ADJ DETAIL INPUT'!P$59</f>
        <v>9.75</v>
      </c>
      <c r="E19" s="52">
        <f>'ADJ DETAIL INPUT'!P$82</f>
        <v>0</v>
      </c>
      <c r="F19" s="56"/>
      <c r="G19" s="346"/>
      <c r="H19" s="346" t="s">
        <v>432</v>
      </c>
      <c r="I19" s="29"/>
      <c r="J19" s="57"/>
    </row>
    <row r="20" spans="1:10" s="55" customFormat="1">
      <c r="A20" s="177">
        <f>'ADJ DETAIL INPUT'!Q$11</f>
        <v>2.0799999999999983</v>
      </c>
      <c r="B20" s="246" t="str">
        <f>'ADJ DETAIL INPUT'!Q$12</f>
        <v>G-RET</v>
      </c>
      <c r="C20" s="45" t="s">
        <v>449</v>
      </c>
      <c r="D20" s="52">
        <f>'ADJ DETAIL INPUT'!Q$59</f>
        <v>0</v>
      </c>
      <c r="E20" s="52">
        <f>'ADJ DETAIL INPUT'!Q$82</f>
        <v>0</v>
      </c>
      <c r="F20" s="56"/>
      <c r="G20" s="346"/>
      <c r="H20" s="346" t="s">
        <v>415</v>
      </c>
      <c r="I20" s="29"/>
      <c r="J20" s="57"/>
    </row>
    <row r="21" spans="1:10" s="55" customFormat="1">
      <c r="A21" s="177">
        <f>'ADJ DETAIL INPUT'!R$11</f>
        <v>2.0899999999999981</v>
      </c>
      <c r="B21" s="246" t="str">
        <f>'ADJ DETAIL INPUT'!R$12</f>
        <v>G-NGL</v>
      </c>
      <c r="C21" s="45" t="s">
        <v>450</v>
      </c>
      <c r="D21" s="52">
        <f>'ADJ DETAIL INPUT'!R$59</f>
        <v>8.4499999999999993</v>
      </c>
      <c r="E21" s="52">
        <f>'ADJ DETAIL INPUT'!R$82</f>
        <v>0</v>
      </c>
      <c r="F21" s="56"/>
      <c r="G21" s="346"/>
      <c r="H21" s="346" t="s">
        <v>432</v>
      </c>
      <c r="I21" s="29"/>
      <c r="J21" s="57"/>
    </row>
    <row r="22" spans="1:10" s="46" customFormat="1">
      <c r="A22" s="177">
        <f>'ADJ DETAIL INPUT'!S$11</f>
        <v>2.0999999999999979</v>
      </c>
      <c r="B22" s="246" t="str">
        <f>'ADJ DETAIL INPUT'!S$12</f>
        <v>G-WN</v>
      </c>
      <c r="C22" s="45" t="s">
        <v>451</v>
      </c>
      <c r="D22" s="52">
        <f>'ADJ DETAIL INPUT'!S$59</f>
        <v>0.65</v>
      </c>
      <c r="E22" s="52">
        <f>'ADJ DETAIL INPUT'!S$82</f>
        <v>0</v>
      </c>
      <c r="F22" s="53"/>
      <c r="G22" s="346"/>
      <c r="H22" s="346" t="s">
        <v>415</v>
      </c>
      <c r="I22" s="29"/>
      <c r="J22" s="54"/>
    </row>
    <row r="23" spans="1:10" s="92" customFormat="1" ht="14.25" customHeight="1">
      <c r="A23" s="178">
        <f>'ADJ DETAIL INPUT'!T$11</f>
        <v>2.1099999999999977</v>
      </c>
      <c r="B23" s="246" t="str">
        <f>'ADJ DETAIL INPUT'!T$12</f>
        <v>G-EAS</v>
      </c>
      <c r="C23" s="87" t="s">
        <v>452</v>
      </c>
      <c r="D23" s="88">
        <f>'ADJ DETAIL INPUT'!T$59</f>
        <v>-282.75</v>
      </c>
      <c r="E23" s="88">
        <f>'ADJ DETAIL INPUT'!T$82</f>
        <v>0</v>
      </c>
      <c r="F23" s="89"/>
      <c r="G23" s="346"/>
      <c r="H23" s="346" t="s">
        <v>432</v>
      </c>
      <c r="I23" s="29"/>
      <c r="J23" s="91"/>
    </row>
    <row r="24" spans="1:10" s="93" customFormat="1">
      <c r="A24" s="177">
        <f>'ADJ DETAIL INPUT'!U$11</f>
        <v>2.1199999999999974</v>
      </c>
      <c r="B24" s="246" t="str">
        <f>'ADJ DETAIL INPUT'!U$12</f>
        <v>G-MR</v>
      </c>
      <c r="C24" s="87" t="s">
        <v>453</v>
      </c>
      <c r="D24" s="88">
        <f>'ADJ DETAIL INPUT'!U$59</f>
        <v>244.4</v>
      </c>
      <c r="E24" s="88">
        <f>'ADJ DETAIL INPUT'!U$82</f>
        <v>0</v>
      </c>
      <c r="F24" s="89"/>
      <c r="G24" s="356"/>
      <c r="H24" s="356" t="s">
        <v>432</v>
      </c>
      <c r="I24" s="29"/>
      <c r="J24" s="94"/>
    </row>
    <row r="25" spans="1:10" s="55" customFormat="1">
      <c r="A25" s="177">
        <f>'ADJ DETAIL INPUT'!V$11</f>
        <v>2.1299999999999972</v>
      </c>
      <c r="B25" s="246" t="str">
        <f>'ADJ DETAIL INPUT'!V$12</f>
        <v>G-CA</v>
      </c>
      <c r="C25" s="45" t="s">
        <v>454</v>
      </c>
      <c r="D25" s="52">
        <f>'ADJ DETAIL INPUT'!V$59</f>
        <v>-701.35</v>
      </c>
      <c r="E25" s="52">
        <f>'ADJ DETAIL INPUT'!V$82</f>
        <v>0</v>
      </c>
      <c r="F25" s="56"/>
      <c r="G25" s="346"/>
      <c r="H25" s="346" t="s">
        <v>415</v>
      </c>
      <c r="I25" s="29"/>
      <c r="J25" s="57"/>
    </row>
    <row r="26" spans="1:10" s="55" customFormat="1">
      <c r="A26" s="177">
        <f>'ADJ DETAIL INPUT'!W$11</f>
        <v>2.139999999999997</v>
      </c>
      <c r="B26" s="246" t="str">
        <f>'ADJ DETAIL INPUT'!W$12</f>
        <v>G-RI</v>
      </c>
      <c r="C26" s="45" t="s">
        <v>455</v>
      </c>
      <c r="D26" s="52">
        <f>'ADJ DETAIL INPUT'!W$59</f>
        <v>145.60000000000002</v>
      </c>
      <c r="E26" s="52">
        <f>'ADJ DETAIL INPUT'!W$82</f>
        <v>0</v>
      </c>
      <c r="F26" s="56"/>
      <c r="G26" s="346"/>
      <c r="H26" s="346" t="s">
        <v>433</v>
      </c>
      <c r="I26" s="29"/>
      <c r="J26" s="57"/>
    </row>
    <row r="27" spans="1:10" s="93" customFormat="1">
      <c r="A27" s="177">
        <f>'ADJ DETAIL INPUT'!X$11</f>
        <v>2.1499999999999968</v>
      </c>
      <c r="B27" s="246" t="str">
        <f>'ADJ DETAIL INPUT'!X$12</f>
        <v>G-DI</v>
      </c>
      <c r="C27" s="87" t="s">
        <v>112</v>
      </c>
      <c r="D27" s="88">
        <f>'ADJ DETAIL INPUT'!X$59</f>
        <v>-82</v>
      </c>
      <c r="E27" s="88">
        <f>'ADJ DETAIL INPUT'!X$82</f>
        <v>0</v>
      </c>
      <c r="F27" s="89"/>
      <c r="G27" s="346"/>
      <c r="H27" s="346" t="s">
        <v>113</v>
      </c>
      <c r="I27" s="29"/>
    </row>
    <row r="28" spans="1:10" hidden="1">
      <c r="A28" s="177"/>
      <c r="B28" s="246"/>
      <c r="C28" s="45"/>
      <c r="D28" s="52"/>
      <c r="E28" s="52"/>
      <c r="G28" s="346"/>
      <c r="H28" s="346"/>
      <c r="J28" s="41"/>
    </row>
    <row r="29" spans="1:10" ht="14.4" thickBot="1">
      <c r="A29" s="179"/>
      <c r="B29" s="247"/>
      <c r="C29" s="354" t="s">
        <v>409</v>
      </c>
      <c r="D29" s="50">
        <f>SUM(D8:D28)</f>
        <v>24557.077108500001</v>
      </c>
      <c r="E29" s="50">
        <f>SUM(E8:E28)</f>
        <v>313174</v>
      </c>
      <c r="F29" s="59">
        <f>D29/E29</f>
        <v>7.841352445764975E-2</v>
      </c>
      <c r="G29" s="346"/>
      <c r="H29" s="346"/>
      <c r="I29" s="355"/>
      <c r="J29" s="41"/>
    </row>
    <row r="30" spans="1:10" ht="13.8" thickTop="1">
      <c r="A30" s="177">
        <f>'ADJ DETAIL INPUT'!Z$11</f>
        <v>3</v>
      </c>
      <c r="B30" s="246" t="str">
        <f>'ADJ DETAIL INPUT'!Z$12</f>
        <v xml:space="preserve"> </v>
      </c>
      <c r="C30" s="87" t="str">
        <f>TRIM(CONCATENATE('ADJ DETAIL INPUT'!Z$8," ",'ADJ DETAIL INPUT'!Z$9," ",'ADJ DETAIL INPUT'!Z$10))</f>
        <v>Eliminate Weather Adjustment</v>
      </c>
      <c r="D30" s="88">
        <f>'ADJ DETAIL INPUT'!Z$59</f>
        <v>-1</v>
      </c>
      <c r="E30" s="88">
        <f>'ADJ DETAIL INPUT'!Z$82</f>
        <v>0</v>
      </c>
      <c r="F30" s="501"/>
      <c r="G30" s="346"/>
      <c r="H30" s="346"/>
      <c r="I30" s="355"/>
      <c r="J30" s="41"/>
    </row>
    <row r="31" spans="1:10">
      <c r="A31" s="177">
        <f>'ADJ DETAIL INPUT'!AA$11</f>
        <v>3.01</v>
      </c>
      <c r="B31" s="246" t="str">
        <f>'ADJ DETAIL INPUT'!AA$12</f>
        <v xml:space="preserve"> </v>
      </c>
      <c r="C31" s="87" t="str">
        <f>TRIM(CONCATENATE('ADJ DETAIL INPUT'!AA$8," ",'ADJ DETAIL INPUT'!AA$9," ",'ADJ DETAIL INPUT'!AA$10))</f>
        <v>Eliminate Provision for Earnings Test Refund</v>
      </c>
      <c r="D31" s="88">
        <f>'ADJ DETAIL INPUT'!AA$59</f>
        <v>1539</v>
      </c>
      <c r="E31" s="88">
        <f>'ADJ DETAIL INPUT'!AA$82</f>
        <v>0</v>
      </c>
      <c r="F31" s="501"/>
      <c r="G31" s="346"/>
      <c r="H31" s="346"/>
      <c r="I31" s="355"/>
      <c r="J31" s="41"/>
    </row>
    <row r="32" spans="1:10">
      <c r="A32" s="177">
        <f>'ADJ DETAIL INPUT'!AB$11</f>
        <v>3.0199999999999996</v>
      </c>
      <c r="B32" s="246" t="str">
        <f>'ADJ DETAIL INPUT'!AB$12</f>
        <v xml:space="preserve"> </v>
      </c>
      <c r="C32" s="87" t="str">
        <f>TRIM(CONCATENATE('ADJ DETAIL INPUT'!AB$8," ",'ADJ DETAIL INPUT'!AB$9," ",'ADJ DETAIL INPUT'!AB$10))</f>
        <v>Decoupling Normalized Gas Cost</v>
      </c>
      <c r="D32" s="88">
        <f>'ADJ DETAIL INPUT'!AB$59</f>
        <v>0</v>
      </c>
      <c r="E32" s="88">
        <f>'ADJ DETAIL INPUT'!AB$82</f>
        <v>0</v>
      </c>
      <c r="F32" s="501"/>
      <c r="G32" s="346"/>
      <c r="H32" s="346"/>
      <c r="I32" s="355"/>
      <c r="J32" s="41"/>
    </row>
    <row r="33" spans="1:10">
      <c r="A33" s="177">
        <f>'ADJ DETAIL INPUT'!AC$11</f>
        <v>3.0299999999999994</v>
      </c>
      <c r="B33" s="246" t="str">
        <f>'ADJ DETAIL INPUT'!AC$12</f>
        <v xml:space="preserve"> </v>
      </c>
      <c r="C33" s="87" t="str">
        <f>TRIM(CONCATENATE('ADJ DETAIL INPUT'!AC$8," ",'ADJ DETAIL INPUT'!AC$9," ",'ADJ DETAIL INPUT'!AC$10))</f>
        <v>Allowed Capital Structure Debt Cost</v>
      </c>
      <c r="D33" s="88">
        <f>'ADJ DETAIL INPUT'!AC$59</f>
        <v>-38</v>
      </c>
      <c r="E33" s="88">
        <f>'ADJ DETAIL INPUT'!AC$82</f>
        <v>0</v>
      </c>
      <c r="F33" s="501"/>
      <c r="G33" s="346"/>
      <c r="H33" s="346"/>
      <c r="I33" s="355"/>
      <c r="J33" s="41"/>
    </row>
    <row r="34" spans="1:10" ht="12.75" customHeight="1" thickBot="1">
      <c r="A34" s="179"/>
      <c r="B34" s="247"/>
      <c r="C34" s="354" t="s">
        <v>481</v>
      </c>
      <c r="D34" s="50">
        <f>SUM(D29:D33)</f>
        <v>26057.077108500001</v>
      </c>
      <c r="E34" s="50">
        <f>SUM(E29:E33)</f>
        <v>313174</v>
      </c>
      <c r="F34" s="59">
        <f>D34/E34</f>
        <v>8.3203194098169078E-2</v>
      </c>
      <c r="G34" s="346"/>
      <c r="H34" s="346"/>
      <c r="I34" s="297"/>
      <c r="J34" s="41"/>
    </row>
    <row r="35" spans="1:10" ht="12.75" customHeight="1" thickTop="1">
      <c r="A35" s="179"/>
      <c r="B35" s="247"/>
      <c r="C35" s="354"/>
      <c r="D35" s="39"/>
      <c r="E35" s="39"/>
      <c r="F35" s="501"/>
      <c r="G35" s="346"/>
      <c r="H35" s="346"/>
      <c r="I35" s="500"/>
      <c r="J35" s="41"/>
    </row>
    <row r="36" spans="1:10" ht="12.75" customHeight="1">
      <c r="A36" s="352" t="s">
        <v>411</v>
      </c>
      <c r="C36" s="29" t="s">
        <v>127</v>
      </c>
      <c r="D36" s="48"/>
      <c r="F36" s="353"/>
      <c r="G36" s="346"/>
      <c r="H36" s="346" t="s">
        <v>432</v>
      </c>
      <c r="J36" s="41"/>
    </row>
    <row r="37" spans="1:10" ht="12.75" customHeight="1">
      <c r="A37" s="44"/>
      <c r="B37" s="248"/>
      <c r="C37" s="45"/>
      <c r="D37" s="48"/>
      <c r="F37" s="353"/>
      <c r="I37" s="38"/>
      <c r="J37" s="41"/>
    </row>
    <row r="38" spans="1:10" ht="12.75" customHeight="1">
      <c r="A38" s="502"/>
      <c r="B38" s="503"/>
      <c r="C38" s="87"/>
      <c r="D38" s="48"/>
      <c r="I38" s="38"/>
      <c r="J38" s="41"/>
    </row>
    <row r="39" spans="1:10" s="92" customFormat="1" ht="14.25" customHeight="1">
      <c r="A39" s="178"/>
      <c r="B39" s="504"/>
      <c r="C39" s="87"/>
      <c r="D39" s="88"/>
      <c r="E39" s="88"/>
      <c r="F39" s="89"/>
      <c r="G39" s="346"/>
      <c r="H39" s="397"/>
      <c r="I39" s="355"/>
      <c r="J39" s="91"/>
    </row>
    <row r="40" spans="1:10" ht="12.75" customHeight="1">
      <c r="A40" s="44"/>
      <c r="B40" s="248"/>
      <c r="C40" s="45"/>
      <c r="D40" s="48"/>
      <c r="I40" s="38"/>
      <c r="J40" s="41"/>
    </row>
    <row r="41" spans="1:10" ht="12.75" customHeight="1">
      <c r="A41" s="44"/>
      <c r="B41" s="248"/>
      <c r="C41" s="45"/>
      <c r="D41" s="48"/>
      <c r="I41" s="38"/>
      <c r="J41" s="41"/>
    </row>
    <row r="42" spans="1:10" ht="12.75" customHeight="1">
      <c r="A42" s="58"/>
      <c r="B42" s="249"/>
      <c r="C42" s="45"/>
      <c r="D42" s="48"/>
      <c r="I42" s="38"/>
      <c r="J42" s="41"/>
    </row>
    <row r="43" spans="1:10" ht="12.75" customHeight="1">
      <c r="A43" s="58"/>
      <c r="B43" s="249"/>
      <c r="C43" s="45"/>
      <c r="D43" s="48"/>
      <c r="G43" s="298"/>
      <c r="H43" s="392"/>
      <c r="I43" s="38"/>
      <c r="J43" s="41"/>
    </row>
    <row r="44" spans="1:10" ht="12.75" customHeight="1">
      <c r="A44" s="58"/>
      <c r="B44" s="249"/>
      <c r="G44" s="298"/>
      <c r="H44" s="392"/>
      <c r="I44" s="38"/>
      <c r="J44" s="41"/>
    </row>
    <row r="45" spans="1:10" ht="12.75" customHeight="1">
      <c r="C45" s="38"/>
      <c r="F45" s="29"/>
      <c r="G45" s="298"/>
      <c r="H45" s="392"/>
      <c r="I45" s="40"/>
      <c r="J45" s="40"/>
    </row>
    <row r="46" spans="1:10" ht="12.75" customHeight="1">
      <c r="F46" s="29"/>
      <c r="G46" s="298"/>
      <c r="H46" s="392"/>
      <c r="I46" s="40"/>
      <c r="J46" s="40"/>
    </row>
    <row r="47" spans="1:10" ht="12.75" customHeight="1">
      <c r="C47" s="38"/>
      <c r="F47" s="29"/>
      <c r="G47" s="298"/>
      <c r="H47" s="392"/>
      <c r="I47" s="40"/>
      <c r="J47" s="40"/>
    </row>
    <row r="48" spans="1:10" ht="12.75" customHeight="1">
      <c r="C48" s="38"/>
      <c r="F48" s="29"/>
      <c r="G48" s="298"/>
      <c r="H48" s="392"/>
      <c r="I48" s="40"/>
      <c r="J48" s="40"/>
    </row>
    <row r="49" ht="12.75" customHeight="1"/>
    <row r="50" ht="12.75" customHeight="1"/>
    <row r="51" ht="12.75" customHeight="1"/>
    <row r="52" ht="12.75" customHeight="1"/>
  </sheetData>
  <customSheetViews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orientation="portrait" horizontalDpi="1200" verticalDpi="1200" r:id="rId3"/>
  <headerFooter alignWithMargins="0">
    <oddHeader>&amp;RSUMMARY
CBR 12/2016 Natural Gas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98"/>
  <sheetViews>
    <sheetView workbookViewId="0"/>
  </sheetViews>
  <sheetFormatPr defaultColWidth="10.6640625" defaultRowHeight="12"/>
  <cols>
    <col min="1" max="1" width="5.6640625" style="153" customWidth="1"/>
    <col min="2" max="3" width="1.6640625" style="129" customWidth="1"/>
    <col min="4" max="4" width="28.6640625" style="129" customWidth="1"/>
    <col min="5" max="5" width="17.33203125" style="131" customWidth="1"/>
    <col min="6" max="24" width="20.44140625" style="131" customWidth="1"/>
    <col min="25" max="16384" width="10.6640625" style="129"/>
  </cols>
  <sheetData>
    <row r="1" spans="1:24">
      <c r="F1" s="187" t="s">
        <v>181</v>
      </c>
      <c r="G1" s="187" t="s">
        <v>181</v>
      </c>
      <c r="H1" s="187" t="s">
        <v>181</v>
      </c>
      <c r="I1" s="187" t="s">
        <v>181</v>
      </c>
      <c r="J1" s="187" t="s">
        <v>181</v>
      </c>
      <c r="K1" s="187" t="s">
        <v>181</v>
      </c>
      <c r="L1" s="187" t="s">
        <v>181</v>
      </c>
      <c r="M1" s="187" t="s">
        <v>181</v>
      </c>
      <c r="N1" s="187" t="s">
        <v>181</v>
      </c>
      <c r="O1" s="187" t="s">
        <v>181</v>
      </c>
      <c r="P1" s="187" t="s">
        <v>181</v>
      </c>
      <c r="Q1" s="187" t="s">
        <v>181</v>
      </c>
      <c r="R1" s="187" t="s">
        <v>181</v>
      </c>
      <c r="S1" s="187" t="s">
        <v>181</v>
      </c>
      <c r="T1" s="187" t="s">
        <v>181</v>
      </c>
      <c r="U1" s="187" t="s">
        <v>181</v>
      </c>
      <c r="V1" s="187" t="s">
        <v>181</v>
      </c>
      <c r="W1" s="187" t="s">
        <v>181</v>
      </c>
      <c r="X1" s="187" t="s">
        <v>181</v>
      </c>
    </row>
    <row r="2" spans="1:24" ht="12.75" customHeight="1">
      <c r="A2" s="128" t="str">
        <f>'ROO INPUT'!A3:C3</f>
        <v>AVISTA UTILITIES</v>
      </c>
      <c r="E2" s="130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24" ht="12.75" customHeight="1">
      <c r="A3" s="128" t="str">
        <f>'ROO INPUT'!A4:C4</f>
        <v xml:space="preserve">WASHINGTON NATURAL GAS RESULTS </v>
      </c>
      <c r="E3" s="130"/>
    </row>
    <row r="4" spans="1:24" ht="12.75" customHeight="1">
      <c r="A4" s="128" t="str">
        <f>'ROO INPUT'!A5:C5</f>
        <v>TWELVE MONTHS ENDED DECEMBER 31, 2017</v>
      </c>
      <c r="E4" s="133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</row>
    <row r="5" spans="1:24">
      <c r="A5" s="128" t="str">
        <f>'ROO INPUT'!A6:C6</f>
        <v xml:space="preserve">(000'S OF DOLLARS)   </v>
      </c>
      <c r="B5" s="128"/>
      <c r="C5" s="128"/>
      <c r="D5" s="128"/>
      <c r="E5" s="128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</row>
    <row r="6" spans="1:24" ht="12.75" customHeight="1">
      <c r="A6" s="128"/>
    </row>
    <row r="7" spans="1:24" s="136" customFormat="1" ht="11.4">
      <c r="A7" s="135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</row>
    <row r="8" spans="1:24" s="136" customFormat="1" ht="12" customHeight="1">
      <c r="A8" s="138"/>
      <c r="B8" s="139"/>
      <c r="C8" s="140"/>
      <c r="D8" s="141"/>
      <c r="E8" s="142" t="str">
        <f>'ADJ DETAIL INPUT'!E8</f>
        <v>Per</v>
      </c>
      <c r="F8" s="142" t="str">
        <f>'ADJ DETAIL INPUT'!F8</f>
        <v xml:space="preserve">Deferred </v>
      </c>
      <c r="G8" s="142" t="str">
        <f>'ADJ DETAIL INPUT'!G8</f>
        <v>Deferred Debits</v>
      </c>
      <c r="H8" s="142" t="str">
        <f>'ADJ DETAIL INPUT'!H8</f>
        <v>Working</v>
      </c>
      <c r="I8" s="142" t="str">
        <f>'ADJ DETAIL INPUT'!I8</f>
        <v>AMI</v>
      </c>
      <c r="J8" s="142" t="str">
        <f>'ADJ DETAIL INPUT'!J8</f>
        <v xml:space="preserve">Eliminate </v>
      </c>
      <c r="K8" s="142" t="str">
        <f>'ADJ DETAIL INPUT'!K8</f>
        <v>Restate</v>
      </c>
      <c r="L8" s="142" t="str">
        <f>'ADJ DETAIL INPUT'!L8</f>
        <v>Uncollectible</v>
      </c>
      <c r="M8" s="142" t="str">
        <f>'ADJ DETAIL INPUT'!M8</f>
        <v>Regulatory</v>
      </c>
      <c r="N8" s="142" t="str">
        <f>'ADJ DETAIL INPUT'!N8</f>
        <v>Injuries</v>
      </c>
      <c r="O8" s="142" t="str">
        <f>'ADJ DETAIL INPUT'!O8</f>
        <v xml:space="preserve">FIT / </v>
      </c>
      <c r="P8" s="142" t="str">
        <f>'ADJ DETAIL INPUT'!P8</f>
        <v>Office Space</v>
      </c>
      <c r="Q8" s="142" t="str">
        <f>'ADJ DETAIL INPUT'!Q8</f>
        <v>Restate</v>
      </c>
      <c r="R8" s="142" t="str">
        <f>'ADJ DETAIL INPUT'!R8</f>
        <v>Net</v>
      </c>
      <c r="S8" s="142" t="str">
        <f>'ADJ DETAIL INPUT'!S8</f>
        <v xml:space="preserve">Weather </v>
      </c>
      <c r="T8" s="142" t="str">
        <f>'ADJ DETAIL INPUT'!T8</f>
        <v>Eliminate</v>
      </c>
      <c r="U8" s="142" t="str">
        <f>'ADJ DETAIL INPUT'!U8</f>
        <v>Misc</v>
      </c>
      <c r="V8" s="142" t="str">
        <f>'ADJ DETAIL INPUT'!V8</f>
        <v>Project</v>
      </c>
      <c r="W8" s="142" t="str">
        <f>'ADJ DETAIL INPUT'!W8</f>
        <v>Restating</v>
      </c>
      <c r="X8" s="142" t="str">
        <f>'ADJ DETAIL INPUT'!X8</f>
        <v>Restate</v>
      </c>
    </row>
    <row r="9" spans="1:24" s="136" customFormat="1">
      <c r="A9" s="143" t="s">
        <v>7</v>
      </c>
      <c r="B9" s="144"/>
      <c r="C9" s="145"/>
      <c r="D9" s="146"/>
      <c r="E9" s="147" t="str">
        <f>'ADJ DETAIL INPUT'!E9</f>
        <v xml:space="preserve">Results </v>
      </c>
      <c r="F9" s="147" t="str">
        <f>'ADJ DETAIL INPUT'!F9</f>
        <v>FIT</v>
      </c>
      <c r="G9" s="147" t="str">
        <f>'ADJ DETAIL INPUT'!G9</f>
        <v>&amp; Credits</v>
      </c>
      <c r="H9" s="147" t="str">
        <f>'ADJ DETAIL INPUT'!H9</f>
        <v>Capital</v>
      </c>
      <c r="I9" s="147" t="str">
        <f>'ADJ DETAIL INPUT'!I9</f>
        <v>Rate</v>
      </c>
      <c r="J9" s="147" t="str">
        <f>'ADJ DETAIL INPUT'!J9</f>
        <v xml:space="preserve">B &amp; O </v>
      </c>
      <c r="K9" s="147" t="str">
        <f>'ADJ DETAIL INPUT'!K9</f>
        <v>Property</v>
      </c>
      <c r="L9" s="147" t="str">
        <f>'ADJ DETAIL INPUT'!L9</f>
        <v>Expense</v>
      </c>
      <c r="M9" s="147" t="str">
        <f>'ADJ DETAIL INPUT'!M9</f>
        <v>Expense</v>
      </c>
      <c r="N9" s="147" t="str">
        <f>'ADJ DETAIL INPUT'!N9</f>
        <v xml:space="preserve">and </v>
      </c>
      <c r="O9" s="147" t="str">
        <f>'ADJ DETAIL INPUT'!O9</f>
        <v xml:space="preserve">DFIT </v>
      </c>
      <c r="P9" s="147" t="str">
        <f>'ADJ DETAIL INPUT'!P9</f>
        <v>Charges to</v>
      </c>
      <c r="Q9" s="147" t="str">
        <f>'ADJ DETAIL INPUT'!Q9</f>
        <v>Excise</v>
      </c>
      <c r="R9" s="147" t="str">
        <f>'ADJ DETAIL INPUT'!R9</f>
        <v>Gains/Losses</v>
      </c>
      <c r="S9" s="147" t="str">
        <f>'ADJ DETAIL INPUT'!S9</f>
        <v xml:space="preserve">Normalization </v>
      </c>
      <c r="T9" s="147" t="str">
        <f>'ADJ DETAIL INPUT'!T9</f>
        <v>Adder</v>
      </c>
      <c r="U9" s="147" t="str">
        <f>'ADJ DETAIL INPUT'!U9</f>
        <v>Restating</v>
      </c>
      <c r="V9" s="147" t="str">
        <f>'ADJ DETAIL INPUT'!V9</f>
        <v>Compass</v>
      </c>
      <c r="W9" s="147" t="str">
        <f>'ADJ DETAIL INPUT'!W9</f>
        <v>Incentives</v>
      </c>
      <c r="X9" s="147" t="str">
        <f>'ADJ DETAIL INPUT'!X9</f>
        <v>Debt</v>
      </c>
    </row>
    <row r="10" spans="1:24" s="136" customFormat="1" ht="11.4">
      <c r="A10" s="148" t="s">
        <v>16</v>
      </c>
      <c r="B10" s="149"/>
      <c r="C10" s="150"/>
      <c r="D10" s="151" t="s">
        <v>17</v>
      </c>
      <c r="E10" s="152" t="str">
        <f>'ADJ DETAIL INPUT'!E10</f>
        <v>Report</v>
      </c>
      <c r="F10" s="152" t="str">
        <f>'ADJ DETAIL INPUT'!F10</f>
        <v>Rate Base</v>
      </c>
      <c r="G10" s="152"/>
      <c r="H10" s="152"/>
      <c r="I10" s="152" t="str">
        <f>'ADJ DETAIL INPUT'!I10</f>
        <v>Base</v>
      </c>
      <c r="J10" s="152" t="str">
        <f>'ADJ DETAIL INPUT'!J10</f>
        <v>Taxes</v>
      </c>
      <c r="K10" s="152" t="str">
        <f>'ADJ DETAIL INPUT'!K10</f>
        <v>Tax</v>
      </c>
      <c r="L10" s="152"/>
      <c r="M10" s="152"/>
      <c r="N10" s="152" t="str">
        <f>'ADJ DETAIL INPUT'!N10</f>
        <v>Damages</v>
      </c>
      <c r="O10" s="152" t="str">
        <f>'ADJ DETAIL INPUT'!O10</f>
        <v>Expense</v>
      </c>
      <c r="P10" s="152" t="str">
        <f>'ADJ DETAIL INPUT'!P10</f>
        <v>Non-Utility</v>
      </c>
      <c r="Q10" s="152" t="str">
        <f>'ADJ DETAIL INPUT'!Q10</f>
        <v>Taxes</v>
      </c>
      <c r="R10" s="152"/>
      <c r="S10" s="152"/>
      <c r="T10" s="152" t="str">
        <f>'ADJ DETAIL INPUT'!T10</f>
        <v>Schedules</v>
      </c>
      <c r="U10" s="152"/>
      <c r="V10" s="152"/>
      <c r="W10" s="152"/>
      <c r="X10" s="152"/>
    </row>
    <row r="11" spans="1:24" s="136" customFormat="1">
      <c r="A11" s="135"/>
      <c r="B11" s="175" t="s">
        <v>162</v>
      </c>
      <c r="E11" s="176">
        <f>'ADJ DETAIL INPUT'!E11</f>
        <v>1</v>
      </c>
      <c r="F11" s="176">
        <f>'ADJ DETAIL INPUT'!F11</f>
        <v>1.01</v>
      </c>
      <c r="G11" s="176">
        <f>'ADJ DETAIL INPUT'!G11</f>
        <v>1.02</v>
      </c>
      <c r="H11" s="176">
        <f>'ADJ DETAIL INPUT'!H11</f>
        <v>1.03</v>
      </c>
      <c r="I11" s="176">
        <f>'ADJ DETAIL INPUT'!I11</f>
        <v>1.04</v>
      </c>
      <c r="J11" s="176">
        <f>'ADJ DETAIL INPUT'!J11</f>
        <v>2.0099999999999998</v>
      </c>
      <c r="K11" s="176">
        <f>'ADJ DETAIL INPUT'!K11</f>
        <v>2.0199999999999996</v>
      </c>
      <c r="L11" s="176">
        <f>'ADJ DETAIL INPUT'!L11</f>
        <v>2.0299999999999994</v>
      </c>
      <c r="M11" s="176">
        <f>'ADJ DETAIL INPUT'!M11</f>
        <v>2.0399999999999991</v>
      </c>
      <c r="N11" s="176">
        <f>'ADJ DETAIL INPUT'!N11</f>
        <v>2.0499999999999989</v>
      </c>
      <c r="O11" s="176">
        <f>'ADJ DETAIL INPUT'!O11</f>
        <v>2.0599999999999987</v>
      </c>
      <c r="P11" s="176">
        <f>'ADJ DETAIL INPUT'!P11</f>
        <v>2.0699999999999985</v>
      </c>
      <c r="Q11" s="176">
        <f>'ADJ DETAIL INPUT'!Q11</f>
        <v>2.0799999999999983</v>
      </c>
      <c r="R11" s="176">
        <f>'ADJ DETAIL INPUT'!R11</f>
        <v>2.0899999999999981</v>
      </c>
      <c r="S11" s="176">
        <f>'ADJ DETAIL INPUT'!S11</f>
        <v>2.0999999999999979</v>
      </c>
      <c r="T11" s="176">
        <f>'ADJ DETAIL INPUT'!T11</f>
        <v>2.1099999999999977</v>
      </c>
      <c r="U11" s="176">
        <f>'ADJ DETAIL INPUT'!U11</f>
        <v>2.1199999999999974</v>
      </c>
      <c r="V11" s="176">
        <f>'ADJ DETAIL INPUT'!V11</f>
        <v>2.1299999999999972</v>
      </c>
      <c r="W11" s="176">
        <f>'ADJ DETAIL INPUT'!W11</f>
        <v>2.139999999999997</v>
      </c>
      <c r="X11" s="176">
        <f>'ADJ DETAIL INPUT'!X11</f>
        <v>2.1499999999999968</v>
      </c>
    </row>
    <row r="12" spans="1:24" s="136" customFormat="1">
      <c r="A12" s="135"/>
      <c r="B12" s="175" t="s">
        <v>163</v>
      </c>
      <c r="E12" s="137" t="str">
        <f>'ADJ DETAIL INPUT'!E12</f>
        <v>G-ROO</v>
      </c>
      <c r="F12" s="137" t="str">
        <f>'ADJ DETAIL INPUT'!F12</f>
        <v>G-DFIT</v>
      </c>
      <c r="G12" s="137" t="str">
        <f>'ADJ DETAIL INPUT'!G12</f>
        <v>G-DDC</v>
      </c>
      <c r="H12" s="137" t="str">
        <f>'ADJ DETAIL INPUT'!H12</f>
        <v>G-WC</v>
      </c>
      <c r="I12" s="137" t="str">
        <f>'ADJ DETAIL INPUT'!I12</f>
        <v>G-AMI</v>
      </c>
      <c r="J12" s="137" t="str">
        <f>'ADJ DETAIL INPUT'!J12</f>
        <v>G-EBO</v>
      </c>
      <c r="K12" s="137" t="str">
        <f>'ADJ DETAIL INPUT'!K12</f>
        <v>G-PT</v>
      </c>
      <c r="L12" s="137" t="str">
        <f>'ADJ DETAIL INPUT'!L12</f>
        <v>G-UE</v>
      </c>
      <c r="M12" s="137" t="str">
        <f>'ADJ DETAIL INPUT'!M12</f>
        <v>G-RE</v>
      </c>
      <c r="N12" s="137" t="str">
        <f>'ADJ DETAIL INPUT'!N12</f>
        <v>G-ID</v>
      </c>
      <c r="O12" s="137" t="str">
        <f>'ADJ DETAIL INPUT'!O12</f>
        <v>G-FIT</v>
      </c>
      <c r="P12" s="137" t="str">
        <f>'ADJ DETAIL INPUT'!P12</f>
        <v>G-OSC</v>
      </c>
      <c r="Q12" s="137" t="str">
        <f>'ADJ DETAIL INPUT'!Q12</f>
        <v>G-RET</v>
      </c>
      <c r="R12" s="137" t="str">
        <f>'ADJ DETAIL INPUT'!R12</f>
        <v>G-NGL</v>
      </c>
      <c r="S12" s="137" t="str">
        <f>'ADJ DETAIL INPUT'!S12</f>
        <v>G-WN</v>
      </c>
      <c r="T12" s="137" t="str">
        <f>'ADJ DETAIL INPUT'!T12</f>
        <v>G-EAS</v>
      </c>
      <c r="U12" s="137" t="str">
        <f>'ADJ DETAIL INPUT'!U12</f>
        <v>G-MR</v>
      </c>
      <c r="V12" s="137" t="str">
        <f>'ADJ DETAIL INPUT'!V12</f>
        <v>G-CA</v>
      </c>
      <c r="W12" s="137" t="str">
        <f>'ADJ DETAIL INPUT'!W12</f>
        <v>G-RI</v>
      </c>
      <c r="X12" s="137" t="str">
        <f>'ADJ DETAIL INPUT'!X12</f>
        <v>G-DI</v>
      </c>
    </row>
    <row r="14" spans="1:24">
      <c r="B14" s="129" t="s">
        <v>26</v>
      </c>
    </row>
    <row r="15" spans="1:24" s="154" customFormat="1">
      <c r="A15" s="153">
        <v>1</v>
      </c>
      <c r="B15" s="154" t="s">
        <v>27</v>
      </c>
      <c r="E15" s="262">
        <f>'ADJ DETAIL INPUT'!E15</f>
        <v>165965</v>
      </c>
      <c r="F15" s="262">
        <f>'ADJ DETAIL INPUT'!F15</f>
        <v>0</v>
      </c>
      <c r="G15" s="262">
        <f>'ADJ DETAIL INPUT'!G15</f>
        <v>0</v>
      </c>
      <c r="H15" s="262">
        <f>'ADJ DETAIL INPUT'!H15</f>
        <v>0</v>
      </c>
      <c r="I15" s="262">
        <f>'ADJ DETAIL INPUT'!I15</f>
        <v>0</v>
      </c>
      <c r="J15" s="262">
        <f>'ADJ DETAIL INPUT'!J15</f>
        <v>-5986</v>
      </c>
      <c r="K15" s="262">
        <f>'ADJ DETAIL INPUT'!K15</f>
        <v>0</v>
      </c>
      <c r="L15" s="262">
        <f>'ADJ DETAIL INPUT'!L15</f>
        <v>0</v>
      </c>
      <c r="M15" s="262">
        <f>'ADJ DETAIL INPUT'!M15</f>
        <v>0</v>
      </c>
      <c r="N15" s="262">
        <f>'ADJ DETAIL INPUT'!N15</f>
        <v>0</v>
      </c>
      <c r="O15" s="262">
        <f>'ADJ DETAIL INPUT'!O15</f>
        <v>0</v>
      </c>
      <c r="P15" s="262">
        <f>'ADJ DETAIL INPUT'!P15</f>
        <v>0</v>
      </c>
      <c r="Q15" s="262">
        <f>'ADJ DETAIL INPUT'!Q15</f>
        <v>0</v>
      </c>
      <c r="R15" s="262">
        <f>'ADJ DETAIL INPUT'!R15</f>
        <v>0</v>
      </c>
      <c r="S15" s="262">
        <f>'ADJ DETAIL INPUT'!S15</f>
        <v>-4558</v>
      </c>
      <c r="T15" s="262">
        <f>'ADJ DETAIL INPUT'!T15</f>
        <v>2322</v>
      </c>
      <c r="U15" s="262">
        <f>'ADJ DETAIL INPUT'!U15</f>
        <v>0</v>
      </c>
      <c r="V15" s="262">
        <f>'ADJ DETAIL INPUT'!V15</f>
        <v>0</v>
      </c>
      <c r="W15" s="262">
        <f>'ADJ DETAIL INPUT'!W15</f>
        <v>0</v>
      </c>
      <c r="X15" s="262">
        <f>'ADJ DETAIL INPUT'!X15</f>
        <v>0</v>
      </c>
    </row>
    <row r="16" spans="1:24">
      <c r="A16" s="153">
        <v>2</v>
      </c>
      <c r="B16" s="155" t="s">
        <v>28</v>
      </c>
      <c r="D16" s="155"/>
      <c r="E16" s="181">
        <f>'ADJ DETAIL INPUT'!E16</f>
        <v>5181</v>
      </c>
      <c r="F16" s="181">
        <f>'ADJ DETAIL INPUT'!F16</f>
        <v>0</v>
      </c>
      <c r="G16" s="181">
        <f>'ADJ DETAIL INPUT'!G16</f>
        <v>0</v>
      </c>
      <c r="H16" s="181">
        <f>'ADJ DETAIL INPUT'!H16</f>
        <v>0</v>
      </c>
      <c r="I16" s="181">
        <f>'ADJ DETAIL INPUT'!I16</f>
        <v>0</v>
      </c>
      <c r="J16" s="181">
        <f>'ADJ DETAIL INPUT'!J16</f>
        <v>-132</v>
      </c>
      <c r="K16" s="181">
        <f>'ADJ DETAIL INPUT'!K16</f>
        <v>0</v>
      </c>
      <c r="L16" s="181">
        <f>'ADJ DETAIL INPUT'!L16</f>
        <v>0</v>
      </c>
      <c r="M16" s="181">
        <f>'ADJ DETAIL INPUT'!M16</f>
        <v>0</v>
      </c>
      <c r="N16" s="181">
        <f>'ADJ DETAIL INPUT'!N16</f>
        <v>0</v>
      </c>
      <c r="O16" s="181">
        <f>'ADJ DETAIL INPUT'!O16</f>
        <v>0</v>
      </c>
      <c r="P16" s="181">
        <f>'ADJ DETAIL INPUT'!P16</f>
        <v>0</v>
      </c>
      <c r="Q16" s="181">
        <f>'ADJ DETAIL INPUT'!Q16</f>
        <v>0</v>
      </c>
      <c r="R16" s="181">
        <f>'ADJ DETAIL INPUT'!R16</f>
        <v>0</v>
      </c>
      <c r="S16" s="181">
        <f>'ADJ DETAIL INPUT'!S16</f>
        <v>0</v>
      </c>
      <c r="T16" s="181">
        <f>'ADJ DETAIL INPUT'!T16</f>
        <v>0</v>
      </c>
      <c r="U16" s="181">
        <f>'ADJ DETAIL INPUT'!U16</f>
        <v>0</v>
      </c>
      <c r="V16" s="181">
        <f>'ADJ DETAIL INPUT'!V16</f>
        <v>0</v>
      </c>
      <c r="W16" s="181">
        <f>'ADJ DETAIL INPUT'!W16</f>
        <v>0</v>
      </c>
      <c r="X16" s="181">
        <f>'ADJ DETAIL INPUT'!X16</f>
        <v>0</v>
      </c>
    </row>
    <row r="17" spans="1:24">
      <c r="A17" s="153">
        <v>3</v>
      </c>
      <c r="B17" s="155" t="s">
        <v>29</v>
      </c>
      <c r="D17" s="155"/>
      <c r="E17" s="182">
        <f>'ADJ DETAIL INPUT'!E17</f>
        <v>48146</v>
      </c>
      <c r="F17" s="182">
        <f>'ADJ DETAIL INPUT'!F17</f>
        <v>0</v>
      </c>
      <c r="G17" s="182">
        <f>'ADJ DETAIL INPUT'!G17</f>
        <v>0</v>
      </c>
      <c r="H17" s="182">
        <f>'ADJ DETAIL INPUT'!H17</f>
        <v>0</v>
      </c>
      <c r="I17" s="182">
        <f>'ADJ DETAIL INPUT'!I17</f>
        <v>0</v>
      </c>
      <c r="J17" s="182">
        <f>'ADJ DETAIL INPUT'!J17</f>
        <v>0</v>
      </c>
      <c r="K17" s="182">
        <f>'ADJ DETAIL INPUT'!K17</f>
        <v>0</v>
      </c>
      <c r="L17" s="182">
        <f>'ADJ DETAIL INPUT'!L17</f>
        <v>0</v>
      </c>
      <c r="M17" s="182">
        <f>'ADJ DETAIL INPUT'!M17</f>
        <v>0</v>
      </c>
      <c r="N17" s="182">
        <f>'ADJ DETAIL INPUT'!N17</f>
        <v>0</v>
      </c>
      <c r="O17" s="182">
        <f>'ADJ DETAIL INPUT'!O17</f>
        <v>0</v>
      </c>
      <c r="P17" s="182">
        <f>'ADJ DETAIL INPUT'!P17</f>
        <v>0</v>
      </c>
      <c r="Q17" s="182">
        <f>'ADJ DETAIL INPUT'!Q17</f>
        <v>0</v>
      </c>
      <c r="R17" s="182">
        <f>'ADJ DETAIL INPUT'!R17</f>
        <v>0</v>
      </c>
      <c r="S17" s="182">
        <f>'ADJ DETAIL INPUT'!S17</f>
        <v>2235</v>
      </c>
      <c r="T17" s="182">
        <f>'ADJ DETAIL INPUT'!T17</f>
        <v>-51229</v>
      </c>
      <c r="U17" s="182">
        <f>'ADJ DETAIL INPUT'!U17</f>
        <v>24</v>
      </c>
      <c r="V17" s="182">
        <f>'ADJ DETAIL INPUT'!V17</f>
        <v>0</v>
      </c>
      <c r="W17" s="182">
        <f>'ADJ DETAIL INPUT'!W17</f>
        <v>0</v>
      </c>
      <c r="X17" s="182">
        <f>'ADJ DETAIL INPUT'!X17</f>
        <v>0</v>
      </c>
    </row>
    <row r="18" spans="1:24">
      <c r="A18" s="153">
        <v>4</v>
      </c>
      <c r="B18" s="129" t="s">
        <v>30</v>
      </c>
      <c r="C18" s="155"/>
      <c r="D18" s="155"/>
      <c r="E18" s="181">
        <f>SUM(E15:E17)</f>
        <v>219292</v>
      </c>
      <c r="F18" s="181">
        <f t="shared" ref="F18" si="0">SUM(F15:F17)</f>
        <v>0</v>
      </c>
      <c r="G18" s="181">
        <f t="shared" ref="G18:Q18" si="1">SUM(G15:G17)</f>
        <v>0</v>
      </c>
      <c r="H18" s="181">
        <f t="shared" si="1"/>
        <v>0</v>
      </c>
      <c r="I18" s="181">
        <f t="shared" ref="I18" si="2">SUM(I15:I17)</f>
        <v>0</v>
      </c>
      <c r="J18" s="181">
        <f t="shared" si="1"/>
        <v>-6118</v>
      </c>
      <c r="K18" s="181">
        <f t="shared" si="1"/>
        <v>0</v>
      </c>
      <c r="L18" s="181">
        <f t="shared" si="1"/>
        <v>0</v>
      </c>
      <c r="M18" s="181">
        <f t="shared" si="1"/>
        <v>0</v>
      </c>
      <c r="N18" s="181">
        <f t="shared" si="1"/>
        <v>0</v>
      </c>
      <c r="O18" s="181">
        <f t="shared" si="1"/>
        <v>0</v>
      </c>
      <c r="P18" s="181">
        <f t="shared" si="1"/>
        <v>0</v>
      </c>
      <c r="Q18" s="181">
        <f t="shared" si="1"/>
        <v>0</v>
      </c>
      <c r="R18" s="181">
        <f t="shared" ref="R18" si="3">SUM(R15:R17)</f>
        <v>0</v>
      </c>
      <c r="S18" s="181">
        <f t="shared" ref="S18:U18" si="4">SUM(S15:S17)</f>
        <v>-2323</v>
      </c>
      <c r="T18" s="181">
        <f t="shared" si="4"/>
        <v>-48907</v>
      </c>
      <c r="U18" s="181">
        <f t="shared" si="4"/>
        <v>24</v>
      </c>
      <c r="V18" s="181">
        <f t="shared" ref="V18:X18" si="5">SUM(V15:V17)</f>
        <v>0</v>
      </c>
      <c r="W18" s="181">
        <f t="shared" si="5"/>
        <v>0</v>
      </c>
      <c r="X18" s="181">
        <f t="shared" si="5"/>
        <v>0</v>
      </c>
    </row>
    <row r="19" spans="1:24">
      <c r="C19" s="155"/>
      <c r="D19" s="155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</row>
    <row r="20" spans="1:24">
      <c r="B20" s="129" t="s">
        <v>31</v>
      </c>
      <c r="C20" s="155"/>
      <c r="D20" s="155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</row>
    <row r="21" spans="1:24">
      <c r="B21" s="155" t="s">
        <v>179</v>
      </c>
      <c r="D21" s="155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</row>
    <row r="22" spans="1:24">
      <c r="A22" s="153">
        <v>5</v>
      </c>
      <c r="C22" s="155" t="s">
        <v>32</v>
      </c>
      <c r="D22" s="155"/>
      <c r="E22" s="181">
        <f>'ADJ DETAIL INPUT'!E22</f>
        <v>109496</v>
      </c>
      <c r="F22" s="181">
        <f>'ADJ DETAIL INPUT'!F22</f>
        <v>0</v>
      </c>
      <c r="G22" s="181">
        <f>'ADJ DETAIL INPUT'!G22</f>
        <v>0</v>
      </c>
      <c r="H22" s="181">
        <f>'ADJ DETAIL INPUT'!H22</f>
        <v>0</v>
      </c>
      <c r="I22" s="181">
        <f>'ADJ DETAIL INPUT'!I22</f>
        <v>0</v>
      </c>
      <c r="J22" s="181">
        <f>'ADJ DETAIL INPUT'!J22</f>
        <v>0</v>
      </c>
      <c r="K22" s="181">
        <f>'ADJ DETAIL INPUT'!K22</f>
        <v>0</v>
      </c>
      <c r="L22" s="181">
        <f>'ADJ DETAIL INPUT'!L22</f>
        <v>0</v>
      </c>
      <c r="M22" s="181">
        <f>'ADJ DETAIL INPUT'!M22</f>
        <v>0</v>
      </c>
      <c r="N22" s="181">
        <f>'ADJ DETAIL INPUT'!N22</f>
        <v>0</v>
      </c>
      <c r="O22" s="181">
        <f>'ADJ DETAIL INPUT'!O22</f>
        <v>0</v>
      </c>
      <c r="P22" s="181">
        <f>'ADJ DETAIL INPUT'!P22</f>
        <v>0</v>
      </c>
      <c r="Q22" s="181">
        <f>'ADJ DETAIL INPUT'!Q22</f>
        <v>0</v>
      </c>
      <c r="R22" s="181">
        <f>'ADJ DETAIL INPUT'!R22</f>
        <v>0</v>
      </c>
      <c r="S22" s="181">
        <f>'ADJ DETAIL INPUT'!S22</f>
        <v>-2114</v>
      </c>
      <c r="T22" s="181">
        <f>'ADJ DETAIL INPUT'!T22</f>
        <v>-42968</v>
      </c>
      <c r="U22" s="181">
        <f>'ADJ DETAIL INPUT'!U22</f>
        <v>0</v>
      </c>
      <c r="V22" s="181">
        <f>'ADJ DETAIL INPUT'!V22</f>
        <v>0</v>
      </c>
      <c r="W22" s="181">
        <f>'ADJ DETAIL INPUT'!W22</f>
        <v>0</v>
      </c>
      <c r="X22" s="181">
        <f>'ADJ DETAIL INPUT'!X22</f>
        <v>0</v>
      </c>
    </row>
    <row r="23" spans="1:24">
      <c r="A23" s="153">
        <v>6</v>
      </c>
      <c r="C23" s="155" t="s">
        <v>33</v>
      </c>
      <c r="D23" s="155"/>
      <c r="E23" s="181">
        <f>'ADJ DETAIL INPUT'!E23</f>
        <v>947</v>
      </c>
      <c r="F23" s="181">
        <f>'ADJ DETAIL INPUT'!F23</f>
        <v>0</v>
      </c>
      <c r="G23" s="181">
        <f>'ADJ DETAIL INPUT'!G23</f>
        <v>0</v>
      </c>
      <c r="H23" s="181">
        <f>'ADJ DETAIL INPUT'!H23</f>
        <v>0</v>
      </c>
      <c r="I23" s="181">
        <f>'ADJ DETAIL INPUT'!I23</f>
        <v>0</v>
      </c>
      <c r="J23" s="181">
        <f>'ADJ DETAIL INPUT'!J23</f>
        <v>0</v>
      </c>
      <c r="K23" s="181">
        <f>'ADJ DETAIL INPUT'!K23</f>
        <v>0</v>
      </c>
      <c r="L23" s="181">
        <f>'ADJ DETAIL INPUT'!L23</f>
        <v>0</v>
      </c>
      <c r="M23" s="181">
        <f>'ADJ DETAIL INPUT'!M23</f>
        <v>0</v>
      </c>
      <c r="N23" s="181">
        <f>'ADJ DETAIL INPUT'!N23</f>
        <v>0</v>
      </c>
      <c r="O23" s="181">
        <f>'ADJ DETAIL INPUT'!O23</f>
        <v>0</v>
      </c>
      <c r="P23" s="181">
        <f>'ADJ DETAIL INPUT'!P23</f>
        <v>0</v>
      </c>
      <c r="Q23" s="181">
        <f>'ADJ DETAIL INPUT'!Q23</f>
        <v>0</v>
      </c>
      <c r="R23" s="181">
        <f>'ADJ DETAIL INPUT'!R23</f>
        <v>0</v>
      </c>
      <c r="S23" s="181">
        <f>'ADJ DETAIL INPUT'!S23</f>
        <v>-3</v>
      </c>
      <c r="T23" s="181">
        <f>'ADJ DETAIL INPUT'!T23</f>
        <v>0</v>
      </c>
      <c r="U23" s="181">
        <f>'ADJ DETAIL INPUT'!U23</f>
        <v>0</v>
      </c>
      <c r="V23" s="181">
        <f>'ADJ DETAIL INPUT'!V23</f>
        <v>0</v>
      </c>
      <c r="W23" s="181">
        <f>'ADJ DETAIL INPUT'!W23</f>
        <v>0</v>
      </c>
      <c r="X23" s="181">
        <f>'ADJ DETAIL INPUT'!X23</f>
        <v>0</v>
      </c>
    </row>
    <row r="24" spans="1:24">
      <c r="A24" s="153">
        <v>7</v>
      </c>
      <c r="C24" s="155" t="s">
        <v>34</v>
      </c>
      <c r="D24" s="155"/>
      <c r="E24" s="182">
        <f>'ADJ DETAIL INPUT'!E24</f>
        <v>-2351</v>
      </c>
      <c r="F24" s="182">
        <f>'ADJ DETAIL INPUT'!F24</f>
        <v>0</v>
      </c>
      <c r="G24" s="182">
        <f>'ADJ DETAIL INPUT'!G24</f>
        <v>0</v>
      </c>
      <c r="H24" s="182">
        <f>'ADJ DETAIL INPUT'!H24</f>
        <v>0</v>
      </c>
      <c r="I24" s="182">
        <f>'ADJ DETAIL INPUT'!I24</f>
        <v>0</v>
      </c>
      <c r="J24" s="182">
        <f>'ADJ DETAIL INPUT'!J24</f>
        <v>0</v>
      </c>
      <c r="K24" s="182">
        <f>'ADJ DETAIL INPUT'!K24</f>
        <v>0</v>
      </c>
      <c r="L24" s="182">
        <f>'ADJ DETAIL INPUT'!L24</f>
        <v>0</v>
      </c>
      <c r="M24" s="182">
        <f>'ADJ DETAIL INPUT'!M24</f>
        <v>0</v>
      </c>
      <c r="N24" s="182">
        <f>'ADJ DETAIL INPUT'!N24</f>
        <v>0</v>
      </c>
      <c r="O24" s="182">
        <f>'ADJ DETAIL INPUT'!O24</f>
        <v>0</v>
      </c>
      <c r="P24" s="182">
        <f>'ADJ DETAIL INPUT'!P24</f>
        <v>0</v>
      </c>
      <c r="Q24" s="182">
        <f>'ADJ DETAIL INPUT'!Q24</f>
        <v>0</v>
      </c>
      <c r="R24" s="182">
        <f>'ADJ DETAIL INPUT'!R24</f>
        <v>0</v>
      </c>
      <c r="S24" s="182">
        <f>'ADJ DETAIL INPUT'!S24</f>
        <v>0</v>
      </c>
      <c r="T24" s="182">
        <f>'ADJ DETAIL INPUT'!T24</f>
        <v>2351</v>
      </c>
      <c r="U24" s="182">
        <f>'ADJ DETAIL INPUT'!U24</f>
        <v>0</v>
      </c>
      <c r="V24" s="182">
        <f>'ADJ DETAIL INPUT'!V24</f>
        <v>0</v>
      </c>
      <c r="W24" s="182">
        <f>'ADJ DETAIL INPUT'!W24</f>
        <v>0</v>
      </c>
      <c r="X24" s="182">
        <f>'ADJ DETAIL INPUT'!X24</f>
        <v>0</v>
      </c>
    </row>
    <row r="25" spans="1:24">
      <c r="A25" s="153">
        <v>8</v>
      </c>
      <c r="B25" s="155" t="s">
        <v>35</v>
      </c>
      <c r="C25" s="155"/>
      <c r="E25" s="183">
        <f>SUM(E22:E24)</f>
        <v>108092</v>
      </c>
      <c r="F25" s="183">
        <f t="shared" ref="F25" si="6">SUM(F22:F24)</f>
        <v>0</v>
      </c>
      <c r="G25" s="183">
        <f t="shared" ref="G25:Q25" si="7">SUM(G22:G24)</f>
        <v>0</v>
      </c>
      <c r="H25" s="183">
        <f t="shared" si="7"/>
        <v>0</v>
      </c>
      <c r="I25" s="183">
        <f t="shared" ref="I25" si="8">SUM(I22:I24)</f>
        <v>0</v>
      </c>
      <c r="J25" s="183">
        <f t="shared" si="7"/>
        <v>0</v>
      </c>
      <c r="K25" s="183">
        <f t="shared" si="7"/>
        <v>0</v>
      </c>
      <c r="L25" s="183">
        <f t="shared" si="7"/>
        <v>0</v>
      </c>
      <c r="M25" s="183">
        <f t="shared" si="7"/>
        <v>0</v>
      </c>
      <c r="N25" s="183">
        <f t="shared" si="7"/>
        <v>0</v>
      </c>
      <c r="O25" s="183">
        <f t="shared" si="7"/>
        <v>0</v>
      </c>
      <c r="P25" s="183">
        <f t="shared" si="7"/>
        <v>0</v>
      </c>
      <c r="Q25" s="183">
        <f t="shared" si="7"/>
        <v>0</v>
      </c>
      <c r="R25" s="183">
        <f t="shared" ref="R25" si="9">SUM(R22:R24)</f>
        <v>0</v>
      </c>
      <c r="S25" s="183">
        <f t="shared" ref="S25:U25" si="10">SUM(S22:S24)</f>
        <v>-2117</v>
      </c>
      <c r="T25" s="183">
        <f t="shared" si="10"/>
        <v>-40617</v>
      </c>
      <c r="U25" s="183">
        <f t="shared" si="10"/>
        <v>0</v>
      </c>
      <c r="V25" s="183">
        <f t="shared" ref="V25:X25" si="11">SUM(V22:V24)</f>
        <v>0</v>
      </c>
      <c r="W25" s="183">
        <f t="shared" si="11"/>
        <v>0</v>
      </c>
      <c r="X25" s="183">
        <f t="shared" si="11"/>
        <v>0</v>
      </c>
    </row>
    <row r="26" spans="1:24">
      <c r="B26" s="155"/>
      <c r="C26" s="155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4">
      <c r="B27" s="155" t="s">
        <v>36</v>
      </c>
      <c r="D27" s="155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4">
      <c r="A28" s="153">
        <v>9</v>
      </c>
      <c r="C28" s="155" t="s">
        <v>37</v>
      </c>
      <c r="D28" s="155"/>
      <c r="E28" s="181">
        <f>'ADJ DETAIL INPUT'!E28</f>
        <v>1032</v>
      </c>
      <c r="F28" s="181">
        <f>'ADJ DETAIL INPUT'!F28</f>
        <v>0</v>
      </c>
      <c r="G28" s="181">
        <f>'ADJ DETAIL INPUT'!G28</f>
        <v>0</v>
      </c>
      <c r="H28" s="181">
        <f>'ADJ DETAIL INPUT'!H28</f>
        <v>0</v>
      </c>
      <c r="I28" s="181">
        <f>'ADJ DETAIL INPUT'!I28</f>
        <v>0</v>
      </c>
      <c r="J28" s="181">
        <f>'ADJ DETAIL INPUT'!J28</f>
        <v>0</v>
      </c>
      <c r="K28" s="181">
        <f>'ADJ DETAIL INPUT'!K28</f>
        <v>0</v>
      </c>
      <c r="L28" s="181">
        <f>'ADJ DETAIL INPUT'!L28</f>
        <v>0</v>
      </c>
      <c r="M28" s="181">
        <f>'ADJ DETAIL INPUT'!M28</f>
        <v>0</v>
      </c>
      <c r="N28" s="181">
        <f>'ADJ DETAIL INPUT'!N28</f>
        <v>0</v>
      </c>
      <c r="O28" s="181">
        <f>'ADJ DETAIL INPUT'!O28</f>
        <v>0</v>
      </c>
      <c r="P28" s="181">
        <f>'ADJ DETAIL INPUT'!P28</f>
        <v>0</v>
      </c>
      <c r="Q28" s="181">
        <f>'ADJ DETAIL INPUT'!Q28</f>
        <v>0</v>
      </c>
      <c r="R28" s="181">
        <f>'ADJ DETAIL INPUT'!R28</f>
        <v>0</v>
      </c>
      <c r="S28" s="181">
        <f>'ADJ DETAIL INPUT'!S28</f>
        <v>0</v>
      </c>
      <c r="T28" s="181">
        <f>'ADJ DETAIL INPUT'!T28</f>
        <v>0</v>
      </c>
      <c r="U28" s="181">
        <f>'ADJ DETAIL INPUT'!U28</f>
        <v>0</v>
      </c>
      <c r="V28" s="181">
        <f>'ADJ DETAIL INPUT'!V28</f>
        <v>0</v>
      </c>
      <c r="W28" s="181">
        <f>'ADJ DETAIL INPUT'!W28</f>
        <v>0</v>
      </c>
      <c r="X28" s="181">
        <f>'ADJ DETAIL INPUT'!X28</f>
        <v>0</v>
      </c>
    </row>
    <row r="29" spans="1:24">
      <c r="A29" s="153">
        <v>10</v>
      </c>
      <c r="C29" s="155" t="s">
        <v>175</v>
      </c>
      <c r="D29" s="155"/>
      <c r="E29" s="181">
        <f>'ADJ DETAIL INPUT'!E29</f>
        <v>537</v>
      </c>
      <c r="F29" s="181">
        <f>'ADJ DETAIL INPUT'!F29</f>
        <v>0</v>
      </c>
      <c r="G29" s="181">
        <f>'ADJ DETAIL INPUT'!G29</f>
        <v>0</v>
      </c>
      <c r="H29" s="181">
        <f>'ADJ DETAIL INPUT'!H29</f>
        <v>0</v>
      </c>
      <c r="I29" s="181">
        <f>'ADJ DETAIL INPUT'!I29</f>
        <v>0</v>
      </c>
      <c r="J29" s="181">
        <f>'ADJ DETAIL INPUT'!J29</f>
        <v>0</v>
      </c>
      <c r="K29" s="181">
        <f>'ADJ DETAIL INPUT'!K29</f>
        <v>0</v>
      </c>
      <c r="L29" s="181">
        <f>'ADJ DETAIL INPUT'!L29</f>
        <v>0</v>
      </c>
      <c r="M29" s="181">
        <f>'ADJ DETAIL INPUT'!M29</f>
        <v>0</v>
      </c>
      <c r="N29" s="181">
        <f>'ADJ DETAIL INPUT'!N29</f>
        <v>0</v>
      </c>
      <c r="O29" s="181">
        <f>'ADJ DETAIL INPUT'!O29</f>
        <v>0</v>
      </c>
      <c r="P29" s="181">
        <f>'ADJ DETAIL INPUT'!P29</f>
        <v>0</v>
      </c>
      <c r="Q29" s="181">
        <f>'ADJ DETAIL INPUT'!Q29</f>
        <v>0</v>
      </c>
      <c r="R29" s="181">
        <f>'ADJ DETAIL INPUT'!R29</f>
        <v>0</v>
      </c>
      <c r="S29" s="181">
        <f>'ADJ DETAIL INPUT'!S29</f>
        <v>0</v>
      </c>
      <c r="T29" s="181">
        <f>'ADJ DETAIL INPUT'!T29</f>
        <v>0</v>
      </c>
      <c r="U29" s="181">
        <f>'ADJ DETAIL INPUT'!U29</f>
        <v>0</v>
      </c>
      <c r="V29" s="181">
        <f>'ADJ DETAIL INPUT'!V29</f>
        <v>0</v>
      </c>
      <c r="W29" s="181">
        <f>'ADJ DETAIL INPUT'!W29</f>
        <v>0</v>
      </c>
      <c r="X29" s="181">
        <f>'ADJ DETAIL INPUT'!X29</f>
        <v>0</v>
      </c>
    </row>
    <row r="30" spans="1:24">
      <c r="A30" s="153">
        <v>11</v>
      </c>
      <c r="C30" s="155" t="s">
        <v>21</v>
      </c>
      <c r="D30" s="155"/>
      <c r="E30" s="182">
        <f>'ADJ DETAIL INPUT'!E30</f>
        <v>73</v>
      </c>
      <c r="F30" s="182">
        <f>'ADJ DETAIL INPUT'!F30</f>
        <v>0</v>
      </c>
      <c r="G30" s="182">
        <f>'ADJ DETAIL INPUT'!G30</f>
        <v>0</v>
      </c>
      <c r="H30" s="182">
        <f>'ADJ DETAIL INPUT'!H30</f>
        <v>0</v>
      </c>
      <c r="I30" s="182">
        <f>'ADJ DETAIL INPUT'!I30</f>
        <v>0</v>
      </c>
      <c r="J30" s="182">
        <f>'ADJ DETAIL INPUT'!J30</f>
        <v>0</v>
      </c>
      <c r="K30" s="182">
        <f>'ADJ DETAIL INPUT'!K30</f>
        <v>12</v>
      </c>
      <c r="L30" s="182">
        <f>'ADJ DETAIL INPUT'!L30</f>
        <v>0</v>
      </c>
      <c r="M30" s="182">
        <f>'ADJ DETAIL INPUT'!M30</f>
        <v>0</v>
      </c>
      <c r="N30" s="182">
        <f>'ADJ DETAIL INPUT'!N30</f>
        <v>0</v>
      </c>
      <c r="O30" s="182">
        <f>'ADJ DETAIL INPUT'!O30</f>
        <v>0</v>
      </c>
      <c r="P30" s="182">
        <f>'ADJ DETAIL INPUT'!P30</f>
        <v>0</v>
      </c>
      <c r="Q30" s="182">
        <f>'ADJ DETAIL INPUT'!Q30</f>
        <v>0</v>
      </c>
      <c r="R30" s="182">
        <f>'ADJ DETAIL INPUT'!R30</f>
        <v>0</v>
      </c>
      <c r="S30" s="182">
        <f>'ADJ DETAIL INPUT'!S30</f>
        <v>0</v>
      </c>
      <c r="T30" s="182">
        <f>'ADJ DETAIL INPUT'!T30</f>
        <v>0</v>
      </c>
      <c r="U30" s="182">
        <f>'ADJ DETAIL INPUT'!U30</f>
        <v>0</v>
      </c>
      <c r="V30" s="182">
        <f>'ADJ DETAIL INPUT'!V30</f>
        <v>0</v>
      </c>
      <c r="W30" s="182">
        <f>'ADJ DETAIL INPUT'!W30</f>
        <v>0</v>
      </c>
      <c r="X30" s="182">
        <f>'ADJ DETAIL INPUT'!X30</f>
        <v>0</v>
      </c>
    </row>
    <row r="31" spans="1:24">
      <c r="A31" s="153">
        <v>12</v>
      </c>
      <c r="B31" s="155" t="s">
        <v>38</v>
      </c>
      <c r="C31" s="155"/>
      <c r="E31" s="181">
        <f t="shared" ref="E31" si="12">SUM(E28:E30)</f>
        <v>1642</v>
      </c>
      <c r="F31" s="181">
        <f t="shared" ref="F31" si="13">SUM(F28:F30)</f>
        <v>0</v>
      </c>
      <c r="G31" s="181">
        <f t="shared" ref="G31:Q31" si="14">SUM(G28:G30)</f>
        <v>0</v>
      </c>
      <c r="H31" s="181">
        <f t="shared" si="14"/>
        <v>0</v>
      </c>
      <c r="I31" s="181">
        <f t="shared" ref="I31" si="15">SUM(I28:I30)</f>
        <v>0</v>
      </c>
      <c r="J31" s="181">
        <f t="shared" si="14"/>
        <v>0</v>
      </c>
      <c r="K31" s="181">
        <f t="shared" si="14"/>
        <v>12</v>
      </c>
      <c r="L31" s="181">
        <f t="shared" si="14"/>
        <v>0</v>
      </c>
      <c r="M31" s="181">
        <f t="shared" si="14"/>
        <v>0</v>
      </c>
      <c r="N31" s="181">
        <f t="shared" si="14"/>
        <v>0</v>
      </c>
      <c r="O31" s="181">
        <f t="shared" si="14"/>
        <v>0</v>
      </c>
      <c r="P31" s="181">
        <f t="shared" si="14"/>
        <v>0</v>
      </c>
      <c r="Q31" s="181">
        <f t="shared" si="14"/>
        <v>0</v>
      </c>
      <c r="R31" s="181">
        <f t="shared" ref="R31" si="16">SUM(R28:R30)</f>
        <v>0</v>
      </c>
      <c r="S31" s="181">
        <f t="shared" ref="S31:U31" si="17">SUM(S28:S30)</f>
        <v>0</v>
      </c>
      <c r="T31" s="181">
        <f t="shared" si="17"/>
        <v>0</v>
      </c>
      <c r="U31" s="181">
        <f t="shared" si="17"/>
        <v>0</v>
      </c>
      <c r="V31" s="181">
        <f t="shared" ref="V31:X31" si="18">SUM(V28:V30)</f>
        <v>0</v>
      </c>
      <c r="W31" s="181">
        <f t="shared" si="18"/>
        <v>0</v>
      </c>
      <c r="X31" s="181">
        <f t="shared" si="18"/>
        <v>0</v>
      </c>
    </row>
    <row r="32" spans="1:24">
      <c r="B32" s="155"/>
      <c r="C32" s="155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4">
      <c r="B33" s="155" t="s">
        <v>39</v>
      </c>
      <c r="D33" s="155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1:24">
      <c r="A34" s="153">
        <v>13</v>
      </c>
      <c r="C34" s="155" t="s">
        <v>37</v>
      </c>
      <c r="D34" s="155"/>
      <c r="E34" s="181">
        <f>'ADJ DETAIL INPUT'!E34</f>
        <v>12390</v>
      </c>
      <c r="F34" s="181">
        <f>'ADJ DETAIL INPUT'!F34</f>
        <v>0</v>
      </c>
      <c r="G34" s="181">
        <f>'ADJ DETAIL INPUT'!G34</f>
        <v>0</v>
      </c>
      <c r="H34" s="181">
        <f>'ADJ DETAIL INPUT'!H34</f>
        <v>0</v>
      </c>
      <c r="I34" s="181">
        <f>'ADJ DETAIL INPUT'!I34</f>
        <v>0</v>
      </c>
      <c r="J34" s="181">
        <f>'ADJ DETAIL INPUT'!J34</f>
        <v>0</v>
      </c>
      <c r="K34" s="181">
        <f>'ADJ DETAIL INPUT'!K34</f>
        <v>0</v>
      </c>
      <c r="L34" s="181">
        <f>'ADJ DETAIL INPUT'!L34</f>
        <v>0</v>
      </c>
      <c r="M34" s="181">
        <f>'ADJ DETAIL INPUT'!M34</f>
        <v>0</v>
      </c>
      <c r="N34" s="181">
        <f>'ADJ DETAIL INPUT'!N34</f>
        <v>0</v>
      </c>
      <c r="O34" s="181">
        <f>'ADJ DETAIL INPUT'!O34</f>
        <v>0</v>
      </c>
      <c r="P34" s="181">
        <f>'ADJ DETAIL INPUT'!P34</f>
        <v>0</v>
      </c>
      <c r="Q34" s="181">
        <f>'ADJ DETAIL INPUT'!Q34</f>
        <v>0</v>
      </c>
      <c r="R34" s="181">
        <f>'ADJ DETAIL INPUT'!R34</f>
        <v>0</v>
      </c>
      <c r="S34" s="181">
        <f>'ADJ DETAIL INPUT'!S34</f>
        <v>0</v>
      </c>
      <c r="T34" s="181">
        <f>'ADJ DETAIL INPUT'!T34</f>
        <v>0</v>
      </c>
      <c r="U34" s="181">
        <f>'ADJ DETAIL INPUT'!U34</f>
        <v>-10</v>
      </c>
      <c r="V34" s="181">
        <f>'ADJ DETAIL INPUT'!V34</f>
        <v>0</v>
      </c>
      <c r="W34" s="181">
        <f>'ADJ DETAIL INPUT'!W34</f>
        <v>0</v>
      </c>
      <c r="X34" s="181">
        <f>'ADJ DETAIL INPUT'!X34</f>
        <v>0</v>
      </c>
    </row>
    <row r="35" spans="1:24">
      <c r="A35" s="153">
        <v>14</v>
      </c>
      <c r="C35" s="155" t="s">
        <v>175</v>
      </c>
      <c r="D35" s="155"/>
      <c r="E35" s="183">
        <f>'ADJ DETAIL INPUT'!E35</f>
        <v>10638</v>
      </c>
      <c r="F35" s="183">
        <f>'ADJ DETAIL INPUT'!F35</f>
        <v>0</v>
      </c>
      <c r="G35" s="183">
        <f>'ADJ DETAIL INPUT'!G35</f>
        <v>0</v>
      </c>
      <c r="H35" s="183">
        <f>'ADJ DETAIL INPUT'!H35</f>
        <v>0</v>
      </c>
      <c r="I35" s="183">
        <f>'ADJ DETAIL INPUT'!I35</f>
        <v>0</v>
      </c>
      <c r="J35" s="183">
        <f>'ADJ DETAIL INPUT'!J35</f>
        <v>0</v>
      </c>
      <c r="K35" s="183">
        <f>'ADJ DETAIL INPUT'!K35</f>
        <v>0</v>
      </c>
      <c r="L35" s="183">
        <f>'ADJ DETAIL INPUT'!L35</f>
        <v>0</v>
      </c>
      <c r="M35" s="183">
        <f>'ADJ DETAIL INPUT'!M35</f>
        <v>0</v>
      </c>
      <c r="N35" s="183">
        <f>'ADJ DETAIL INPUT'!N35</f>
        <v>0</v>
      </c>
      <c r="O35" s="183">
        <f>'ADJ DETAIL INPUT'!O35</f>
        <v>0</v>
      </c>
      <c r="P35" s="183">
        <f>'ADJ DETAIL INPUT'!P35</f>
        <v>0</v>
      </c>
      <c r="Q35" s="183">
        <f>'ADJ DETAIL INPUT'!Q35</f>
        <v>0</v>
      </c>
      <c r="R35" s="183">
        <f>'ADJ DETAIL INPUT'!R35</f>
        <v>0</v>
      </c>
      <c r="S35" s="183">
        <f>'ADJ DETAIL INPUT'!S35</f>
        <v>0</v>
      </c>
      <c r="T35" s="183">
        <f>'ADJ DETAIL INPUT'!T35</f>
        <v>0</v>
      </c>
      <c r="U35" s="183">
        <f>'ADJ DETAIL INPUT'!U35</f>
        <v>0</v>
      </c>
      <c r="V35" s="183">
        <f>'ADJ DETAIL INPUT'!V35</f>
        <v>0</v>
      </c>
      <c r="W35" s="183">
        <f>'ADJ DETAIL INPUT'!W35</f>
        <v>0</v>
      </c>
      <c r="X35" s="183">
        <f>'ADJ DETAIL INPUT'!X35</f>
        <v>0</v>
      </c>
    </row>
    <row r="36" spans="1:24">
      <c r="A36" s="153">
        <v>15</v>
      </c>
      <c r="C36" s="155" t="s">
        <v>21</v>
      </c>
      <c r="D36" s="155"/>
      <c r="E36" s="182">
        <f>'ADJ DETAIL INPUT'!E36</f>
        <v>15342</v>
      </c>
      <c r="F36" s="182">
        <f>'ADJ DETAIL INPUT'!F36</f>
        <v>0</v>
      </c>
      <c r="G36" s="182">
        <f>'ADJ DETAIL INPUT'!G36</f>
        <v>0</v>
      </c>
      <c r="H36" s="182">
        <f>'ADJ DETAIL INPUT'!H36</f>
        <v>0</v>
      </c>
      <c r="I36" s="182">
        <f>'ADJ DETAIL INPUT'!I36</f>
        <v>0</v>
      </c>
      <c r="J36" s="182">
        <f>'ADJ DETAIL INPUT'!J36</f>
        <v>-6092</v>
      </c>
      <c r="K36" s="182">
        <f>'ADJ DETAIL INPUT'!K36</f>
        <v>-20</v>
      </c>
      <c r="L36" s="182">
        <f>'ADJ DETAIL INPUT'!L36</f>
        <v>0</v>
      </c>
      <c r="M36" s="182">
        <f>'ADJ DETAIL INPUT'!M36</f>
        <v>0</v>
      </c>
      <c r="N36" s="182">
        <f>'ADJ DETAIL INPUT'!N36</f>
        <v>0</v>
      </c>
      <c r="O36" s="182">
        <f>'ADJ DETAIL INPUT'!O36</f>
        <v>0</v>
      </c>
      <c r="P36" s="182">
        <f>'ADJ DETAIL INPUT'!P36</f>
        <v>0</v>
      </c>
      <c r="Q36" s="182">
        <f>'ADJ DETAIL INPUT'!Q36</f>
        <v>0</v>
      </c>
      <c r="R36" s="182">
        <f>'ADJ DETAIL INPUT'!R36</f>
        <v>0</v>
      </c>
      <c r="S36" s="182">
        <f>'ADJ DETAIL INPUT'!S36</f>
        <v>-175</v>
      </c>
      <c r="T36" s="182">
        <f>'ADJ DETAIL INPUT'!T36</f>
        <v>89</v>
      </c>
      <c r="U36" s="182">
        <f>'ADJ DETAIL INPUT'!U36</f>
        <v>0</v>
      </c>
      <c r="V36" s="182">
        <f>'ADJ DETAIL INPUT'!V36</f>
        <v>0</v>
      </c>
      <c r="W36" s="182">
        <f>'ADJ DETAIL INPUT'!W36</f>
        <v>0</v>
      </c>
      <c r="X36" s="182">
        <f>'ADJ DETAIL INPUT'!X36</f>
        <v>0</v>
      </c>
    </row>
    <row r="37" spans="1:24" ht="12.9" customHeight="1">
      <c r="A37" s="153">
        <v>16</v>
      </c>
      <c r="B37" s="155" t="s">
        <v>40</v>
      </c>
      <c r="C37" s="155"/>
      <c r="E37" s="181">
        <f t="shared" ref="E37" si="19">SUM(E34:E36)</f>
        <v>38370</v>
      </c>
      <c r="F37" s="181">
        <f t="shared" ref="F37" si="20">SUM(F34:F36)</f>
        <v>0</v>
      </c>
      <c r="G37" s="181">
        <f t="shared" ref="G37:Q37" si="21">SUM(G34:G36)</f>
        <v>0</v>
      </c>
      <c r="H37" s="181">
        <f t="shared" si="21"/>
        <v>0</v>
      </c>
      <c r="I37" s="181">
        <f t="shared" ref="I37" si="22">SUM(I34:I36)</f>
        <v>0</v>
      </c>
      <c r="J37" s="181">
        <f t="shared" si="21"/>
        <v>-6092</v>
      </c>
      <c r="K37" s="181">
        <f t="shared" si="21"/>
        <v>-20</v>
      </c>
      <c r="L37" s="181">
        <f t="shared" si="21"/>
        <v>0</v>
      </c>
      <c r="M37" s="181">
        <f t="shared" si="21"/>
        <v>0</v>
      </c>
      <c r="N37" s="181">
        <f t="shared" si="21"/>
        <v>0</v>
      </c>
      <c r="O37" s="181">
        <f t="shared" si="21"/>
        <v>0</v>
      </c>
      <c r="P37" s="181">
        <f t="shared" si="21"/>
        <v>0</v>
      </c>
      <c r="Q37" s="181">
        <f t="shared" si="21"/>
        <v>0</v>
      </c>
      <c r="R37" s="181">
        <f t="shared" ref="R37" si="23">SUM(R34:R36)</f>
        <v>0</v>
      </c>
      <c r="S37" s="181">
        <f t="shared" ref="S37:U37" si="24">SUM(S34:S36)</f>
        <v>-175</v>
      </c>
      <c r="T37" s="181">
        <f t="shared" si="24"/>
        <v>89</v>
      </c>
      <c r="U37" s="181">
        <f t="shared" si="24"/>
        <v>-10</v>
      </c>
      <c r="V37" s="181">
        <f t="shared" ref="V37:X37" si="25">SUM(V34:V36)</f>
        <v>0</v>
      </c>
      <c r="W37" s="181">
        <f t="shared" si="25"/>
        <v>0</v>
      </c>
      <c r="X37" s="181">
        <f t="shared" si="25"/>
        <v>0</v>
      </c>
    </row>
    <row r="38" spans="1:24" ht="12.9" customHeight="1">
      <c r="C38" s="155"/>
      <c r="D38" s="155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 ht="12.9" customHeight="1">
      <c r="A39" s="153">
        <v>17</v>
      </c>
      <c r="B39" s="129" t="s">
        <v>41</v>
      </c>
      <c r="C39" s="155"/>
      <c r="D39" s="155"/>
      <c r="E39" s="181">
        <f>'ADJ DETAIL INPUT'!E39</f>
        <v>7293</v>
      </c>
      <c r="F39" s="181">
        <f>'ADJ DETAIL INPUT'!F39</f>
        <v>0</v>
      </c>
      <c r="G39" s="181">
        <f>'ADJ DETAIL INPUT'!G39</f>
        <v>10</v>
      </c>
      <c r="H39" s="181">
        <f>'ADJ DETAIL INPUT'!H39</f>
        <v>0</v>
      </c>
      <c r="I39" s="181">
        <f>'ADJ DETAIL INPUT'!I39</f>
        <v>0</v>
      </c>
      <c r="J39" s="181">
        <f>'ADJ DETAIL INPUT'!J39</f>
        <v>0</v>
      </c>
      <c r="K39" s="181">
        <f>'ADJ DETAIL INPUT'!K39</f>
        <v>0</v>
      </c>
      <c r="L39" s="181">
        <f>'ADJ DETAIL INPUT'!L39</f>
        <v>-301</v>
      </c>
      <c r="M39" s="181">
        <f>'ADJ DETAIL INPUT'!M39</f>
        <v>0</v>
      </c>
      <c r="N39" s="181">
        <f>'ADJ DETAIL INPUT'!N39</f>
        <v>0</v>
      </c>
      <c r="O39" s="181">
        <f>'ADJ DETAIL INPUT'!O39</f>
        <v>0</v>
      </c>
      <c r="P39" s="181">
        <f>'ADJ DETAIL INPUT'!P39</f>
        <v>0</v>
      </c>
      <c r="Q39" s="181">
        <f>'ADJ DETAIL INPUT'!Q39</f>
        <v>0</v>
      </c>
      <c r="R39" s="181">
        <f>'ADJ DETAIL INPUT'!R39</f>
        <v>0</v>
      </c>
      <c r="S39" s="181">
        <f>'ADJ DETAIL INPUT'!S39</f>
        <v>-23</v>
      </c>
      <c r="T39" s="181">
        <f>'ADJ DETAIL INPUT'!T39</f>
        <v>12</v>
      </c>
      <c r="U39" s="181">
        <f>'ADJ DETAIL INPUT'!U39</f>
        <v>0</v>
      </c>
      <c r="V39" s="181">
        <f>'ADJ DETAIL INPUT'!V39</f>
        <v>0</v>
      </c>
      <c r="W39" s="181">
        <f>'ADJ DETAIL INPUT'!W39</f>
        <v>0</v>
      </c>
      <c r="X39" s="181">
        <f>'ADJ DETAIL INPUT'!X39</f>
        <v>0</v>
      </c>
    </row>
    <row r="40" spans="1:24">
      <c r="A40" s="153">
        <v>18</v>
      </c>
      <c r="B40" s="129" t="s">
        <v>42</v>
      </c>
      <c r="C40" s="155"/>
      <c r="D40" s="155"/>
      <c r="E40" s="181">
        <f>'ADJ DETAIL INPUT'!E40</f>
        <v>8961</v>
      </c>
      <c r="F40" s="181">
        <f>'ADJ DETAIL INPUT'!F40</f>
        <v>0</v>
      </c>
      <c r="G40" s="181">
        <f>'ADJ DETAIL INPUT'!G40</f>
        <v>0</v>
      </c>
      <c r="H40" s="181">
        <f>'ADJ DETAIL INPUT'!H40</f>
        <v>0</v>
      </c>
      <c r="I40" s="181">
        <f>'ADJ DETAIL INPUT'!I40</f>
        <v>0</v>
      </c>
      <c r="J40" s="181">
        <f>'ADJ DETAIL INPUT'!J40</f>
        <v>0</v>
      </c>
      <c r="K40" s="181">
        <f>'ADJ DETAIL INPUT'!K40</f>
        <v>0</v>
      </c>
      <c r="L40" s="181">
        <f>'ADJ DETAIL INPUT'!L40</f>
        <v>0</v>
      </c>
      <c r="M40" s="181">
        <f>'ADJ DETAIL INPUT'!M40</f>
        <v>0</v>
      </c>
      <c r="N40" s="181">
        <f>'ADJ DETAIL INPUT'!N40</f>
        <v>0</v>
      </c>
      <c r="O40" s="181">
        <f>'ADJ DETAIL INPUT'!O40</f>
        <v>0</v>
      </c>
      <c r="P40" s="181">
        <f>'ADJ DETAIL INPUT'!P40</f>
        <v>0</v>
      </c>
      <c r="Q40" s="181">
        <f>'ADJ DETAIL INPUT'!Q40</f>
        <v>0</v>
      </c>
      <c r="R40" s="181">
        <f>'ADJ DETAIL INPUT'!R40</f>
        <v>0</v>
      </c>
      <c r="S40" s="181">
        <f>'ADJ DETAIL INPUT'!S40</f>
        <v>0</v>
      </c>
      <c r="T40" s="181">
        <f>'ADJ DETAIL INPUT'!T40</f>
        <v>-7961</v>
      </c>
      <c r="U40" s="181">
        <f>'ADJ DETAIL INPUT'!U40</f>
        <v>0</v>
      </c>
      <c r="V40" s="181">
        <f>'ADJ DETAIL INPUT'!V40</f>
        <v>0</v>
      </c>
      <c r="W40" s="181">
        <f>'ADJ DETAIL INPUT'!W40</f>
        <v>0</v>
      </c>
      <c r="X40" s="181">
        <f>'ADJ DETAIL INPUT'!X40</f>
        <v>0</v>
      </c>
    </row>
    <row r="41" spans="1:24">
      <c r="A41" s="153">
        <v>19</v>
      </c>
      <c r="B41" s="129" t="s">
        <v>43</v>
      </c>
      <c r="C41" s="155"/>
      <c r="D41" s="155"/>
      <c r="E41" s="181">
        <f>'ADJ DETAIL INPUT'!E41</f>
        <v>0</v>
      </c>
      <c r="F41" s="181">
        <f>'ADJ DETAIL INPUT'!F41</f>
        <v>0</v>
      </c>
      <c r="G41" s="181">
        <f>'ADJ DETAIL INPUT'!G41</f>
        <v>0</v>
      </c>
      <c r="H41" s="181">
        <f>'ADJ DETAIL INPUT'!H41</f>
        <v>0</v>
      </c>
      <c r="I41" s="181">
        <f>'ADJ DETAIL INPUT'!I41</f>
        <v>0</v>
      </c>
      <c r="J41" s="181">
        <f>'ADJ DETAIL INPUT'!J41</f>
        <v>0</v>
      </c>
      <c r="K41" s="181">
        <f>'ADJ DETAIL INPUT'!K41</f>
        <v>0</v>
      </c>
      <c r="L41" s="181">
        <f>'ADJ DETAIL INPUT'!L41</f>
        <v>0</v>
      </c>
      <c r="M41" s="181">
        <f>'ADJ DETAIL INPUT'!M41</f>
        <v>0</v>
      </c>
      <c r="N41" s="181">
        <f>'ADJ DETAIL INPUT'!N41</f>
        <v>0</v>
      </c>
      <c r="O41" s="181">
        <f>'ADJ DETAIL INPUT'!O41</f>
        <v>0</v>
      </c>
      <c r="P41" s="181">
        <f>'ADJ DETAIL INPUT'!P41</f>
        <v>0</v>
      </c>
      <c r="Q41" s="181">
        <f>'ADJ DETAIL INPUT'!Q41</f>
        <v>0</v>
      </c>
      <c r="R41" s="181">
        <f>'ADJ DETAIL INPUT'!R41</f>
        <v>0</v>
      </c>
      <c r="S41" s="181">
        <f>'ADJ DETAIL INPUT'!S41</f>
        <v>0</v>
      </c>
      <c r="T41" s="181">
        <f>'ADJ DETAIL INPUT'!T41</f>
        <v>0</v>
      </c>
      <c r="U41" s="181">
        <f>'ADJ DETAIL INPUT'!U41</f>
        <v>0</v>
      </c>
      <c r="V41" s="181">
        <f>'ADJ DETAIL INPUT'!V41</f>
        <v>0</v>
      </c>
      <c r="W41" s="181">
        <f>'ADJ DETAIL INPUT'!W41</f>
        <v>0</v>
      </c>
      <c r="X41" s="181">
        <f>'ADJ DETAIL INPUT'!X41</f>
        <v>0</v>
      </c>
    </row>
    <row r="42" spans="1:24">
      <c r="C42" s="155"/>
      <c r="D42" s="155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spans="1:24">
      <c r="B43" s="129" t="s">
        <v>44</v>
      </c>
      <c r="C43" s="155"/>
      <c r="D43" s="155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spans="1:24">
      <c r="A44" s="153">
        <v>20</v>
      </c>
      <c r="C44" s="155" t="s">
        <v>37</v>
      </c>
      <c r="D44" s="155"/>
      <c r="E44" s="181">
        <f>'ADJ DETAIL INPUT'!E44</f>
        <v>13887</v>
      </c>
      <c r="F44" s="181">
        <f>'ADJ DETAIL INPUT'!F44</f>
        <v>0</v>
      </c>
      <c r="G44" s="181">
        <f>'ADJ DETAIL INPUT'!G44</f>
        <v>0</v>
      </c>
      <c r="H44" s="181">
        <f>'ADJ DETAIL INPUT'!H44</f>
        <v>0</v>
      </c>
      <c r="I44" s="181">
        <f>'ADJ DETAIL INPUT'!I44</f>
        <v>0</v>
      </c>
      <c r="J44" s="181">
        <f>'ADJ DETAIL INPUT'!J44</f>
        <v>0</v>
      </c>
      <c r="K44" s="181">
        <f>'ADJ DETAIL INPUT'!K44</f>
        <v>0</v>
      </c>
      <c r="L44" s="181">
        <f>'ADJ DETAIL INPUT'!L44</f>
        <v>0</v>
      </c>
      <c r="M44" s="181">
        <f>'ADJ DETAIL INPUT'!M44</f>
        <v>41</v>
      </c>
      <c r="N44" s="181">
        <f>'ADJ DETAIL INPUT'!N44</f>
        <v>45</v>
      </c>
      <c r="O44" s="181">
        <f>'ADJ DETAIL INPUT'!O44</f>
        <v>0</v>
      </c>
      <c r="P44" s="181">
        <f>'ADJ DETAIL INPUT'!P44</f>
        <v>-15</v>
      </c>
      <c r="Q44" s="181">
        <f>'ADJ DETAIL INPUT'!Q44</f>
        <v>0</v>
      </c>
      <c r="R44" s="181">
        <f>'ADJ DETAIL INPUT'!R44</f>
        <v>-13</v>
      </c>
      <c r="S44" s="181">
        <f>'ADJ DETAIL INPUT'!S44</f>
        <v>-9</v>
      </c>
      <c r="T44" s="181">
        <f>'ADJ DETAIL INPUT'!T44</f>
        <v>5</v>
      </c>
      <c r="U44" s="181">
        <f>'ADJ DETAIL INPUT'!U44</f>
        <v>-342</v>
      </c>
      <c r="V44" s="181">
        <f>'ADJ DETAIL INPUT'!V44</f>
        <v>0</v>
      </c>
      <c r="W44" s="181">
        <f>'ADJ DETAIL INPUT'!W44</f>
        <v>-224</v>
      </c>
      <c r="X44" s="181">
        <f>'ADJ DETAIL INPUT'!X44</f>
        <v>0</v>
      </c>
    </row>
    <row r="45" spans="1:24">
      <c r="A45" s="153">
        <v>21</v>
      </c>
      <c r="C45" s="155" t="s">
        <v>175</v>
      </c>
      <c r="D45" s="155"/>
      <c r="E45" s="181">
        <f>'ADJ DETAIL INPUT'!E45</f>
        <v>7014</v>
      </c>
      <c r="F45" s="181">
        <f>'ADJ DETAIL INPUT'!F45</f>
        <v>0</v>
      </c>
      <c r="G45" s="181">
        <f>'ADJ DETAIL INPUT'!G45</f>
        <v>0</v>
      </c>
      <c r="H45" s="181">
        <f>'ADJ DETAIL INPUT'!H45</f>
        <v>0</v>
      </c>
      <c r="I45" s="181">
        <f>'ADJ DETAIL INPUT'!I45</f>
        <v>0</v>
      </c>
      <c r="J45" s="181">
        <f>'ADJ DETAIL INPUT'!J45</f>
        <v>0</v>
      </c>
      <c r="K45" s="181">
        <f>'ADJ DETAIL INPUT'!K45</f>
        <v>0</v>
      </c>
      <c r="L45" s="181">
        <f>'ADJ DETAIL INPUT'!L45</f>
        <v>0</v>
      </c>
      <c r="M45" s="181">
        <f>'ADJ DETAIL INPUT'!M45</f>
        <v>0</v>
      </c>
      <c r="N45" s="181">
        <f>'ADJ DETAIL INPUT'!N45</f>
        <v>0</v>
      </c>
      <c r="O45" s="181">
        <f>'ADJ DETAIL INPUT'!O45</f>
        <v>0</v>
      </c>
      <c r="P45" s="181">
        <f>'ADJ DETAIL INPUT'!P45</f>
        <v>0</v>
      </c>
      <c r="Q45" s="181">
        <f>'ADJ DETAIL INPUT'!Q45</f>
        <v>0</v>
      </c>
      <c r="R45" s="181">
        <f>'ADJ DETAIL INPUT'!R45</f>
        <v>0</v>
      </c>
      <c r="S45" s="181">
        <f>'ADJ DETAIL INPUT'!S45</f>
        <v>0</v>
      </c>
      <c r="T45" s="181">
        <f>'ADJ DETAIL INPUT'!T45</f>
        <v>0</v>
      </c>
      <c r="U45" s="181">
        <f>'ADJ DETAIL INPUT'!U45</f>
        <v>0</v>
      </c>
      <c r="V45" s="181">
        <f>'ADJ DETAIL INPUT'!V45</f>
        <v>0</v>
      </c>
      <c r="W45" s="181">
        <f>'ADJ DETAIL INPUT'!W45</f>
        <v>0</v>
      </c>
      <c r="X45" s="181">
        <f>'ADJ DETAIL INPUT'!X45</f>
        <v>0</v>
      </c>
    </row>
    <row r="46" spans="1:24">
      <c r="A46" s="153">
        <v>22</v>
      </c>
      <c r="C46" s="2" t="s">
        <v>385</v>
      </c>
      <c r="D46" s="155"/>
      <c r="E46" s="181">
        <f>'ADJ DETAIL INPUT'!E46</f>
        <v>-312</v>
      </c>
      <c r="F46" s="181">
        <f>'ADJ DETAIL INPUT'!F46</f>
        <v>0</v>
      </c>
      <c r="G46" s="181">
        <f>'ADJ DETAIL INPUT'!G46</f>
        <v>0</v>
      </c>
      <c r="H46" s="181">
        <f>'ADJ DETAIL INPUT'!H46</f>
        <v>0</v>
      </c>
      <c r="I46" s="181">
        <f>'ADJ DETAIL INPUT'!I46</f>
        <v>0</v>
      </c>
      <c r="J46" s="181">
        <f>'ADJ DETAIL INPUT'!J46</f>
        <v>0</v>
      </c>
      <c r="K46" s="181">
        <f>'ADJ DETAIL INPUT'!K46</f>
        <v>0</v>
      </c>
      <c r="L46" s="181">
        <f>'ADJ DETAIL INPUT'!L46</f>
        <v>0</v>
      </c>
      <c r="M46" s="181">
        <f>'ADJ DETAIL INPUT'!M46</f>
        <v>0</v>
      </c>
      <c r="N46" s="181">
        <f>'ADJ DETAIL INPUT'!N46</f>
        <v>0</v>
      </c>
      <c r="O46" s="181">
        <f>'ADJ DETAIL INPUT'!O46</f>
        <v>0</v>
      </c>
      <c r="P46" s="181">
        <f>'ADJ DETAIL INPUT'!P46</f>
        <v>0</v>
      </c>
      <c r="Q46" s="181">
        <f>'ADJ DETAIL INPUT'!Q46</f>
        <v>0</v>
      </c>
      <c r="R46" s="181">
        <f>'ADJ DETAIL INPUT'!R46</f>
        <v>0</v>
      </c>
      <c r="S46" s="181">
        <f>'ADJ DETAIL INPUT'!S46</f>
        <v>0</v>
      </c>
      <c r="T46" s="181">
        <f>'ADJ DETAIL INPUT'!T46</f>
        <v>0</v>
      </c>
      <c r="U46" s="181">
        <f>'ADJ DETAIL INPUT'!U46</f>
        <v>0</v>
      </c>
      <c r="V46" s="181">
        <f>'ADJ DETAIL INPUT'!V46</f>
        <v>1079</v>
      </c>
      <c r="W46" s="181">
        <f>'ADJ DETAIL INPUT'!W46</f>
        <v>0</v>
      </c>
      <c r="X46" s="181">
        <f>'ADJ DETAIL INPUT'!X46</f>
        <v>0</v>
      </c>
    </row>
    <row r="47" spans="1:24">
      <c r="A47" s="153">
        <v>23</v>
      </c>
      <c r="C47" s="155" t="s">
        <v>21</v>
      </c>
      <c r="D47" s="155"/>
      <c r="E47" s="182">
        <f>'ADJ DETAIL INPUT'!E47</f>
        <v>0</v>
      </c>
      <c r="F47" s="182">
        <f>'ADJ DETAIL INPUT'!F47</f>
        <v>0</v>
      </c>
      <c r="G47" s="182">
        <f>'ADJ DETAIL INPUT'!G47</f>
        <v>0</v>
      </c>
      <c r="H47" s="182">
        <f>'ADJ DETAIL INPUT'!H47</f>
        <v>0</v>
      </c>
      <c r="I47" s="182">
        <f>'ADJ DETAIL INPUT'!I47</f>
        <v>0</v>
      </c>
      <c r="J47" s="182">
        <f>'ADJ DETAIL INPUT'!J47</f>
        <v>0</v>
      </c>
      <c r="K47" s="182">
        <f>'ADJ DETAIL INPUT'!K47</f>
        <v>0</v>
      </c>
      <c r="L47" s="182">
        <f>'ADJ DETAIL INPUT'!L47</f>
        <v>0</v>
      </c>
      <c r="M47" s="182">
        <f>'ADJ DETAIL INPUT'!M47</f>
        <v>0</v>
      </c>
      <c r="N47" s="182">
        <f>'ADJ DETAIL INPUT'!N47</f>
        <v>0</v>
      </c>
      <c r="O47" s="182">
        <f>'ADJ DETAIL INPUT'!O47</f>
        <v>0</v>
      </c>
      <c r="P47" s="182">
        <f>'ADJ DETAIL INPUT'!P47</f>
        <v>0</v>
      </c>
      <c r="Q47" s="182">
        <f>'ADJ DETAIL INPUT'!Q47</f>
        <v>0</v>
      </c>
      <c r="R47" s="182">
        <f>'ADJ DETAIL INPUT'!R47</f>
        <v>0</v>
      </c>
      <c r="S47" s="182">
        <f>'ADJ DETAIL INPUT'!S47</f>
        <v>0</v>
      </c>
      <c r="T47" s="182">
        <f>'ADJ DETAIL INPUT'!T47</f>
        <v>0</v>
      </c>
      <c r="U47" s="182">
        <f>'ADJ DETAIL INPUT'!U47</f>
        <v>0</v>
      </c>
      <c r="V47" s="182">
        <f>'ADJ DETAIL INPUT'!V47</f>
        <v>0</v>
      </c>
      <c r="W47" s="182">
        <f>'ADJ DETAIL INPUT'!W47</f>
        <v>0</v>
      </c>
      <c r="X47" s="182">
        <f>'ADJ DETAIL INPUT'!X47</f>
        <v>0</v>
      </c>
    </row>
    <row r="48" spans="1:24">
      <c r="A48" s="153">
        <v>24</v>
      </c>
      <c r="B48" s="155" t="s">
        <v>45</v>
      </c>
      <c r="C48" s="155"/>
      <c r="E48" s="182">
        <f>SUM(E44:E47)</f>
        <v>20589</v>
      </c>
      <c r="F48" s="182">
        <f t="shared" ref="F48" si="26">SUM(F44:F47)</f>
        <v>0</v>
      </c>
      <c r="G48" s="182">
        <f t="shared" ref="G48:Q48" si="27">SUM(G44:G47)</f>
        <v>0</v>
      </c>
      <c r="H48" s="182">
        <f t="shared" si="27"/>
        <v>0</v>
      </c>
      <c r="I48" s="182">
        <f t="shared" ref="I48" si="28">SUM(I44:I47)</f>
        <v>0</v>
      </c>
      <c r="J48" s="182">
        <f t="shared" si="27"/>
        <v>0</v>
      </c>
      <c r="K48" s="182">
        <f t="shared" si="27"/>
        <v>0</v>
      </c>
      <c r="L48" s="182">
        <f t="shared" si="27"/>
        <v>0</v>
      </c>
      <c r="M48" s="182">
        <f t="shared" si="27"/>
        <v>41</v>
      </c>
      <c r="N48" s="182">
        <f t="shared" si="27"/>
        <v>45</v>
      </c>
      <c r="O48" s="182">
        <f t="shared" si="27"/>
        <v>0</v>
      </c>
      <c r="P48" s="182">
        <f t="shared" si="27"/>
        <v>-15</v>
      </c>
      <c r="Q48" s="182">
        <f t="shared" si="27"/>
        <v>0</v>
      </c>
      <c r="R48" s="182">
        <f t="shared" ref="R48" si="29">SUM(R44:R47)</f>
        <v>-13</v>
      </c>
      <c r="S48" s="182">
        <f t="shared" ref="S48:U48" si="30">SUM(S44:S47)</f>
        <v>-9</v>
      </c>
      <c r="T48" s="182">
        <f t="shared" si="30"/>
        <v>5</v>
      </c>
      <c r="U48" s="182">
        <f t="shared" si="30"/>
        <v>-342</v>
      </c>
      <c r="V48" s="182">
        <f t="shared" ref="V48:X48" si="31">SUM(V44:V47)</f>
        <v>1079</v>
      </c>
      <c r="W48" s="182">
        <f t="shared" si="31"/>
        <v>-224</v>
      </c>
      <c r="X48" s="182">
        <f t="shared" si="31"/>
        <v>0</v>
      </c>
    </row>
    <row r="49" spans="1:24" ht="19.5" customHeight="1">
      <c r="A49" s="153">
        <v>25</v>
      </c>
      <c r="B49" s="129" t="s">
        <v>46</v>
      </c>
      <c r="C49" s="155"/>
      <c r="D49" s="155"/>
      <c r="E49" s="182">
        <f t="shared" ref="E49" si="32">E21+E25+E31+E37+E39+E40+E41+E48</f>
        <v>184947</v>
      </c>
      <c r="F49" s="182">
        <f t="shared" ref="F49" si="33">F21+F25+F31+F37+F39+F40+F41+F48</f>
        <v>0</v>
      </c>
      <c r="G49" s="182">
        <f t="shared" ref="G49:Q49" si="34">G21+G25+G31+G37+G39+G40+G41+G48</f>
        <v>10</v>
      </c>
      <c r="H49" s="182">
        <f t="shared" si="34"/>
        <v>0</v>
      </c>
      <c r="I49" s="182">
        <f t="shared" ref="I49" si="35">I21+I25+I31+I37+I39+I40+I41+I48</f>
        <v>0</v>
      </c>
      <c r="J49" s="182">
        <f t="shared" si="34"/>
        <v>-6092</v>
      </c>
      <c r="K49" s="182">
        <f t="shared" si="34"/>
        <v>-8</v>
      </c>
      <c r="L49" s="182">
        <f t="shared" si="34"/>
        <v>-301</v>
      </c>
      <c r="M49" s="182">
        <f t="shared" si="34"/>
        <v>41</v>
      </c>
      <c r="N49" s="182">
        <f t="shared" si="34"/>
        <v>45</v>
      </c>
      <c r="O49" s="182">
        <f t="shared" si="34"/>
        <v>0</v>
      </c>
      <c r="P49" s="182">
        <f t="shared" si="34"/>
        <v>-15</v>
      </c>
      <c r="Q49" s="182">
        <f t="shared" si="34"/>
        <v>0</v>
      </c>
      <c r="R49" s="182">
        <f t="shared" ref="R49" si="36">R21+R25+R31+R37+R39+R40+R41+R48</f>
        <v>-13</v>
      </c>
      <c r="S49" s="182">
        <f t="shared" ref="S49:U49" si="37">S21+S25+S31+S37+S39+S40+S41+S48</f>
        <v>-2324</v>
      </c>
      <c r="T49" s="182">
        <f t="shared" si="37"/>
        <v>-48472</v>
      </c>
      <c r="U49" s="182">
        <f t="shared" si="37"/>
        <v>-352</v>
      </c>
      <c r="V49" s="182">
        <f t="shared" ref="V49:X49" si="38">V21+V25+V31+V37+V39+V40+V41+V48</f>
        <v>1079</v>
      </c>
      <c r="W49" s="182">
        <f t="shared" si="38"/>
        <v>-224</v>
      </c>
      <c r="X49" s="182">
        <f t="shared" si="38"/>
        <v>0</v>
      </c>
    </row>
    <row r="50" spans="1:24">
      <c r="C50" s="155"/>
      <c r="D50" s="155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ht="12.9" customHeight="1">
      <c r="A51" s="153">
        <v>26</v>
      </c>
      <c r="B51" s="129" t="s">
        <v>47</v>
      </c>
      <c r="C51" s="155"/>
      <c r="D51" s="155"/>
      <c r="E51" s="181">
        <f>E18-E49</f>
        <v>34345</v>
      </c>
      <c r="F51" s="181">
        <f t="shared" ref="F51" si="39">F18-F49</f>
        <v>0</v>
      </c>
      <c r="G51" s="181">
        <f t="shared" ref="G51:Q51" si="40">G18-G49</f>
        <v>-10</v>
      </c>
      <c r="H51" s="181">
        <f t="shared" si="40"/>
        <v>0</v>
      </c>
      <c r="I51" s="181">
        <f t="shared" ref="I51" si="41">I18-I49</f>
        <v>0</v>
      </c>
      <c r="J51" s="181">
        <f t="shared" si="40"/>
        <v>-26</v>
      </c>
      <c r="K51" s="181">
        <f t="shared" si="40"/>
        <v>8</v>
      </c>
      <c r="L51" s="181">
        <f t="shared" si="40"/>
        <v>301</v>
      </c>
      <c r="M51" s="181">
        <f t="shared" si="40"/>
        <v>-41</v>
      </c>
      <c r="N51" s="181">
        <f t="shared" si="40"/>
        <v>-45</v>
      </c>
      <c r="O51" s="181">
        <f t="shared" si="40"/>
        <v>0</v>
      </c>
      <c r="P51" s="181">
        <f t="shared" si="40"/>
        <v>15</v>
      </c>
      <c r="Q51" s="181">
        <f t="shared" si="40"/>
        <v>0</v>
      </c>
      <c r="R51" s="181">
        <f t="shared" ref="R51" si="42">R18-R49</f>
        <v>13</v>
      </c>
      <c r="S51" s="181">
        <f t="shared" ref="S51:U51" si="43">S18-S49</f>
        <v>1</v>
      </c>
      <c r="T51" s="181">
        <f t="shared" si="43"/>
        <v>-435</v>
      </c>
      <c r="U51" s="181">
        <f t="shared" si="43"/>
        <v>376</v>
      </c>
      <c r="V51" s="181">
        <f t="shared" ref="V51:X51" si="44">V18-V49</f>
        <v>-1079</v>
      </c>
      <c r="W51" s="181">
        <f t="shared" si="44"/>
        <v>224</v>
      </c>
      <c r="X51" s="181">
        <f t="shared" si="44"/>
        <v>0</v>
      </c>
    </row>
    <row r="52" spans="1:24" ht="12.9" customHeight="1">
      <c r="C52" s="155"/>
      <c r="D52" s="155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ht="12.9" customHeight="1">
      <c r="B53" s="129" t="s">
        <v>48</v>
      </c>
      <c r="C53" s="155"/>
      <c r="D53" s="155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spans="1:24">
      <c r="A54" s="153">
        <v>27</v>
      </c>
      <c r="B54" s="155" t="s">
        <v>49</v>
      </c>
      <c r="D54" s="155"/>
      <c r="E54" s="181">
        <f>'ADJ DETAIL INPUT'!E54</f>
        <v>2792</v>
      </c>
      <c r="F54" s="181">
        <f>'ADJ DETAIL INPUT'!F54</f>
        <v>0</v>
      </c>
      <c r="G54" s="181">
        <f>'ADJ DETAIL INPUT'!G54</f>
        <v>-3.5</v>
      </c>
      <c r="H54" s="181">
        <f>'ADJ DETAIL INPUT'!H54</f>
        <v>0</v>
      </c>
      <c r="I54" s="181">
        <f>'ADJ DETAIL INPUT'!I54</f>
        <v>0</v>
      </c>
      <c r="J54" s="181">
        <f>'ADJ DETAIL INPUT'!J54</f>
        <v>-9.1</v>
      </c>
      <c r="K54" s="181">
        <f>'ADJ DETAIL INPUT'!K54</f>
        <v>2.8</v>
      </c>
      <c r="L54" s="181">
        <f>'ADJ DETAIL INPUT'!L54</f>
        <v>105.35</v>
      </c>
      <c r="M54" s="181">
        <f>'ADJ DETAIL INPUT'!M54</f>
        <v>-14.35</v>
      </c>
      <c r="N54" s="181">
        <f>'ADJ DETAIL INPUT'!N54</f>
        <v>-15.749999999999998</v>
      </c>
      <c r="O54" s="181">
        <f>'ADJ DETAIL INPUT'!O54</f>
        <v>0</v>
      </c>
      <c r="P54" s="181">
        <f>'ADJ DETAIL INPUT'!P54</f>
        <v>5.25</v>
      </c>
      <c r="Q54" s="181">
        <f>'ADJ DETAIL INPUT'!Q54</f>
        <v>0</v>
      </c>
      <c r="R54" s="181">
        <f>'ADJ DETAIL INPUT'!R54</f>
        <v>4.55</v>
      </c>
      <c r="S54" s="181">
        <f>'ADJ DETAIL INPUT'!S54</f>
        <v>0.35</v>
      </c>
      <c r="T54" s="181">
        <f>'ADJ DETAIL INPUT'!T54</f>
        <v>-152.25</v>
      </c>
      <c r="U54" s="181">
        <f>'ADJ DETAIL INPUT'!U54</f>
        <v>131.6</v>
      </c>
      <c r="V54" s="181">
        <f>'ADJ DETAIL INPUT'!V54</f>
        <v>-377.65</v>
      </c>
      <c r="W54" s="181">
        <f>'ADJ DETAIL INPUT'!W54</f>
        <v>78.399999999999991</v>
      </c>
      <c r="X54" s="181">
        <f>'ADJ DETAIL INPUT'!X54</f>
        <v>82</v>
      </c>
    </row>
    <row r="55" spans="1:24">
      <c r="A55" s="153">
        <v>28</v>
      </c>
      <c r="B55" s="155" t="s">
        <v>161</v>
      </c>
      <c r="D55" s="155"/>
      <c r="E55" s="181">
        <f>'ADJ DETAIL INPUT'!E55</f>
        <v>0</v>
      </c>
      <c r="F55" s="181">
        <f>'ADJ DETAIL INPUT'!F55</f>
        <v>2.7302729999999995</v>
      </c>
      <c r="G55" s="181">
        <f>'ADJ DETAIL INPUT'!G55</f>
        <v>0</v>
      </c>
      <c r="H55" s="181">
        <f>'ADJ DETAIL INPUT'!H55</f>
        <v>0</v>
      </c>
      <c r="I55" s="181">
        <f>'ADJ DETAIL INPUT'!I55</f>
        <v>10.492618499999999</v>
      </c>
      <c r="J55" s="181">
        <f>'ADJ DETAIL INPUT'!J55</f>
        <v>0</v>
      </c>
      <c r="K55" s="181">
        <f>'ADJ DETAIL INPUT'!K55</f>
        <v>0</v>
      </c>
      <c r="L55" s="181">
        <f>'ADJ DETAIL INPUT'!L55</f>
        <v>0</v>
      </c>
      <c r="M55" s="181">
        <f>'ADJ DETAIL INPUT'!M55</f>
        <v>0</v>
      </c>
      <c r="N55" s="181">
        <f>'ADJ DETAIL INPUT'!N55</f>
        <v>0</v>
      </c>
      <c r="O55" s="181">
        <f>'ADJ DETAIL INPUT'!O55</f>
        <v>0</v>
      </c>
      <c r="P55" s="181">
        <f>'ADJ DETAIL INPUT'!P55</f>
        <v>0</v>
      </c>
      <c r="Q55" s="181">
        <f>'ADJ DETAIL INPUT'!Q55</f>
        <v>0</v>
      </c>
      <c r="R55" s="181">
        <f>'ADJ DETAIL INPUT'!R55</f>
        <v>0</v>
      </c>
      <c r="S55" s="181">
        <f>'ADJ DETAIL INPUT'!S55</f>
        <v>0</v>
      </c>
      <c r="T55" s="181">
        <f>'ADJ DETAIL INPUT'!T55</f>
        <v>0</v>
      </c>
      <c r="U55" s="181">
        <f>'ADJ DETAIL INPUT'!U55</f>
        <v>0</v>
      </c>
      <c r="V55" s="181">
        <f>'ADJ DETAIL INPUT'!V55</f>
        <v>0</v>
      </c>
      <c r="W55" s="181">
        <f>'ADJ DETAIL INPUT'!W55</f>
        <v>0</v>
      </c>
      <c r="X55" s="181">
        <f>'ADJ DETAIL INPUT'!X55</f>
        <v>0</v>
      </c>
    </row>
    <row r="56" spans="1:24">
      <c r="A56" s="153">
        <v>29</v>
      </c>
      <c r="B56" s="155" t="s">
        <v>50</v>
      </c>
      <c r="D56" s="155"/>
      <c r="E56" s="181">
        <f>'ADJ DETAIL INPUT'!E56</f>
        <v>6462</v>
      </c>
      <c r="F56" s="181">
        <f>'ADJ DETAIL INPUT'!F56</f>
        <v>0</v>
      </c>
      <c r="G56" s="181">
        <f>'ADJ DETAIL INPUT'!G56</f>
        <v>0</v>
      </c>
      <c r="H56" s="181">
        <f>'ADJ DETAIL INPUT'!H56</f>
        <v>0</v>
      </c>
      <c r="I56" s="181">
        <f>'ADJ DETAIL INPUT'!I56</f>
        <v>0</v>
      </c>
      <c r="J56" s="181">
        <f>'ADJ DETAIL INPUT'!J56</f>
        <v>0</v>
      </c>
      <c r="K56" s="181">
        <f>'ADJ DETAIL INPUT'!K56</f>
        <v>0</v>
      </c>
      <c r="L56" s="181">
        <f>'ADJ DETAIL INPUT'!L56</f>
        <v>0</v>
      </c>
      <c r="M56" s="181">
        <f>'ADJ DETAIL INPUT'!M56</f>
        <v>0</v>
      </c>
      <c r="N56" s="181">
        <f>'ADJ DETAIL INPUT'!N56</f>
        <v>0</v>
      </c>
      <c r="O56" s="181">
        <f>'ADJ DETAIL INPUT'!O56</f>
        <v>0</v>
      </c>
      <c r="P56" s="181">
        <f>'ADJ DETAIL INPUT'!P56</f>
        <v>0</v>
      </c>
      <c r="Q56" s="181">
        <f>'ADJ DETAIL INPUT'!Q56</f>
        <v>0</v>
      </c>
      <c r="R56" s="181">
        <f>'ADJ DETAIL INPUT'!R56</f>
        <v>0</v>
      </c>
      <c r="S56" s="181">
        <f>'ADJ DETAIL INPUT'!S56</f>
        <v>0</v>
      </c>
      <c r="T56" s="181">
        <f>'ADJ DETAIL INPUT'!T56</f>
        <v>0</v>
      </c>
      <c r="U56" s="181">
        <f>'ADJ DETAIL INPUT'!U56</f>
        <v>0</v>
      </c>
      <c r="V56" s="181">
        <f>'ADJ DETAIL INPUT'!V56</f>
        <v>0</v>
      </c>
      <c r="W56" s="181">
        <f>'ADJ DETAIL INPUT'!W56</f>
        <v>0</v>
      </c>
      <c r="X56" s="181">
        <f>'ADJ DETAIL INPUT'!X56</f>
        <v>0</v>
      </c>
    </row>
    <row r="57" spans="1:24">
      <c r="A57" s="153">
        <v>30</v>
      </c>
      <c r="B57" s="155" t="s">
        <v>51</v>
      </c>
      <c r="D57" s="155"/>
      <c r="E57" s="182">
        <f>'ADJ DETAIL INPUT'!E57</f>
        <v>-15</v>
      </c>
      <c r="F57" s="182">
        <f>'ADJ DETAIL INPUT'!F57</f>
        <v>0</v>
      </c>
      <c r="G57" s="182">
        <f>'ADJ DETAIL INPUT'!G57</f>
        <v>0</v>
      </c>
      <c r="H57" s="182">
        <f>'ADJ DETAIL INPUT'!H57</f>
        <v>0</v>
      </c>
      <c r="I57" s="182">
        <f>'ADJ DETAIL INPUT'!I57</f>
        <v>0</v>
      </c>
      <c r="J57" s="182">
        <f>'ADJ DETAIL INPUT'!J57</f>
        <v>0</v>
      </c>
      <c r="K57" s="182">
        <f>'ADJ DETAIL INPUT'!K57</f>
        <v>0</v>
      </c>
      <c r="L57" s="182">
        <f>'ADJ DETAIL INPUT'!L57</f>
        <v>0</v>
      </c>
      <c r="M57" s="182">
        <f>'ADJ DETAIL INPUT'!M57</f>
        <v>0</v>
      </c>
      <c r="N57" s="182">
        <f>'ADJ DETAIL INPUT'!N57</f>
        <v>0</v>
      </c>
      <c r="O57" s="182">
        <f>'ADJ DETAIL INPUT'!O57</f>
        <v>0</v>
      </c>
      <c r="P57" s="182">
        <f>'ADJ DETAIL INPUT'!P57</f>
        <v>0</v>
      </c>
      <c r="Q57" s="182">
        <f>'ADJ DETAIL INPUT'!Q57</f>
        <v>0</v>
      </c>
      <c r="R57" s="182">
        <f>'ADJ DETAIL INPUT'!R57</f>
        <v>0</v>
      </c>
      <c r="S57" s="182">
        <f>'ADJ DETAIL INPUT'!S57</f>
        <v>0</v>
      </c>
      <c r="T57" s="182">
        <f>'ADJ DETAIL INPUT'!T57</f>
        <v>0</v>
      </c>
      <c r="U57" s="182">
        <f>'ADJ DETAIL INPUT'!U57</f>
        <v>0</v>
      </c>
      <c r="V57" s="182">
        <f>'ADJ DETAIL INPUT'!V57</f>
        <v>0</v>
      </c>
      <c r="W57" s="182">
        <f>'ADJ DETAIL INPUT'!W57</f>
        <v>0</v>
      </c>
      <c r="X57" s="182">
        <f>'ADJ DETAIL INPUT'!X57</f>
        <v>0</v>
      </c>
    </row>
    <row r="58" spans="1:24"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1:24" s="154" customFormat="1" ht="12.6" thickBot="1">
      <c r="A59" s="153">
        <v>31</v>
      </c>
      <c r="B59" s="154" t="s">
        <v>52</v>
      </c>
      <c r="E59" s="294">
        <f>E51-SUM(E54:E57)</f>
        <v>25106</v>
      </c>
      <c r="F59" s="294">
        <f t="shared" ref="F59" si="45">F51-SUM(F54:F57)</f>
        <v>-2.7302729999999995</v>
      </c>
      <c r="G59" s="294">
        <f t="shared" ref="G59:Q59" si="46">G51-SUM(G54:G57)</f>
        <v>-6.5</v>
      </c>
      <c r="H59" s="294">
        <f t="shared" si="46"/>
        <v>0</v>
      </c>
      <c r="I59" s="294">
        <f t="shared" ref="I59" si="47">I51-SUM(I54:I57)</f>
        <v>-10.492618499999999</v>
      </c>
      <c r="J59" s="294">
        <f t="shared" si="46"/>
        <v>-16.899999999999999</v>
      </c>
      <c r="K59" s="294">
        <f t="shared" si="46"/>
        <v>5.2</v>
      </c>
      <c r="L59" s="294">
        <f t="shared" si="46"/>
        <v>195.65</v>
      </c>
      <c r="M59" s="294">
        <f t="shared" si="46"/>
        <v>-26.65</v>
      </c>
      <c r="N59" s="294">
        <f t="shared" si="46"/>
        <v>-29.25</v>
      </c>
      <c r="O59" s="294">
        <f t="shared" si="46"/>
        <v>0</v>
      </c>
      <c r="P59" s="294">
        <f t="shared" si="46"/>
        <v>9.75</v>
      </c>
      <c r="Q59" s="294">
        <f t="shared" si="46"/>
        <v>0</v>
      </c>
      <c r="R59" s="294">
        <f t="shared" ref="R59" si="48">R51-SUM(R54:R57)</f>
        <v>8.4499999999999993</v>
      </c>
      <c r="S59" s="294">
        <f t="shared" ref="S59:U59" si="49">S51-SUM(S54:S57)</f>
        <v>0.65</v>
      </c>
      <c r="T59" s="294">
        <f t="shared" si="49"/>
        <v>-282.75</v>
      </c>
      <c r="U59" s="294">
        <f t="shared" si="49"/>
        <v>244.4</v>
      </c>
      <c r="V59" s="294">
        <f t="shared" ref="V59:X59" si="50">V51-SUM(V54:V57)</f>
        <v>-701.35</v>
      </c>
      <c r="W59" s="294">
        <f t="shared" si="50"/>
        <v>145.60000000000002</v>
      </c>
      <c r="X59" s="294">
        <f t="shared" si="50"/>
        <v>-82</v>
      </c>
    </row>
    <row r="60" spans="1:24" ht="12.6" thickTop="1"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spans="1:24">
      <c r="B61" s="129" t="s">
        <v>93</v>
      </c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spans="1:24">
      <c r="B62" s="129" t="s">
        <v>94</v>
      </c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spans="1:24">
      <c r="A63" s="153">
        <v>32</v>
      </c>
      <c r="B63" s="155"/>
      <c r="C63" s="155" t="s">
        <v>36</v>
      </c>
      <c r="D63" s="155"/>
      <c r="E63" s="262">
        <f>'ADJ DETAIL INPUT'!E63</f>
        <v>27138</v>
      </c>
      <c r="F63" s="262">
        <f>'ADJ DETAIL INPUT'!F63</f>
        <v>0</v>
      </c>
      <c r="G63" s="262">
        <f>'ADJ DETAIL INPUT'!G63</f>
        <v>0</v>
      </c>
      <c r="H63" s="262">
        <f>'ADJ DETAIL INPUT'!H63</f>
        <v>0</v>
      </c>
      <c r="I63" s="262">
        <f>'ADJ DETAIL INPUT'!I63</f>
        <v>0</v>
      </c>
      <c r="J63" s="262">
        <f>'ADJ DETAIL INPUT'!J63</f>
        <v>0</v>
      </c>
      <c r="K63" s="262">
        <f>'ADJ DETAIL INPUT'!K63</f>
        <v>0</v>
      </c>
      <c r="L63" s="262">
        <f>'ADJ DETAIL INPUT'!L63</f>
        <v>0</v>
      </c>
      <c r="M63" s="262">
        <f>'ADJ DETAIL INPUT'!M63</f>
        <v>0</v>
      </c>
      <c r="N63" s="262">
        <f>'ADJ DETAIL INPUT'!N63</f>
        <v>0</v>
      </c>
      <c r="O63" s="262">
        <f>'ADJ DETAIL INPUT'!O63</f>
        <v>0</v>
      </c>
      <c r="P63" s="262">
        <f>'ADJ DETAIL INPUT'!P63</f>
        <v>0</v>
      </c>
      <c r="Q63" s="262">
        <f>'ADJ DETAIL INPUT'!Q63</f>
        <v>0</v>
      </c>
      <c r="R63" s="262">
        <f>'ADJ DETAIL INPUT'!R63</f>
        <v>0</v>
      </c>
      <c r="S63" s="262">
        <f>'ADJ DETAIL INPUT'!S63</f>
        <v>0</v>
      </c>
      <c r="T63" s="262">
        <f>'ADJ DETAIL INPUT'!T63</f>
        <v>0</v>
      </c>
      <c r="U63" s="262">
        <f>'ADJ DETAIL INPUT'!U63</f>
        <v>0</v>
      </c>
      <c r="V63" s="262">
        <f>'ADJ DETAIL INPUT'!V63</f>
        <v>0</v>
      </c>
      <c r="W63" s="262">
        <f>'ADJ DETAIL INPUT'!W63</f>
        <v>0</v>
      </c>
      <c r="X63" s="262">
        <f>'ADJ DETAIL INPUT'!X63</f>
        <v>0</v>
      </c>
    </row>
    <row r="64" spans="1:24">
      <c r="A64" s="153">
        <v>33</v>
      </c>
      <c r="B64" s="155"/>
      <c r="C64" s="155" t="s">
        <v>53</v>
      </c>
      <c r="D64" s="155"/>
      <c r="E64" s="181">
        <f>'ADJ DETAIL INPUT'!E64</f>
        <v>422774</v>
      </c>
      <c r="F64" s="181">
        <f>'ADJ DETAIL INPUT'!F64</f>
        <v>0</v>
      </c>
      <c r="G64" s="181">
        <f>'ADJ DETAIL INPUT'!G64</f>
        <v>0</v>
      </c>
      <c r="H64" s="181">
        <f>'ADJ DETAIL INPUT'!H64</f>
        <v>0</v>
      </c>
      <c r="I64" s="181">
        <f>'ADJ DETAIL INPUT'!I64</f>
        <v>0</v>
      </c>
      <c r="J64" s="181">
        <f>'ADJ DETAIL INPUT'!J64</f>
        <v>0</v>
      </c>
      <c r="K64" s="181">
        <f>'ADJ DETAIL INPUT'!K64</f>
        <v>0</v>
      </c>
      <c r="L64" s="181">
        <f>'ADJ DETAIL INPUT'!L64</f>
        <v>0</v>
      </c>
      <c r="M64" s="181">
        <f>'ADJ DETAIL INPUT'!M64</f>
        <v>0</v>
      </c>
      <c r="N64" s="181">
        <f>'ADJ DETAIL INPUT'!N64</f>
        <v>0</v>
      </c>
      <c r="O64" s="181">
        <f>'ADJ DETAIL INPUT'!O64</f>
        <v>0</v>
      </c>
      <c r="P64" s="181">
        <f>'ADJ DETAIL INPUT'!P64</f>
        <v>0</v>
      </c>
      <c r="Q64" s="181">
        <f>'ADJ DETAIL INPUT'!Q64</f>
        <v>0</v>
      </c>
      <c r="R64" s="181">
        <f>'ADJ DETAIL INPUT'!R64</f>
        <v>0</v>
      </c>
      <c r="S64" s="181">
        <f>'ADJ DETAIL INPUT'!S64</f>
        <v>0</v>
      </c>
      <c r="T64" s="181">
        <f>'ADJ DETAIL INPUT'!T64</f>
        <v>0</v>
      </c>
      <c r="U64" s="181">
        <f>'ADJ DETAIL INPUT'!U64</f>
        <v>0</v>
      </c>
      <c r="V64" s="181">
        <f>'ADJ DETAIL INPUT'!V64</f>
        <v>0</v>
      </c>
      <c r="W64" s="181">
        <f>'ADJ DETAIL INPUT'!W64</f>
        <v>0</v>
      </c>
      <c r="X64" s="181">
        <f>'ADJ DETAIL INPUT'!X64</f>
        <v>0</v>
      </c>
    </row>
    <row r="65" spans="1:24">
      <c r="A65" s="153">
        <v>34</v>
      </c>
      <c r="B65" s="155"/>
      <c r="C65" s="155" t="s">
        <v>54</v>
      </c>
      <c r="D65" s="155"/>
      <c r="E65" s="182">
        <f>'ADJ DETAIL INPUT'!E65</f>
        <v>94586</v>
      </c>
      <c r="F65" s="182">
        <f>'ADJ DETAIL INPUT'!F65</f>
        <v>0</v>
      </c>
      <c r="G65" s="182">
        <f>'ADJ DETAIL INPUT'!G65</f>
        <v>0</v>
      </c>
      <c r="H65" s="182">
        <f>'ADJ DETAIL INPUT'!H65</f>
        <v>0</v>
      </c>
      <c r="I65" s="182">
        <f>'ADJ DETAIL INPUT'!I65</f>
        <v>-1095</v>
      </c>
      <c r="J65" s="182">
        <f>'ADJ DETAIL INPUT'!J65</f>
        <v>0</v>
      </c>
      <c r="K65" s="182">
        <f>'ADJ DETAIL INPUT'!K65</f>
        <v>0</v>
      </c>
      <c r="L65" s="182">
        <f>'ADJ DETAIL INPUT'!L65</f>
        <v>0</v>
      </c>
      <c r="M65" s="182">
        <f>'ADJ DETAIL INPUT'!M65</f>
        <v>0</v>
      </c>
      <c r="N65" s="182">
        <f>'ADJ DETAIL INPUT'!N65</f>
        <v>0</v>
      </c>
      <c r="O65" s="182">
        <f>'ADJ DETAIL INPUT'!O65</f>
        <v>0</v>
      </c>
      <c r="P65" s="182">
        <f>'ADJ DETAIL INPUT'!P65</f>
        <v>0</v>
      </c>
      <c r="Q65" s="182">
        <f>'ADJ DETAIL INPUT'!Q65</f>
        <v>0</v>
      </c>
      <c r="R65" s="182">
        <f>'ADJ DETAIL INPUT'!R65</f>
        <v>0</v>
      </c>
      <c r="S65" s="182">
        <f>'ADJ DETAIL INPUT'!S65</f>
        <v>0</v>
      </c>
      <c r="T65" s="182">
        <f>'ADJ DETAIL INPUT'!T65</f>
        <v>0</v>
      </c>
      <c r="U65" s="182">
        <f>'ADJ DETAIL INPUT'!U65</f>
        <v>0</v>
      </c>
      <c r="V65" s="182">
        <f>'ADJ DETAIL INPUT'!V65</f>
        <v>0</v>
      </c>
      <c r="W65" s="182">
        <f>'ADJ DETAIL INPUT'!W65</f>
        <v>0</v>
      </c>
      <c r="X65" s="182">
        <f>'ADJ DETAIL INPUT'!X65</f>
        <v>0</v>
      </c>
    </row>
    <row r="66" spans="1:24" ht="18" customHeight="1">
      <c r="A66" s="153">
        <v>35</v>
      </c>
      <c r="B66" s="155" t="s">
        <v>55</v>
      </c>
      <c r="C66" s="155"/>
      <c r="E66" s="181">
        <f>SUM(E63:E65)</f>
        <v>544498</v>
      </c>
      <c r="F66" s="181">
        <f t="shared" ref="F66" si="51">SUM(F63:F65)</f>
        <v>0</v>
      </c>
      <c r="G66" s="181">
        <f t="shared" ref="G66:Q66" si="52">SUM(G63:G65)</f>
        <v>0</v>
      </c>
      <c r="H66" s="181">
        <f t="shared" si="52"/>
        <v>0</v>
      </c>
      <c r="I66" s="181">
        <f t="shared" ref="I66" si="53">SUM(I63:I65)</f>
        <v>-1095</v>
      </c>
      <c r="J66" s="181">
        <f t="shared" si="52"/>
        <v>0</v>
      </c>
      <c r="K66" s="181">
        <f t="shared" si="52"/>
        <v>0</v>
      </c>
      <c r="L66" s="181">
        <f t="shared" si="52"/>
        <v>0</v>
      </c>
      <c r="M66" s="181">
        <f t="shared" si="52"/>
        <v>0</v>
      </c>
      <c r="N66" s="181">
        <f t="shared" si="52"/>
        <v>0</v>
      </c>
      <c r="O66" s="181">
        <f t="shared" si="52"/>
        <v>0</v>
      </c>
      <c r="P66" s="181">
        <f t="shared" si="52"/>
        <v>0</v>
      </c>
      <c r="Q66" s="181">
        <f t="shared" si="52"/>
        <v>0</v>
      </c>
      <c r="R66" s="181">
        <f t="shared" ref="R66" si="54">SUM(R63:R65)</f>
        <v>0</v>
      </c>
      <c r="S66" s="181">
        <f t="shared" ref="S66:U66" si="55">SUM(S63:S65)</f>
        <v>0</v>
      </c>
      <c r="T66" s="181">
        <f t="shared" si="55"/>
        <v>0</v>
      </c>
      <c r="U66" s="181">
        <f t="shared" si="55"/>
        <v>0</v>
      </c>
      <c r="V66" s="181">
        <f t="shared" ref="V66:X66" si="56">SUM(V63:V65)</f>
        <v>0</v>
      </c>
      <c r="W66" s="181">
        <f t="shared" si="56"/>
        <v>0</v>
      </c>
      <c r="X66" s="181">
        <f t="shared" si="56"/>
        <v>0</v>
      </c>
    </row>
    <row r="67" spans="1:24" ht="12.75" customHeight="1">
      <c r="B67" s="155"/>
      <c r="C67" s="155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spans="1:24">
      <c r="B68" s="155" t="s">
        <v>177</v>
      </c>
      <c r="C68" s="155"/>
      <c r="D68" s="155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1:24">
      <c r="A69" s="153">
        <v>36</v>
      </c>
      <c r="B69" s="155"/>
      <c r="C69" s="155" t="s">
        <v>36</v>
      </c>
      <c r="D69" s="155"/>
      <c r="E69" s="181">
        <f>'ADJ DETAIL INPUT'!E69</f>
        <v>-10493</v>
      </c>
      <c r="F69" s="181">
        <f>'ADJ DETAIL INPUT'!F69</f>
        <v>0</v>
      </c>
      <c r="G69" s="181">
        <f>'ADJ DETAIL INPUT'!G69</f>
        <v>0</v>
      </c>
      <c r="H69" s="181">
        <f>'ADJ DETAIL INPUT'!H69</f>
        <v>0</v>
      </c>
      <c r="I69" s="181">
        <f>'ADJ DETAIL INPUT'!I69</f>
        <v>0</v>
      </c>
      <c r="J69" s="181">
        <f>'ADJ DETAIL INPUT'!J69</f>
        <v>0</v>
      </c>
      <c r="K69" s="181">
        <f>'ADJ DETAIL INPUT'!K69</f>
        <v>0</v>
      </c>
      <c r="L69" s="181">
        <f>'ADJ DETAIL INPUT'!L69</f>
        <v>0</v>
      </c>
      <c r="M69" s="181">
        <f>'ADJ DETAIL INPUT'!M69</f>
        <v>0</v>
      </c>
      <c r="N69" s="181">
        <f>'ADJ DETAIL INPUT'!N69</f>
        <v>0</v>
      </c>
      <c r="O69" s="181">
        <f>'ADJ DETAIL INPUT'!O69</f>
        <v>0</v>
      </c>
      <c r="P69" s="181">
        <f>'ADJ DETAIL INPUT'!P69</f>
        <v>0</v>
      </c>
      <c r="Q69" s="181">
        <f>'ADJ DETAIL INPUT'!Q69</f>
        <v>0</v>
      </c>
      <c r="R69" s="181">
        <f>'ADJ DETAIL INPUT'!R69</f>
        <v>0</v>
      </c>
      <c r="S69" s="181">
        <f>'ADJ DETAIL INPUT'!S69</f>
        <v>0</v>
      </c>
      <c r="T69" s="181">
        <f>'ADJ DETAIL INPUT'!T69</f>
        <v>0</v>
      </c>
      <c r="U69" s="181">
        <f>'ADJ DETAIL INPUT'!U69</f>
        <v>0</v>
      </c>
      <c r="V69" s="181">
        <f>'ADJ DETAIL INPUT'!V69</f>
        <v>0</v>
      </c>
      <c r="W69" s="181">
        <f>'ADJ DETAIL INPUT'!W69</f>
        <v>0</v>
      </c>
      <c r="X69" s="181">
        <f>'ADJ DETAIL INPUT'!X69</f>
        <v>0</v>
      </c>
    </row>
    <row r="70" spans="1:24">
      <c r="A70" s="153">
        <v>37</v>
      </c>
      <c r="B70" s="155"/>
      <c r="C70" s="155" t="s">
        <v>53</v>
      </c>
      <c r="D70" s="155"/>
      <c r="E70" s="181">
        <f>'ADJ DETAIL INPUT'!E70</f>
        <v>-136840</v>
      </c>
      <c r="F70" s="181">
        <f>'ADJ DETAIL INPUT'!F70</f>
        <v>0</v>
      </c>
      <c r="G70" s="181">
        <f>'ADJ DETAIL INPUT'!G70</f>
        <v>0</v>
      </c>
      <c r="H70" s="181">
        <f>'ADJ DETAIL INPUT'!H70</f>
        <v>0</v>
      </c>
      <c r="I70" s="181">
        <f>'ADJ DETAIL INPUT'!I70</f>
        <v>0</v>
      </c>
      <c r="J70" s="181">
        <f>'ADJ DETAIL INPUT'!J70</f>
        <v>0</v>
      </c>
      <c r="K70" s="181">
        <f>'ADJ DETAIL INPUT'!K70</f>
        <v>0</v>
      </c>
      <c r="L70" s="181">
        <f>'ADJ DETAIL INPUT'!L70</f>
        <v>0</v>
      </c>
      <c r="M70" s="181">
        <f>'ADJ DETAIL INPUT'!M70</f>
        <v>0</v>
      </c>
      <c r="N70" s="181">
        <f>'ADJ DETAIL INPUT'!N70</f>
        <v>0</v>
      </c>
      <c r="O70" s="181">
        <f>'ADJ DETAIL INPUT'!O70</f>
        <v>0</v>
      </c>
      <c r="P70" s="181">
        <f>'ADJ DETAIL INPUT'!P70</f>
        <v>0</v>
      </c>
      <c r="Q70" s="181">
        <f>'ADJ DETAIL INPUT'!Q70</f>
        <v>0</v>
      </c>
      <c r="R70" s="181">
        <f>'ADJ DETAIL INPUT'!R70</f>
        <v>0</v>
      </c>
      <c r="S70" s="181">
        <f>'ADJ DETAIL INPUT'!S70</f>
        <v>0</v>
      </c>
      <c r="T70" s="181">
        <f>'ADJ DETAIL INPUT'!T70</f>
        <v>0</v>
      </c>
      <c r="U70" s="181">
        <f>'ADJ DETAIL INPUT'!U70</f>
        <v>0</v>
      </c>
      <c r="V70" s="181">
        <f>'ADJ DETAIL INPUT'!V70</f>
        <v>0</v>
      </c>
      <c r="W70" s="181">
        <f>'ADJ DETAIL INPUT'!W70</f>
        <v>0</v>
      </c>
      <c r="X70" s="181">
        <f>'ADJ DETAIL INPUT'!X70</f>
        <v>0</v>
      </c>
    </row>
    <row r="71" spans="1:24">
      <c r="A71" s="153">
        <v>38</v>
      </c>
      <c r="B71" s="155"/>
      <c r="C71" s="155" t="s">
        <v>54</v>
      </c>
      <c r="D71" s="155"/>
      <c r="E71" s="182">
        <f>'ADJ DETAIL INPUT'!E71</f>
        <v>-27528</v>
      </c>
      <c r="F71" s="182">
        <f>'ADJ DETAIL INPUT'!F71</f>
        <v>0</v>
      </c>
      <c r="G71" s="182">
        <f>'ADJ DETAIL INPUT'!G71</f>
        <v>0</v>
      </c>
      <c r="H71" s="182">
        <f>'ADJ DETAIL INPUT'!H71</f>
        <v>0</v>
      </c>
      <c r="I71" s="182">
        <f>'ADJ DETAIL INPUT'!I71</f>
        <v>31</v>
      </c>
      <c r="J71" s="182">
        <f>'ADJ DETAIL INPUT'!J71</f>
        <v>0</v>
      </c>
      <c r="K71" s="182">
        <f>'ADJ DETAIL INPUT'!K71</f>
        <v>0</v>
      </c>
      <c r="L71" s="182">
        <f>'ADJ DETAIL INPUT'!L71</f>
        <v>0</v>
      </c>
      <c r="M71" s="182">
        <f>'ADJ DETAIL INPUT'!M71</f>
        <v>0</v>
      </c>
      <c r="N71" s="182">
        <f>'ADJ DETAIL INPUT'!N71</f>
        <v>0</v>
      </c>
      <c r="O71" s="182">
        <f>'ADJ DETAIL INPUT'!O71</f>
        <v>0</v>
      </c>
      <c r="P71" s="182">
        <f>'ADJ DETAIL INPUT'!P71</f>
        <v>0</v>
      </c>
      <c r="Q71" s="182">
        <f>'ADJ DETAIL INPUT'!Q71</f>
        <v>0</v>
      </c>
      <c r="R71" s="182">
        <f>'ADJ DETAIL INPUT'!R71</f>
        <v>0</v>
      </c>
      <c r="S71" s="182">
        <f>'ADJ DETAIL INPUT'!S71</f>
        <v>0</v>
      </c>
      <c r="T71" s="182">
        <f>'ADJ DETAIL INPUT'!T71</f>
        <v>0</v>
      </c>
      <c r="U71" s="182">
        <f>'ADJ DETAIL INPUT'!U71</f>
        <v>0</v>
      </c>
      <c r="V71" s="182">
        <f>'ADJ DETAIL INPUT'!V71</f>
        <v>0</v>
      </c>
      <c r="W71" s="182">
        <f>'ADJ DETAIL INPUT'!W71</f>
        <v>0</v>
      </c>
      <c r="X71" s="182">
        <f>'ADJ DETAIL INPUT'!X71</f>
        <v>0</v>
      </c>
    </row>
    <row r="72" spans="1:24">
      <c r="A72" s="153">
        <v>39</v>
      </c>
      <c r="B72" s="155" t="s">
        <v>389</v>
      </c>
      <c r="C72" s="155"/>
      <c r="E72" s="184">
        <f>SUM(E69:E71)</f>
        <v>-174861</v>
      </c>
      <c r="F72" s="184">
        <f t="shared" ref="F72" si="57">SUM(F69:F71)</f>
        <v>0</v>
      </c>
      <c r="G72" s="184">
        <f t="shared" ref="G72:Q72" si="58">SUM(G69:G71)</f>
        <v>0</v>
      </c>
      <c r="H72" s="184">
        <f t="shared" si="58"/>
        <v>0</v>
      </c>
      <c r="I72" s="184">
        <f t="shared" ref="I72" si="59">SUM(I69:I71)</f>
        <v>31</v>
      </c>
      <c r="J72" s="184">
        <f t="shared" si="58"/>
        <v>0</v>
      </c>
      <c r="K72" s="184">
        <f t="shared" si="58"/>
        <v>0</v>
      </c>
      <c r="L72" s="184">
        <f t="shared" si="58"/>
        <v>0</v>
      </c>
      <c r="M72" s="184">
        <f t="shared" si="58"/>
        <v>0</v>
      </c>
      <c r="N72" s="184">
        <f t="shared" si="58"/>
        <v>0</v>
      </c>
      <c r="O72" s="184">
        <f t="shared" si="58"/>
        <v>0</v>
      </c>
      <c r="P72" s="184">
        <f t="shared" si="58"/>
        <v>0</v>
      </c>
      <c r="Q72" s="184">
        <f t="shared" si="58"/>
        <v>0</v>
      </c>
      <c r="R72" s="184">
        <f t="shared" ref="R72" si="60">SUM(R69:R71)</f>
        <v>0</v>
      </c>
      <c r="S72" s="184">
        <f t="shared" ref="S72:U72" si="61">SUM(S69:S71)</f>
        <v>0</v>
      </c>
      <c r="T72" s="184">
        <f t="shared" si="61"/>
        <v>0</v>
      </c>
      <c r="U72" s="184">
        <f t="shared" si="61"/>
        <v>0</v>
      </c>
      <c r="V72" s="184">
        <f t="shared" ref="V72:X72" si="62">SUM(V69:V71)</f>
        <v>0</v>
      </c>
      <c r="W72" s="184">
        <f t="shared" si="62"/>
        <v>0</v>
      </c>
      <c r="X72" s="184">
        <f t="shared" si="62"/>
        <v>0</v>
      </c>
    </row>
    <row r="73" spans="1:24">
      <c r="A73" s="153">
        <v>40</v>
      </c>
      <c r="B73" s="155" t="s">
        <v>156</v>
      </c>
      <c r="C73" s="155"/>
      <c r="D73" s="155"/>
      <c r="E73" s="185">
        <f>E66+E72</f>
        <v>369637</v>
      </c>
      <c r="F73" s="185">
        <f t="shared" ref="F73" si="63">F66+F72</f>
        <v>0</v>
      </c>
      <c r="G73" s="185">
        <f t="shared" ref="G73:Q73" si="64">G66+G72</f>
        <v>0</v>
      </c>
      <c r="H73" s="185">
        <f t="shared" si="64"/>
        <v>0</v>
      </c>
      <c r="I73" s="185">
        <f t="shared" ref="I73" si="65">I66+I72</f>
        <v>-1064</v>
      </c>
      <c r="J73" s="185">
        <f t="shared" si="64"/>
        <v>0</v>
      </c>
      <c r="K73" s="185">
        <f t="shared" si="64"/>
        <v>0</v>
      </c>
      <c r="L73" s="185">
        <f t="shared" si="64"/>
        <v>0</v>
      </c>
      <c r="M73" s="185">
        <f t="shared" si="64"/>
        <v>0</v>
      </c>
      <c r="N73" s="185">
        <f t="shared" si="64"/>
        <v>0</v>
      </c>
      <c r="O73" s="185">
        <f t="shared" si="64"/>
        <v>0</v>
      </c>
      <c r="P73" s="185">
        <f t="shared" si="64"/>
        <v>0</v>
      </c>
      <c r="Q73" s="185">
        <f t="shared" si="64"/>
        <v>0</v>
      </c>
      <c r="R73" s="185">
        <f t="shared" ref="R73" si="66">R66+R72</f>
        <v>0</v>
      </c>
      <c r="S73" s="185">
        <f t="shared" ref="S73:U73" si="67">S66+S72</f>
        <v>0</v>
      </c>
      <c r="T73" s="185">
        <f t="shared" si="67"/>
        <v>0</v>
      </c>
      <c r="U73" s="185">
        <f t="shared" si="67"/>
        <v>0</v>
      </c>
      <c r="V73" s="185">
        <f t="shared" ref="V73:X73" si="68">V66+V72</f>
        <v>0</v>
      </c>
      <c r="W73" s="185">
        <f t="shared" si="68"/>
        <v>0</v>
      </c>
      <c r="X73" s="185">
        <f t="shared" si="68"/>
        <v>0</v>
      </c>
    </row>
    <row r="74" spans="1:24" s="158" customFormat="1" ht="18.899999999999999" customHeight="1">
      <c r="A74" s="156">
        <v>41</v>
      </c>
      <c r="B74" s="157" t="s">
        <v>180</v>
      </c>
      <c r="C74" s="157"/>
      <c r="D74" s="157"/>
      <c r="E74" s="182">
        <f>'ADJ DETAIL INPUT'!E74</f>
        <v>-82870</v>
      </c>
      <c r="F74" s="182">
        <f>'ADJ DETAIL INPUT'!F74</f>
        <v>-274</v>
      </c>
      <c r="G74" s="182">
        <f>'ADJ DETAIL INPUT'!G74</f>
        <v>0</v>
      </c>
      <c r="H74" s="182">
        <f>'ADJ DETAIL INPUT'!H74</f>
        <v>0</v>
      </c>
      <c r="I74" s="182">
        <f>'ADJ DETAIL INPUT'!I74</f>
        <v>11</v>
      </c>
      <c r="J74" s="182">
        <f>'ADJ DETAIL INPUT'!J74</f>
        <v>0</v>
      </c>
      <c r="K74" s="182">
        <f>'ADJ DETAIL INPUT'!K74</f>
        <v>0</v>
      </c>
      <c r="L74" s="182">
        <f>'ADJ DETAIL INPUT'!L74</f>
        <v>0</v>
      </c>
      <c r="M74" s="182">
        <f>'ADJ DETAIL INPUT'!M74</f>
        <v>0</v>
      </c>
      <c r="N74" s="182">
        <f>'ADJ DETAIL INPUT'!N74</f>
        <v>0</v>
      </c>
      <c r="O74" s="182">
        <f>'ADJ DETAIL INPUT'!O74</f>
        <v>0</v>
      </c>
      <c r="P74" s="182">
        <f>'ADJ DETAIL INPUT'!P74</f>
        <v>0</v>
      </c>
      <c r="Q74" s="182">
        <f>'ADJ DETAIL INPUT'!Q74</f>
        <v>0</v>
      </c>
      <c r="R74" s="182">
        <f>'ADJ DETAIL INPUT'!R74</f>
        <v>0</v>
      </c>
      <c r="S74" s="182">
        <f>'ADJ DETAIL INPUT'!S74</f>
        <v>0</v>
      </c>
      <c r="T74" s="182">
        <f>'ADJ DETAIL INPUT'!T74</f>
        <v>0</v>
      </c>
      <c r="U74" s="182">
        <f>'ADJ DETAIL INPUT'!U74</f>
        <v>0</v>
      </c>
      <c r="V74" s="182">
        <f>'ADJ DETAIL INPUT'!V74</f>
        <v>0</v>
      </c>
      <c r="W74" s="182">
        <f>'ADJ DETAIL INPUT'!W74</f>
        <v>0</v>
      </c>
      <c r="X74" s="182">
        <f>'ADJ DETAIL INPUT'!X74</f>
        <v>0</v>
      </c>
    </row>
    <row r="75" spans="1:24" s="158" customFormat="1" ht="18.899999999999999" customHeight="1">
      <c r="A75" s="156">
        <v>42</v>
      </c>
      <c r="B75" s="157" t="s">
        <v>178</v>
      </c>
      <c r="C75" s="157"/>
      <c r="D75" s="157"/>
      <c r="E75" s="185">
        <f>E73+E74</f>
        <v>286767</v>
      </c>
      <c r="F75" s="185">
        <f t="shared" ref="F75" si="69">F73+F74</f>
        <v>-274</v>
      </c>
      <c r="G75" s="185">
        <f t="shared" ref="G75:Q75" si="70">G73+G74</f>
        <v>0</v>
      </c>
      <c r="H75" s="185">
        <f t="shared" si="70"/>
        <v>0</v>
      </c>
      <c r="I75" s="185">
        <f t="shared" ref="I75" si="71">I73+I74</f>
        <v>-1053</v>
      </c>
      <c r="J75" s="185">
        <f t="shared" si="70"/>
        <v>0</v>
      </c>
      <c r="K75" s="185">
        <f t="shared" si="70"/>
        <v>0</v>
      </c>
      <c r="L75" s="185">
        <f t="shared" si="70"/>
        <v>0</v>
      </c>
      <c r="M75" s="185">
        <f t="shared" si="70"/>
        <v>0</v>
      </c>
      <c r="N75" s="185">
        <f t="shared" si="70"/>
        <v>0</v>
      </c>
      <c r="O75" s="185">
        <f t="shared" si="70"/>
        <v>0</v>
      </c>
      <c r="P75" s="185">
        <f t="shared" si="70"/>
        <v>0</v>
      </c>
      <c r="Q75" s="185">
        <f t="shared" si="70"/>
        <v>0</v>
      </c>
      <c r="R75" s="185">
        <f t="shared" ref="R75" si="72">R73+R74</f>
        <v>0</v>
      </c>
      <c r="S75" s="185">
        <f t="shared" ref="S75:U75" si="73">S73+S74</f>
        <v>0</v>
      </c>
      <c r="T75" s="185">
        <f t="shared" si="73"/>
        <v>0</v>
      </c>
      <c r="U75" s="185">
        <f t="shared" si="73"/>
        <v>0</v>
      </c>
      <c r="V75" s="185">
        <f t="shared" ref="V75:X75" si="74">V73+V74</f>
        <v>0</v>
      </c>
      <c r="W75" s="185">
        <f t="shared" si="74"/>
        <v>0</v>
      </c>
      <c r="X75" s="185">
        <f t="shared" si="74"/>
        <v>0</v>
      </c>
    </row>
    <row r="76" spans="1:24">
      <c r="A76" s="153">
        <v>43</v>
      </c>
      <c r="B76" s="155" t="s">
        <v>57</v>
      </c>
      <c r="C76" s="155"/>
      <c r="D76" s="155"/>
      <c r="E76" s="181">
        <f>'ADJ DETAIL INPUT'!E76</f>
        <v>10595</v>
      </c>
      <c r="F76" s="181">
        <f>'ADJ DETAIL INPUT'!F76</f>
        <v>0</v>
      </c>
      <c r="G76" s="181">
        <f>'ADJ DETAIL INPUT'!G76</f>
        <v>0</v>
      </c>
      <c r="H76" s="181">
        <f>'ADJ DETAIL INPUT'!H76</f>
        <v>0</v>
      </c>
      <c r="I76" s="181">
        <f>'ADJ DETAIL INPUT'!I76</f>
        <v>0</v>
      </c>
      <c r="J76" s="181">
        <f>'ADJ DETAIL INPUT'!J76</f>
        <v>0</v>
      </c>
      <c r="K76" s="181">
        <f>'ADJ DETAIL INPUT'!K76</f>
        <v>0</v>
      </c>
      <c r="L76" s="181">
        <f>'ADJ DETAIL INPUT'!L76</f>
        <v>0</v>
      </c>
      <c r="M76" s="181">
        <f>'ADJ DETAIL INPUT'!M76</f>
        <v>0</v>
      </c>
      <c r="N76" s="181">
        <f>'ADJ DETAIL INPUT'!N76</f>
        <v>0</v>
      </c>
      <c r="O76" s="181">
        <f>'ADJ DETAIL INPUT'!O76</f>
        <v>0</v>
      </c>
      <c r="P76" s="181">
        <f>'ADJ DETAIL INPUT'!P76</f>
        <v>0</v>
      </c>
      <c r="Q76" s="181">
        <f>'ADJ DETAIL INPUT'!Q76</f>
        <v>0</v>
      </c>
      <c r="R76" s="181">
        <f>'ADJ DETAIL INPUT'!R76</f>
        <v>0</v>
      </c>
      <c r="S76" s="181">
        <f>'ADJ DETAIL INPUT'!S76</f>
        <v>0</v>
      </c>
      <c r="T76" s="181">
        <f>'ADJ DETAIL INPUT'!T76</f>
        <v>0</v>
      </c>
      <c r="U76" s="181">
        <f>'ADJ DETAIL INPUT'!U76</f>
        <v>0</v>
      </c>
      <c r="V76" s="181">
        <f>'ADJ DETAIL INPUT'!V76</f>
        <v>0</v>
      </c>
      <c r="W76" s="181">
        <f>'ADJ DETAIL INPUT'!W76</f>
        <v>0</v>
      </c>
      <c r="X76" s="181">
        <f>'ADJ DETAIL INPUT'!X76</f>
        <v>0</v>
      </c>
    </row>
    <row r="77" spans="1:24" s="158" customFormat="1">
      <c r="A77" s="156">
        <v>44</v>
      </c>
      <c r="B77" s="157" t="s">
        <v>58</v>
      </c>
      <c r="C77" s="157"/>
      <c r="D77" s="157"/>
      <c r="E77" s="181">
        <f>'ADJ DETAIL INPUT'!E77</f>
        <v>0</v>
      </c>
      <c r="F77" s="181">
        <f>'ADJ DETAIL INPUT'!F77</f>
        <v>0</v>
      </c>
      <c r="G77" s="181">
        <f>'ADJ DETAIL INPUT'!G77</f>
        <v>0</v>
      </c>
      <c r="H77" s="181">
        <f>'ADJ DETAIL INPUT'!H77</f>
        <v>0</v>
      </c>
      <c r="I77" s="181">
        <f>'ADJ DETAIL INPUT'!I77</f>
        <v>0</v>
      </c>
      <c r="J77" s="181">
        <f>'ADJ DETAIL INPUT'!J77</f>
        <v>0</v>
      </c>
      <c r="K77" s="181">
        <f>'ADJ DETAIL INPUT'!K77</f>
        <v>0</v>
      </c>
      <c r="L77" s="181">
        <f>'ADJ DETAIL INPUT'!L77</f>
        <v>0</v>
      </c>
      <c r="M77" s="181">
        <f>'ADJ DETAIL INPUT'!M77</f>
        <v>0</v>
      </c>
      <c r="N77" s="181">
        <f>'ADJ DETAIL INPUT'!N77</f>
        <v>0</v>
      </c>
      <c r="O77" s="181">
        <f>'ADJ DETAIL INPUT'!O77</f>
        <v>0</v>
      </c>
      <c r="P77" s="181">
        <f>'ADJ DETAIL INPUT'!P77</f>
        <v>0</v>
      </c>
      <c r="Q77" s="181">
        <f>'ADJ DETAIL INPUT'!Q77</f>
        <v>0</v>
      </c>
      <c r="R77" s="181">
        <f>'ADJ DETAIL INPUT'!R77</f>
        <v>0</v>
      </c>
      <c r="S77" s="181">
        <f>'ADJ DETAIL INPUT'!S77</f>
        <v>0</v>
      </c>
      <c r="T77" s="181">
        <f>'ADJ DETAIL INPUT'!T77</f>
        <v>0</v>
      </c>
      <c r="U77" s="181">
        <f>'ADJ DETAIL INPUT'!U77</f>
        <v>0</v>
      </c>
      <c r="V77" s="181">
        <f>'ADJ DETAIL INPUT'!V77</f>
        <v>0</v>
      </c>
      <c r="W77" s="181">
        <f>'ADJ DETAIL INPUT'!W77</f>
        <v>0</v>
      </c>
      <c r="X77" s="181">
        <f>'ADJ DETAIL INPUT'!X77</f>
        <v>0</v>
      </c>
    </row>
    <row r="78" spans="1:24" s="158" customFormat="1">
      <c r="A78" s="156">
        <v>45</v>
      </c>
      <c r="B78" s="157" t="s">
        <v>390</v>
      </c>
      <c r="C78" s="157"/>
      <c r="D78" s="157"/>
      <c r="E78" s="181">
        <f>'ADJ DETAIL INPUT'!E78</f>
        <v>2064</v>
      </c>
      <c r="F78" s="181">
        <f>'ADJ DETAIL INPUT'!F78</f>
        <v>0</v>
      </c>
      <c r="G78" s="181">
        <f>'ADJ DETAIL INPUT'!G78</f>
        <v>0</v>
      </c>
      <c r="H78" s="181">
        <f>'ADJ DETAIL INPUT'!H78</f>
        <v>0</v>
      </c>
      <c r="I78" s="181">
        <f>'ADJ DETAIL INPUT'!I78</f>
        <v>0</v>
      </c>
      <c r="J78" s="181">
        <f>'ADJ DETAIL INPUT'!J78</f>
        <v>0</v>
      </c>
      <c r="K78" s="181">
        <f>'ADJ DETAIL INPUT'!K78</f>
        <v>0</v>
      </c>
      <c r="L78" s="181">
        <f>'ADJ DETAIL INPUT'!L78</f>
        <v>0</v>
      </c>
      <c r="M78" s="181">
        <f>'ADJ DETAIL INPUT'!M78</f>
        <v>0</v>
      </c>
      <c r="N78" s="181">
        <f>'ADJ DETAIL INPUT'!N78</f>
        <v>0</v>
      </c>
      <c r="O78" s="181">
        <f>'ADJ DETAIL INPUT'!O78</f>
        <v>0</v>
      </c>
      <c r="P78" s="181">
        <f>'ADJ DETAIL INPUT'!P78</f>
        <v>0</v>
      </c>
      <c r="Q78" s="181">
        <f>'ADJ DETAIL INPUT'!Q78</f>
        <v>0</v>
      </c>
      <c r="R78" s="181">
        <f>'ADJ DETAIL INPUT'!R78</f>
        <v>0</v>
      </c>
      <c r="S78" s="181">
        <f>'ADJ DETAIL INPUT'!S78</f>
        <v>0</v>
      </c>
      <c r="T78" s="181">
        <f>'ADJ DETAIL INPUT'!T78</f>
        <v>0</v>
      </c>
      <c r="U78" s="181">
        <f>'ADJ DETAIL INPUT'!U78</f>
        <v>0</v>
      </c>
      <c r="V78" s="181">
        <f>'ADJ DETAIL INPUT'!V78</f>
        <v>0</v>
      </c>
      <c r="W78" s="181">
        <f>'ADJ DETAIL INPUT'!W78</f>
        <v>0</v>
      </c>
      <c r="X78" s="181">
        <f>'ADJ DETAIL INPUT'!X78</f>
        <v>0</v>
      </c>
    </row>
    <row r="79" spans="1:24">
      <c r="A79" s="153">
        <v>46</v>
      </c>
      <c r="B79" s="155" t="s">
        <v>157</v>
      </c>
      <c r="C79" s="155"/>
      <c r="D79" s="155"/>
      <c r="E79" s="182">
        <f>'ADJ DETAIL INPUT'!E79</f>
        <v>15075</v>
      </c>
      <c r="F79" s="182">
        <f>'ADJ DETAIL INPUT'!F79</f>
        <v>0</v>
      </c>
      <c r="G79" s="182">
        <f>'ADJ DETAIL INPUT'!G79</f>
        <v>0</v>
      </c>
      <c r="H79" s="182">
        <f>'ADJ DETAIL INPUT'!H79</f>
        <v>0</v>
      </c>
      <c r="I79" s="182">
        <f>'ADJ DETAIL INPUT'!I79</f>
        <v>0</v>
      </c>
      <c r="J79" s="182">
        <f>'ADJ DETAIL INPUT'!J79</f>
        <v>0</v>
      </c>
      <c r="K79" s="182">
        <f>'ADJ DETAIL INPUT'!K79</f>
        <v>0</v>
      </c>
      <c r="L79" s="182">
        <f>'ADJ DETAIL INPUT'!L79</f>
        <v>0</v>
      </c>
      <c r="M79" s="182">
        <f>'ADJ DETAIL INPUT'!M79</f>
        <v>0</v>
      </c>
      <c r="N79" s="182">
        <f>'ADJ DETAIL INPUT'!N79</f>
        <v>0</v>
      </c>
      <c r="O79" s="182">
        <f>'ADJ DETAIL INPUT'!O79</f>
        <v>0</v>
      </c>
      <c r="P79" s="182">
        <f>'ADJ DETAIL INPUT'!P79</f>
        <v>0</v>
      </c>
      <c r="Q79" s="182">
        <f>'ADJ DETAIL INPUT'!Q79</f>
        <v>0</v>
      </c>
      <c r="R79" s="182">
        <f>'ADJ DETAIL INPUT'!R79</f>
        <v>0</v>
      </c>
      <c r="S79" s="182">
        <f>'ADJ DETAIL INPUT'!S79</f>
        <v>0</v>
      </c>
      <c r="T79" s="182">
        <f>'ADJ DETAIL INPUT'!T79</f>
        <v>0</v>
      </c>
      <c r="U79" s="182">
        <f>'ADJ DETAIL INPUT'!U79</f>
        <v>0</v>
      </c>
      <c r="V79" s="182">
        <f>'ADJ DETAIL INPUT'!V79</f>
        <v>0</v>
      </c>
      <c r="W79" s="182">
        <f>'ADJ DETAIL INPUT'!W79</f>
        <v>0</v>
      </c>
      <c r="X79" s="182">
        <f>'ADJ DETAIL INPUT'!X79</f>
        <v>0</v>
      </c>
    </row>
    <row r="81" spans="1:24"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spans="1:24" s="293" customFormat="1" thickBot="1">
      <c r="A82" s="135">
        <v>47</v>
      </c>
      <c r="B82" s="293" t="s">
        <v>59</v>
      </c>
      <c r="E82" s="295">
        <f>E75+E76+E77+E79+E78</f>
        <v>314501</v>
      </c>
      <c r="F82" s="295">
        <f t="shared" ref="F82" si="75">F75+F76+F77+F79+F78</f>
        <v>-274</v>
      </c>
      <c r="G82" s="295">
        <f t="shared" ref="G82:Q82" si="76">G75+G76+G77+G79+G78</f>
        <v>0</v>
      </c>
      <c r="H82" s="295">
        <f t="shared" si="76"/>
        <v>0</v>
      </c>
      <c r="I82" s="295">
        <f t="shared" ref="I82" si="77">I75+I76+I77+I79+I78</f>
        <v>-1053</v>
      </c>
      <c r="J82" s="295">
        <f t="shared" si="76"/>
        <v>0</v>
      </c>
      <c r="K82" s="295">
        <f t="shared" si="76"/>
        <v>0</v>
      </c>
      <c r="L82" s="295">
        <f t="shared" si="76"/>
        <v>0</v>
      </c>
      <c r="M82" s="295">
        <f t="shared" si="76"/>
        <v>0</v>
      </c>
      <c r="N82" s="295">
        <f t="shared" si="76"/>
        <v>0</v>
      </c>
      <c r="O82" s="295">
        <f t="shared" si="76"/>
        <v>0</v>
      </c>
      <c r="P82" s="295">
        <f t="shared" si="76"/>
        <v>0</v>
      </c>
      <c r="Q82" s="295">
        <f t="shared" si="76"/>
        <v>0</v>
      </c>
      <c r="R82" s="295">
        <f t="shared" ref="R82" si="78">R75+R76+R77+R79+R78</f>
        <v>0</v>
      </c>
      <c r="S82" s="295">
        <f t="shared" ref="S82:U82" si="79">S75+S76+S77+S79+S78</f>
        <v>0</v>
      </c>
      <c r="T82" s="295">
        <f t="shared" si="79"/>
        <v>0</v>
      </c>
      <c r="U82" s="295">
        <f t="shared" si="79"/>
        <v>0</v>
      </c>
      <c r="V82" s="295">
        <f t="shared" ref="V82:X82" si="80">V75+V76+V77+V79+V78</f>
        <v>0</v>
      </c>
      <c r="W82" s="295">
        <f t="shared" si="80"/>
        <v>0</v>
      </c>
      <c r="X82" s="295">
        <f t="shared" si="80"/>
        <v>0</v>
      </c>
    </row>
    <row r="83" spans="1:24" ht="18" customHeight="1" thickTop="1">
      <c r="E83" s="26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spans="1:24"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spans="1:24"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spans="1:24" s="160" customFormat="1">
      <c r="A86" s="159"/>
      <c r="D86" s="161"/>
      <c r="E86" s="305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  <c r="X86" s="183"/>
    </row>
    <row r="87" spans="1:24" s="160" customFormat="1">
      <c r="A87" s="163"/>
      <c r="D87" s="161"/>
      <c r="E87" s="304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</row>
    <row r="88" spans="1:24" s="160" customFormat="1">
      <c r="A88" s="163"/>
      <c r="D88" s="161"/>
      <c r="E88" s="186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</row>
    <row r="89" spans="1:24" s="160" customFormat="1">
      <c r="A89" s="163"/>
      <c r="D89" s="161"/>
      <c r="E89" s="186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186"/>
      <c r="X89" s="186"/>
    </row>
    <row r="90" spans="1:24" s="160" customFormat="1">
      <c r="A90" s="163"/>
      <c r="D90" s="161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86"/>
      <c r="U90" s="186"/>
      <c r="V90" s="186"/>
      <c r="W90" s="186"/>
      <c r="X90" s="186"/>
    </row>
    <row r="91" spans="1:24" s="160" customFormat="1">
      <c r="A91" s="163"/>
      <c r="D91" s="161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</row>
    <row r="92" spans="1:24" s="160" customFormat="1">
      <c r="A92" s="159"/>
      <c r="D92" s="161"/>
      <c r="E92" s="162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</row>
    <row r="93" spans="1:24" s="160" customFormat="1">
      <c r="A93" s="163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</row>
    <row r="94" spans="1:24" s="160" customFormat="1">
      <c r="A94" s="163"/>
      <c r="D94" s="161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</row>
    <row r="95" spans="1:24" s="160" customFormat="1">
      <c r="A95" s="163"/>
      <c r="D95" s="161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</row>
    <row r="96" spans="1:24" s="160" customFormat="1">
      <c r="A96" s="163"/>
      <c r="D96" s="164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</row>
    <row r="97" spans="1:24" s="160" customFormat="1">
      <c r="A97" s="163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</row>
    <row r="98" spans="1:24" s="160" customFormat="1">
      <c r="A98" s="163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</row>
  </sheetData>
  <pageMargins left="0.75" right="0.5" top="0.72" bottom="0.84" header="0.5" footer="0.5"/>
  <pageSetup scale="65" firstPageNumber="4" fitToWidth="2" orientation="portrait" r:id="rId1"/>
  <headerFooter scaleWithDoc="0" alignWithMargins="0"/>
  <colBreaks count="19" manualBreakCount="19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in="1" max="8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J144"/>
  <sheetViews>
    <sheetView workbookViewId="0">
      <selection sqref="A1:H1"/>
    </sheetView>
  </sheetViews>
  <sheetFormatPr defaultColWidth="10.6640625" defaultRowHeight="13.2"/>
  <cols>
    <col min="1" max="1" width="8.33203125" style="194" customWidth="1"/>
    <col min="2" max="2" width="18.6640625" style="195" customWidth="1"/>
    <col min="3" max="4" width="10.6640625" style="188" customWidth="1"/>
    <col min="5" max="5" width="10.109375" style="188" customWidth="1"/>
    <col min="6" max="6" width="14.6640625" style="196" customWidth="1"/>
    <col min="7" max="7" width="11.109375" style="188" bestFit="1" customWidth="1"/>
    <col min="8" max="8" width="2.109375" style="188" customWidth="1"/>
    <col min="9" max="9" width="14.109375" style="188" customWidth="1"/>
    <col min="10" max="10" width="19.109375" style="188" customWidth="1"/>
    <col min="11" max="16384" width="10.6640625" style="188"/>
  </cols>
  <sheetData>
    <row r="1" spans="1:9">
      <c r="A1" s="519" t="s">
        <v>101</v>
      </c>
      <c r="B1" s="519"/>
      <c r="C1" s="519"/>
      <c r="D1" s="519"/>
      <c r="E1" s="519"/>
      <c r="F1" s="519"/>
      <c r="G1" s="519"/>
      <c r="H1" s="519"/>
    </row>
    <row r="2" spans="1:9">
      <c r="A2" s="520" t="s">
        <v>112</v>
      </c>
      <c r="B2" s="520"/>
      <c r="C2" s="520"/>
      <c r="D2" s="520"/>
      <c r="E2" s="520"/>
      <c r="F2" s="520"/>
      <c r="G2" s="520"/>
      <c r="H2" s="520"/>
    </row>
    <row r="3" spans="1:9">
      <c r="A3" s="520" t="s">
        <v>211</v>
      </c>
      <c r="B3" s="520"/>
      <c r="C3" s="520"/>
      <c r="D3" s="520"/>
      <c r="E3" s="520"/>
      <c r="F3" s="520"/>
      <c r="G3" s="520"/>
      <c r="H3" s="520"/>
    </row>
    <row r="4" spans="1:9">
      <c r="A4" s="521" t="str">
        <f>'ROO INPUT'!A5:C5</f>
        <v>TWELVE MONTHS ENDED DECEMBER 31, 2017</v>
      </c>
      <c r="B4" s="521"/>
      <c r="C4" s="521"/>
      <c r="D4" s="521"/>
      <c r="E4" s="521"/>
      <c r="F4" s="521"/>
      <c r="G4" s="521"/>
      <c r="H4" s="521"/>
    </row>
    <row r="5" spans="1:9">
      <c r="A5" s="522" t="s">
        <v>104</v>
      </c>
      <c r="B5" s="522"/>
      <c r="C5" s="522"/>
      <c r="D5" s="522"/>
      <c r="E5" s="522"/>
      <c r="F5" s="522"/>
      <c r="G5" s="522"/>
      <c r="H5" s="522"/>
    </row>
    <row r="6" spans="1:9" ht="13.8" thickBot="1">
      <c r="A6" s="189"/>
      <c r="B6" s="190"/>
      <c r="C6" s="191"/>
      <c r="D6" s="192"/>
      <c r="E6" s="192"/>
      <c r="F6" s="192"/>
      <c r="I6" s="193" t="s">
        <v>182</v>
      </c>
    </row>
    <row r="7" spans="1:9" ht="13.8" thickBot="1">
      <c r="C7" s="196"/>
      <c r="D7" s="196"/>
      <c r="E7" s="516" t="s">
        <v>112</v>
      </c>
      <c r="F7" s="517"/>
      <c r="G7" s="518"/>
      <c r="I7" s="193" t="s">
        <v>183</v>
      </c>
    </row>
    <row r="8" spans="1:9">
      <c r="C8" s="196"/>
      <c r="D8" s="196"/>
      <c r="E8" s="194">
        <f>'ADJ DETAIL INPUT'!X11</f>
        <v>2.1499999999999968</v>
      </c>
      <c r="F8" s="302"/>
      <c r="G8" s="302"/>
      <c r="I8" s="193"/>
    </row>
    <row r="9" spans="1:9">
      <c r="C9" s="196"/>
      <c r="D9" s="196"/>
      <c r="E9" s="197" t="s">
        <v>20</v>
      </c>
      <c r="F9" s="193" t="s">
        <v>392</v>
      </c>
      <c r="G9" s="193" t="s">
        <v>393</v>
      </c>
      <c r="I9" s="193" t="s">
        <v>184</v>
      </c>
    </row>
    <row r="10" spans="1:9">
      <c r="B10" s="198" t="s">
        <v>105</v>
      </c>
      <c r="C10" s="196"/>
      <c r="D10" s="196"/>
      <c r="E10" s="199" t="s">
        <v>185</v>
      </c>
      <c r="F10" s="200" t="s">
        <v>106</v>
      </c>
      <c r="G10" s="200" t="s">
        <v>186</v>
      </c>
      <c r="I10" s="200" t="str">
        <f>F10</f>
        <v>Adjustments</v>
      </c>
    </row>
    <row r="11" spans="1:9">
      <c r="A11" s="194">
        <f>'ADJ SUMMARY'!A8</f>
        <v>1</v>
      </c>
      <c r="B11" s="195" t="str">
        <f>'ADJ SUMMARY'!C8</f>
        <v>Per Results Report</v>
      </c>
      <c r="C11" s="196"/>
      <c r="D11" s="196"/>
      <c r="E11" s="201">
        <f>'ADJ SUMMARY'!E8</f>
        <v>314501</v>
      </c>
      <c r="F11" s="201"/>
      <c r="G11" s="250">
        <f>SUM(E11:F11)</f>
        <v>314501</v>
      </c>
      <c r="H11" s="250"/>
      <c r="I11" s="250">
        <f>ROUND(E11*$E$36*-$E$43,0)-(E40*-E43)</f>
        <v>81.449999999999818</v>
      </c>
    </row>
    <row r="12" spans="1:9">
      <c r="A12" s="194">
        <f>'ADJ SUMMARY'!A9</f>
        <v>1.01</v>
      </c>
      <c r="B12" s="195" t="str">
        <f>'ADJ SUMMARY'!C9</f>
        <v>Deferred FIT Rate Base</v>
      </c>
      <c r="C12" s="196"/>
      <c r="D12" s="196"/>
      <c r="E12" s="250"/>
      <c r="F12" s="201">
        <f>'ADJ SUMMARY'!E9</f>
        <v>-274</v>
      </c>
      <c r="G12" s="250">
        <f>SUM(E12:F12)</f>
        <v>-274</v>
      </c>
      <c r="H12" s="250"/>
      <c r="I12" s="250">
        <f t="shared" ref="I12:I30" si="0">ROUND(F12*$E$36*-$E$43,0)</f>
        <v>3</v>
      </c>
    </row>
    <row r="13" spans="1:9">
      <c r="A13" s="194">
        <f>'ADJ SUMMARY'!A10</f>
        <v>1.02</v>
      </c>
      <c r="B13" s="195" t="str">
        <f>'ADJ SUMMARY'!C10</f>
        <v>Deferred Debits &amp; Credits</v>
      </c>
      <c r="C13" s="196"/>
      <c r="D13" s="196"/>
      <c r="E13" s="250"/>
      <c r="F13" s="201">
        <f>'ADJ SUMMARY'!E10</f>
        <v>0</v>
      </c>
      <c r="G13" s="250">
        <f t="shared" ref="G13:G27" si="1">SUM(E13:F13)</f>
        <v>0</v>
      </c>
      <c r="H13" s="250"/>
      <c r="I13" s="250">
        <f t="shared" si="0"/>
        <v>0</v>
      </c>
    </row>
    <row r="14" spans="1:9">
      <c r="A14" s="194">
        <f>'ADJ SUMMARY'!A11</f>
        <v>1.03</v>
      </c>
      <c r="B14" s="195" t="str">
        <f>'ADJ SUMMARY'!C11</f>
        <v>Working Capital</v>
      </c>
      <c r="C14" s="196"/>
      <c r="D14" s="196"/>
      <c r="E14" s="250"/>
      <c r="F14" s="201">
        <f>'ADJ SUMMARY'!E11</f>
        <v>0</v>
      </c>
      <c r="G14" s="250">
        <f t="shared" si="1"/>
        <v>0</v>
      </c>
      <c r="H14" s="250"/>
      <c r="I14" s="250">
        <f t="shared" si="0"/>
        <v>0</v>
      </c>
    </row>
    <row r="15" spans="1:9">
      <c r="A15" s="194">
        <f>'ADJ SUMMARY'!A12</f>
        <v>1.04</v>
      </c>
      <c r="B15" s="195" t="str">
        <f>'ADJ SUMMARY'!C12</f>
        <v>AMI Rate Base</v>
      </c>
      <c r="C15" s="196"/>
      <c r="D15" s="196"/>
      <c r="E15" s="250"/>
      <c r="F15" s="201">
        <f>'ADJ SUMMARY'!E12</f>
        <v>-1053</v>
      </c>
      <c r="G15" s="250">
        <f t="shared" ref="G15" si="2">SUM(E15:F15)</f>
        <v>-1053</v>
      </c>
      <c r="H15" s="250"/>
      <c r="I15" s="250">
        <f t="shared" ref="I15" si="3">ROUND(F15*$E$36*-$E$43,0)</f>
        <v>10</v>
      </c>
    </row>
    <row r="16" spans="1:9">
      <c r="A16" s="194">
        <f>'ADJ SUMMARY'!A13</f>
        <v>2.0099999999999998</v>
      </c>
      <c r="B16" s="195" t="str">
        <f>'ADJ SUMMARY'!C13</f>
        <v>Eliminate B &amp; O Taxes</v>
      </c>
      <c r="C16" s="196"/>
      <c r="D16" s="196"/>
      <c r="E16" s="250"/>
      <c r="F16" s="201">
        <f>'ADJ SUMMARY'!E13</f>
        <v>0</v>
      </c>
      <c r="G16" s="250">
        <f t="shared" si="1"/>
        <v>0</v>
      </c>
      <c r="H16" s="250"/>
      <c r="I16" s="250">
        <f t="shared" si="0"/>
        <v>0</v>
      </c>
    </row>
    <row r="17" spans="1:9">
      <c r="A17" s="194">
        <f>'ADJ SUMMARY'!A14</f>
        <v>2.0199999999999996</v>
      </c>
      <c r="B17" s="195" t="str">
        <f>'ADJ SUMMARY'!C14</f>
        <v>Restate Property Tax</v>
      </c>
      <c r="C17" s="196"/>
      <c r="D17" s="196"/>
      <c r="E17" s="250"/>
      <c r="F17" s="201">
        <f>'ADJ SUMMARY'!E14</f>
        <v>0</v>
      </c>
      <c r="G17" s="250">
        <f t="shared" si="1"/>
        <v>0</v>
      </c>
      <c r="H17" s="250"/>
      <c r="I17" s="250">
        <f t="shared" si="0"/>
        <v>0</v>
      </c>
    </row>
    <row r="18" spans="1:9">
      <c r="A18" s="194">
        <f>'ADJ SUMMARY'!A15</f>
        <v>2.0299999999999994</v>
      </c>
      <c r="B18" s="195" t="str">
        <f>'ADJ SUMMARY'!C15</f>
        <v>Uncollectible Expense</v>
      </c>
      <c r="C18" s="196"/>
      <c r="D18" s="196"/>
      <c r="E18" s="250"/>
      <c r="F18" s="201">
        <f>'ADJ SUMMARY'!E15</f>
        <v>0</v>
      </c>
      <c r="G18" s="250">
        <f t="shared" si="1"/>
        <v>0</v>
      </c>
      <c r="H18" s="250"/>
      <c r="I18" s="250">
        <f t="shared" si="0"/>
        <v>0</v>
      </c>
    </row>
    <row r="19" spans="1:9">
      <c r="A19" s="194">
        <f>'ADJ SUMMARY'!A16</f>
        <v>2.0399999999999991</v>
      </c>
      <c r="B19" s="195" t="str">
        <f>'ADJ SUMMARY'!C16</f>
        <v>Regulatory Expense</v>
      </c>
      <c r="C19" s="196"/>
      <c r="D19" s="196"/>
      <c r="E19" s="250"/>
      <c r="F19" s="201">
        <f>'ADJ SUMMARY'!E16</f>
        <v>0</v>
      </c>
      <c r="G19" s="250">
        <f t="shared" si="1"/>
        <v>0</v>
      </c>
      <c r="H19" s="250"/>
      <c r="I19" s="250">
        <f t="shared" si="0"/>
        <v>0</v>
      </c>
    </row>
    <row r="20" spans="1:9">
      <c r="A20" s="194">
        <f>'ADJ SUMMARY'!A17</f>
        <v>2.0499999999999989</v>
      </c>
      <c r="B20" s="195" t="str">
        <f>'ADJ SUMMARY'!C17</f>
        <v>Injuries and Damages</v>
      </c>
      <c r="C20" s="196"/>
      <c r="D20" s="196"/>
      <c r="E20" s="250"/>
      <c r="F20" s="201">
        <f>'ADJ SUMMARY'!E17</f>
        <v>0</v>
      </c>
      <c r="G20" s="250">
        <f t="shared" si="1"/>
        <v>0</v>
      </c>
      <c r="H20" s="250"/>
      <c r="I20" s="250">
        <f t="shared" si="0"/>
        <v>0</v>
      </c>
    </row>
    <row r="21" spans="1:9">
      <c r="A21" s="194">
        <f>'ADJ SUMMARY'!A18</f>
        <v>2.0599999999999987</v>
      </c>
      <c r="B21" s="195" t="str">
        <f>'ADJ SUMMARY'!C18</f>
        <v>FIT / DFIT Expense</v>
      </c>
      <c r="C21" s="196"/>
      <c r="D21" s="196"/>
      <c r="E21" s="250"/>
      <c r="F21" s="201">
        <f>'ADJ SUMMARY'!E18</f>
        <v>0</v>
      </c>
      <c r="G21" s="250">
        <f t="shared" si="1"/>
        <v>0</v>
      </c>
      <c r="H21" s="250"/>
      <c r="I21" s="250">
        <f t="shared" si="0"/>
        <v>0</v>
      </c>
    </row>
    <row r="22" spans="1:9">
      <c r="A22" s="194">
        <f>'ADJ SUMMARY'!A19</f>
        <v>2.0699999999999985</v>
      </c>
      <c r="B22" s="195" t="str">
        <f>'ADJ SUMMARY'!C19</f>
        <v>Office Space Charges to Non-Utility</v>
      </c>
      <c r="C22" s="196"/>
      <c r="D22" s="196"/>
      <c r="E22" s="250"/>
      <c r="F22" s="201">
        <f>'ADJ SUMMARY'!E19</f>
        <v>0</v>
      </c>
      <c r="G22" s="250">
        <f t="shared" si="1"/>
        <v>0</v>
      </c>
      <c r="H22" s="250"/>
      <c r="I22" s="250">
        <f t="shared" si="0"/>
        <v>0</v>
      </c>
    </row>
    <row r="23" spans="1:9">
      <c r="A23" s="194">
        <f>'ADJ SUMMARY'!A20</f>
        <v>2.0799999999999983</v>
      </c>
      <c r="B23" s="195" t="str">
        <f>'ADJ SUMMARY'!C20</f>
        <v>Restate Excise Taxes</v>
      </c>
      <c r="C23" s="196"/>
      <c r="D23" s="196"/>
      <c r="E23" s="250"/>
      <c r="F23" s="201">
        <f>'ADJ SUMMARY'!E20</f>
        <v>0</v>
      </c>
      <c r="G23" s="250">
        <f t="shared" si="1"/>
        <v>0</v>
      </c>
      <c r="H23" s="250"/>
      <c r="I23" s="250">
        <f t="shared" si="0"/>
        <v>0</v>
      </c>
    </row>
    <row r="24" spans="1:9">
      <c r="A24" s="194">
        <f>'ADJ SUMMARY'!A21</f>
        <v>2.0899999999999981</v>
      </c>
      <c r="B24" s="195" t="str">
        <f>'ADJ SUMMARY'!C21</f>
        <v>Net Gains/Losses</v>
      </c>
      <c r="C24" s="196"/>
      <c r="D24" s="196"/>
      <c r="E24" s="250"/>
      <c r="F24" s="201">
        <f>'ADJ SUMMARY'!E21</f>
        <v>0</v>
      </c>
      <c r="G24" s="250">
        <f t="shared" si="1"/>
        <v>0</v>
      </c>
      <c r="H24" s="250"/>
      <c r="I24" s="250">
        <f t="shared" si="0"/>
        <v>0</v>
      </c>
    </row>
    <row r="25" spans="1:9">
      <c r="A25" s="194">
        <f>'ADJ SUMMARY'!A22</f>
        <v>2.0999999999999979</v>
      </c>
      <c r="B25" s="195" t="str">
        <f>'ADJ SUMMARY'!C22</f>
        <v>Weather Normalization / Gas Cost Adjust</v>
      </c>
      <c r="C25" s="196"/>
      <c r="D25" s="196"/>
      <c r="E25" s="250"/>
      <c r="F25" s="201">
        <f>'ADJ SUMMARY'!E22</f>
        <v>0</v>
      </c>
      <c r="G25" s="250">
        <f t="shared" si="1"/>
        <v>0</v>
      </c>
      <c r="H25" s="250"/>
      <c r="I25" s="250">
        <f t="shared" si="0"/>
        <v>0</v>
      </c>
    </row>
    <row r="26" spans="1:9">
      <c r="A26" s="194">
        <f>'ADJ SUMMARY'!A23</f>
        <v>2.1099999999999977</v>
      </c>
      <c r="B26" s="195" t="str">
        <f>'ADJ SUMMARY'!C23</f>
        <v>Eliminate Adder Schedules</v>
      </c>
      <c r="C26" s="196"/>
      <c r="D26" s="196"/>
      <c r="E26" s="250"/>
      <c r="F26" s="201">
        <f>'ADJ SUMMARY'!E23</f>
        <v>0</v>
      </c>
      <c r="G26" s="250">
        <f t="shared" si="1"/>
        <v>0</v>
      </c>
      <c r="H26" s="250"/>
      <c r="I26" s="250">
        <f t="shared" si="0"/>
        <v>0</v>
      </c>
    </row>
    <row r="27" spans="1:9">
      <c r="A27" s="194">
        <f>'ADJ SUMMARY'!A24</f>
        <v>2.1199999999999974</v>
      </c>
      <c r="B27" s="195" t="str">
        <f>'ADJ SUMMARY'!C24</f>
        <v>Misc. Restating Non-Util / Non- Recurring Expenses</v>
      </c>
      <c r="C27" s="196"/>
      <c r="D27" s="196"/>
      <c r="E27" s="250"/>
      <c r="F27" s="201">
        <f>'ADJ SUMMARY'!E24</f>
        <v>0</v>
      </c>
      <c r="G27" s="250">
        <f t="shared" si="1"/>
        <v>0</v>
      </c>
      <c r="H27" s="250"/>
      <c r="I27" s="250">
        <f t="shared" si="0"/>
        <v>0</v>
      </c>
    </row>
    <row r="28" spans="1:9">
      <c r="A28" s="194">
        <f>'ADJ SUMMARY'!A25</f>
        <v>2.1299999999999972</v>
      </c>
      <c r="B28" s="195" t="str">
        <f>'ADJ SUMMARY'!C25</f>
        <v>Project Compass Amortization</v>
      </c>
      <c r="C28" s="196"/>
      <c r="D28" s="196"/>
      <c r="E28" s="250"/>
      <c r="F28" s="201">
        <f>'ADJ SUMMARY'!E25</f>
        <v>0</v>
      </c>
      <c r="G28" s="250">
        <f t="shared" ref="G28:G30" si="4">SUM(E28:F28)</f>
        <v>0</v>
      </c>
      <c r="H28" s="250"/>
      <c r="I28" s="250">
        <f t="shared" si="0"/>
        <v>0</v>
      </c>
    </row>
    <row r="29" spans="1:9">
      <c r="A29" s="194">
        <f>'ADJ SUMMARY'!A26</f>
        <v>2.139999999999997</v>
      </c>
      <c r="B29" s="195" t="str">
        <f>'ADJ SUMMARY'!C26</f>
        <v>Restating Incentives</v>
      </c>
      <c r="C29" s="196"/>
      <c r="D29" s="196"/>
      <c r="E29" s="250"/>
      <c r="F29" s="201">
        <f>'ADJ SUMMARY'!E26</f>
        <v>0</v>
      </c>
      <c r="G29" s="250">
        <f t="shared" si="4"/>
        <v>0</v>
      </c>
      <c r="H29" s="250"/>
      <c r="I29" s="250">
        <f t="shared" si="0"/>
        <v>0</v>
      </c>
    </row>
    <row r="30" spans="1:9">
      <c r="A30" s="194">
        <f>'ADJ SUMMARY'!A27</f>
        <v>2.1499999999999968</v>
      </c>
      <c r="B30" s="195" t="str">
        <f>'ADJ SUMMARY'!C27</f>
        <v>Restate Debt Interest</v>
      </c>
      <c r="C30" s="196"/>
      <c r="D30" s="196"/>
      <c r="E30" s="250"/>
      <c r="F30" s="201">
        <f>'ADJ SUMMARY'!E27</f>
        <v>0</v>
      </c>
      <c r="G30" s="250">
        <f t="shared" si="4"/>
        <v>0</v>
      </c>
      <c r="H30" s="250"/>
      <c r="I30" s="250">
        <f t="shared" si="0"/>
        <v>0</v>
      </c>
    </row>
    <row r="31" spans="1:9" ht="5.25" customHeight="1">
      <c r="B31" s="202"/>
      <c r="C31" s="196"/>
      <c r="D31" s="196"/>
      <c r="E31" s="331"/>
      <c r="F31" s="332"/>
      <c r="G31" s="333"/>
      <c r="H31" s="331"/>
      <c r="I31" s="331"/>
    </row>
    <row r="32" spans="1:9">
      <c r="B32" s="202"/>
      <c r="C32" s="196"/>
      <c r="D32" s="196"/>
      <c r="E32" s="251">
        <f>SUM(E11:E27)</f>
        <v>314501</v>
      </c>
      <c r="F32" s="251">
        <f>SUM(F11:F27)</f>
        <v>-1327</v>
      </c>
      <c r="G32" s="251">
        <f>SUM(G11:G27)</f>
        <v>313174</v>
      </c>
      <c r="H32" s="251"/>
      <c r="I32" s="251"/>
    </row>
    <row r="33" spans="1:10">
      <c r="B33" s="202"/>
      <c r="C33" s="196"/>
      <c r="D33" s="196"/>
      <c r="E33" s="251"/>
      <c r="F33" s="252"/>
      <c r="G33" s="253"/>
      <c r="H33" s="250"/>
      <c r="I33" s="250"/>
    </row>
    <row r="34" spans="1:10">
      <c r="B34" s="202"/>
      <c r="C34" s="196"/>
      <c r="D34" s="196"/>
      <c r="E34" s="251"/>
      <c r="F34" s="252"/>
      <c r="G34" s="253"/>
      <c r="H34" s="250"/>
      <c r="I34" s="250"/>
    </row>
    <row r="35" spans="1:10" ht="5.25" customHeight="1">
      <c r="C35" s="196"/>
      <c r="D35" s="196"/>
      <c r="E35" s="251"/>
      <c r="F35" s="251"/>
      <c r="G35" s="251"/>
      <c r="H35" s="250"/>
      <c r="I35" s="250"/>
    </row>
    <row r="36" spans="1:10">
      <c r="B36" s="195" t="s">
        <v>111</v>
      </c>
      <c r="C36" s="196"/>
      <c r="D36" s="196"/>
      <c r="E36" s="260">
        <f>'RR SUMMARY'!N14</f>
        <v>2.8469999999999999E-2</v>
      </c>
      <c r="F36" s="260">
        <f>E36-I36</f>
        <v>2.8469999999999999E-2</v>
      </c>
      <c r="G36" s="260"/>
      <c r="H36" s="258"/>
      <c r="I36" s="260"/>
    </row>
    <row r="37" spans="1:10" ht="6" customHeight="1">
      <c r="C37" s="196"/>
      <c r="D37" s="196"/>
      <c r="E37" s="251"/>
      <c r="F37" s="251"/>
      <c r="G37" s="251"/>
      <c r="H37" s="250"/>
      <c r="I37" s="250"/>
    </row>
    <row r="38" spans="1:10">
      <c r="B38" s="195" t="s">
        <v>107</v>
      </c>
      <c r="C38" s="196"/>
      <c r="D38" s="196"/>
      <c r="E38" s="251">
        <f>E32*E36</f>
        <v>8953.8434699999998</v>
      </c>
      <c r="F38" s="251">
        <f>F32*F36</f>
        <v>-37.779689999999995</v>
      </c>
      <c r="G38" s="251">
        <f>SUM(E38:F38)</f>
        <v>8916.0637800000004</v>
      </c>
      <c r="H38" s="250"/>
      <c r="I38" s="251">
        <f>SUM(I11:I31)</f>
        <v>94.449999999999818</v>
      </c>
    </row>
    <row r="39" spans="1:10">
      <c r="C39" s="196"/>
      <c r="D39" s="196"/>
      <c r="E39" s="251"/>
      <c r="F39" s="251"/>
      <c r="G39" s="251"/>
      <c r="H39" s="250"/>
      <c r="I39" s="251"/>
    </row>
    <row r="40" spans="1:10">
      <c r="B40" s="195" t="s">
        <v>212</v>
      </c>
      <c r="C40" s="196"/>
      <c r="D40" s="196"/>
      <c r="E40" s="255">
        <v>9187</v>
      </c>
      <c r="F40" s="255"/>
      <c r="G40" s="254">
        <f>SUM(E40:F40)</f>
        <v>9187</v>
      </c>
      <c r="H40" s="250"/>
      <c r="I40" s="299"/>
    </row>
    <row r="41" spans="1:10" ht="5.25" customHeight="1">
      <c r="C41" s="196"/>
      <c r="D41" s="196"/>
      <c r="E41" s="251"/>
      <c r="F41" s="251"/>
      <c r="G41" s="251"/>
      <c r="H41" s="250"/>
      <c r="I41" s="300"/>
    </row>
    <row r="42" spans="1:10">
      <c r="B42" s="195" t="s">
        <v>108</v>
      </c>
      <c r="C42" s="196"/>
      <c r="D42" s="196"/>
      <c r="E42" s="251">
        <f>E38-E40</f>
        <v>-233.1565300000002</v>
      </c>
      <c r="F42" s="251">
        <f>F38-F40</f>
        <v>-37.779689999999995</v>
      </c>
      <c r="G42" s="251">
        <f>SUM(E42:F42)</f>
        <v>-270.93622000000022</v>
      </c>
      <c r="H42" s="250"/>
      <c r="I42" s="300"/>
    </row>
    <row r="43" spans="1:10" ht="18" customHeight="1">
      <c r="B43" s="195" t="s">
        <v>109</v>
      </c>
      <c r="D43" s="196"/>
      <c r="E43" s="257">
        <v>0.35</v>
      </c>
      <c r="F43" s="257">
        <v>0.35</v>
      </c>
      <c r="G43" s="257"/>
      <c r="H43" s="258"/>
      <c r="I43" s="257"/>
    </row>
    <row r="44" spans="1:10" ht="5.25" customHeight="1" thickBot="1">
      <c r="D44" s="196"/>
      <c r="E44" s="251"/>
      <c r="F44" s="251"/>
      <c r="G44" s="251"/>
      <c r="H44" s="250"/>
      <c r="I44" s="251"/>
    </row>
    <row r="45" spans="1:10" ht="13.8" thickBot="1">
      <c r="B45" s="195" t="s">
        <v>110</v>
      </c>
      <c r="D45" s="196"/>
      <c r="E45" s="306">
        <f>ROUND(E42*-E43,0)</f>
        <v>82</v>
      </c>
      <c r="F45" s="256">
        <f>ROUND(F42*-F43,0)</f>
        <v>13</v>
      </c>
      <c r="G45" s="256">
        <f>SUM(E45:F45)</f>
        <v>95</v>
      </c>
      <c r="H45" s="250"/>
      <c r="I45" s="256">
        <f>I38</f>
        <v>94.449999999999818</v>
      </c>
      <c r="J45" s="301" t="s">
        <v>420</v>
      </c>
    </row>
    <row r="46" spans="1:10">
      <c r="F46" s="204"/>
      <c r="J46" s="188">
        <f>'ADJ DETAIL INPUT'!X54+'ADJ DETAIL INPUT'!Y55-I45</f>
        <v>0.77289150000018481</v>
      </c>
    </row>
    <row r="47" spans="1:10" hidden="1">
      <c r="A47" s="205" t="s">
        <v>187</v>
      </c>
      <c r="B47" s="206" t="s">
        <v>188</v>
      </c>
    </row>
    <row r="48" spans="1:10" hidden="1">
      <c r="B48" s="198" t="s">
        <v>189</v>
      </c>
    </row>
    <row r="49" spans="2:8" hidden="1">
      <c r="B49" s="195" t="s">
        <v>190</v>
      </c>
      <c r="C49" s="207">
        <v>2430</v>
      </c>
      <c r="H49" s="188" t="s">
        <v>191</v>
      </c>
    </row>
    <row r="50" spans="2:8" hidden="1">
      <c r="B50" s="195" t="s">
        <v>192</v>
      </c>
      <c r="C50" s="208">
        <v>2935</v>
      </c>
      <c r="H50" s="188" t="s">
        <v>191</v>
      </c>
    </row>
    <row r="51" spans="2:8" hidden="1">
      <c r="B51" s="195" t="s">
        <v>193</v>
      </c>
      <c r="C51" s="209">
        <f>C49+C50</f>
        <v>5365</v>
      </c>
    </row>
    <row r="52" spans="2:8" hidden="1">
      <c r="C52" s="203"/>
    </row>
    <row r="53" spans="2:8" hidden="1">
      <c r="C53" s="210"/>
      <c r="D53" s="193"/>
      <c r="E53" s="193" t="s">
        <v>194</v>
      </c>
    </row>
    <row r="54" spans="2:8" hidden="1">
      <c r="C54" s="200" t="s">
        <v>195</v>
      </c>
      <c r="D54" s="200" t="s">
        <v>196</v>
      </c>
      <c r="E54" s="200" t="s">
        <v>24</v>
      </c>
    </row>
    <row r="55" spans="2:8" hidden="1">
      <c r="B55" s="195" t="s">
        <v>197</v>
      </c>
      <c r="C55" s="211" t="e">
        <f>#REF!</f>
        <v>#REF!</v>
      </c>
      <c r="D55" s="212" t="e">
        <f>ROUND(C55/$C$58,4)</f>
        <v>#REF!</v>
      </c>
      <c r="E55" s="211" t="e">
        <f>D55*E58</f>
        <v>#REF!</v>
      </c>
      <c r="F55" s="213"/>
    </row>
    <row r="56" spans="2:8" hidden="1">
      <c r="B56" s="195" t="s">
        <v>198</v>
      </c>
      <c r="C56" s="214" t="e">
        <f>#REF!</f>
        <v>#REF!</v>
      </c>
      <c r="D56" s="212" t="e">
        <f>ROUND(C56/$C$58,4)</f>
        <v>#REF!</v>
      </c>
      <c r="E56" s="214" t="e">
        <f>D56*E58</f>
        <v>#REF!</v>
      </c>
    </row>
    <row r="57" spans="2:8" hidden="1">
      <c r="B57" s="195" t="s">
        <v>199</v>
      </c>
      <c r="C57" s="214" t="e">
        <f>#REF!</f>
        <v>#REF!</v>
      </c>
      <c r="D57" s="212" t="e">
        <f>ROUND(C57/$C$58,4)-0.0001</f>
        <v>#REF!</v>
      </c>
      <c r="E57" s="214" t="e">
        <f>E58*D57</f>
        <v>#REF!</v>
      </c>
    </row>
    <row r="58" spans="2:8" hidden="1">
      <c r="B58" s="195" t="s">
        <v>200</v>
      </c>
      <c r="C58" s="215" t="e">
        <f>C55+C56+C57</f>
        <v>#REF!</v>
      </c>
      <c r="D58" s="216" t="e">
        <f>D55+D56+D57</f>
        <v>#REF!</v>
      </c>
      <c r="E58" s="215">
        <f>C51</f>
        <v>5365</v>
      </c>
    </row>
    <row r="59" spans="2:8" hidden="1">
      <c r="C59" s="217"/>
      <c r="D59" s="217"/>
      <c r="E59" s="217"/>
    </row>
    <row r="60" spans="2:8" hidden="1">
      <c r="B60" s="195" t="s">
        <v>201</v>
      </c>
      <c r="C60" s="211" t="e">
        <f>#REF!</f>
        <v>#REF!</v>
      </c>
      <c r="D60" s="212" t="e">
        <f>C60/C62</f>
        <v>#REF!</v>
      </c>
      <c r="E60" s="211" t="e">
        <f>D60*E62</f>
        <v>#REF!</v>
      </c>
    </row>
    <row r="61" spans="2:8" hidden="1">
      <c r="B61" s="195" t="s">
        <v>202</v>
      </c>
      <c r="C61" s="217" t="e">
        <f>#REF!</f>
        <v>#REF!</v>
      </c>
      <c r="D61" s="212" t="e">
        <f>C61/C62</f>
        <v>#REF!</v>
      </c>
      <c r="E61" s="217" t="e">
        <f>D61*E62</f>
        <v>#REF!</v>
      </c>
    </row>
    <row r="62" spans="2:8" hidden="1">
      <c r="B62" s="195" t="s">
        <v>200</v>
      </c>
      <c r="C62" s="215" t="e">
        <f>C60+C61</f>
        <v>#REF!</v>
      </c>
      <c r="D62" s="216" t="e">
        <f>D60+D61</f>
        <v>#REF!</v>
      </c>
      <c r="E62" s="215" t="e">
        <f>E55</f>
        <v>#REF!</v>
      </c>
    </row>
    <row r="63" spans="2:8" hidden="1">
      <c r="C63" s="217"/>
      <c r="D63" s="217"/>
      <c r="E63" s="217"/>
    </row>
    <row r="64" spans="2:8" hidden="1">
      <c r="B64" s="195" t="s">
        <v>203</v>
      </c>
      <c r="C64" s="211" t="e">
        <f>#REF!</f>
        <v>#REF!</v>
      </c>
      <c r="D64" s="218" t="e">
        <f>C64/C66</f>
        <v>#REF!</v>
      </c>
      <c r="E64" s="211" t="e">
        <f>E66*D64</f>
        <v>#REF!</v>
      </c>
    </row>
    <row r="65" spans="1:6" hidden="1">
      <c r="B65" s="195" t="s">
        <v>204</v>
      </c>
      <c r="C65" s="217" t="e">
        <f>#REF!</f>
        <v>#REF!</v>
      </c>
      <c r="D65" s="219" t="e">
        <f>C65/C66</f>
        <v>#REF!</v>
      </c>
      <c r="E65" s="217" t="e">
        <f>E66*D65</f>
        <v>#REF!</v>
      </c>
    </row>
    <row r="66" spans="1:6" hidden="1">
      <c r="B66" s="195" t="s">
        <v>200</v>
      </c>
      <c r="C66" s="215" t="e">
        <f>SUM(C64:C65)</f>
        <v>#REF!</v>
      </c>
      <c r="D66" s="220" t="e">
        <f>SUM(D64:D65)</f>
        <v>#REF!</v>
      </c>
      <c r="E66" s="215" t="e">
        <f>E56</f>
        <v>#REF!</v>
      </c>
    </row>
    <row r="67" spans="1:6" hidden="1">
      <c r="A67" s="221" t="str">
        <f>A1</f>
        <v>AVISTA UTILITIES</v>
      </c>
      <c r="C67" s="222"/>
      <c r="D67" s="223"/>
      <c r="E67" s="222"/>
      <c r="F67" s="223"/>
    </row>
    <row r="68" spans="1:6" hidden="1">
      <c r="A68" s="221" t="str">
        <f>A2</f>
        <v>Restate Debt Interest</v>
      </c>
      <c r="C68" s="222"/>
      <c r="D68" s="223"/>
      <c r="E68" s="222"/>
      <c r="F68" s="223"/>
    </row>
    <row r="69" spans="1:6" hidden="1">
      <c r="A69" s="221" t="s">
        <v>205</v>
      </c>
      <c r="C69" s="222"/>
      <c r="D69" s="223"/>
      <c r="E69" s="222"/>
      <c r="F69" s="223"/>
    </row>
    <row r="70" spans="1:6" hidden="1">
      <c r="A70" s="224" t="str">
        <f>A4</f>
        <v>TWELVE MONTHS ENDED DECEMBER 31, 2017</v>
      </c>
      <c r="C70" s="191"/>
      <c r="D70" s="223"/>
      <c r="E70" s="191"/>
      <c r="F70" s="223"/>
    </row>
    <row r="71" spans="1:6" hidden="1">
      <c r="A71" s="225" t="s">
        <v>104</v>
      </c>
      <c r="C71" s="222"/>
      <c r="D71" s="223"/>
      <c r="E71" s="223"/>
      <c r="F71" s="223"/>
    </row>
    <row r="72" spans="1:6" hidden="1">
      <c r="C72" s="196"/>
      <c r="D72" s="196"/>
      <c r="E72" s="197"/>
      <c r="F72" s="193" t="s">
        <v>19</v>
      </c>
    </row>
    <row r="73" spans="1:6" hidden="1">
      <c r="B73" s="198" t="s">
        <v>105</v>
      </c>
      <c r="C73" s="196"/>
      <c r="D73" s="196"/>
      <c r="E73" s="197"/>
      <c r="F73" s="200" t="s">
        <v>106</v>
      </c>
    </row>
    <row r="74" spans="1:6" hidden="1">
      <c r="A74" s="194" t="e">
        <v>#REF!</v>
      </c>
      <c r="B74" s="195" t="e">
        <v>#REF!</v>
      </c>
      <c r="C74" s="196"/>
      <c r="D74" s="196"/>
      <c r="E74" s="203"/>
      <c r="F74" s="226" t="e">
        <v>#REF!</v>
      </c>
    </row>
    <row r="75" spans="1:6" hidden="1">
      <c r="A75" s="194" t="e">
        <v>#REF!</v>
      </c>
      <c r="B75" s="195" t="e">
        <v>#REF!</v>
      </c>
      <c r="C75" s="196"/>
      <c r="D75" s="196"/>
      <c r="E75" s="203"/>
      <c r="F75" s="226" t="e">
        <v>#REF!</v>
      </c>
    </row>
    <row r="76" spans="1:6" hidden="1">
      <c r="A76" s="194" t="e">
        <v>#REF!</v>
      </c>
      <c r="B76" s="195" t="e">
        <v>#REF!</v>
      </c>
      <c r="C76" s="196"/>
      <c r="D76" s="196"/>
      <c r="E76" s="203"/>
      <c r="F76" s="226" t="e">
        <v>#REF!</v>
      </c>
    </row>
    <row r="77" spans="1:6" hidden="1">
      <c r="A77" s="194" t="e">
        <v>#REF!</v>
      </c>
      <c r="B77" s="195" t="e">
        <v>#REF!</v>
      </c>
      <c r="C77" s="196"/>
      <c r="D77" s="196"/>
      <c r="E77" s="203"/>
      <c r="F77" s="226" t="e">
        <v>#REF!</v>
      </c>
    </row>
    <row r="78" spans="1:6" hidden="1">
      <c r="A78" s="194" t="e">
        <v>#REF!</v>
      </c>
      <c r="B78" s="195" t="e">
        <v>#REF!</v>
      </c>
      <c r="C78" s="196"/>
      <c r="D78" s="196"/>
      <c r="E78" s="203"/>
      <c r="F78" s="226" t="e">
        <v>#REF!</v>
      </c>
    </row>
    <row r="79" spans="1:6" hidden="1">
      <c r="A79" s="194" t="e">
        <v>#REF!</v>
      </c>
      <c r="B79" s="195" t="e">
        <v>#REF!</v>
      </c>
      <c r="C79" s="196"/>
      <c r="D79" s="196"/>
      <c r="E79" s="203"/>
      <c r="F79" s="226" t="e">
        <v>#REF!</v>
      </c>
    </row>
    <row r="80" spans="1:6" hidden="1">
      <c r="A80" s="194" t="e">
        <v>#REF!</v>
      </c>
      <c r="B80" s="195" t="e">
        <v>#REF!</v>
      </c>
      <c r="C80" s="196"/>
      <c r="D80" s="196"/>
      <c r="E80" s="203"/>
      <c r="F80" s="226" t="e">
        <v>#REF!</v>
      </c>
    </row>
    <row r="81" spans="1:6" hidden="1">
      <c r="A81" s="194" t="e">
        <v>#REF!</v>
      </c>
      <c r="B81" s="195" t="e">
        <v>#REF!</v>
      </c>
      <c r="C81" s="196"/>
      <c r="D81" s="196"/>
      <c r="E81" s="203"/>
      <c r="F81" s="226" t="e">
        <v>#REF!</v>
      </c>
    </row>
    <row r="82" spans="1:6" hidden="1">
      <c r="A82" s="194" t="e">
        <v>#REF!</v>
      </c>
      <c r="B82" s="195" t="e">
        <v>#REF!</v>
      </c>
      <c r="C82" s="196"/>
      <c r="D82" s="196"/>
      <c r="E82" s="203"/>
      <c r="F82" s="226" t="e">
        <v>#REF!</v>
      </c>
    </row>
    <row r="83" spans="1:6" hidden="1">
      <c r="A83" s="194" t="e">
        <v>#REF!</v>
      </c>
      <c r="B83" s="195" t="e">
        <v>#REF!</v>
      </c>
      <c r="C83" s="196"/>
      <c r="D83" s="196"/>
      <c r="E83" s="203"/>
      <c r="F83" s="226" t="e">
        <v>#REF!</v>
      </c>
    </row>
    <row r="84" spans="1:6" hidden="1">
      <c r="A84" s="194" t="e">
        <v>#REF!</v>
      </c>
      <c r="B84" s="195" t="e">
        <v>#REF!</v>
      </c>
      <c r="C84" s="196"/>
      <c r="D84" s="196"/>
      <c r="E84" s="203"/>
      <c r="F84" s="226" t="e">
        <v>#REF!</v>
      </c>
    </row>
    <row r="85" spans="1:6" hidden="1">
      <c r="A85" s="194" t="e">
        <v>#REF!</v>
      </c>
      <c r="B85" s="195" t="e">
        <v>#REF!</v>
      </c>
      <c r="C85" s="196"/>
      <c r="D85" s="196"/>
      <c r="E85" s="203"/>
      <c r="F85" s="226" t="e">
        <v>#REF!</v>
      </c>
    </row>
    <row r="86" spans="1:6" hidden="1">
      <c r="A86" s="194" t="e">
        <v>#REF!</v>
      </c>
      <c r="B86" s="195" t="e">
        <v>#REF!</v>
      </c>
      <c r="C86" s="196"/>
      <c r="D86" s="196"/>
      <c r="E86" s="203"/>
      <c r="F86" s="226" t="e">
        <v>#REF!</v>
      </c>
    </row>
    <row r="87" spans="1:6" hidden="1">
      <c r="A87" s="194" t="e">
        <v>#REF!</v>
      </c>
      <c r="B87" s="195" t="e">
        <v>#REF!</v>
      </c>
      <c r="C87" s="196"/>
      <c r="D87" s="196"/>
      <c r="E87" s="203"/>
      <c r="F87" s="226" t="e">
        <v>#REF!</v>
      </c>
    </row>
    <row r="88" spans="1:6" hidden="1">
      <c r="A88" s="194" t="e">
        <v>#REF!</v>
      </c>
      <c r="B88" s="195" t="e">
        <v>#REF!</v>
      </c>
      <c r="C88" s="196"/>
      <c r="D88" s="196"/>
      <c r="E88" s="203"/>
      <c r="F88" s="226" t="e">
        <v>#REF!</v>
      </c>
    </row>
    <row r="89" spans="1:6" hidden="1">
      <c r="A89" s="194" t="e">
        <v>#REF!</v>
      </c>
      <c r="B89" s="195" t="e">
        <v>#REF!</v>
      </c>
      <c r="C89" s="196"/>
      <c r="D89" s="196"/>
      <c r="E89" s="203"/>
      <c r="F89" s="226" t="e">
        <v>#REF!</v>
      </c>
    </row>
    <row r="90" spans="1:6" hidden="1">
      <c r="A90" s="194" t="e">
        <v>#REF!</v>
      </c>
      <c r="B90" s="195" t="e">
        <v>#REF!</v>
      </c>
      <c r="C90" s="196"/>
      <c r="D90" s="196"/>
      <c r="E90" s="203"/>
      <c r="F90" s="226" t="e">
        <v>#REF!</v>
      </c>
    </row>
    <row r="91" spans="1:6" hidden="1">
      <c r="A91" s="194" t="e">
        <v>#REF!</v>
      </c>
      <c r="B91" s="195" t="e">
        <v>#REF!</v>
      </c>
      <c r="C91" s="196"/>
      <c r="D91" s="196"/>
      <c r="E91" s="203"/>
      <c r="F91" s="226" t="e">
        <v>#REF!</v>
      </c>
    </row>
    <row r="92" spans="1:6" hidden="1">
      <c r="A92" s="194" t="e">
        <v>#REF!</v>
      </c>
      <c r="B92" s="195" t="e">
        <v>#REF!</v>
      </c>
      <c r="C92" s="196"/>
      <c r="D92" s="196"/>
      <c r="E92" s="203"/>
      <c r="F92" s="226" t="e">
        <v>#REF!</v>
      </c>
    </row>
    <row r="93" spans="1:6" hidden="1">
      <c r="A93" s="194" t="e">
        <v>#REF!</v>
      </c>
      <c r="B93" s="195" t="e">
        <v>#REF!</v>
      </c>
      <c r="C93" s="196"/>
      <c r="D93" s="196"/>
      <c r="E93" s="203"/>
      <c r="F93" s="226" t="e">
        <v>#REF!</v>
      </c>
    </row>
    <row r="94" spans="1:6" hidden="1">
      <c r="A94" s="194" t="e">
        <v>#REF!</v>
      </c>
      <c r="B94" s="195" t="e">
        <v>#REF!</v>
      </c>
      <c r="C94" s="196"/>
      <c r="D94" s="196"/>
      <c r="E94" s="203"/>
      <c r="F94" s="226" t="e">
        <v>#REF!</v>
      </c>
    </row>
    <row r="95" spans="1:6" ht="5.25" hidden="1" customHeight="1">
      <c r="C95" s="196"/>
      <c r="D95" s="196"/>
      <c r="E95" s="203"/>
      <c r="F95" s="226"/>
    </row>
    <row r="96" spans="1:6" ht="13.5" hidden="1" customHeight="1">
      <c r="A96" s="194" t="e">
        <v>#REF!</v>
      </c>
      <c r="B96" s="195" t="e">
        <v>#REF!</v>
      </c>
      <c r="C96" s="196"/>
      <c r="D96" s="196"/>
      <c r="E96" s="203"/>
      <c r="F96" s="226" t="e">
        <v>#REF!</v>
      </c>
    </row>
    <row r="97" spans="1:6" hidden="1">
      <c r="A97" s="194" t="e">
        <v>#REF!</v>
      </c>
      <c r="B97" s="195" t="e">
        <v>#REF!</v>
      </c>
      <c r="C97" s="196"/>
      <c r="D97" s="196"/>
      <c r="E97" s="203"/>
      <c r="F97" s="226" t="e">
        <v>#REF!</v>
      </c>
    </row>
    <row r="98" spans="1:6" hidden="1">
      <c r="A98" s="194" t="e">
        <v>#REF!</v>
      </c>
      <c r="B98" s="195" t="e">
        <v>#REF!</v>
      </c>
      <c r="C98" s="196"/>
      <c r="D98" s="196"/>
      <c r="E98" s="203"/>
      <c r="F98" s="226" t="e">
        <v>#REF!</v>
      </c>
    </row>
    <row r="99" spans="1:6" hidden="1">
      <c r="A99" s="194" t="e">
        <v>#REF!</v>
      </c>
      <c r="B99" s="195" t="e">
        <v>#REF!</v>
      </c>
      <c r="C99" s="196"/>
      <c r="D99" s="196"/>
      <c r="E99" s="203"/>
      <c r="F99" s="226" t="e">
        <v>#REF!</v>
      </c>
    </row>
    <row r="100" spans="1:6" hidden="1">
      <c r="A100" s="194" t="e">
        <v>#REF!</v>
      </c>
      <c r="B100" s="195" t="e">
        <v>#REF!</v>
      </c>
      <c r="C100" s="196"/>
      <c r="D100" s="196"/>
      <c r="E100" s="203"/>
      <c r="F100" s="226" t="e">
        <v>#REF!</v>
      </c>
    </row>
    <row r="101" spans="1:6" hidden="1">
      <c r="A101" s="194" t="e">
        <v>#REF!</v>
      </c>
      <c r="B101" s="195" t="e">
        <v>#REF!</v>
      </c>
      <c r="C101" s="196"/>
      <c r="D101" s="196"/>
      <c r="E101" s="203"/>
      <c r="F101" s="226" t="e">
        <v>#REF!</v>
      </c>
    </row>
    <row r="102" spans="1:6" hidden="1">
      <c r="A102" s="194" t="e">
        <v>#REF!</v>
      </c>
      <c r="B102" s="195" t="e">
        <v>#REF!</v>
      </c>
      <c r="C102" s="196"/>
      <c r="D102" s="196"/>
      <c r="E102" s="203"/>
      <c r="F102" s="226" t="e">
        <v>#REF!</v>
      </c>
    </row>
    <row r="103" spans="1:6" hidden="1">
      <c r="A103" s="194" t="e">
        <v>#REF!</v>
      </c>
      <c r="B103" s="195" t="e">
        <v>#REF!</v>
      </c>
      <c r="C103" s="196"/>
      <c r="D103" s="196"/>
      <c r="E103" s="203"/>
      <c r="F103" s="226" t="e">
        <v>#REF!</v>
      </c>
    </row>
    <row r="104" spans="1:6" hidden="1">
      <c r="A104" s="194" t="e">
        <v>#REF!</v>
      </c>
      <c r="B104" s="195" t="e">
        <v>#REF!</v>
      </c>
      <c r="C104" s="196"/>
      <c r="D104" s="196"/>
      <c r="E104" s="203"/>
      <c r="F104" s="226" t="e">
        <v>#REF!</v>
      </c>
    </row>
    <row r="105" spans="1:6" hidden="1">
      <c r="A105" s="194" t="e">
        <v>#REF!</v>
      </c>
      <c r="B105" s="195" t="e">
        <v>#REF!</v>
      </c>
      <c r="C105" s="196"/>
      <c r="D105" s="196"/>
      <c r="E105" s="203"/>
      <c r="F105" s="226" t="e">
        <v>#REF!</v>
      </c>
    </row>
    <row r="106" spans="1:6" hidden="1">
      <c r="A106" s="194" t="e">
        <v>#REF!</v>
      </c>
      <c r="B106" s="195" t="e">
        <v>#REF!</v>
      </c>
      <c r="C106" s="196"/>
      <c r="D106" s="196"/>
      <c r="E106" s="203"/>
      <c r="F106" s="226" t="e">
        <v>#REF!</v>
      </c>
    </row>
    <row r="107" spans="1:6" hidden="1">
      <c r="A107" s="194" t="e">
        <v>#REF!</v>
      </c>
      <c r="B107" s="195" t="e">
        <v>#REF!</v>
      </c>
      <c r="C107" s="196"/>
      <c r="D107" s="196"/>
      <c r="E107" s="203"/>
      <c r="F107" s="226" t="e">
        <v>#REF!</v>
      </c>
    </row>
    <row r="108" spans="1:6" hidden="1">
      <c r="A108" s="194" t="e">
        <v>#REF!</v>
      </c>
      <c r="B108" s="195" t="e">
        <v>#REF!</v>
      </c>
      <c r="C108" s="196"/>
      <c r="D108" s="196"/>
      <c r="E108" s="203"/>
      <c r="F108" s="226" t="e">
        <v>#REF!</v>
      </c>
    </row>
    <row r="109" spans="1:6" hidden="1">
      <c r="A109" s="194" t="e">
        <v>#REF!</v>
      </c>
      <c r="B109" s="195" t="e">
        <v>#REF!</v>
      </c>
      <c r="C109" s="196"/>
      <c r="D109" s="196"/>
      <c r="E109" s="203"/>
      <c r="F109" s="226" t="e">
        <v>#REF!</v>
      </c>
    </row>
    <row r="110" spans="1:6" ht="13.5" hidden="1" customHeight="1">
      <c r="A110" s="194" t="e">
        <v>#REF!</v>
      </c>
      <c r="B110" s="195" t="e">
        <v>#REF!</v>
      </c>
      <c r="C110" s="196"/>
      <c r="D110" s="196"/>
      <c r="E110" s="203"/>
      <c r="F110" s="226" t="e">
        <v>#REF!</v>
      </c>
    </row>
    <row r="111" spans="1:6" ht="0.75" hidden="1" customHeight="1">
      <c r="A111" s="194" t="e">
        <v>#REF!</v>
      </c>
      <c r="B111" s="195" t="e">
        <v>#REF!</v>
      </c>
      <c r="C111" s="196"/>
      <c r="D111" s="196"/>
      <c r="E111" s="203"/>
      <c r="F111" s="226" t="e">
        <v>#REF!</v>
      </c>
    </row>
    <row r="112" spans="1:6" ht="13.5" hidden="1" customHeight="1">
      <c r="B112" s="195" t="s">
        <v>206</v>
      </c>
      <c r="C112" s="196"/>
      <c r="D112" s="196"/>
      <c r="E112" s="203"/>
      <c r="F112" s="209" t="e">
        <f>SUM(F74:F111)</f>
        <v>#REF!</v>
      </c>
    </row>
    <row r="113" spans="1:9" hidden="1">
      <c r="C113" s="196"/>
      <c r="D113" s="196"/>
      <c r="E113" s="196"/>
      <c r="F113" s="188"/>
      <c r="G113" s="227"/>
    </row>
    <row r="114" spans="1:9" hidden="1">
      <c r="B114" s="195" t="str">
        <f>B36</f>
        <v>Weighted Average Cost of Debt</v>
      </c>
      <c r="C114" s="228"/>
      <c r="D114" s="228"/>
      <c r="E114" s="229"/>
      <c r="F114" s="230" t="e">
        <v>#REF!</v>
      </c>
      <c r="H114" s="231" t="s">
        <v>207</v>
      </c>
      <c r="I114" s="217"/>
    </row>
    <row r="115" spans="1:9" hidden="1">
      <c r="C115" s="196"/>
      <c r="D115" s="196"/>
      <c r="F115" s="188"/>
    </row>
    <row r="116" spans="1:9" hidden="1">
      <c r="B116" s="195" t="s">
        <v>107</v>
      </c>
      <c r="C116" s="196"/>
      <c r="D116" s="196"/>
      <c r="E116" s="203"/>
      <c r="F116" s="203" t="e">
        <f>F112*F114</f>
        <v>#REF!</v>
      </c>
    </row>
    <row r="117" spans="1:9" hidden="1">
      <c r="C117" s="196"/>
      <c r="D117" s="196"/>
      <c r="E117" s="196"/>
      <c r="F117" s="188"/>
    </row>
    <row r="118" spans="1:9" hidden="1">
      <c r="B118" s="195" t="s">
        <v>208</v>
      </c>
      <c r="C118" s="196"/>
      <c r="D118" s="196"/>
      <c r="F118" s="232">
        <v>21469</v>
      </c>
      <c r="H118" s="233" t="s">
        <v>209</v>
      </c>
    </row>
    <row r="119" spans="1:9" hidden="1">
      <c r="C119" s="196"/>
      <c r="D119" s="196"/>
      <c r="E119" s="196"/>
      <c r="F119" s="188"/>
    </row>
    <row r="120" spans="1:9" hidden="1">
      <c r="B120" s="195" t="s">
        <v>108</v>
      </c>
      <c r="C120" s="196"/>
      <c r="D120" s="196"/>
      <c r="E120" s="203"/>
      <c r="F120" s="203" t="e">
        <f>F116-F118</f>
        <v>#REF!</v>
      </c>
    </row>
    <row r="121" spans="1:9" hidden="1">
      <c r="B121" s="195" t="s">
        <v>109</v>
      </c>
      <c r="D121" s="196"/>
      <c r="E121" s="234"/>
      <c r="F121" s="235">
        <v>0.35</v>
      </c>
    </row>
    <row r="122" spans="1:9" hidden="1">
      <c r="D122" s="196"/>
      <c r="E122" s="196"/>
      <c r="F122" s="188"/>
    </row>
    <row r="123" spans="1:9" hidden="1">
      <c r="B123" s="195" t="s">
        <v>110</v>
      </c>
      <c r="D123" s="196"/>
      <c r="E123" s="203"/>
      <c r="F123" s="203" t="e">
        <f>F120*-F121</f>
        <v>#REF!</v>
      </c>
      <c r="G123" s="203"/>
    </row>
    <row r="124" spans="1:9" ht="13.8" hidden="1" thickTop="1">
      <c r="D124" s="196"/>
      <c r="E124" s="203"/>
      <c r="F124" s="236"/>
    </row>
    <row r="125" spans="1:9" hidden="1">
      <c r="A125" s="237"/>
      <c r="F125" s="188"/>
    </row>
    <row r="126" spans="1:9" hidden="1">
      <c r="A126" s="237"/>
      <c r="B126" s="198" t="s">
        <v>189</v>
      </c>
      <c r="F126" s="188"/>
    </row>
    <row r="127" spans="1:9" hidden="1">
      <c r="A127" s="237"/>
      <c r="B127" s="195" t="s">
        <v>190</v>
      </c>
      <c r="C127" s="203">
        <f>C49</f>
        <v>2430</v>
      </c>
      <c r="F127" s="188"/>
    </row>
    <row r="128" spans="1:9" hidden="1">
      <c r="A128" s="237"/>
      <c r="B128" s="195" t="s">
        <v>192</v>
      </c>
      <c r="C128" s="188">
        <f>C50</f>
        <v>2935</v>
      </c>
      <c r="F128" s="188"/>
    </row>
    <row r="129" spans="1:6" hidden="1">
      <c r="A129" s="237"/>
      <c r="B129" s="195" t="s">
        <v>193</v>
      </c>
      <c r="C129" s="209">
        <f>C127+C128</f>
        <v>5365</v>
      </c>
      <c r="F129" s="188"/>
    </row>
    <row r="130" spans="1:6" hidden="1">
      <c r="A130" s="237"/>
      <c r="C130" s="203"/>
      <c r="F130" s="188"/>
    </row>
    <row r="131" spans="1:6" hidden="1">
      <c r="A131" s="237"/>
      <c r="C131" s="210"/>
      <c r="D131" s="193"/>
      <c r="E131" s="193" t="s">
        <v>194</v>
      </c>
      <c r="F131" s="188"/>
    </row>
    <row r="132" spans="1:6" hidden="1">
      <c r="A132" s="237"/>
      <c r="C132" s="200" t="s">
        <v>195</v>
      </c>
      <c r="D132" s="200" t="s">
        <v>196</v>
      </c>
      <c r="E132" s="200" t="s">
        <v>24</v>
      </c>
      <c r="F132" s="188"/>
    </row>
    <row r="133" spans="1:6" hidden="1">
      <c r="A133" s="237"/>
      <c r="B133" s="195" t="s">
        <v>197</v>
      </c>
      <c r="C133" s="203" t="e">
        <f>$C$55</f>
        <v>#REF!</v>
      </c>
      <c r="D133" s="238" t="e">
        <f>C133/C136</f>
        <v>#REF!</v>
      </c>
      <c r="E133" s="203" t="e">
        <f>D133*E136</f>
        <v>#REF!</v>
      </c>
      <c r="F133" s="188"/>
    </row>
    <row r="134" spans="1:6" hidden="1">
      <c r="A134" s="237"/>
      <c r="B134" s="195" t="s">
        <v>198</v>
      </c>
      <c r="C134" s="188" t="e">
        <f>$C$56</f>
        <v>#REF!</v>
      </c>
      <c r="D134" s="239" t="e">
        <f>C134/C136</f>
        <v>#REF!</v>
      </c>
      <c r="E134" s="240" t="e">
        <f>D134*E136</f>
        <v>#REF!</v>
      </c>
      <c r="F134" s="188"/>
    </row>
    <row r="135" spans="1:6" hidden="1">
      <c r="A135" s="237"/>
      <c r="B135" s="195" t="s">
        <v>199</v>
      </c>
      <c r="C135" s="188" t="e">
        <f>$C$57</f>
        <v>#REF!</v>
      </c>
      <c r="D135" s="239" t="e">
        <f>C135/C136</f>
        <v>#REF!</v>
      </c>
      <c r="E135" s="240" t="e">
        <f>E136*D135</f>
        <v>#REF!</v>
      </c>
      <c r="F135" s="188"/>
    </row>
    <row r="136" spans="1:6" hidden="1">
      <c r="A136" s="237"/>
      <c r="B136" s="195" t="s">
        <v>200</v>
      </c>
      <c r="C136" s="209" t="e">
        <f>C133+C134+C135</f>
        <v>#REF!</v>
      </c>
      <c r="D136" s="241" t="e">
        <f>D133+D134+D135</f>
        <v>#REF!</v>
      </c>
      <c r="E136" s="209">
        <f>C129</f>
        <v>5365</v>
      </c>
      <c r="F136" s="188"/>
    </row>
    <row r="137" spans="1:6" hidden="1">
      <c r="A137" s="237"/>
      <c r="F137" s="188"/>
    </row>
    <row r="138" spans="1:6" hidden="1">
      <c r="A138" s="237"/>
      <c r="B138" s="195" t="s">
        <v>201</v>
      </c>
      <c r="C138" s="203" t="e">
        <f>$C$60</f>
        <v>#REF!</v>
      </c>
      <c r="D138" s="238" t="e">
        <f>C138/C140</f>
        <v>#REF!</v>
      </c>
      <c r="E138" s="203" t="e">
        <f>D138*E140</f>
        <v>#REF!</v>
      </c>
      <c r="F138" s="188"/>
    </row>
    <row r="139" spans="1:6" hidden="1">
      <c r="A139" s="237"/>
      <c r="B139" s="195" t="s">
        <v>202</v>
      </c>
      <c r="C139" s="188" t="e">
        <f>$C$61</f>
        <v>#REF!</v>
      </c>
      <c r="D139" s="238" t="e">
        <f>C139/C140</f>
        <v>#REF!</v>
      </c>
      <c r="E139" s="188" t="e">
        <f>D139*E140</f>
        <v>#REF!</v>
      </c>
      <c r="F139" s="188"/>
    </row>
    <row r="140" spans="1:6" hidden="1">
      <c r="A140" s="237"/>
      <c r="B140" s="195" t="s">
        <v>200</v>
      </c>
      <c r="C140" s="209" t="e">
        <f>C138+C139</f>
        <v>#REF!</v>
      </c>
      <c r="D140" s="241" t="e">
        <f>D138+D139</f>
        <v>#REF!</v>
      </c>
      <c r="E140" s="209" t="e">
        <f>E133</f>
        <v>#REF!</v>
      </c>
      <c r="F140" s="188"/>
    </row>
    <row r="141" spans="1:6" hidden="1">
      <c r="A141" s="237"/>
      <c r="F141" s="188"/>
    </row>
    <row r="142" spans="1:6" hidden="1">
      <c r="A142" s="237"/>
      <c r="B142" s="195" t="s">
        <v>203</v>
      </c>
      <c r="C142" s="203" t="e">
        <f>$C$64</f>
        <v>#REF!</v>
      </c>
      <c r="D142" s="242" t="e">
        <f>C142/C144</f>
        <v>#REF!</v>
      </c>
      <c r="E142" s="203" t="e">
        <f>E144*D142</f>
        <v>#REF!</v>
      </c>
      <c r="F142" s="188"/>
    </row>
    <row r="143" spans="1:6" hidden="1">
      <c r="A143" s="237"/>
      <c r="B143" s="195" t="s">
        <v>204</v>
      </c>
      <c r="C143" s="188" t="e">
        <f>C$65</f>
        <v>#REF!</v>
      </c>
      <c r="D143" s="243" t="e">
        <f>C143/C144</f>
        <v>#REF!</v>
      </c>
      <c r="E143" s="188" t="e">
        <f>E144*D143</f>
        <v>#REF!</v>
      </c>
      <c r="F143" s="188"/>
    </row>
    <row r="144" spans="1:6" hidden="1">
      <c r="A144" s="237"/>
      <c r="B144" s="195" t="s">
        <v>200</v>
      </c>
      <c r="C144" s="209" t="e">
        <f>SUM(C142:C143)</f>
        <v>#REF!</v>
      </c>
      <c r="D144" s="244" t="e">
        <f>SUM(D142:D143)</f>
        <v>#REF!</v>
      </c>
      <c r="E144" s="209" t="e">
        <f>E134</f>
        <v>#REF!</v>
      </c>
      <c r="F144" s="188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75" orientation="portrait" horizontalDpi="300" verticalDpi="300" r:id="rId1"/>
  <headerFooter alignWithMargins="0">
    <oddFooter>&amp;Lfile:  &amp;F&amp;R[Date]</oddFooter>
  </headerFooter>
  <rowBreaks count="1" manualBreakCount="1">
    <brk id="66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04"/>
  <sheetViews>
    <sheetView workbookViewId="0"/>
  </sheetViews>
  <sheetFormatPr defaultColWidth="9.109375" defaultRowHeight="11.1" customHeight="1"/>
  <cols>
    <col min="1" max="1" width="8.33203125" style="2" customWidth="1"/>
    <col min="2" max="2" width="26.109375" style="2" customWidth="1"/>
    <col min="3" max="3" width="12.44140625" style="2" customWidth="1"/>
    <col min="4" max="4" width="6.6640625" style="2" customWidth="1"/>
    <col min="5" max="5" width="12.44140625" style="22" customWidth="1"/>
    <col min="6" max="6" width="12.44140625" style="23" customWidth="1"/>
    <col min="7" max="7" width="12.44140625" style="22" customWidth="1"/>
    <col min="8" max="8" width="12.88671875" style="2" bestFit="1" customWidth="1"/>
    <col min="9" max="16384" width="9.109375" style="2"/>
  </cols>
  <sheetData>
    <row r="1" spans="1:8" ht="16.5" customHeight="1">
      <c r="F1" s="349"/>
    </row>
    <row r="2" spans="1:8" ht="4.5" customHeight="1"/>
    <row r="3" spans="1:8" ht="12">
      <c r="A3" s="523" t="s">
        <v>101</v>
      </c>
      <c r="B3" s="523"/>
      <c r="C3" s="523"/>
      <c r="E3" s="3"/>
      <c r="F3" s="4"/>
      <c r="G3" s="3"/>
    </row>
    <row r="4" spans="1:8" ht="12">
      <c r="A4" s="1" t="s">
        <v>176</v>
      </c>
      <c r="B4" s="1"/>
      <c r="C4" s="1"/>
      <c r="E4" s="5" t="s">
        <v>65</v>
      </c>
      <c r="F4" s="5"/>
      <c r="G4" s="5"/>
    </row>
    <row r="5" spans="1:8" ht="12">
      <c r="A5" s="524" t="s">
        <v>457</v>
      </c>
      <c r="B5" s="523"/>
      <c r="C5" s="523"/>
      <c r="E5" s="5" t="s">
        <v>66</v>
      </c>
      <c r="F5" s="5"/>
      <c r="G5" s="5"/>
    </row>
    <row r="6" spans="1:8" ht="12">
      <c r="A6" s="1" t="s">
        <v>67</v>
      </c>
      <c r="B6" s="1"/>
      <c r="C6" s="1"/>
      <c r="E6" s="6"/>
      <c r="F6" s="7" t="s">
        <v>68</v>
      </c>
      <c r="G6" s="6"/>
    </row>
    <row r="7" spans="1:8" ht="12">
      <c r="A7" s="8" t="s">
        <v>7</v>
      </c>
      <c r="E7" s="3"/>
      <c r="F7" s="9"/>
      <c r="G7" s="3"/>
    </row>
    <row r="8" spans="1:8" ht="12">
      <c r="A8" s="10" t="s">
        <v>16</v>
      </c>
      <c r="B8" s="11" t="s">
        <v>62</v>
      </c>
      <c r="C8" s="11"/>
      <c r="E8" s="12" t="s">
        <v>69</v>
      </c>
      <c r="F8" s="13" t="s">
        <v>70</v>
      </c>
      <c r="G8" s="12" t="s">
        <v>71</v>
      </c>
      <c r="H8" s="14" t="s">
        <v>72</v>
      </c>
    </row>
    <row r="9" spans="1:8" ht="12">
      <c r="A9" s="8"/>
      <c r="B9" s="2" t="s">
        <v>26</v>
      </c>
      <c r="E9" s="15"/>
      <c r="F9" s="9"/>
      <c r="G9" s="15"/>
    </row>
    <row r="10" spans="1:8" ht="12">
      <c r="A10" s="8"/>
      <c r="B10" s="121"/>
      <c r="E10" s="120"/>
      <c r="F10" s="119"/>
      <c r="G10" s="119"/>
    </row>
    <row r="11" spans="1:8" ht="12">
      <c r="A11" s="8"/>
      <c r="B11" s="121"/>
      <c r="E11" s="120"/>
      <c r="F11" s="119"/>
      <c r="G11" s="119"/>
    </row>
    <row r="12" spans="1:8" ht="12">
      <c r="A12" s="8"/>
      <c r="E12" s="15"/>
      <c r="F12" s="9"/>
      <c r="G12" s="9"/>
    </row>
    <row r="13" spans="1:8" ht="5.25" customHeight="1">
      <c r="A13" s="180"/>
      <c r="E13" s="15"/>
      <c r="F13" s="9"/>
      <c r="G13" s="9"/>
    </row>
    <row r="14" spans="1:8" ht="12">
      <c r="A14" s="180"/>
      <c r="E14" s="15"/>
      <c r="F14" s="9"/>
      <c r="G14" s="9"/>
    </row>
    <row r="15" spans="1:8" ht="12">
      <c r="A15" s="8">
        <v>1</v>
      </c>
      <c r="B15" s="2" t="s">
        <v>73</v>
      </c>
      <c r="E15" s="16">
        <f>F15+G15</f>
        <v>165965</v>
      </c>
      <c r="F15" s="115">
        <f>F94</f>
        <v>165965</v>
      </c>
      <c r="G15" s="115">
        <f>G94</f>
        <v>0</v>
      </c>
      <c r="H15" s="17" t="str">
        <f>IF(E15=F15+G15," ","ERROR")</f>
        <v xml:space="preserve"> </v>
      </c>
    </row>
    <row r="16" spans="1:8" ht="12">
      <c r="A16" s="8">
        <v>2</v>
      </c>
      <c r="B16" s="2" t="s">
        <v>74</v>
      </c>
      <c r="E16" s="18">
        <f>F16+G16</f>
        <v>5181</v>
      </c>
      <c r="F16" s="116">
        <f>F99</f>
        <v>5181</v>
      </c>
      <c r="G16" s="116">
        <f>G99</f>
        <v>0</v>
      </c>
      <c r="H16" s="17" t="str">
        <f>IF(E16=F16+G16," ","ERROR")</f>
        <v xml:space="preserve"> </v>
      </c>
    </row>
    <row r="17" spans="1:8" ht="12">
      <c r="A17" s="8">
        <v>3</v>
      </c>
      <c r="B17" s="2" t="s">
        <v>29</v>
      </c>
      <c r="E17" s="19">
        <f>F17+G17</f>
        <v>48146</v>
      </c>
      <c r="F17" s="117">
        <f>F103-F99-1</f>
        <v>48146</v>
      </c>
      <c r="G17" s="117">
        <f>G103-G99</f>
        <v>0</v>
      </c>
      <c r="H17" s="17" t="str">
        <f>IF(E17=F17+G17," ","ERROR")</f>
        <v xml:space="preserve"> </v>
      </c>
    </row>
    <row r="18" spans="1:8" ht="12">
      <c r="A18" s="8">
        <v>4</v>
      </c>
      <c r="B18" s="2" t="s">
        <v>75</v>
      </c>
      <c r="E18" s="18">
        <f>SUM(E15:E17)</f>
        <v>219292</v>
      </c>
      <c r="F18" s="18">
        <f>SUM(F15:F17)</f>
        <v>219292</v>
      </c>
      <c r="G18" s="18">
        <f>SUM(G15:G17)</f>
        <v>0</v>
      </c>
      <c r="H18" s="17" t="str">
        <f>IF(E18=F18+G18," ","ERROR")</f>
        <v xml:space="preserve"> </v>
      </c>
    </row>
    <row r="19" spans="1:8" ht="12">
      <c r="A19" s="8"/>
      <c r="E19" s="18"/>
      <c r="F19" s="18"/>
      <c r="G19" s="18"/>
      <c r="H19" s="17"/>
    </row>
    <row r="20" spans="1:8" ht="12">
      <c r="A20" s="8"/>
      <c r="B20" s="2" t="s">
        <v>31</v>
      </c>
      <c r="E20" s="18"/>
      <c r="F20" s="18"/>
      <c r="G20" s="18"/>
      <c r="H20" s="17"/>
    </row>
    <row r="21" spans="1:8" ht="12">
      <c r="A21" s="8"/>
      <c r="B21" s="2" t="s">
        <v>179</v>
      </c>
      <c r="E21" s="18"/>
      <c r="F21" s="116"/>
      <c r="G21" s="116"/>
      <c r="H21" s="118" t="str">
        <f>IF(E21=F21+G21," ","ERROR")</f>
        <v xml:space="preserve"> </v>
      </c>
    </row>
    <row r="22" spans="1:8" ht="12">
      <c r="A22" s="8">
        <v>5</v>
      </c>
      <c r="B22" s="2" t="s">
        <v>76</v>
      </c>
      <c r="E22" s="18">
        <f>F22+G22</f>
        <v>109496</v>
      </c>
      <c r="F22" s="116">
        <f>F107</f>
        <v>109496</v>
      </c>
      <c r="G22" s="116">
        <f>G107</f>
        <v>0</v>
      </c>
      <c r="H22" s="17" t="str">
        <f>IF(E22=F22+G22," ","ERROR")</f>
        <v xml:space="preserve"> </v>
      </c>
    </row>
    <row r="23" spans="1:8" ht="12">
      <c r="A23" s="8">
        <v>6</v>
      </c>
      <c r="B23" s="2" t="s">
        <v>77</v>
      </c>
      <c r="E23" s="18">
        <f>F23+G23</f>
        <v>947</v>
      </c>
      <c r="F23" s="116">
        <f>F110+F111+1</f>
        <v>947</v>
      </c>
      <c r="G23" s="116">
        <f>G109+G110+G111</f>
        <v>0</v>
      </c>
      <c r="H23" s="17" t="str">
        <f>IF(E23=F23+G23," ","ERROR")</f>
        <v xml:space="preserve"> </v>
      </c>
    </row>
    <row r="24" spans="1:8" ht="12">
      <c r="A24" s="8">
        <v>7</v>
      </c>
      <c r="B24" s="2" t="s">
        <v>78</v>
      </c>
      <c r="E24" s="19">
        <f>F24+G24</f>
        <v>-2351</v>
      </c>
      <c r="F24" s="117">
        <f>F108+F109-1</f>
        <v>-2351</v>
      </c>
      <c r="G24" s="117">
        <f>G108</f>
        <v>0</v>
      </c>
      <c r="H24" s="17" t="str">
        <f>IF(E24=F24+G24," ","ERROR")</f>
        <v xml:space="preserve"> </v>
      </c>
    </row>
    <row r="25" spans="1:8" ht="12">
      <c r="A25" s="8">
        <v>8</v>
      </c>
      <c r="B25" s="2" t="s">
        <v>79</v>
      </c>
      <c r="E25" s="18">
        <f>SUM(E22:E24)</f>
        <v>108092</v>
      </c>
      <c r="F25" s="18">
        <f>SUM(F22:F24)</f>
        <v>108092</v>
      </c>
      <c r="G25" s="18">
        <f>SUM(G22:G24)</f>
        <v>0</v>
      </c>
      <c r="H25" s="17" t="str">
        <f>IF(E25=F25+G25," ","ERROR")</f>
        <v xml:space="preserve"> </v>
      </c>
    </row>
    <row r="26" spans="1:8" ht="12">
      <c r="A26" s="180"/>
      <c r="E26" s="18"/>
      <c r="F26" s="18"/>
      <c r="G26" s="18"/>
      <c r="H26" s="17"/>
    </row>
    <row r="27" spans="1:8" ht="12">
      <c r="A27" s="8"/>
      <c r="B27" s="2" t="s">
        <v>36</v>
      </c>
      <c r="E27" s="18"/>
      <c r="F27" s="18"/>
      <c r="G27" s="18"/>
      <c r="H27" s="17"/>
    </row>
    <row r="28" spans="1:8" ht="12">
      <c r="A28" s="8">
        <v>9</v>
      </c>
      <c r="B28" s="2" t="s">
        <v>80</v>
      </c>
      <c r="E28" s="18">
        <f>F28+G28</f>
        <v>1032</v>
      </c>
      <c r="F28" s="116">
        <f>F118</f>
        <v>1032</v>
      </c>
      <c r="G28" s="116">
        <f>G118</f>
        <v>0</v>
      </c>
      <c r="H28" s="17" t="str">
        <f>IF(E28=F28+G28," ","ERROR")</f>
        <v xml:space="preserve"> </v>
      </c>
    </row>
    <row r="29" spans="1:8" ht="12">
      <c r="A29" s="8">
        <v>10</v>
      </c>
      <c r="B29" s="2" t="s">
        <v>81</v>
      </c>
      <c r="E29" s="18">
        <f>F29+G29</f>
        <v>537</v>
      </c>
      <c r="F29" s="116">
        <f>F120+F121</f>
        <v>537</v>
      </c>
      <c r="G29" s="116">
        <f>G120+G121</f>
        <v>0</v>
      </c>
      <c r="H29" s="17" t="str">
        <f>IF(E29=F29+G29," ","ERROR")</f>
        <v xml:space="preserve"> </v>
      </c>
    </row>
    <row r="30" spans="1:8" ht="12">
      <c r="A30" s="8">
        <v>11</v>
      </c>
      <c r="B30" s="2" t="s">
        <v>82</v>
      </c>
      <c r="E30" s="19">
        <f>F30+G30</f>
        <v>73</v>
      </c>
      <c r="F30" s="117">
        <f>F122</f>
        <v>73</v>
      </c>
      <c r="G30" s="117">
        <f>G122</f>
        <v>0</v>
      </c>
      <c r="H30" s="17" t="str">
        <f>IF(E30=F30+G30," ","ERROR")</f>
        <v xml:space="preserve"> </v>
      </c>
    </row>
    <row r="31" spans="1:8" ht="12">
      <c r="A31" s="292">
        <v>12</v>
      </c>
      <c r="B31" s="2" t="s">
        <v>83</v>
      </c>
      <c r="E31" s="18">
        <f>SUM(E28:E30)</f>
        <v>1642</v>
      </c>
      <c r="F31" s="116">
        <f>SUM(F28:F30)</f>
        <v>1642</v>
      </c>
      <c r="G31" s="116">
        <f>SUM(G28:G30)</f>
        <v>0</v>
      </c>
      <c r="H31" s="17" t="str">
        <f>IF(E31=F31+G31," ","ERROR")</f>
        <v xml:space="preserve"> </v>
      </c>
    </row>
    <row r="32" spans="1:8" ht="12">
      <c r="A32" s="180"/>
      <c r="E32" s="18"/>
      <c r="F32" s="116"/>
      <c r="G32" s="116"/>
      <c r="H32" s="17"/>
    </row>
    <row r="33" spans="1:10" ht="12">
      <c r="A33" s="8"/>
      <c r="B33" s="2" t="s">
        <v>39</v>
      </c>
      <c r="E33" s="18"/>
      <c r="F33" s="116"/>
      <c r="G33" s="116"/>
      <c r="H33" s="17"/>
    </row>
    <row r="34" spans="1:10" ht="12">
      <c r="A34" s="8">
        <v>13</v>
      </c>
      <c r="B34" s="2" t="s">
        <v>80</v>
      </c>
      <c r="E34" s="18">
        <f>F34+G34</f>
        <v>12390</v>
      </c>
      <c r="F34" s="116">
        <f>F149</f>
        <v>12390</v>
      </c>
      <c r="G34" s="116">
        <f>G149</f>
        <v>0</v>
      </c>
      <c r="H34" s="17" t="str">
        <f t="shared" ref="H34:H41" si="0">IF(E34=F34+G34," ","ERROR")</f>
        <v xml:space="preserve"> </v>
      </c>
    </row>
    <row r="35" spans="1:10" ht="12">
      <c r="A35" s="8">
        <v>14</v>
      </c>
      <c r="B35" s="2" t="s">
        <v>81</v>
      </c>
      <c r="E35" s="18">
        <f>F35+G35</f>
        <v>10638</v>
      </c>
      <c r="F35" s="116">
        <f>F151</f>
        <v>10638</v>
      </c>
      <c r="G35" s="116">
        <f>G151</f>
        <v>0</v>
      </c>
      <c r="H35" s="17" t="str">
        <f t="shared" si="0"/>
        <v xml:space="preserve"> </v>
      </c>
    </row>
    <row r="36" spans="1:10" ht="12">
      <c r="A36" s="8">
        <v>15</v>
      </c>
      <c r="B36" s="2" t="s">
        <v>82</v>
      </c>
      <c r="E36" s="19">
        <f>F36+G36</f>
        <v>15342</v>
      </c>
      <c r="F36" s="117">
        <f>F152</f>
        <v>15342</v>
      </c>
      <c r="G36" s="117">
        <f>G152</f>
        <v>0</v>
      </c>
      <c r="H36" s="17" t="str">
        <f t="shared" si="0"/>
        <v xml:space="preserve"> </v>
      </c>
    </row>
    <row r="37" spans="1:10" ht="12" customHeight="1">
      <c r="A37" s="8">
        <v>16</v>
      </c>
      <c r="B37" s="2" t="s">
        <v>84</v>
      </c>
      <c r="E37" s="18">
        <f>SUM(E34:E36)</f>
        <v>38370</v>
      </c>
      <c r="F37" s="18">
        <f>SUM(F34:F36)</f>
        <v>38370</v>
      </c>
      <c r="G37" s="18">
        <f>SUM(G34:G36)</f>
        <v>0</v>
      </c>
      <c r="H37" s="17" t="str">
        <f t="shared" si="0"/>
        <v xml:space="preserve"> </v>
      </c>
    </row>
    <row r="38" spans="1:10" ht="12" customHeight="1">
      <c r="A38" s="8"/>
      <c r="E38" s="18"/>
      <c r="F38" s="18"/>
      <c r="G38" s="18"/>
      <c r="H38" s="17"/>
    </row>
    <row r="39" spans="1:10" ht="12" customHeight="1">
      <c r="A39" s="8">
        <v>17</v>
      </c>
      <c r="B39" s="2" t="s">
        <v>41</v>
      </c>
      <c r="E39" s="18">
        <f>F39+G39</f>
        <v>7293</v>
      </c>
      <c r="F39" s="116">
        <f>F163-1</f>
        <v>7293</v>
      </c>
      <c r="G39" s="116">
        <f>G163</f>
        <v>0</v>
      </c>
      <c r="H39" s="17" t="str">
        <f t="shared" si="0"/>
        <v xml:space="preserve"> </v>
      </c>
    </row>
    <row r="40" spans="1:10" ht="12">
      <c r="A40" s="8">
        <v>18</v>
      </c>
      <c r="B40" s="2" t="s">
        <v>42</v>
      </c>
      <c r="E40" s="18">
        <f>F40+G40</f>
        <v>8961</v>
      </c>
      <c r="F40" s="116">
        <f>F169</f>
        <v>8961</v>
      </c>
      <c r="G40" s="116">
        <f>G169</f>
        <v>0</v>
      </c>
      <c r="H40" s="17" t="str">
        <f t="shared" si="0"/>
        <v xml:space="preserve"> </v>
      </c>
    </row>
    <row r="41" spans="1:10" ht="12">
      <c r="A41" s="8">
        <v>19</v>
      </c>
      <c r="B41" s="2" t="s">
        <v>85</v>
      </c>
      <c r="E41" s="18">
        <f>F41+G41</f>
        <v>0</v>
      </c>
      <c r="F41" s="116">
        <f>F175</f>
        <v>0</v>
      </c>
      <c r="G41" s="116">
        <f>G175</f>
        <v>0</v>
      </c>
      <c r="H41" s="17" t="str">
        <f t="shared" si="0"/>
        <v xml:space="preserve"> </v>
      </c>
    </row>
    <row r="42" spans="1:10" ht="12">
      <c r="A42" s="180"/>
      <c r="E42" s="18"/>
      <c r="F42" s="116"/>
      <c r="G42" s="116"/>
      <c r="H42" s="17"/>
    </row>
    <row r="43" spans="1:10" ht="12">
      <c r="A43" s="8"/>
      <c r="B43" s="2" t="s">
        <v>86</v>
      </c>
      <c r="E43" s="18"/>
      <c r="F43" s="116"/>
      <c r="G43" s="116"/>
      <c r="H43" s="17"/>
    </row>
    <row r="44" spans="1:10" ht="12">
      <c r="A44" s="8">
        <v>20</v>
      </c>
      <c r="B44" s="2" t="s">
        <v>80</v>
      </c>
      <c r="E44" s="18">
        <f>F44+G44</f>
        <v>13887</v>
      </c>
      <c r="F44" s="116">
        <f>F189</f>
        <v>13887</v>
      </c>
      <c r="G44" s="116">
        <f>G189</f>
        <v>0</v>
      </c>
      <c r="H44" s="17" t="str">
        <f>IF(E44=F44+G44," ","ERROR")</f>
        <v xml:space="preserve"> </v>
      </c>
    </row>
    <row r="45" spans="1:10" ht="12">
      <c r="A45" s="8">
        <v>21</v>
      </c>
      <c r="B45" s="2" t="s">
        <v>386</v>
      </c>
      <c r="E45" s="18">
        <f>F45+G45</f>
        <v>7014</v>
      </c>
      <c r="F45" s="116">
        <f>F191+F192+F193+F194</f>
        <v>7014</v>
      </c>
      <c r="G45" s="116">
        <f>G191+G192+G193+G194</f>
        <v>0</v>
      </c>
      <c r="H45" s="17" t="str">
        <f>IF(E45=F45+G45," ","ERROR")</f>
        <v xml:space="preserve"> </v>
      </c>
      <c r="J45" s="18"/>
    </row>
    <row r="46" spans="1:10" ht="12">
      <c r="A46" s="259">
        <v>22</v>
      </c>
      <c r="B46" s="2" t="s">
        <v>384</v>
      </c>
      <c r="E46" s="18">
        <f>F46+G46</f>
        <v>-312</v>
      </c>
      <c r="F46" s="116">
        <f>F195+F196+F197+F198+F199+F200+F201+F202+1</f>
        <v>-312</v>
      </c>
      <c r="G46" s="116">
        <f>G195+G196+G197+G198+G199+G200+G201+G202</f>
        <v>0</v>
      </c>
      <c r="H46" s="17"/>
      <c r="J46" s="18"/>
    </row>
    <row r="47" spans="1:10" ht="12">
      <c r="A47" s="8">
        <v>23</v>
      </c>
      <c r="B47" s="2" t="s">
        <v>82</v>
      </c>
      <c r="E47" s="19">
        <f>F47+G47</f>
        <v>0</v>
      </c>
      <c r="F47" s="117">
        <v>0</v>
      </c>
      <c r="G47" s="117">
        <v>0</v>
      </c>
      <c r="H47" s="17" t="str">
        <f>IF(E47=F47+G47," ","ERROR")</f>
        <v xml:space="preserve"> </v>
      </c>
    </row>
    <row r="48" spans="1:10" ht="12">
      <c r="A48" s="8">
        <v>24</v>
      </c>
      <c r="B48" s="2" t="s">
        <v>87</v>
      </c>
      <c r="E48" s="19">
        <f>SUM(E44:E47)</f>
        <v>20589</v>
      </c>
      <c r="F48" s="19">
        <f>SUM(F44:F47)</f>
        <v>20589</v>
      </c>
      <c r="G48" s="19">
        <f>SUM(G44:G47)</f>
        <v>0</v>
      </c>
      <c r="H48" s="17" t="str">
        <f>IF(E48=F48+G48," ","ERROR")</f>
        <v xml:space="preserve"> </v>
      </c>
    </row>
    <row r="49" spans="1:8" ht="12">
      <c r="A49" s="8">
        <v>25</v>
      </c>
      <c r="B49" s="2" t="s">
        <v>46</v>
      </c>
      <c r="E49" s="19">
        <f>E25+E31+E37+E39+E40+E41+E48+E21</f>
        <v>184947</v>
      </c>
      <c r="F49" s="19">
        <f>F25+F31+F37+F39+F40+F41+F48+F21</f>
        <v>184947</v>
      </c>
      <c r="G49" s="19">
        <f>G25+G31+G37+G39+G40+G41+G48+G21</f>
        <v>0</v>
      </c>
      <c r="H49" s="17" t="str">
        <f>IF(E49=F49+G49," ","ERROR")</f>
        <v xml:space="preserve"> </v>
      </c>
    </row>
    <row r="50" spans="1:8" ht="12">
      <c r="A50" s="8"/>
      <c r="E50" s="18"/>
      <c r="F50" s="18"/>
      <c r="G50" s="18"/>
      <c r="H50" s="17"/>
    </row>
    <row r="51" spans="1:8" ht="12">
      <c r="A51" s="8">
        <v>26</v>
      </c>
      <c r="B51" s="2" t="s">
        <v>88</v>
      </c>
      <c r="E51" s="27">
        <f>E18-E49</f>
        <v>34345</v>
      </c>
      <c r="F51" s="27">
        <f>F18-F49</f>
        <v>34345</v>
      </c>
      <c r="G51" s="27">
        <f>G18-G49</f>
        <v>0</v>
      </c>
      <c r="H51" s="17" t="str">
        <f>IF(E51=F51+G51," ","ERROR")</f>
        <v xml:space="preserve"> </v>
      </c>
    </row>
    <row r="52" spans="1:8" ht="12" customHeight="1">
      <c r="A52" s="8"/>
      <c r="E52" s="27"/>
      <c r="F52" s="27"/>
      <c r="G52" s="27"/>
      <c r="H52" s="17"/>
    </row>
    <row r="53" spans="1:8" ht="12" customHeight="1">
      <c r="A53" s="8"/>
      <c r="B53" s="2" t="s">
        <v>89</v>
      </c>
      <c r="E53" s="18"/>
      <c r="F53" s="18"/>
      <c r="G53" s="18"/>
      <c r="H53" s="17"/>
    </row>
    <row r="54" spans="1:8" ht="12">
      <c r="A54" s="8">
        <v>27</v>
      </c>
      <c r="B54" s="20" t="s">
        <v>90</v>
      </c>
      <c r="D54" s="21">
        <v>0.35</v>
      </c>
      <c r="E54" s="18">
        <f>F54+G54</f>
        <v>2792</v>
      </c>
      <c r="F54" s="116">
        <f>F211</f>
        <v>2792</v>
      </c>
      <c r="G54" s="116">
        <f>G211</f>
        <v>0</v>
      </c>
      <c r="H54" s="17" t="str">
        <f>IF(E54=F54+G54," ","ERROR")</f>
        <v xml:space="preserve"> </v>
      </c>
    </row>
    <row r="55" spans="1:8" ht="12">
      <c r="A55" s="180">
        <v>28</v>
      </c>
      <c r="B55" s="20" t="s">
        <v>213</v>
      </c>
      <c r="D55" s="21"/>
      <c r="E55" s="18"/>
      <c r="F55" s="116"/>
      <c r="G55" s="116"/>
      <c r="H55" s="17"/>
    </row>
    <row r="56" spans="1:8" ht="12">
      <c r="A56" s="8">
        <v>29</v>
      </c>
      <c r="B56" s="2" t="s">
        <v>91</v>
      </c>
      <c r="E56" s="18">
        <f>F56+G56</f>
        <v>6462</v>
      </c>
      <c r="F56" s="116">
        <f>F212+1</f>
        <v>6462</v>
      </c>
      <c r="G56" s="116">
        <f>G212</f>
        <v>0</v>
      </c>
      <c r="H56" s="17" t="str">
        <f>IF(E56=F56+G56," ","ERROR")</f>
        <v xml:space="preserve"> </v>
      </c>
    </row>
    <row r="57" spans="1:8" ht="12">
      <c r="A57" s="8">
        <v>30</v>
      </c>
      <c r="B57" s="2" t="s">
        <v>92</v>
      </c>
      <c r="E57" s="19">
        <f>F57+G57</f>
        <v>-15</v>
      </c>
      <c r="F57" s="117">
        <f>F213</f>
        <v>-15</v>
      </c>
      <c r="G57" s="117">
        <f>G213</f>
        <v>0</v>
      </c>
      <c r="H57" s="17" t="str">
        <f>IF(E57=F57+G57," ","ERROR")</f>
        <v xml:space="preserve"> </v>
      </c>
    </row>
    <row r="58" spans="1:8" ht="12">
      <c r="A58" s="8"/>
      <c r="G58" s="23"/>
      <c r="H58" s="17"/>
    </row>
    <row r="59" spans="1:8" ht="12.6" thickBot="1">
      <c r="A59" s="8">
        <v>31</v>
      </c>
      <c r="B59" s="24" t="s">
        <v>52</v>
      </c>
      <c r="E59" s="28">
        <f>E51-(+E54+E56+E57)</f>
        <v>25106</v>
      </c>
      <c r="F59" s="28">
        <f>F51-(F54+F56+F57)</f>
        <v>25106</v>
      </c>
      <c r="G59" s="28">
        <f>G51-(G54+G56+G57)</f>
        <v>0</v>
      </c>
      <c r="H59" s="17" t="str">
        <f>IF(E59=F59+G59," ","ERROR")</f>
        <v xml:space="preserve"> </v>
      </c>
    </row>
    <row r="60" spans="1:8" ht="12.6" thickTop="1">
      <c r="A60" s="8"/>
      <c r="E60" s="9"/>
      <c r="F60" s="9"/>
      <c r="G60" s="9"/>
      <c r="H60" s="17"/>
    </row>
    <row r="61" spans="1:8" ht="12">
      <c r="A61" s="8"/>
      <c r="B61" s="20" t="s">
        <v>93</v>
      </c>
      <c r="G61" s="23"/>
      <c r="H61" s="17"/>
    </row>
    <row r="62" spans="1:8" ht="12">
      <c r="A62" s="8"/>
      <c r="B62" s="20" t="s">
        <v>94</v>
      </c>
      <c r="G62" s="23"/>
      <c r="H62" s="17"/>
    </row>
    <row r="63" spans="1:8" ht="12">
      <c r="A63" s="8">
        <v>32</v>
      </c>
      <c r="B63" s="2" t="s">
        <v>95</v>
      </c>
      <c r="E63" s="16">
        <f>F63+G63</f>
        <v>27138</v>
      </c>
      <c r="F63" s="115">
        <f>F231</f>
        <v>27138</v>
      </c>
      <c r="G63" s="115">
        <f>G231</f>
        <v>0</v>
      </c>
      <c r="H63" s="17" t="str">
        <f t="shared" ref="H63:H76" si="1">IF(E63=F63+G63," ","ERROR")</f>
        <v xml:space="preserve"> </v>
      </c>
    </row>
    <row r="64" spans="1:8" ht="12">
      <c r="A64" s="8">
        <v>33</v>
      </c>
      <c r="B64" s="2" t="s">
        <v>96</v>
      </c>
      <c r="E64" s="18">
        <f>F64+G64</f>
        <v>422774</v>
      </c>
      <c r="F64" s="116">
        <f>F247+1</f>
        <v>422774</v>
      </c>
      <c r="G64" s="116">
        <f>G247</f>
        <v>0</v>
      </c>
      <c r="H64" s="17" t="str">
        <f t="shared" si="1"/>
        <v xml:space="preserve"> </v>
      </c>
    </row>
    <row r="65" spans="1:8" ht="12">
      <c r="A65" s="8">
        <v>34</v>
      </c>
      <c r="B65" s="2" t="s">
        <v>97</v>
      </c>
      <c r="E65" s="19">
        <f>F65+G65</f>
        <v>94586</v>
      </c>
      <c r="F65" s="117">
        <f>F260+F220</f>
        <v>94586</v>
      </c>
      <c r="G65" s="117">
        <f>G260+G220</f>
        <v>0</v>
      </c>
      <c r="H65" s="17" t="str">
        <f t="shared" si="1"/>
        <v xml:space="preserve"> </v>
      </c>
    </row>
    <row r="66" spans="1:8" ht="12">
      <c r="A66" s="8">
        <v>35</v>
      </c>
      <c r="B66" s="2" t="s">
        <v>98</v>
      </c>
      <c r="E66" s="18">
        <f>SUM(E63:E65)</f>
        <v>544498</v>
      </c>
      <c r="F66" s="116">
        <f>SUM(F63:F65)</f>
        <v>544498</v>
      </c>
      <c r="G66" s="116">
        <f>SUM(G63:G65)</f>
        <v>0</v>
      </c>
      <c r="H66" s="17" t="str">
        <f t="shared" si="1"/>
        <v xml:space="preserve"> </v>
      </c>
    </row>
    <row r="67" spans="1:8" ht="12">
      <c r="A67" s="180"/>
      <c r="E67" s="18"/>
      <c r="F67" s="116"/>
      <c r="G67" s="116"/>
      <c r="H67" s="17"/>
    </row>
    <row r="68" spans="1:8" ht="12">
      <c r="A68" s="8"/>
      <c r="B68" s="2" t="s">
        <v>387</v>
      </c>
      <c r="E68" s="18"/>
      <c r="F68" s="116"/>
      <c r="G68" s="116"/>
      <c r="H68" s="17" t="str">
        <f t="shared" si="1"/>
        <v xml:space="preserve"> </v>
      </c>
    </row>
    <row r="69" spans="1:8" ht="12">
      <c r="A69" s="8">
        <v>36</v>
      </c>
      <c r="B69" s="2" t="s">
        <v>95</v>
      </c>
      <c r="E69" s="18">
        <f>F69+G69</f>
        <v>-10493</v>
      </c>
      <c r="F69" s="116">
        <f>F266+F274</f>
        <v>-10493</v>
      </c>
      <c r="G69" s="116">
        <f>G266+G274</f>
        <v>0</v>
      </c>
      <c r="H69" s="17" t="str">
        <f t="shared" si="1"/>
        <v xml:space="preserve"> </v>
      </c>
    </row>
    <row r="70" spans="1:8" ht="12">
      <c r="A70" s="8">
        <v>37</v>
      </c>
      <c r="B70" s="2" t="s">
        <v>96</v>
      </c>
      <c r="E70" s="18">
        <f>F70+G70</f>
        <v>-136840</v>
      </c>
      <c r="F70" s="116">
        <f>F267</f>
        <v>-136840</v>
      </c>
      <c r="G70" s="116">
        <f>G267</f>
        <v>0</v>
      </c>
      <c r="H70" s="17" t="str">
        <f t="shared" si="1"/>
        <v xml:space="preserve"> </v>
      </c>
    </row>
    <row r="71" spans="1:8" ht="12">
      <c r="A71" s="8">
        <v>38</v>
      </c>
      <c r="B71" s="2" t="s">
        <v>97</v>
      </c>
      <c r="E71" s="19">
        <f>F71+G71</f>
        <v>-27528</v>
      </c>
      <c r="F71" s="117">
        <f>F268+F272+F273+F275</f>
        <v>-27528</v>
      </c>
      <c r="G71" s="117">
        <f>G268+G272+G273+G275</f>
        <v>0</v>
      </c>
      <c r="H71" s="17" t="str">
        <f t="shared" si="1"/>
        <v xml:space="preserve"> </v>
      </c>
    </row>
    <row r="72" spans="1:8" ht="12">
      <c r="A72" s="8">
        <v>39</v>
      </c>
      <c r="B72" s="2" t="s">
        <v>388</v>
      </c>
      <c r="E72" s="263">
        <f>SUM(E69:E71)</f>
        <v>-174861</v>
      </c>
      <c r="F72" s="263">
        <f>SUM(F69:F71)</f>
        <v>-174861</v>
      </c>
      <c r="G72" s="263">
        <f>SUM(G69:G71)</f>
        <v>0</v>
      </c>
      <c r="H72" s="17" t="str">
        <f t="shared" si="1"/>
        <v xml:space="preserve"> </v>
      </c>
    </row>
    <row r="73" spans="1:8" ht="12">
      <c r="A73" s="180">
        <v>40</v>
      </c>
      <c r="B73" s="2" t="s">
        <v>156</v>
      </c>
      <c r="E73" s="18">
        <f>E66+E72</f>
        <v>369637</v>
      </c>
      <c r="F73" s="18">
        <f>F66+F72</f>
        <v>369637</v>
      </c>
      <c r="G73" s="18">
        <f>G66+G72</f>
        <v>0</v>
      </c>
      <c r="H73" s="17"/>
    </row>
    <row r="74" spans="1:8" ht="12">
      <c r="A74" s="8">
        <v>41</v>
      </c>
      <c r="B74" s="20" t="s">
        <v>99</v>
      </c>
      <c r="E74" s="264">
        <f>F74+G74</f>
        <v>-82870</v>
      </c>
      <c r="F74" s="264">
        <f>F287</f>
        <v>-82870</v>
      </c>
      <c r="G74" s="264">
        <f>G287</f>
        <v>0</v>
      </c>
      <c r="H74" s="17" t="str">
        <f t="shared" si="1"/>
        <v xml:space="preserve"> </v>
      </c>
    </row>
    <row r="75" spans="1:8" ht="12">
      <c r="A75" s="180">
        <v>42</v>
      </c>
      <c r="B75" s="157" t="s">
        <v>178</v>
      </c>
      <c r="E75" s="18">
        <f>E73+E74</f>
        <v>286767</v>
      </c>
      <c r="F75" s="18">
        <f>F73+F74</f>
        <v>286767</v>
      </c>
      <c r="G75" s="18">
        <f>G73+G74</f>
        <v>0</v>
      </c>
      <c r="H75" s="17"/>
    </row>
    <row r="76" spans="1:8" ht="12">
      <c r="A76" s="8">
        <v>43</v>
      </c>
      <c r="B76" s="2" t="s">
        <v>57</v>
      </c>
      <c r="E76" s="18">
        <f t="shared" ref="E76:E79" si="2">F76+G76</f>
        <v>10595</v>
      </c>
      <c r="F76" s="18">
        <f>F294+F295+1</f>
        <v>10595</v>
      </c>
      <c r="G76" s="18">
        <f>G294+G295</f>
        <v>0</v>
      </c>
      <c r="H76" s="17" t="str">
        <f t="shared" si="1"/>
        <v xml:space="preserve"> </v>
      </c>
    </row>
    <row r="77" spans="1:8" ht="12">
      <c r="A77" s="8">
        <v>44</v>
      </c>
      <c r="B77" s="20" t="s">
        <v>58</v>
      </c>
      <c r="E77" s="18">
        <f t="shared" si="2"/>
        <v>0</v>
      </c>
      <c r="F77" s="23">
        <f>F292+F293</f>
        <v>0</v>
      </c>
      <c r="G77" s="23">
        <f>G292+G293</f>
        <v>0</v>
      </c>
      <c r="H77" s="17" t="str">
        <f>IF(E79=F79+G79," ","ERROR")</f>
        <v xml:space="preserve"> </v>
      </c>
    </row>
    <row r="78" spans="1:8" ht="12">
      <c r="A78" s="259">
        <v>45</v>
      </c>
      <c r="B78" s="20" t="s">
        <v>390</v>
      </c>
      <c r="E78" s="18">
        <f t="shared" si="2"/>
        <v>2064</v>
      </c>
      <c r="F78" s="23">
        <f>F296+F297+F298+F299</f>
        <v>2064</v>
      </c>
      <c r="G78" s="23">
        <f>G296+G297</f>
        <v>0</v>
      </c>
      <c r="H78" s="17"/>
    </row>
    <row r="79" spans="1:8" ht="12">
      <c r="A79" s="8">
        <v>46</v>
      </c>
      <c r="B79" s="32" t="s">
        <v>158</v>
      </c>
      <c r="E79" s="19">
        <f t="shared" si="2"/>
        <v>15075</v>
      </c>
      <c r="F79" s="19">
        <f>F300</f>
        <v>15075</v>
      </c>
      <c r="G79" s="19">
        <f>G300</f>
        <v>0</v>
      </c>
      <c r="H79" s="17"/>
    </row>
    <row r="80" spans="1:8" ht="11.1" customHeight="1">
      <c r="G80" s="23"/>
    </row>
    <row r="81" spans="1:10" ht="9" customHeight="1">
      <c r="A81" s="8"/>
      <c r="B81" s="2" t="s">
        <v>100</v>
      </c>
      <c r="G81" s="23"/>
      <c r="H81" s="17"/>
    </row>
    <row r="82" spans="1:10" ht="12.6" thickBot="1">
      <c r="A82" s="8">
        <v>47</v>
      </c>
      <c r="B82" s="24" t="s">
        <v>59</v>
      </c>
      <c r="E82" s="25">
        <f>E75+E76+E79+E77+E78</f>
        <v>314501</v>
      </c>
      <c r="F82" s="25">
        <f>F75+F76+F79+F77+F78</f>
        <v>314501</v>
      </c>
      <c r="G82" s="25">
        <f>G75+G76+G79+G77+G78</f>
        <v>0</v>
      </c>
      <c r="H82" s="17" t="str">
        <f>IF(E82=F82+G82," ","ERROR")</f>
        <v xml:space="preserve"> </v>
      </c>
    </row>
    <row r="83" spans="1:10" ht="11.1" customHeight="1" thickTop="1">
      <c r="E83" s="9"/>
      <c r="F83" s="9"/>
      <c r="G83" s="9"/>
    </row>
    <row r="84" spans="1:10" ht="11.1" customHeight="1">
      <c r="E84" s="26">
        <f>E59/E82</f>
        <v>7.9828045061859892E-2</v>
      </c>
      <c r="F84" s="26">
        <f>F59/F82</f>
        <v>7.9828045061859892E-2</v>
      </c>
      <c r="G84" s="26"/>
    </row>
    <row r="86" spans="1:10" ht="11.1" customHeight="1">
      <c r="A86" s="266"/>
      <c r="B86" s="267" t="s">
        <v>26</v>
      </c>
      <c r="J86" s="267"/>
    </row>
    <row r="87" spans="1:10" ht="11.1" customHeight="1">
      <c r="A87" s="266"/>
      <c r="B87" s="268" t="s">
        <v>214</v>
      </c>
      <c r="J87" s="268"/>
    </row>
    <row r="88" spans="1:10" ht="11.1" customHeight="1">
      <c r="A88" s="269">
        <v>480000</v>
      </c>
      <c r="B88" s="268" t="s">
        <v>215</v>
      </c>
      <c r="F88" s="23">
        <f>ROUND(H88/1000,0)</f>
        <v>111771</v>
      </c>
      <c r="H88" s="420">
        <v>111771137</v>
      </c>
      <c r="J88" s="398"/>
    </row>
    <row r="89" spans="1:10" ht="11.1" customHeight="1">
      <c r="A89" s="269" t="s">
        <v>216</v>
      </c>
      <c r="B89" s="268" t="s">
        <v>217</v>
      </c>
      <c r="F89" s="23">
        <f t="shared" ref="F89:F153" si="3">ROUND(H89/1000,0)</f>
        <v>53410</v>
      </c>
      <c r="H89" s="420">
        <v>53410259</v>
      </c>
      <c r="J89" s="398"/>
    </row>
    <row r="90" spans="1:10" ht="11.1" customHeight="1">
      <c r="A90" s="269" t="s">
        <v>218</v>
      </c>
      <c r="B90" s="268" t="s">
        <v>219</v>
      </c>
      <c r="F90" s="23">
        <f t="shared" si="3"/>
        <v>1991</v>
      </c>
      <c r="H90" s="420">
        <v>1990880</v>
      </c>
      <c r="J90" s="398"/>
    </row>
    <row r="91" spans="1:10" ht="11.1" customHeight="1">
      <c r="A91" s="269">
        <v>481400</v>
      </c>
      <c r="B91" s="268" t="s">
        <v>220</v>
      </c>
      <c r="F91" s="23">
        <f t="shared" si="3"/>
        <v>0</v>
      </c>
      <c r="H91" s="420">
        <v>0</v>
      </c>
      <c r="J91" s="398"/>
    </row>
    <row r="92" spans="1:10" ht="11.1" customHeight="1">
      <c r="A92" s="269">
        <v>484000</v>
      </c>
      <c r="B92" s="268" t="s">
        <v>223</v>
      </c>
      <c r="F92" s="23">
        <f t="shared" si="3"/>
        <v>267</v>
      </c>
      <c r="H92" s="420">
        <v>267111</v>
      </c>
      <c r="J92" s="398"/>
    </row>
    <row r="93" spans="1:10" ht="11.1" customHeight="1">
      <c r="A93" s="266" t="s">
        <v>221</v>
      </c>
      <c r="B93" s="268" t="s">
        <v>222</v>
      </c>
      <c r="F93" s="23">
        <f t="shared" si="3"/>
        <v>-1475</v>
      </c>
      <c r="H93" s="420">
        <v>-1474705</v>
      </c>
      <c r="J93" s="398"/>
    </row>
    <row r="94" spans="1:10" ht="11.1" customHeight="1">
      <c r="A94" s="266"/>
      <c r="B94" s="268" t="s">
        <v>224</v>
      </c>
      <c r="F94" s="23">
        <f t="shared" si="3"/>
        <v>165965</v>
      </c>
      <c r="H94" s="420">
        <v>165964682</v>
      </c>
      <c r="J94" s="398"/>
    </row>
    <row r="95" spans="1:10" ht="11.1" customHeight="1">
      <c r="A95" s="266"/>
      <c r="B95" s="268"/>
      <c r="F95" s="23">
        <f t="shared" si="3"/>
        <v>0</v>
      </c>
      <c r="H95" s="420"/>
      <c r="J95" s="398"/>
    </row>
    <row r="96" spans="1:10" ht="11.1" customHeight="1">
      <c r="A96" s="266"/>
      <c r="B96" s="268" t="s">
        <v>225</v>
      </c>
      <c r="F96" s="23">
        <f t="shared" si="3"/>
        <v>0</v>
      </c>
      <c r="H96" s="420"/>
      <c r="J96" s="398"/>
    </row>
    <row r="97" spans="1:10" ht="11.1" customHeight="1">
      <c r="A97" s="270">
        <v>483000</v>
      </c>
      <c r="B97" s="271" t="s">
        <v>226</v>
      </c>
      <c r="F97" s="23">
        <f t="shared" si="3"/>
        <v>53733</v>
      </c>
      <c r="H97" s="420">
        <v>53732572</v>
      </c>
      <c r="J97" s="399"/>
    </row>
    <row r="98" spans="1:10" ht="11.1" customHeight="1">
      <c r="A98" s="269">
        <v>488000</v>
      </c>
      <c r="B98" s="268" t="s">
        <v>227</v>
      </c>
      <c r="F98" s="23">
        <f t="shared" si="3"/>
        <v>9</v>
      </c>
      <c r="H98" s="420">
        <v>9153</v>
      </c>
      <c r="J98" s="398"/>
    </row>
    <row r="99" spans="1:10" ht="11.1" customHeight="1">
      <c r="A99" s="269">
        <v>489300</v>
      </c>
      <c r="B99" s="268" t="s">
        <v>228</v>
      </c>
      <c r="F99" s="23">
        <f t="shared" si="3"/>
        <v>5181</v>
      </c>
      <c r="H99" s="420">
        <v>5181250</v>
      </c>
      <c r="J99" s="398"/>
    </row>
    <row r="100" spans="1:10" ht="11.1" customHeight="1">
      <c r="A100" s="269">
        <v>493000</v>
      </c>
      <c r="B100" s="268" t="s">
        <v>229</v>
      </c>
      <c r="F100" s="23">
        <f t="shared" si="3"/>
        <v>2</v>
      </c>
      <c r="H100" s="420">
        <v>2377</v>
      </c>
      <c r="J100" s="398"/>
    </row>
    <row r="101" spans="1:10" ht="11.1" customHeight="1">
      <c r="A101" s="269">
        <v>495000</v>
      </c>
      <c r="B101" s="268" t="s">
        <v>230</v>
      </c>
      <c r="F101" s="23">
        <f t="shared" si="3"/>
        <v>-3206</v>
      </c>
      <c r="H101" s="420">
        <v>-3205559</v>
      </c>
      <c r="J101" s="398"/>
    </row>
    <row r="102" spans="1:10" ht="11.1" customHeight="1">
      <c r="A102" s="269">
        <v>496100</v>
      </c>
      <c r="B102" s="268" t="s">
        <v>424</v>
      </c>
      <c r="F102" s="23">
        <f t="shared" si="3"/>
        <v>-2392</v>
      </c>
      <c r="H102" s="420">
        <v>-2392142</v>
      </c>
      <c r="J102" s="398"/>
    </row>
    <row r="103" spans="1:10" ht="11.1" customHeight="1">
      <c r="A103" s="266"/>
      <c r="B103" s="268" t="s">
        <v>231</v>
      </c>
      <c r="F103" s="23">
        <f t="shared" si="3"/>
        <v>53328</v>
      </c>
      <c r="H103" s="420">
        <v>53327651</v>
      </c>
      <c r="J103" s="398"/>
    </row>
    <row r="104" spans="1:10" ht="11.1" customHeight="1">
      <c r="A104" s="266"/>
      <c r="B104" s="268" t="s">
        <v>232</v>
      </c>
      <c r="F104" s="23">
        <f t="shared" si="3"/>
        <v>219292</v>
      </c>
      <c r="H104" s="420">
        <v>219292333</v>
      </c>
      <c r="J104" s="398"/>
    </row>
    <row r="105" spans="1:10" ht="11.1" customHeight="1">
      <c r="A105" s="266"/>
      <c r="B105" s="268"/>
      <c r="F105" s="23">
        <f t="shared" si="3"/>
        <v>0</v>
      </c>
      <c r="H105" s="420"/>
      <c r="J105" s="398"/>
    </row>
    <row r="106" spans="1:10" ht="11.1" customHeight="1">
      <c r="A106" s="266"/>
      <c r="B106" s="268" t="s">
        <v>233</v>
      </c>
      <c r="F106" s="23">
        <f t="shared" si="3"/>
        <v>0</v>
      </c>
      <c r="H106" s="420"/>
      <c r="J106" s="398"/>
    </row>
    <row r="107" spans="1:10" ht="11.1" customHeight="1">
      <c r="A107" s="272" t="s">
        <v>234</v>
      </c>
      <c r="B107" s="268" t="s">
        <v>32</v>
      </c>
      <c r="F107" s="23">
        <f t="shared" si="3"/>
        <v>109496</v>
      </c>
      <c r="H107" s="420">
        <v>109496382</v>
      </c>
      <c r="J107" s="398"/>
    </row>
    <row r="108" spans="1:10" ht="11.1" customHeight="1">
      <c r="A108" s="269" t="s">
        <v>235</v>
      </c>
      <c r="B108" s="268" t="s">
        <v>236</v>
      </c>
      <c r="F108" s="23">
        <f t="shared" si="3"/>
        <v>-1897</v>
      </c>
      <c r="H108" s="420">
        <v>-1897230</v>
      </c>
      <c r="J108" s="398"/>
    </row>
    <row r="109" spans="1:10" ht="11.1" customHeight="1">
      <c r="A109" s="270">
        <v>811000</v>
      </c>
      <c r="B109" s="271" t="s">
        <v>237</v>
      </c>
      <c r="F109" s="23">
        <f t="shared" si="3"/>
        <v>-453</v>
      </c>
      <c r="H109" s="420">
        <v>-453436</v>
      </c>
      <c r="J109" s="399"/>
    </row>
    <row r="110" spans="1:10" ht="11.1" customHeight="1">
      <c r="A110" s="269">
        <v>813000</v>
      </c>
      <c r="B110" s="268" t="s">
        <v>238</v>
      </c>
      <c r="F110" s="23">
        <f t="shared" si="3"/>
        <v>863</v>
      </c>
      <c r="H110" s="420">
        <v>863097</v>
      </c>
      <c r="J110" s="398"/>
    </row>
    <row r="111" spans="1:10" ht="11.1" customHeight="1">
      <c r="A111" s="269">
        <v>813010</v>
      </c>
      <c r="B111" s="268" t="s">
        <v>239</v>
      </c>
      <c r="F111" s="23">
        <f t="shared" si="3"/>
        <v>83</v>
      </c>
      <c r="H111" s="420">
        <v>83275</v>
      </c>
      <c r="J111" s="398"/>
    </row>
    <row r="112" spans="1:10" ht="11.1" customHeight="1">
      <c r="A112" s="266"/>
      <c r="B112" s="268" t="s">
        <v>240</v>
      </c>
      <c r="F112" s="23">
        <f t="shared" si="3"/>
        <v>108092</v>
      </c>
      <c r="H112" s="420">
        <v>108092088</v>
      </c>
      <c r="J112" s="398"/>
    </row>
    <row r="113" spans="1:10" ht="11.1" customHeight="1">
      <c r="A113" s="266"/>
      <c r="B113" s="268"/>
      <c r="F113" s="23">
        <f t="shared" si="3"/>
        <v>0</v>
      </c>
      <c r="H113" s="420"/>
      <c r="J113" s="398"/>
    </row>
    <row r="114" spans="1:10" ht="11.1" customHeight="1">
      <c r="A114" s="266"/>
      <c r="B114" s="268" t="s">
        <v>241</v>
      </c>
      <c r="F114" s="23">
        <f t="shared" si="3"/>
        <v>0</v>
      </c>
      <c r="H114" s="420"/>
      <c r="J114" s="398"/>
    </row>
    <row r="115" spans="1:10" ht="11.1" customHeight="1">
      <c r="A115" s="269">
        <v>814000</v>
      </c>
      <c r="B115" s="268" t="s">
        <v>242</v>
      </c>
      <c r="F115" s="23">
        <f t="shared" si="3"/>
        <v>17</v>
      </c>
      <c r="H115" s="420">
        <v>17371</v>
      </c>
      <c r="J115" s="398"/>
    </row>
    <row r="116" spans="1:10" ht="11.1" customHeight="1">
      <c r="A116" s="269">
        <v>824000</v>
      </c>
      <c r="B116" s="268" t="s">
        <v>243</v>
      </c>
      <c r="F116" s="23">
        <f t="shared" si="3"/>
        <v>512</v>
      </c>
      <c r="H116" s="420">
        <v>511505</v>
      </c>
      <c r="J116" s="398"/>
    </row>
    <row r="117" spans="1:10" ht="11.1" customHeight="1">
      <c r="A117" s="269">
        <v>837000</v>
      </c>
      <c r="B117" s="268" t="s">
        <v>244</v>
      </c>
      <c r="F117" s="23">
        <f t="shared" si="3"/>
        <v>503</v>
      </c>
      <c r="H117" s="420">
        <v>503366</v>
      </c>
      <c r="J117" s="398"/>
    </row>
    <row r="118" spans="1:10" ht="11.1" customHeight="1">
      <c r="A118" s="266"/>
      <c r="B118" s="268" t="s">
        <v>245</v>
      </c>
      <c r="F118" s="23">
        <f t="shared" si="3"/>
        <v>1032</v>
      </c>
      <c r="H118" s="420">
        <v>1032242</v>
      </c>
      <c r="J118" s="398"/>
    </row>
    <row r="119" spans="1:10" ht="11.1" customHeight="1">
      <c r="A119" s="266"/>
      <c r="B119" s="268"/>
      <c r="F119" s="23">
        <f t="shared" si="3"/>
        <v>0</v>
      </c>
      <c r="H119" s="420"/>
      <c r="J119" s="398"/>
    </row>
    <row r="120" spans="1:10" ht="11.1" customHeight="1">
      <c r="A120" s="267"/>
      <c r="B120" s="268" t="s">
        <v>246</v>
      </c>
      <c r="F120" s="23">
        <f t="shared" si="3"/>
        <v>537</v>
      </c>
      <c r="H120" s="420">
        <v>536725</v>
      </c>
      <c r="J120" s="398"/>
    </row>
    <row r="121" spans="1:10" ht="11.1" customHeight="1">
      <c r="A121" s="267"/>
      <c r="B121" s="268" t="s">
        <v>247</v>
      </c>
      <c r="F121" s="23">
        <f t="shared" si="3"/>
        <v>0</v>
      </c>
      <c r="H121" s="420">
        <v>157</v>
      </c>
      <c r="J121" s="398"/>
    </row>
    <row r="122" spans="1:10" ht="11.1" customHeight="1">
      <c r="A122" s="266"/>
      <c r="B122" s="268" t="s">
        <v>248</v>
      </c>
      <c r="F122" s="23">
        <f t="shared" si="3"/>
        <v>73</v>
      </c>
      <c r="H122" s="420">
        <v>72785</v>
      </c>
      <c r="J122" s="398"/>
    </row>
    <row r="123" spans="1:10" ht="11.1" customHeight="1">
      <c r="A123" s="266"/>
      <c r="B123" s="268" t="s">
        <v>249</v>
      </c>
      <c r="F123" s="23">
        <f t="shared" si="3"/>
        <v>610</v>
      </c>
      <c r="H123" s="420">
        <v>609667</v>
      </c>
      <c r="J123" s="398"/>
    </row>
    <row r="124" spans="1:10" ht="11.1" customHeight="1">
      <c r="A124" s="266"/>
      <c r="B124" s="268"/>
      <c r="F124" s="23">
        <f t="shared" si="3"/>
        <v>0</v>
      </c>
      <c r="H124" s="420"/>
      <c r="J124" s="398"/>
    </row>
    <row r="125" spans="1:10" ht="11.1" customHeight="1">
      <c r="A125" s="266"/>
      <c r="B125" s="268" t="s">
        <v>250</v>
      </c>
      <c r="F125" s="23">
        <f t="shared" si="3"/>
        <v>1642</v>
      </c>
      <c r="H125" s="420">
        <v>1641909</v>
      </c>
      <c r="J125" s="398"/>
    </row>
    <row r="126" spans="1:10" ht="11.1" customHeight="1">
      <c r="A126" s="266"/>
      <c r="B126" s="268"/>
      <c r="F126" s="23">
        <f t="shared" si="3"/>
        <v>0</v>
      </c>
      <c r="H126" s="420"/>
      <c r="J126" s="398"/>
    </row>
    <row r="127" spans="1:10" ht="11.1" customHeight="1">
      <c r="A127" s="266"/>
      <c r="B127" s="268" t="s">
        <v>251</v>
      </c>
      <c r="F127" s="23">
        <f t="shared" si="3"/>
        <v>0</v>
      </c>
      <c r="H127" s="420"/>
      <c r="J127" s="398"/>
    </row>
    <row r="128" spans="1:10" ht="11.1" customHeight="1">
      <c r="A128" s="266"/>
      <c r="B128" s="268" t="s">
        <v>252</v>
      </c>
      <c r="F128" s="23">
        <f t="shared" si="3"/>
        <v>0</v>
      </c>
      <c r="H128" s="420"/>
      <c r="J128" s="398"/>
    </row>
    <row r="129" spans="1:15" ht="11.1" customHeight="1">
      <c r="A129" s="269">
        <v>870000</v>
      </c>
      <c r="B129" s="268" t="s">
        <v>242</v>
      </c>
      <c r="F129" s="23">
        <f t="shared" si="3"/>
        <v>1192</v>
      </c>
      <c r="H129" s="420">
        <v>1192481</v>
      </c>
      <c r="J129" s="398"/>
    </row>
    <row r="130" spans="1:15" ht="11.1" customHeight="1">
      <c r="A130" s="269">
        <v>871000</v>
      </c>
      <c r="B130" s="268" t="s">
        <v>253</v>
      </c>
      <c r="F130" s="23">
        <f t="shared" si="3"/>
        <v>0</v>
      </c>
      <c r="H130" s="420">
        <v>0</v>
      </c>
      <c r="J130" s="398"/>
    </row>
    <row r="131" spans="1:15" ht="11.1" customHeight="1">
      <c r="A131" s="269">
        <v>874000</v>
      </c>
      <c r="B131" s="268" t="s">
        <v>254</v>
      </c>
      <c r="F131" s="23">
        <f t="shared" si="3"/>
        <v>3047</v>
      </c>
      <c r="H131" s="420">
        <v>3047109</v>
      </c>
      <c r="J131" s="398"/>
      <c r="N131" s="112" t="s">
        <v>154</v>
      </c>
    </row>
    <row r="132" spans="1:15" ht="11.1" customHeight="1" thickBot="1">
      <c r="A132" s="269">
        <v>875000</v>
      </c>
      <c r="B132" s="268" t="s">
        <v>255</v>
      </c>
      <c r="F132" s="23">
        <f t="shared" si="3"/>
        <v>95</v>
      </c>
      <c r="H132" s="420">
        <v>94619</v>
      </c>
      <c r="J132" s="398"/>
      <c r="N132" s="113" t="s">
        <v>155</v>
      </c>
      <c r="O132" s="114"/>
    </row>
    <row r="133" spans="1:15" ht="11.1" customHeight="1" thickTop="1">
      <c r="A133" s="269">
        <v>876000</v>
      </c>
      <c r="B133" s="268" t="s">
        <v>256</v>
      </c>
      <c r="F133" s="23">
        <f t="shared" si="3"/>
        <v>10</v>
      </c>
      <c r="H133" s="420">
        <v>10109</v>
      </c>
      <c r="J133" s="398"/>
    </row>
    <row r="134" spans="1:15" ht="11.1" customHeight="1">
      <c r="A134" s="269">
        <v>877000</v>
      </c>
      <c r="B134" s="268" t="s">
        <v>257</v>
      </c>
      <c r="F134" s="23">
        <f t="shared" si="3"/>
        <v>74</v>
      </c>
      <c r="H134" s="420">
        <v>74022</v>
      </c>
      <c r="J134" s="398"/>
    </row>
    <row r="135" spans="1:15" ht="11.1" customHeight="1">
      <c r="A135" s="269">
        <v>878000</v>
      </c>
      <c r="B135" s="268" t="s">
        <v>258</v>
      </c>
      <c r="F135" s="23">
        <f t="shared" si="3"/>
        <v>340</v>
      </c>
      <c r="H135" s="420">
        <v>340217</v>
      </c>
      <c r="J135" s="398"/>
    </row>
    <row r="136" spans="1:15" ht="11.1" customHeight="1">
      <c r="A136" s="269">
        <v>879000</v>
      </c>
      <c r="B136" s="268" t="s">
        <v>259</v>
      </c>
      <c r="F136" s="23">
        <f t="shared" si="3"/>
        <v>1389</v>
      </c>
      <c r="H136" s="420">
        <v>1389106</v>
      </c>
      <c r="J136" s="398"/>
    </row>
    <row r="137" spans="1:15" ht="11.1" customHeight="1">
      <c r="A137" s="269">
        <v>880000</v>
      </c>
      <c r="B137" s="268" t="s">
        <v>243</v>
      </c>
      <c r="F137" s="23">
        <f t="shared" si="3"/>
        <v>1633</v>
      </c>
      <c r="H137" s="420">
        <v>1633284</v>
      </c>
      <c r="J137" s="398"/>
    </row>
    <row r="138" spans="1:15" ht="11.1" customHeight="1">
      <c r="A138" s="269">
        <v>881000</v>
      </c>
      <c r="B138" s="268" t="s">
        <v>260</v>
      </c>
      <c r="F138" s="23">
        <f t="shared" si="3"/>
        <v>30</v>
      </c>
      <c r="H138" s="420">
        <v>30050</v>
      </c>
      <c r="J138" s="398"/>
    </row>
    <row r="139" spans="1:15" ht="11.1" customHeight="1">
      <c r="A139" s="266"/>
      <c r="B139" s="268"/>
      <c r="F139" s="23">
        <f t="shared" si="3"/>
        <v>0</v>
      </c>
      <c r="H139" s="420"/>
      <c r="J139" s="398"/>
    </row>
    <row r="140" spans="1:15" ht="11.1" customHeight="1">
      <c r="A140" s="266"/>
      <c r="B140" s="268" t="s">
        <v>261</v>
      </c>
      <c r="F140" s="23">
        <f t="shared" si="3"/>
        <v>0</v>
      </c>
      <c r="H140" s="420"/>
      <c r="J140" s="398"/>
    </row>
    <row r="141" spans="1:15" ht="11.1" customHeight="1">
      <c r="A141" s="269">
        <v>885000</v>
      </c>
      <c r="B141" s="268" t="s">
        <v>242</v>
      </c>
      <c r="F141" s="23">
        <f t="shared" si="3"/>
        <v>115</v>
      </c>
      <c r="H141" s="420">
        <v>114822</v>
      </c>
      <c r="J141" s="398"/>
    </row>
    <row r="142" spans="1:15" ht="11.1" customHeight="1">
      <c r="A142" s="269">
        <v>887000</v>
      </c>
      <c r="B142" s="268" t="s">
        <v>262</v>
      </c>
      <c r="F142" s="23">
        <f t="shared" si="3"/>
        <v>889</v>
      </c>
      <c r="H142" s="420">
        <v>888853</v>
      </c>
      <c r="J142" s="398"/>
    </row>
    <row r="143" spans="1:15" ht="11.1" customHeight="1">
      <c r="A143" s="269">
        <v>889000</v>
      </c>
      <c r="B143" s="268" t="s">
        <v>255</v>
      </c>
      <c r="F143" s="23">
        <f t="shared" si="3"/>
        <v>159</v>
      </c>
      <c r="H143" s="420">
        <v>158963</v>
      </c>
      <c r="J143" s="398"/>
    </row>
    <row r="144" spans="1:15" ht="11.1" customHeight="1">
      <c r="A144" s="269">
        <v>890000</v>
      </c>
      <c r="B144" s="268" t="s">
        <v>256</v>
      </c>
      <c r="F144" s="23">
        <f t="shared" si="3"/>
        <v>928</v>
      </c>
      <c r="H144" s="420">
        <v>927923</v>
      </c>
      <c r="J144" s="398"/>
    </row>
    <row r="145" spans="1:10" ht="11.1" customHeight="1">
      <c r="A145" s="269">
        <v>891000</v>
      </c>
      <c r="B145" s="268" t="s">
        <v>257</v>
      </c>
      <c r="F145" s="23">
        <f t="shared" si="3"/>
        <v>59</v>
      </c>
      <c r="H145" s="420">
        <v>58844</v>
      </c>
      <c r="J145" s="398"/>
    </row>
    <row r="146" spans="1:10" ht="11.1" customHeight="1">
      <c r="A146" s="269">
        <v>892000</v>
      </c>
      <c r="B146" s="268" t="s">
        <v>263</v>
      </c>
      <c r="F146" s="23">
        <f t="shared" si="3"/>
        <v>904</v>
      </c>
      <c r="H146" s="420">
        <v>904498</v>
      </c>
      <c r="J146" s="398"/>
    </row>
    <row r="147" spans="1:10" ht="11.1" customHeight="1">
      <c r="A147" s="269">
        <v>893000</v>
      </c>
      <c r="B147" s="268" t="s">
        <v>264</v>
      </c>
      <c r="F147" s="23">
        <f t="shared" si="3"/>
        <v>1358</v>
      </c>
      <c r="H147" s="420">
        <v>1358170</v>
      </c>
      <c r="J147" s="398"/>
    </row>
    <row r="148" spans="1:10" ht="11.1" customHeight="1">
      <c r="A148" s="269">
        <v>894000</v>
      </c>
      <c r="B148" s="268" t="s">
        <v>244</v>
      </c>
      <c r="F148" s="23">
        <f t="shared" si="3"/>
        <v>167</v>
      </c>
      <c r="H148" s="420">
        <v>166576</v>
      </c>
      <c r="J148" s="398"/>
    </row>
    <row r="149" spans="1:10" ht="11.1" customHeight="1">
      <c r="A149" s="266"/>
      <c r="B149" s="268" t="s">
        <v>265</v>
      </c>
      <c r="F149" s="23">
        <f t="shared" si="3"/>
        <v>12390</v>
      </c>
      <c r="H149" s="420">
        <v>12389646</v>
      </c>
      <c r="J149" s="398"/>
    </row>
    <row r="150" spans="1:10" ht="11.1" customHeight="1">
      <c r="A150" s="266"/>
      <c r="B150" s="268"/>
      <c r="F150" s="23">
        <f t="shared" si="3"/>
        <v>0</v>
      </c>
      <c r="H150" s="420"/>
      <c r="J150" s="398"/>
    </row>
    <row r="151" spans="1:10" ht="11.1" customHeight="1">
      <c r="A151" s="266"/>
      <c r="B151" s="268" t="s">
        <v>266</v>
      </c>
      <c r="F151" s="23">
        <f t="shared" si="3"/>
        <v>10638</v>
      </c>
      <c r="H151" s="420">
        <v>10638132</v>
      </c>
      <c r="J151" s="398"/>
    </row>
    <row r="152" spans="1:10" ht="11.1" customHeight="1">
      <c r="A152" s="266"/>
      <c r="B152" s="268" t="s">
        <v>248</v>
      </c>
      <c r="F152" s="23">
        <f t="shared" si="3"/>
        <v>15342</v>
      </c>
      <c r="H152" s="420">
        <v>15342371</v>
      </c>
      <c r="J152" s="398"/>
    </row>
    <row r="153" spans="1:10" ht="11.1" customHeight="1">
      <c r="A153" s="266"/>
      <c r="B153" s="268" t="s">
        <v>267</v>
      </c>
      <c r="F153" s="23">
        <f t="shared" si="3"/>
        <v>25981</v>
      </c>
      <c r="H153" s="420">
        <v>25980503</v>
      </c>
      <c r="J153" s="398"/>
    </row>
    <row r="154" spans="1:10" ht="11.1" customHeight="1">
      <c r="A154" s="266"/>
      <c r="B154" s="268"/>
      <c r="F154" s="23">
        <f t="shared" ref="F154:F220" si="4">ROUND(H154/1000,0)</f>
        <v>0</v>
      </c>
      <c r="H154" s="420"/>
      <c r="J154" s="398"/>
    </row>
    <row r="155" spans="1:10" ht="11.1" customHeight="1">
      <c r="A155" s="266"/>
      <c r="B155" s="268" t="s">
        <v>268</v>
      </c>
      <c r="F155" s="23">
        <f t="shared" si="4"/>
        <v>38370</v>
      </c>
      <c r="H155" s="420">
        <v>38370149</v>
      </c>
      <c r="J155" s="398"/>
    </row>
    <row r="156" spans="1:10" ht="11.1" customHeight="1">
      <c r="A156" s="266"/>
      <c r="B156" s="268"/>
      <c r="F156" s="23">
        <f t="shared" si="4"/>
        <v>0</v>
      </c>
      <c r="H156" s="420"/>
      <c r="J156" s="398"/>
    </row>
    <row r="157" spans="1:10" ht="11.1" customHeight="1">
      <c r="A157" s="266"/>
      <c r="B157" s="268" t="s">
        <v>269</v>
      </c>
      <c r="F157" s="23">
        <f t="shared" si="4"/>
        <v>0</v>
      </c>
      <c r="H157" s="420"/>
      <c r="J157" s="398"/>
    </row>
    <row r="158" spans="1:10" ht="11.1" customHeight="1">
      <c r="A158" s="269">
        <v>901000</v>
      </c>
      <c r="B158" s="268" t="s">
        <v>270</v>
      </c>
      <c r="F158" s="23">
        <f t="shared" si="4"/>
        <v>102</v>
      </c>
      <c r="H158" s="420">
        <v>102009</v>
      </c>
      <c r="J158" s="398"/>
    </row>
    <row r="159" spans="1:10" ht="11.1" customHeight="1">
      <c r="A159" s="269">
        <v>902000</v>
      </c>
      <c r="B159" s="268" t="s">
        <v>271</v>
      </c>
      <c r="F159" s="23">
        <f t="shared" si="4"/>
        <v>1865</v>
      </c>
      <c r="H159" s="420">
        <v>1865454</v>
      </c>
      <c r="J159" s="398"/>
    </row>
    <row r="160" spans="1:10" ht="11.1" customHeight="1">
      <c r="A160" s="269" t="s">
        <v>272</v>
      </c>
      <c r="B160" s="268" t="s">
        <v>273</v>
      </c>
      <c r="F160" s="23">
        <f t="shared" si="4"/>
        <v>4063</v>
      </c>
      <c r="H160" s="420">
        <v>4063425</v>
      </c>
      <c r="J160" s="398"/>
    </row>
    <row r="161" spans="1:10" ht="11.1" customHeight="1">
      <c r="A161" s="269">
        <v>904000</v>
      </c>
      <c r="B161" s="268" t="s">
        <v>274</v>
      </c>
      <c r="F161" s="23">
        <f t="shared" si="4"/>
        <v>1159</v>
      </c>
      <c r="H161" s="420">
        <v>1158963</v>
      </c>
      <c r="J161" s="398"/>
    </row>
    <row r="162" spans="1:10" ht="11.1" customHeight="1">
      <c r="A162" s="269">
        <v>905000</v>
      </c>
      <c r="B162" s="268" t="s">
        <v>275</v>
      </c>
      <c r="F162" s="23">
        <f t="shared" si="4"/>
        <v>104</v>
      </c>
      <c r="H162" s="420">
        <v>103809</v>
      </c>
      <c r="J162" s="398"/>
    </row>
    <row r="163" spans="1:10" ht="11.1" customHeight="1">
      <c r="A163" s="266"/>
      <c r="B163" s="268" t="s">
        <v>276</v>
      </c>
      <c r="F163" s="23">
        <f t="shared" si="4"/>
        <v>7294</v>
      </c>
      <c r="H163" s="420">
        <v>7293660</v>
      </c>
      <c r="J163" s="398"/>
    </row>
    <row r="164" spans="1:10" ht="11.1" customHeight="1">
      <c r="A164" s="266"/>
      <c r="B164" s="268"/>
      <c r="F164" s="23">
        <f t="shared" si="4"/>
        <v>0</v>
      </c>
      <c r="H164" s="420"/>
      <c r="J164" s="398"/>
    </row>
    <row r="165" spans="1:10" ht="11.1" customHeight="1">
      <c r="A165" s="266"/>
      <c r="B165" s="268" t="s">
        <v>277</v>
      </c>
      <c r="F165" s="23">
        <f t="shared" si="4"/>
        <v>0</v>
      </c>
      <c r="H165" s="420"/>
      <c r="J165" s="398"/>
    </row>
    <row r="166" spans="1:10" ht="11.1" customHeight="1">
      <c r="A166" s="269" t="s">
        <v>278</v>
      </c>
      <c r="B166" s="268" t="s">
        <v>279</v>
      </c>
      <c r="F166" s="23">
        <f t="shared" si="4"/>
        <v>8406</v>
      </c>
      <c r="H166" s="420">
        <v>8406180</v>
      </c>
      <c r="J166" s="398"/>
    </row>
    <row r="167" spans="1:10" ht="11.1" customHeight="1">
      <c r="A167" s="269">
        <v>909000</v>
      </c>
      <c r="B167" s="268" t="s">
        <v>280</v>
      </c>
      <c r="F167" s="23">
        <f t="shared" si="4"/>
        <v>415</v>
      </c>
      <c r="H167" s="420">
        <v>414835</v>
      </c>
      <c r="J167" s="398"/>
    </row>
    <row r="168" spans="1:10" ht="11.1" customHeight="1">
      <c r="A168" s="269">
        <v>910000</v>
      </c>
      <c r="B168" s="268" t="s">
        <v>281</v>
      </c>
      <c r="F168" s="23">
        <f t="shared" si="4"/>
        <v>139</v>
      </c>
      <c r="H168" s="420">
        <v>139487</v>
      </c>
      <c r="J168" s="398"/>
    </row>
    <row r="169" spans="1:10" ht="11.1" customHeight="1">
      <c r="A169" s="266"/>
      <c r="B169" s="268" t="s">
        <v>282</v>
      </c>
      <c r="F169" s="23">
        <f t="shared" si="4"/>
        <v>8961</v>
      </c>
      <c r="H169" s="420">
        <v>8960502</v>
      </c>
      <c r="J169" s="398"/>
    </row>
    <row r="170" spans="1:10" ht="11.1" customHeight="1">
      <c r="A170" s="266"/>
      <c r="B170" s="268"/>
      <c r="F170" s="23">
        <f t="shared" si="4"/>
        <v>0</v>
      </c>
      <c r="H170" s="420"/>
      <c r="J170" s="398"/>
    </row>
    <row r="171" spans="1:10" ht="11.1" customHeight="1">
      <c r="A171" s="266"/>
      <c r="B171" s="268" t="s">
        <v>283</v>
      </c>
      <c r="F171" s="23">
        <f t="shared" si="4"/>
        <v>0</v>
      </c>
      <c r="H171" s="420"/>
      <c r="J171" s="398"/>
    </row>
    <row r="172" spans="1:10" ht="11.1" customHeight="1">
      <c r="A172" s="269">
        <v>912000</v>
      </c>
      <c r="B172" s="268" t="s">
        <v>284</v>
      </c>
      <c r="F172" s="23">
        <f t="shared" si="4"/>
        <v>0</v>
      </c>
      <c r="H172" s="420">
        <v>0</v>
      </c>
      <c r="J172" s="398"/>
    </row>
    <row r="173" spans="1:10" ht="11.1" customHeight="1">
      <c r="A173" s="269">
        <v>913000</v>
      </c>
      <c r="B173" s="268" t="s">
        <v>280</v>
      </c>
      <c r="F173" s="23">
        <f t="shared" si="4"/>
        <v>0</v>
      </c>
      <c r="H173" s="420">
        <v>0</v>
      </c>
      <c r="J173" s="398"/>
    </row>
    <row r="174" spans="1:10" ht="11.1" customHeight="1">
      <c r="A174" s="269">
        <v>916000</v>
      </c>
      <c r="B174" s="268" t="s">
        <v>285</v>
      </c>
      <c r="F174" s="23">
        <f t="shared" si="4"/>
        <v>0</v>
      </c>
      <c r="H174" s="420">
        <v>0</v>
      </c>
      <c r="J174" s="398"/>
    </row>
    <row r="175" spans="1:10" ht="11.1" customHeight="1">
      <c r="A175" s="266"/>
      <c r="B175" s="268" t="s">
        <v>286</v>
      </c>
      <c r="F175" s="23">
        <f t="shared" si="4"/>
        <v>0</v>
      </c>
      <c r="H175" s="420">
        <v>0</v>
      </c>
      <c r="J175" s="398"/>
    </row>
    <row r="176" spans="1:10" ht="11.1" customHeight="1">
      <c r="A176" s="266"/>
      <c r="B176" s="268"/>
      <c r="F176" s="23">
        <f t="shared" si="4"/>
        <v>0</v>
      </c>
      <c r="H176" s="420"/>
      <c r="J176" s="398"/>
    </row>
    <row r="177" spans="1:10" ht="11.1" customHeight="1">
      <c r="A177" s="266"/>
      <c r="B177" s="268" t="s">
        <v>287</v>
      </c>
      <c r="F177" s="23">
        <f t="shared" si="4"/>
        <v>0</v>
      </c>
      <c r="H177" s="420"/>
      <c r="J177" s="398"/>
    </row>
    <row r="178" spans="1:10" ht="11.1" customHeight="1">
      <c r="A178" s="269">
        <v>920000</v>
      </c>
      <c r="B178" s="268" t="s">
        <v>288</v>
      </c>
      <c r="F178" s="23">
        <f t="shared" si="4"/>
        <v>6313</v>
      </c>
      <c r="H178" s="420">
        <v>6313216</v>
      </c>
      <c r="J178" s="398"/>
    </row>
    <row r="179" spans="1:10" ht="11.1" customHeight="1">
      <c r="A179" s="269">
        <v>921000</v>
      </c>
      <c r="B179" s="268" t="s">
        <v>289</v>
      </c>
      <c r="F179" s="23">
        <f t="shared" si="4"/>
        <v>809</v>
      </c>
      <c r="H179" s="420">
        <v>808687</v>
      </c>
      <c r="J179" s="398"/>
    </row>
    <row r="180" spans="1:10" ht="11.1" customHeight="1">
      <c r="A180" s="269">
        <v>922000</v>
      </c>
      <c r="B180" s="268" t="s">
        <v>290</v>
      </c>
      <c r="F180" s="23">
        <f t="shared" si="4"/>
        <v>-13</v>
      </c>
      <c r="H180" s="420">
        <v>-13430</v>
      </c>
      <c r="J180" s="398"/>
    </row>
    <row r="181" spans="1:10" ht="11.1" customHeight="1">
      <c r="A181" s="269">
        <v>923000</v>
      </c>
      <c r="B181" s="268" t="s">
        <v>291</v>
      </c>
      <c r="F181" s="23">
        <f t="shared" si="4"/>
        <v>1560</v>
      </c>
      <c r="H181" s="420">
        <v>1560345</v>
      </c>
      <c r="J181" s="398"/>
    </row>
    <row r="182" spans="1:10" ht="11.1" customHeight="1">
      <c r="A182" s="269">
        <v>924000</v>
      </c>
      <c r="B182" s="268" t="s">
        <v>292</v>
      </c>
      <c r="F182" s="23">
        <f t="shared" si="4"/>
        <v>211</v>
      </c>
      <c r="H182" s="420">
        <v>211132</v>
      </c>
      <c r="J182" s="398"/>
    </row>
    <row r="183" spans="1:10" ht="11.1" customHeight="1">
      <c r="A183" s="266" t="s">
        <v>293</v>
      </c>
      <c r="B183" s="268" t="s">
        <v>294</v>
      </c>
      <c r="F183" s="23">
        <f t="shared" si="4"/>
        <v>606</v>
      </c>
      <c r="H183" s="420">
        <v>605695</v>
      </c>
      <c r="J183" s="398"/>
    </row>
    <row r="184" spans="1:10" ht="11.1" customHeight="1">
      <c r="A184" s="266" t="s">
        <v>295</v>
      </c>
      <c r="B184" s="268" t="s">
        <v>296</v>
      </c>
      <c r="F184" s="23">
        <f t="shared" si="4"/>
        <v>278</v>
      </c>
      <c r="H184" s="420">
        <v>278457</v>
      </c>
      <c r="J184" s="398"/>
    </row>
    <row r="185" spans="1:10" ht="11.1" customHeight="1">
      <c r="A185" s="269">
        <v>928000</v>
      </c>
      <c r="B185" s="268" t="s">
        <v>297</v>
      </c>
      <c r="F185" s="23">
        <f t="shared" si="4"/>
        <v>797</v>
      </c>
      <c r="H185" s="420">
        <v>796575</v>
      </c>
      <c r="J185" s="398"/>
    </row>
    <row r="186" spans="1:10" ht="11.1" customHeight="1">
      <c r="A186" s="269">
        <v>930000</v>
      </c>
      <c r="B186" s="268" t="s">
        <v>298</v>
      </c>
      <c r="F186" s="23">
        <f t="shared" si="4"/>
        <v>847</v>
      </c>
      <c r="H186" s="420">
        <v>847037</v>
      </c>
      <c r="J186" s="398"/>
    </row>
    <row r="187" spans="1:10" ht="11.1" customHeight="1">
      <c r="A187" s="269">
        <v>931000</v>
      </c>
      <c r="B187" s="268" t="s">
        <v>260</v>
      </c>
      <c r="F187" s="23">
        <f t="shared" si="4"/>
        <v>145</v>
      </c>
      <c r="H187" s="420">
        <v>144844</v>
      </c>
      <c r="J187" s="398"/>
    </row>
    <row r="188" spans="1:10" ht="11.1" customHeight="1">
      <c r="A188" s="269">
        <v>935000</v>
      </c>
      <c r="B188" s="268" t="s">
        <v>299</v>
      </c>
      <c r="F188" s="23">
        <f t="shared" si="4"/>
        <v>2335</v>
      </c>
      <c r="H188" s="420">
        <v>2334852</v>
      </c>
      <c r="J188" s="398"/>
    </row>
    <row r="189" spans="1:10" ht="11.1" customHeight="1">
      <c r="A189" s="266"/>
      <c r="B189" s="268" t="s">
        <v>300</v>
      </c>
      <c r="F189" s="23">
        <f t="shared" si="4"/>
        <v>13887</v>
      </c>
      <c r="H189" s="420">
        <v>13887410</v>
      </c>
      <c r="J189" s="398"/>
    </row>
    <row r="190" spans="1:10" ht="11.1" customHeight="1">
      <c r="A190" s="266"/>
      <c r="B190" s="268"/>
      <c r="F190" s="23">
        <f t="shared" si="4"/>
        <v>0</v>
      </c>
      <c r="H190" s="420"/>
      <c r="J190" s="398"/>
    </row>
    <row r="191" spans="1:10" ht="11.1" customHeight="1">
      <c r="A191" s="266"/>
      <c r="B191" s="268" t="s">
        <v>301</v>
      </c>
      <c r="F191" s="23">
        <f t="shared" si="4"/>
        <v>3316</v>
      </c>
      <c r="H191" s="420">
        <v>3316263</v>
      </c>
      <c r="J191" s="398"/>
    </row>
    <row r="192" spans="1:10" ht="11.1" customHeight="1">
      <c r="A192" s="266"/>
      <c r="B192" s="268" t="s">
        <v>302</v>
      </c>
      <c r="F192" s="23">
        <f t="shared" si="4"/>
        <v>114</v>
      </c>
      <c r="H192" s="420">
        <v>113776</v>
      </c>
      <c r="J192" s="398"/>
    </row>
    <row r="193" spans="1:10" ht="11.1" customHeight="1">
      <c r="A193" s="266"/>
      <c r="B193" s="268" t="s">
        <v>303</v>
      </c>
      <c r="F193" s="23">
        <f t="shared" si="4"/>
        <v>3584</v>
      </c>
      <c r="H193" s="420">
        <v>3584482</v>
      </c>
      <c r="J193" s="398"/>
    </row>
    <row r="194" spans="1:10" ht="11.1" customHeight="1">
      <c r="A194" s="267"/>
      <c r="B194" s="268" t="s">
        <v>304</v>
      </c>
      <c r="F194" s="23">
        <f t="shared" si="4"/>
        <v>0</v>
      </c>
      <c r="H194" s="420">
        <v>0</v>
      </c>
      <c r="J194" s="398"/>
    </row>
    <row r="195" spans="1:10" ht="10.95" customHeight="1">
      <c r="A195" s="441">
        <v>407025</v>
      </c>
      <c r="B195" s="440" t="s">
        <v>305</v>
      </c>
      <c r="F195" s="23">
        <f t="shared" si="4"/>
        <v>0</v>
      </c>
      <c r="H195" s="420">
        <v>0</v>
      </c>
      <c r="J195" s="398"/>
    </row>
    <row r="196" spans="1:10" ht="10.95" customHeight="1">
      <c r="A196" s="442">
        <v>407229</v>
      </c>
      <c r="B196" s="440" t="s">
        <v>425</v>
      </c>
      <c r="F196" s="23">
        <f t="shared" si="4"/>
        <v>0</v>
      </c>
      <c r="H196" s="420">
        <v>0</v>
      </c>
      <c r="J196" s="398"/>
    </row>
    <row r="197" spans="1:10" ht="10.95" customHeight="1">
      <c r="A197" s="443">
        <v>407335</v>
      </c>
      <c r="B197" s="444" t="s">
        <v>306</v>
      </c>
      <c r="F197" s="23">
        <f t="shared" si="4"/>
        <v>0</v>
      </c>
      <c r="H197" s="420">
        <v>0</v>
      </c>
      <c r="J197" s="398"/>
    </row>
    <row r="198" spans="1:10" ht="10.95" customHeight="1">
      <c r="A198" s="441" t="s">
        <v>458</v>
      </c>
      <c r="B198" s="440" t="s">
        <v>454</v>
      </c>
      <c r="F198" s="23">
        <f t="shared" si="4"/>
        <v>0</v>
      </c>
      <c r="H198" s="420">
        <v>0</v>
      </c>
      <c r="J198" s="398"/>
    </row>
    <row r="199" spans="1:10" ht="10.95" customHeight="1">
      <c r="A199" s="441" t="s">
        <v>459</v>
      </c>
      <c r="B199" s="440" t="s">
        <v>460</v>
      </c>
      <c r="F199" s="23">
        <f t="shared" si="4"/>
        <v>-162</v>
      </c>
      <c r="H199" s="420">
        <v>-161559</v>
      </c>
      <c r="J199" s="398"/>
    </row>
    <row r="200" spans="1:10" ht="10.95" customHeight="1">
      <c r="A200" s="441" t="s">
        <v>307</v>
      </c>
      <c r="B200" s="440" t="s">
        <v>308</v>
      </c>
      <c r="F200" s="23">
        <f t="shared" si="4"/>
        <v>0</v>
      </c>
      <c r="H200" s="420">
        <v>0</v>
      </c>
      <c r="J200" s="398"/>
    </row>
    <row r="201" spans="1:10" ht="10.95" customHeight="1">
      <c r="A201" s="441" t="s">
        <v>461</v>
      </c>
      <c r="B201" s="440" t="s">
        <v>462</v>
      </c>
      <c r="F201" s="23">
        <f t="shared" si="4"/>
        <v>-151</v>
      </c>
      <c r="H201" s="420">
        <v>-151279</v>
      </c>
      <c r="J201" s="399"/>
    </row>
    <row r="202" spans="1:10" ht="10.95" customHeight="1">
      <c r="A202" s="441" t="s">
        <v>427</v>
      </c>
      <c r="B202" s="440" t="s">
        <v>428</v>
      </c>
      <c r="F202" s="23">
        <f t="shared" si="4"/>
        <v>0</v>
      </c>
      <c r="H202" s="420">
        <v>0</v>
      </c>
      <c r="J202" s="398"/>
    </row>
    <row r="203" spans="1:10" ht="10.95" customHeight="1">
      <c r="A203" s="439"/>
      <c r="B203" s="440" t="s">
        <v>309</v>
      </c>
      <c r="F203" s="23">
        <f t="shared" si="4"/>
        <v>6702</v>
      </c>
      <c r="H203" s="420">
        <v>6701683</v>
      </c>
      <c r="J203" s="398"/>
    </row>
    <row r="204" spans="1:10" ht="11.1" customHeight="1">
      <c r="A204" s="266"/>
      <c r="B204" s="268"/>
      <c r="F204" s="23">
        <f t="shared" si="4"/>
        <v>0</v>
      </c>
      <c r="H204" s="420"/>
      <c r="J204" s="398"/>
    </row>
    <row r="205" spans="1:10" ht="11.1" customHeight="1">
      <c r="A205" s="269"/>
      <c r="B205" s="268" t="s">
        <v>310</v>
      </c>
      <c r="F205" s="23">
        <f t="shared" si="4"/>
        <v>20589</v>
      </c>
      <c r="H205" s="420">
        <v>20589093</v>
      </c>
      <c r="J205" s="398"/>
    </row>
    <row r="206" spans="1:10" ht="11.1" customHeight="1">
      <c r="A206" s="269"/>
      <c r="B206" s="268"/>
      <c r="F206" s="23">
        <f t="shared" si="4"/>
        <v>0</v>
      </c>
      <c r="H206" s="420"/>
      <c r="J206" s="398"/>
    </row>
    <row r="207" spans="1:10" ht="11.1" customHeight="1">
      <c r="A207" s="269"/>
      <c r="B207" s="268" t="s">
        <v>311</v>
      </c>
      <c r="F207" s="23">
        <f t="shared" si="4"/>
        <v>184947</v>
      </c>
      <c r="H207" s="420">
        <v>184947401</v>
      </c>
      <c r="J207" s="398"/>
    </row>
    <row r="208" spans="1:10" ht="11.1" customHeight="1">
      <c r="A208" s="269"/>
      <c r="B208" s="268"/>
      <c r="F208" s="23">
        <f t="shared" si="4"/>
        <v>0</v>
      </c>
      <c r="H208" s="420"/>
      <c r="J208" s="398"/>
    </row>
    <row r="209" spans="1:10" ht="11.1" customHeight="1">
      <c r="A209" s="269"/>
      <c r="B209" s="268" t="s">
        <v>312</v>
      </c>
      <c r="F209" s="23">
        <f t="shared" si="4"/>
        <v>34345</v>
      </c>
      <c r="H209" s="420">
        <v>34344932</v>
      </c>
      <c r="J209" s="398"/>
    </row>
    <row r="210" spans="1:10" ht="11.1" customHeight="1">
      <c r="A210" s="269"/>
      <c r="B210" s="268"/>
      <c r="F210" s="23">
        <f t="shared" si="4"/>
        <v>0</v>
      </c>
      <c r="H210" s="420"/>
      <c r="J210" s="398"/>
    </row>
    <row r="211" spans="1:10" ht="11.1" customHeight="1">
      <c r="A211" s="269"/>
      <c r="B211" s="268" t="s">
        <v>48</v>
      </c>
      <c r="F211" s="23">
        <f t="shared" si="4"/>
        <v>2792</v>
      </c>
      <c r="H211" s="420">
        <v>2792360</v>
      </c>
      <c r="J211" s="398"/>
    </row>
    <row r="212" spans="1:10" ht="11.1" customHeight="1">
      <c r="A212" s="269"/>
      <c r="B212" s="268" t="s">
        <v>313</v>
      </c>
      <c r="F212" s="23">
        <f t="shared" si="4"/>
        <v>6461</v>
      </c>
      <c r="H212" s="420">
        <v>6461105</v>
      </c>
      <c r="J212" s="398"/>
    </row>
    <row r="213" spans="1:10" ht="11.1" customHeight="1">
      <c r="A213" s="269"/>
      <c r="B213" s="268" t="s">
        <v>314</v>
      </c>
      <c r="F213" s="23">
        <f t="shared" si="4"/>
        <v>-15</v>
      </c>
      <c r="H213" s="420">
        <v>-14832</v>
      </c>
      <c r="J213" s="398"/>
    </row>
    <row r="214" spans="1:10" ht="11.1" customHeight="1">
      <c r="A214" s="266"/>
      <c r="B214" s="268" t="s">
        <v>315</v>
      </c>
      <c r="F214" s="23">
        <f t="shared" si="4"/>
        <v>25106</v>
      </c>
      <c r="H214" s="420">
        <v>25106299</v>
      </c>
      <c r="J214" s="398"/>
    </row>
    <row r="215" spans="1:10" ht="11.1" customHeight="1">
      <c r="F215" s="23">
        <f t="shared" si="4"/>
        <v>0</v>
      </c>
      <c r="H215" s="420">
        <v>0</v>
      </c>
      <c r="J215" s="274"/>
    </row>
    <row r="216" spans="1:10" ht="11.1" customHeight="1">
      <c r="A216" s="273"/>
      <c r="B216" s="274" t="s">
        <v>94</v>
      </c>
      <c r="F216" s="23">
        <f t="shared" si="4"/>
        <v>0</v>
      </c>
      <c r="H216" s="32"/>
      <c r="J216" s="276"/>
    </row>
    <row r="217" spans="1:10" ht="11.1" customHeight="1">
      <c r="A217" s="273"/>
      <c r="B217" s="274" t="s">
        <v>316</v>
      </c>
      <c r="F217" s="23">
        <f t="shared" si="4"/>
        <v>0</v>
      </c>
      <c r="H217" s="32"/>
      <c r="J217" s="274"/>
    </row>
    <row r="218" spans="1:10" ht="11.1" customHeight="1">
      <c r="A218" s="275">
        <v>303000</v>
      </c>
      <c r="B218" s="276" t="s">
        <v>317</v>
      </c>
      <c r="F218" s="23">
        <f t="shared" si="4"/>
        <v>2364</v>
      </c>
      <c r="H218" s="434">
        <v>2363923</v>
      </c>
      <c r="J218" s="274"/>
    </row>
    <row r="219" spans="1:10" ht="11.1" customHeight="1">
      <c r="A219" s="277" t="s">
        <v>318</v>
      </c>
      <c r="B219" s="274" t="s">
        <v>319</v>
      </c>
      <c r="F219" s="23">
        <f t="shared" si="4"/>
        <v>27675</v>
      </c>
      <c r="H219" s="434">
        <v>27675472</v>
      </c>
      <c r="J219" s="274"/>
    </row>
    <row r="220" spans="1:10" ht="11.1" customHeight="1">
      <c r="A220" s="278"/>
      <c r="B220" s="274" t="s">
        <v>320</v>
      </c>
      <c r="F220" s="23">
        <f t="shared" si="4"/>
        <v>30039</v>
      </c>
      <c r="H220" s="434">
        <v>30039395</v>
      </c>
      <c r="J220" s="274"/>
    </row>
    <row r="221" spans="1:10" ht="11.1" customHeight="1">
      <c r="A221" s="278"/>
      <c r="B221" s="274"/>
      <c r="F221" s="23">
        <f t="shared" ref="F221:F285" si="5">ROUND(H221/1000,0)</f>
        <v>0</v>
      </c>
      <c r="H221" s="434"/>
      <c r="J221" s="274"/>
    </row>
    <row r="222" spans="1:10" ht="11.1" customHeight="1">
      <c r="A222" s="278"/>
      <c r="B222" s="274" t="s">
        <v>321</v>
      </c>
      <c r="F222" s="23">
        <f t="shared" si="5"/>
        <v>0</v>
      </c>
      <c r="H222" s="434"/>
      <c r="J222" s="274"/>
    </row>
    <row r="223" spans="1:10" ht="11.1" customHeight="1">
      <c r="A223" s="279" t="s">
        <v>322</v>
      </c>
      <c r="B223" s="274" t="s">
        <v>323</v>
      </c>
      <c r="F223" s="23">
        <f t="shared" si="5"/>
        <v>890</v>
      </c>
      <c r="H223" s="434">
        <v>889792</v>
      </c>
      <c r="J223" s="274"/>
    </row>
    <row r="224" spans="1:10" ht="11.1" customHeight="1">
      <c r="A224" s="279" t="s">
        <v>324</v>
      </c>
      <c r="B224" s="274" t="s">
        <v>325</v>
      </c>
      <c r="F224" s="23">
        <f t="shared" si="5"/>
        <v>1494</v>
      </c>
      <c r="H224" s="434">
        <v>1494499</v>
      </c>
      <c r="J224" s="274"/>
    </row>
    <row r="225" spans="1:10" ht="11.1" customHeight="1">
      <c r="A225" s="279" t="s">
        <v>326</v>
      </c>
      <c r="B225" s="274" t="s">
        <v>327</v>
      </c>
      <c r="F225" s="23">
        <f t="shared" si="5"/>
        <v>13050</v>
      </c>
      <c r="H225" s="434">
        <v>13050235</v>
      </c>
      <c r="J225" s="274"/>
    </row>
    <row r="226" spans="1:10" ht="11.1" customHeight="1">
      <c r="A226" s="279">
        <v>353000</v>
      </c>
      <c r="B226" s="274" t="s">
        <v>328</v>
      </c>
      <c r="F226" s="23">
        <f t="shared" si="5"/>
        <v>721</v>
      </c>
      <c r="H226" s="434">
        <v>721316</v>
      </c>
      <c r="J226" s="274"/>
    </row>
    <row r="227" spans="1:10" ht="11.1" customHeight="1">
      <c r="A227" s="279">
        <v>354000</v>
      </c>
      <c r="B227" s="274" t="s">
        <v>329</v>
      </c>
      <c r="F227" s="23">
        <f t="shared" si="5"/>
        <v>8486</v>
      </c>
      <c r="H227" s="434">
        <v>8485798</v>
      </c>
      <c r="J227" s="274"/>
    </row>
    <row r="228" spans="1:10" ht="11.1" customHeight="1">
      <c r="A228" s="279">
        <v>355000</v>
      </c>
      <c r="B228" s="274" t="s">
        <v>330</v>
      </c>
      <c r="F228" s="23">
        <f t="shared" si="5"/>
        <v>662</v>
      </c>
      <c r="H228" s="434">
        <v>661822</v>
      </c>
      <c r="J228" s="274"/>
    </row>
    <row r="229" spans="1:10" ht="11.1" customHeight="1">
      <c r="A229" s="279">
        <v>356000</v>
      </c>
      <c r="B229" s="274" t="s">
        <v>331</v>
      </c>
      <c r="F229" s="23">
        <f t="shared" si="5"/>
        <v>279</v>
      </c>
      <c r="H229" s="434">
        <v>278804</v>
      </c>
      <c r="J229" s="274"/>
    </row>
    <row r="230" spans="1:10" ht="11.1" customHeight="1">
      <c r="A230" s="279">
        <v>357000</v>
      </c>
      <c r="B230" s="274" t="s">
        <v>244</v>
      </c>
      <c r="F230" s="23">
        <f t="shared" si="5"/>
        <v>1556</v>
      </c>
      <c r="H230" s="434">
        <v>1556192</v>
      </c>
      <c r="J230" s="274"/>
    </row>
    <row r="231" spans="1:10" ht="11.1" customHeight="1">
      <c r="A231" s="279"/>
      <c r="B231" s="274" t="s">
        <v>332</v>
      </c>
      <c r="F231" s="23">
        <f t="shared" si="5"/>
        <v>27138</v>
      </c>
      <c r="H231" s="434">
        <v>27138458</v>
      </c>
      <c r="J231" s="274"/>
    </row>
    <row r="232" spans="1:10" ht="12" customHeight="1">
      <c r="A232" s="279"/>
      <c r="B232" s="274"/>
      <c r="F232" s="23">
        <f t="shared" si="5"/>
        <v>0</v>
      </c>
      <c r="H232" s="434"/>
      <c r="J232" s="274"/>
    </row>
    <row r="233" spans="1:10" ht="11.1" customHeight="1">
      <c r="A233" s="279"/>
      <c r="B233" s="274" t="s">
        <v>333</v>
      </c>
      <c r="F233" s="23">
        <f t="shared" si="5"/>
        <v>0</v>
      </c>
      <c r="H233" s="434"/>
      <c r="J233" s="274"/>
    </row>
    <row r="234" spans="1:10" ht="11.1" customHeight="1">
      <c r="A234" s="279">
        <v>374200</v>
      </c>
      <c r="B234" s="274" t="s">
        <v>323</v>
      </c>
      <c r="F234" s="23">
        <f t="shared" si="5"/>
        <v>64</v>
      </c>
      <c r="H234" s="434">
        <v>63925</v>
      </c>
      <c r="J234" s="274"/>
    </row>
    <row r="235" spans="1:10" ht="11.1" customHeight="1">
      <c r="A235" s="279">
        <v>374400</v>
      </c>
      <c r="B235" s="274" t="s">
        <v>323</v>
      </c>
      <c r="F235" s="23">
        <f t="shared" si="5"/>
        <v>123</v>
      </c>
      <c r="H235" s="434">
        <v>123263</v>
      </c>
      <c r="J235" s="280"/>
    </row>
    <row r="236" spans="1:10" ht="11.1" customHeight="1">
      <c r="A236" s="279">
        <v>375000</v>
      </c>
      <c r="B236" s="274" t="s">
        <v>325</v>
      </c>
      <c r="F236" s="23">
        <f t="shared" si="5"/>
        <v>583</v>
      </c>
      <c r="H236" s="434">
        <v>582696</v>
      </c>
      <c r="J236" s="274"/>
    </row>
    <row r="237" spans="1:10" ht="11.1" customHeight="1">
      <c r="A237" s="279">
        <v>376000</v>
      </c>
      <c r="B237" s="280" t="s">
        <v>262</v>
      </c>
      <c r="F237" s="23">
        <f t="shared" si="5"/>
        <v>207447</v>
      </c>
      <c r="H237" s="434">
        <v>207446946</v>
      </c>
      <c r="J237" s="274"/>
    </row>
    <row r="238" spans="1:10" ht="11.1" customHeight="1">
      <c r="A238" s="279">
        <v>378000</v>
      </c>
      <c r="B238" s="274" t="s">
        <v>334</v>
      </c>
      <c r="F238" s="23">
        <f t="shared" si="5"/>
        <v>3716</v>
      </c>
      <c r="H238" s="434">
        <v>3716480</v>
      </c>
      <c r="J238" s="274"/>
    </row>
    <row r="239" spans="1:10" ht="11.1" customHeight="1">
      <c r="A239" s="279">
        <v>379000</v>
      </c>
      <c r="B239" s="274" t="s">
        <v>335</v>
      </c>
      <c r="F239" s="23">
        <f t="shared" si="5"/>
        <v>2363</v>
      </c>
      <c r="H239" s="434">
        <v>2363395</v>
      </c>
      <c r="J239" s="274"/>
    </row>
    <row r="240" spans="1:10" ht="11.1" customHeight="1">
      <c r="A240" s="279">
        <v>380000</v>
      </c>
      <c r="B240" s="274" t="s">
        <v>263</v>
      </c>
      <c r="F240" s="23">
        <f t="shared" si="5"/>
        <v>152277</v>
      </c>
      <c r="H240" s="434">
        <v>152276734</v>
      </c>
      <c r="J240" s="274"/>
    </row>
    <row r="241" spans="1:10" ht="11.1" customHeight="1">
      <c r="A241" s="279">
        <v>381000</v>
      </c>
      <c r="B241" s="274" t="s">
        <v>336</v>
      </c>
      <c r="F241" s="23">
        <f t="shared" si="5"/>
        <v>53590</v>
      </c>
      <c r="H241" s="434">
        <v>53590394</v>
      </c>
      <c r="J241" s="274"/>
    </row>
    <row r="242" spans="1:10" ht="11.1" customHeight="1">
      <c r="A242" s="279">
        <v>382000</v>
      </c>
      <c r="B242" s="274" t="s">
        <v>337</v>
      </c>
      <c r="F242" s="23">
        <f t="shared" si="5"/>
        <v>0</v>
      </c>
      <c r="H242" s="434">
        <v>0</v>
      </c>
      <c r="J242" s="274"/>
    </row>
    <row r="243" spans="1:10" ht="11.1" customHeight="1">
      <c r="A243" s="279">
        <v>383000</v>
      </c>
      <c r="B243" s="274" t="s">
        <v>338</v>
      </c>
      <c r="F243" s="23">
        <f t="shared" si="5"/>
        <v>0</v>
      </c>
      <c r="H243" s="434">
        <v>0</v>
      </c>
      <c r="J243" s="274"/>
    </row>
    <row r="244" spans="1:10" ht="11.1" customHeight="1">
      <c r="A244" s="279">
        <v>384000</v>
      </c>
      <c r="B244" s="274" t="s">
        <v>339</v>
      </c>
      <c r="F244" s="23">
        <f t="shared" si="5"/>
        <v>0</v>
      </c>
      <c r="H244" s="434">
        <v>0</v>
      </c>
      <c r="J244" s="274"/>
    </row>
    <row r="245" spans="1:10" ht="11.1" customHeight="1">
      <c r="A245" s="279">
        <v>385000</v>
      </c>
      <c r="B245" s="274" t="s">
        <v>340</v>
      </c>
      <c r="F245" s="23">
        <f t="shared" si="5"/>
        <v>2610</v>
      </c>
      <c r="H245" s="434">
        <v>2609578</v>
      </c>
      <c r="J245" s="274"/>
    </row>
    <row r="246" spans="1:10" ht="11.1" customHeight="1">
      <c r="A246" s="279">
        <v>387000</v>
      </c>
      <c r="B246" s="274" t="s">
        <v>244</v>
      </c>
      <c r="F246" s="23">
        <f t="shared" si="5"/>
        <v>0</v>
      </c>
      <c r="H246" s="434">
        <v>0</v>
      </c>
      <c r="J246" s="274"/>
    </row>
    <row r="247" spans="1:10" ht="11.1" customHeight="1">
      <c r="A247" s="279"/>
      <c r="B247" s="274" t="s">
        <v>341</v>
      </c>
      <c r="F247" s="23">
        <f t="shared" si="5"/>
        <v>422773</v>
      </c>
      <c r="H247" s="434">
        <v>422773411</v>
      </c>
      <c r="J247" s="274"/>
    </row>
    <row r="248" spans="1:10" ht="11.1" customHeight="1">
      <c r="A248" s="279"/>
      <c r="B248" s="274"/>
      <c r="F248" s="23">
        <f t="shared" si="5"/>
        <v>0</v>
      </c>
      <c r="H248" s="434"/>
      <c r="J248" s="274"/>
    </row>
    <row r="249" spans="1:10" ht="11.1" customHeight="1">
      <c r="A249" s="279"/>
      <c r="B249" s="274" t="s">
        <v>342</v>
      </c>
      <c r="F249" s="23">
        <f t="shared" si="5"/>
        <v>0</v>
      </c>
      <c r="H249" s="434"/>
      <c r="J249" s="274"/>
    </row>
    <row r="250" spans="1:10" ht="11.1" customHeight="1">
      <c r="A250" s="279" t="s">
        <v>343</v>
      </c>
      <c r="B250" s="274" t="s">
        <v>323</v>
      </c>
      <c r="F250" s="23">
        <f t="shared" si="5"/>
        <v>4134</v>
      </c>
      <c r="H250" s="434">
        <v>4133690</v>
      </c>
      <c r="J250" s="274"/>
    </row>
    <row r="251" spans="1:10" ht="11.1" customHeight="1">
      <c r="A251" s="277" t="s">
        <v>344</v>
      </c>
      <c r="B251" s="274" t="s">
        <v>325</v>
      </c>
      <c r="F251" s="23">
        <f t="shared" si="5"/>
        <v>20293</v>
      </c>
      <c r="H251" s="434">
        <v>20292917</v>
      </c>
      <c r="J251" s="274"/>
    </row>
    <row r="252" spans="1:10" ht="11.1" customHeight="1">
      <c r="A252" s="277" t="s">
        <v>345</v>
      </c>
      <c r="B252" s="274" t="s">
        <v>346</v>
      </c>
      <c r="F252" s="23">
        <f t="shared" si="5"/>
        <v>9587</v>
      </c>
      <c r="H252" s="434">
        <v>9586818</v>
      </c>
      <c r="J252" s="274"/>
    </row>
    <row r="253" spans="1:10" ht="11.1" customHeight="1">
      <c r="A253" s="277" t="s">
        <v>347</v>
      </c>
      <c r="B253" s="274" t="s">
        <v>348</v>
      </c>
      <c r="F253" s="23">
        <f t="shared" si="5"/>
        <v>10457</v>
      </c>
      <c r="H253" s="434">
        <v>10457309</v>
      </c>
      <c r="J253" s="274"/>
    </row>
    <row r="254" spans="1:10" ht="11.1" customHeight="1">
      <c r="A254" s="279">
        <v>393000</v>
      </c>
      <c r="B254" s="274" t="s">
        <v>349</v>
      </c>
      <c r="F254" s="23">
        <f t="shared" si="5"/>
        <v>759</v>
      </c>
      <c r="H254" s="434">
        <v>759067</v>
      </c>
      <c r="J254" s="274"/>
    </row>
    <row r="255" spans="1:10" ht="11.1" customHeight="1">
      <c r="A255" s="279">
        <v>394000</v>
      </c>
      <c r="B255" s="274" t="s">
        <v>350</v>
      </c>
      <c r="F255" s="23">
        <f t="shared" si="5"/>
        <v>5976</v>
      </c>
      <c r="H255" s="434">
        <v>5975882</v>
      </c>
      <c r="J255" s="274"/>
    </row>
    <row r="256" spans="1:10" ht="11.1" customHeight="1">
      <c r="A256" s="279">
        <v>395000</v>
      </c>
      <c r="B256" s="274" t="s">
        <v>351</v>
      </c>
      <c r="F256" s="23">
        <f t="shared" si="5"/>
        <v>235</v>
      </c>
      <c r="H256" s="434">
        <v>235246</v>
      </c>
      <c r="J256" s="274"/>
    </row>
    <row r="257" spans="1:10" ht="11.1" customHeight="1">
      <c r="A257" s="279" t="s">
        <v>352</v>
      </c>
      <c r="B257" s="274" t="s">
        <v>353</v>
      </c>
      <c r="F257" s="23">
        <f t="shared" si="5"/>
        <v>3214</v>
      </c>
      <c r="H257" s="434">
        <v>3213881</v>
      </c>
      <c r="J257" s="274"/>
    </row>
    <row r="258" spans="1:10" ht="11.1" customHeight="1">
      <c r="A258" s="279" t="s">
        <v>354</v>
      </c>
      <c r="B258" s="274" t="s">
        <v>355</v>
      </c>
      <c r="F258" s="23">
        <f t="shared" si="5"/>
        <v>9834</v>
      </c>
      <c r="H258" s="434">
        <v>9833611</v>
      </c>
      <c r="J258" s="274"/>
    </row>
    <row r="259" spans="1:10" ht="11.1" customHeight="1">
      <c r="A259" s="279">
        <v>398000</v>
      </c>
      <c r="B259" s="274" t="s">
        <v>356</v>
      </c>
      <c r="F259" s="23">
        <f t="shared" si="5"/>
        <v>58</v>
      </c>
      <c r="H259" s="434">
        <v>58096</v>
      </c>
      <c r="J259" s="274"/>
    </row>
    <row r="260" spans="1:10" ht="11.1" customHeight="1">
      <c r="A260" s="279"/>
      <c r="B260" s="274" t="s">
        <v>357</v>
      </c>
      <c r="F260" s="23">
        <f t="shared" si="5"/>
        <v>64547</v>
      </c>
      <c r="H260" s="434">
        <v>64546517</v>
      </c>
      <c r="J260" s="274"/>
    </row>
    <row r="261" spans="1:10" ht="11.1" customHeight="1">
      <c r="A261" s="279"/>
      <c r="B261" s="274"/>
      <c r="F261" s="23">
        <f t="shared" si="5"/>
        <v>0</v>
      </c>
      <c r="H261" s="434"/>
      <c r="J261" s="274"/>
    </row>
    <row r="262" spans="1:10" ht="11.1" customHeight="1">
      <c r="A262" s="279"/>
      <c r="B262" s="274" t="s">
        <v>358</v>
      </c>
      <c r="F262" s="23">
        <f t="shared" si="5"/>
        <v>544498</v>
      </c>
      <c r="H262" s="434">
        <v>544497781</v>
      </c>
      <c r="J262" s="274"/>
    </row>
    <row r="263" spans="1:10" ht="11.1" customHeight="1">
      <c r="A263" s="279"/>
      <c r="B263" s="274"/>
      <c r="F263" s="23">
        <f t="shared" si="5"/>
        <v>0</v>
      </c>
      <c r="H263" s="434"/>
      <c r="J263" s="274"/>
    </row>
    <row r="264" spans="1:10" ht="11.1" customHeight="1">
      <c r="A264" s="279"/>
      <c r="B264" s="274"/>
      <c r="F264" s="23">
        <f t="shared" si="5"/>
        <v>0</v>
      </c>
      <c r="H264" s="434"/>
      <c r="J264" s="274"/>
    </row>
    <row r="265" spans="1:10" ht="11.1" customHeight="1">
      <c r="A265" s="277"/>
      <c r="B265" s="274" t="s">
        <v>56</v>
      </c>
      <c r="F265" s="23">
        <f t="shared" si="5"/>
        <v>0</v>
      </c>
      <c r="H265" s="434"/>
      <c r="J265" s="274"/>
    </row>
    <row r="266" spans="1:10" ht="11.1" customHeight="1">
      <c r="A266" s="277"/>
      <c r="B266" s="274" t="s">
        <v>36</v>
      </c>
      <c r="F266" s="23">
        <f t="shared" si="5"/>
        <v>-10327</v>
      </c>
      <c r="H266" s="434">
        <v>-10326732</v>
      </c>
      <c r="J266" s="274"/>
    </row>
    <row r="267" spans="1:10" ht="11.1" customHeight="1">
      <c r="A267" s="277"/>
      <c r="B267" s="274" t="s">
        <v>53</v>
      </c>
      <c r="F267" s="23">
        <f t="shared" si="5"/>
        <v>-136840</v>
      </c>
      <c r="H267" s="434">
        <v>-136840034</v>
      </c>
      <c r="J267" s="274"/>
    </row>
    <row r="268" spans="1:10" ht="11.1" customHeight="1">
      <c r="A268" s="277"/>
      <c r="B268" s="274" t="s">
        <v>54</v>
      </c>
      <c r="F268" s="23">
        <f t="shared" si="5"/>
        <v>-19398</v>
      </c>
      <c r="H268" s="434">
        <v>-19397788</v>
      </c>
      <c r="J268" s="274"/>
    </row>
    <row r="269" spans="1:10" ht="11.1" customHeight="1">
      <c r="A269" s="273"/>
      <c r="B269" s="274" t="s">
        <v>359</v>
      </c>
      <c r="F269" s="23">
        <f t="shared" si="5"/>
        <v>-166565</v>
      </c>
      <c r="H269" s="434">
        <v>-166564554</v>
      </c>
      <c r="J269" s="274"/>
    </row>
    <row r="270" spans="1:10" ht="11.1" customHeight="1">
      <c r="A270" s="273"/>
      <c r="B270" s="274"/>
      <c r="F270" s="23">
        <f t="shared" si="5"/>
        <v>0</v>
      </c>
      <c r="H270" s="434"/>
      <c r="J270" s="274"/>
    </row>
    <row r="271" spans="1:10" ht="11.1" customHeight="1">
      <c r="A271" s="273"/>
      <c r="B271" s="274" t="s">
        <v>360</v>
      </c>
      <c r="F271" s="23">
        <f t="shared" si="5"/>
        <v>0</v>
      </c>
      <c r="H271" s="434"/>
      <c r="J271" s="274"/>
    </row>
    <row r="272" spans="1:10" ht="11.1" customHeight="1">
      <c r="A272" s="277"/>
      <c r="B272" s="274" t="s">
        <v>361</v>
      </c>
      <c r="F272" s="23">
        <f t="shared" si="5"/>
        <v>-516</v>
      </c>
      <c r="H272" s="434">
        <v>-515771</v>
      </c>
      <c r="J272" s="274"/>
    </row>
    <row r="273" spans="1:10" ht="11.1" customHeight="1">
      <c r="A273" s="277"/>
      <c r="B273" s="274" t="s">
        <v>362</v>
      </c>
      <c r="F273" s="23">
        <f t="shared" si="5"/>
        <v>-7608</v>
      </c>
      <c r="H273" s="434">
        <v>-7608248</v>
      </c>
      <c r="J273" s="274"/>
    </row>
    <row r="274" spans="1:10" ht="11.1" customHeight="1">
      <c r="A274" s="277"/>
      <c r="B274" s="274" t="s">
        <v>36</v>
      </c>
      <c r="F274" s="23">
        <f t="shared" si="5"/>
        <v>-166</v>
      </c>
      <c r="H274" s="434">
        <v>-166039</v>
      </c>
      <c r="J274" s="274"/>
    </row>
    <row r="275" spans="1:10" ht="11.1" customHeight="1">
      <c r="A275" s="277"/>
      <c r="B275" s="274" t="s">
        <v>363</v>
      </c>
      <c r="F275" s="23">
        <f t="shared" si="5"/>
        <v>-6</v>
      </c>
      <c r="H275" s="434">
        <v>-5681</v>
      </c>
      <c r="J275" s="274"/>
    </row>
    <row r="276" spans="1:10" ht="11.1" customHeight="1">
      <c r="A276" s="277"/>
      <c r="B276" s="274" t="s">
        <v>364</v>
      </c>
      <c r="F276" s="23">
        <f t="shared" si="5"/>
        <v>-8296</v>
      </c>
      <c r="H276" s="434">
        <v>-8295739</v>
      </c>
      <c r="J276" s="274"/>
    </row>
    <row r="277" spans="1:10" ht="11.1" customHeight="1">
      <c r="A277" s="277"/>
      <c r="B277" s="274"/>
      <c r="F277" s="23">
        <f t="shared" si="5"/>
        <v>0</v>
      </c>
      <c r="H277" s="434"/>
      <c r="J277" s="274"/>
    </row>
    <row r="278" spans="1:10" ht="11.1" customHeight="1">
      <c r="A278" s="277"/>
      <c r="B278" s="274" t="s">
        <v>365</v>
      </c>
      <c r="F278" s="23">
        <f t="shared" si="5"/>
        <v>-174860</v>
      </c>
      <c r="H278" s="434">
        <v>-174860293</v>
      </c>
      <c r="J278" s="274"/>
    </row>
    <row r="279" spans="1:10" ht="11.1" customHeight="1">
      <c r="A279" s="277"/>
      <c r="B279" s="274"/>
      <c r="F279" s="23">
        <f t="shared" si="5"/>
        <v>0</v>
      </c>
      <c r="H279" s="434"/>
      <c r="J279" s="274"/>
    </row>
    <row r="280" spans="1:10" ht="11.1" customHeight="1">
      <c r="A280" s="273"/>
      <c r="B280" s="274" t="s">
        <v>366</v>
      </c>
      <c r="F280" s="23">
        <f t="shared" si="5"/>
        <v>369637</v>
      </c>
      <c r="H280" s="434">
        <v>369637488</v>
      </c>
      <c r="J280" s="282"/>
    </row>
    <row r="281" spans="1:10" ht="11.1" customHeight="1">
      <c r="A281" s="273"/>
      <c r="B281" s="274"/>
      <c r="F281" s="23">
        <f t="shared" si="5"/>
        <v>0</v>
      </c>
      <c r="H281" s="434"/>
      <c r="J281" s="282"/>
    </row>
    <row r="282" spans="1:10" ht="11.1" customHeight="1">
      <c r="A282" s="281"/>
      <c r="B282" s="282" t="s">
        <v>367</v>
      </c>
      <c r="F282" s="23">
        <f t="shared" si="5"/>
        <v>0</v>
      </c>
      <c r="H282" s="434"/>
      <c r="J282" s="282"/>
    </row>
    <row r="283" spans="1:10" ht="11.1" customHeight="1">
      <c r="A283" s="283">
        <v>282900</v>
      </c>
      <c r="B283" s="282" t="s">
        <v>368</v>
      </c>
      <c r="F283" s="23">
        <f t="shared" si="5"/>
        <v>-70011</v>
      </c>
      <c r="H283" s="434">
        <v>-70010727</v>
      </c>
      <c r="J283" s="282"/>
    </row>
    <row r="284" spans="1:10" ht="11.1" customHeight="1">
      <c r="A284" s="283">
        <v>282900</v>
      </c>
      <c r="B284" s="282" t="s">
        <v>369</v>
      </c>
      <c r="F284" s="23">
        <f t="shared" ref="F284" si="6">ROUND(H284/1000,0)</f>
        <v>-12325</v>
      </c>
      <c r="H284" s="434">
        <v>-12325129</v>
      </c>
      <c r="J284" s="282"/>
    </row>
    <row r="285" spans="1:10" ht="11.1" customHeight="1">
      <c r="A285" s="283">
        <v>283750</v>
      </c>
      <c r="B285" s="282" t="s">
        <v>406</v>
      </c>
      <c r="F285" s="23">
        <f t="shared" si="5"/>
        <v>0</v>
      </c>
      <c r="H285" s="434">
        <v>0</v>
      </c>
      <c r="J285" s="274"/>
    </row>
    <row r="286" spans="1:10" ht="11.1" customHeight="1">
      <c r="A286" s="283">
        <v>283850</v>
      </c>
      <c r="B286" s="282" t="s">
        <v>370</v>
      </c>
      <c r="F286" s="23">
        <f t="shared" ref="F286:F304" si="7">ROUND(H286/1000,0)</f>
        <v>-534</v>
      </c>
      <c r="H286" s="434">
        <v>-534343</v>
      </c>
      <c r="J286" s="274"/>
    </row>
    <row r="287" spans="1:10" ht="11.1" customHeight="1">
      <c r="A287" s="277"/>
      <c r="B287" s="274" t="s">
        <v>371</v>
      </c>
      <c r="F287" s="23">
        <f t="shared" si="7"/>
        <v>-82870</v>
      </c>
      <c r="H287" s="434">
        <v>-82870199</v>
      </c>
      <c r="J287" s="274"/>
    </row>
    <row r="288" spans="1:10" ht="11.1" customHeight="1">
      <c r="A288" s="273"/>
      <c r="B288" s="274"/>
      <c r="F288" s="23">
        <f t="shared" si="7"/>
        <v>0</v>
      </c>
      <c r="H288" s="434"/>
    </row>
    <row r="289" spans="1:10" ht="11.1" customHeight="1">
      <c r="A289" s="273"/>
      <c r="B289" s="274" t="s">
        <v>372</v>
      </c>
      <c r="F289" s="23">
        <f t="shared" si="7"/>
        <v>286767</v>
      </c>
      <c r="H289" s="434">
        <v>286767289</v>
      </c>
      <c r="J289" s="285"/>
    </row>
    <row r="290" spans="1:10" ht="11.1" customHeight="1">
      <c r="F290" s="23">
        <f t="shared" si="7"/>
        <v>0</v>
      </c>
      <c r="H290" s="32"/>
      <c r="J290" s="285"/>
    </row>
    <row r="291" spans="1:10" ht="11.1" customHeight="1">
      <c r="A291" s="284"/>
      <c r="B291" s="285" t="s">
        <v>373</v>
      </c>
      <c r="F291" s="23">
        <f t="shared" si="7"/>
        <v>0</v>
      </c>
      <c r="H291" s="32"/>
      <c r="J291" s="285"/>
    </row>
    <row r="292" spans="1:10" ht="11.1" customHeight="1">
      <c r="A292" s="286">
        <v>253850</v>
      </c>
      <c r="B292" s="285" t="s">
        <v>374</v>
      </c>
      <c r="F292" s="23">
        <f t="shared" si="7"/>
        <v>0</v>
      </c>
      <c r="H292" s="420">
        <v>0</v>
      </c>
      <c r="J292" s="288"/>
    </row>
    <row r="293" spans="1:10" ht="11.1" customHeight="1">
      <c r="A293" s="286">
        <v>190850</v>
      </c>
      <c r="B293" s="285" t="s">
        <v>375</v>
      </c>
      <c r="F293" s="23">
        <f t="shared" si="7"/>
        <v>0</v>
      </c>
      <c r="H293" s="420">
        <v>0</v>
      </c>
      <c r="J293" s="288"/>
    </row>
    <row r="294" spans="1:10" ht="11.1" customHeight="1">
      <c r="A294" s="287">
        <v>117100</v>
      </c>
      <c r="B294" s="288" t="s">
        <v>376</v>
      </c>
      <c r="F294" s="23">
        <f t="shared" si="7"/>
        <v>3958</v>
      </c>
      <c r="H294" s="420">
        <v>3957873</v>
      </c>
      <c r="J294" s="289"/>
    </row>
    <row r="295" spans="1:10" ht="11.1" customHeight="1">
      <c r="A295" s="287">
        <v>164100</v>
      </c>
      <c r="B295" s="288" t="s">
        <v>377</v>
      </c>
      <c r="F295" s="23">
        <f t="shared" si="7"/>
        <v>6636</v>
      </c>
      <c r="H295" s="420">
        <v>6636227</v>
      </c>
      <c r="J295" s="289"/>
    </row>
    <row r="296" spans="1:10" ht="11.1" customHeight="1">
      <c r="A296" s="287">
        <v>252000</v>
      </c>
      <c r="B296" s="289" t="s">
        <v>378</v>
      </c>
      <c r="F296" s="23">
        <f t="shared" si="7"/>
        <v>-9</v>
      </c>
      <c r="H296" s="420">
        <v>-8593</v>
      </c>
      <c r="J296" s="291"/>
    </row>
    <row r="297" spans="1:10" ht="11.1" customHeight="1">
      <c r="A297" s="287">
        <v>235199</v>
      </c>
      <c r="B297" s="289" t="s">
        <v>379</v>
      </c>
      <c r="F297" s="23">
        <f t="shared" si="7"/>
        <v>-538</v>
      </c>
      <c r="H297" s="420">
        <v>-537844</v>
      </c>
      <c r="J297" s="288"/>
    </row>
    <row r="298" spans="1:10" ht="11.1" customHeight="1">
      <c r="A298" s="435">
        <v>182302</v>
      </c>
      <c r="B298" s="436" t="s">
        <v>434</v>
      </c>
      <c r="F298" s="23">
        <f t="shared" si="7"/>
        <v>4017</v>
      </c>
      <c r="H298" s="420">
        <v>4017346</v>
      </c>
      <c r="J298" s="288"/>
    </row>
    <row r="299" spans="1:10" ht="11.1" customHeight="1">
      <c r="A299" s="435">
        <v>283302</v>
      </c>
      <c r="B299" s="436" t="s">
        <v>435</v>
      </c>
      <c r="F299" s="23">
        <f t="shared" si="7"/>
        <v>-1406</v>
      </c>
      <c r="H299" s="420">
        <v>-1406071</v>
      </c>
      <c r="J299" s="288"/>
    </row>
    <row r="300" spans="1:10" ht="11.1" customHeight="1">
      <c r="A300" s="290"/>
      <c r="B300" s="291" t="s">
        <v>380</v>
      </c>
      <c r="F300" s="23">
        <f t="shared" si="7"/>
        <v>15075</v>
      </c>
      <c r="H300" s="420">
        <v>15074670</v>
      </c>
      <c r="J300" s="285"/>
    </row>
    <row r="301" spans="1:10" ht="11.1" customHeight="1">
      <c r="A301" s="287">
        <v>186710</v>
      </c>
      <c r="B301" s="288" t="s">
        <v>381</v>
      </c>
      <c r="F301" s="23">
        <f t="shared" si="7"/>
        <v>0</v>
      </c>
      <c r="H301" s="420">
        <v>0</v>
      </c>
      <c r="J301" s="285"/>
    </row>
    <row r="302" spans="1:10" ht="11.1" customHeight="1">
      <c r="A302" s="289"/>
      <c r="B302" s="285" t="s">
        <v>382</v>
      </c>
      <c r="F302" s="23">
        <f t="shared" si="7"/>
        <v>27734</v>
      </c>
      <c r="H302" s="420">
        <v>27733608</v>
      </c>
      <c r="J302" s="285"/>
    </row>
    <row r="303" spans="1:10" ht="11.1" customHeight="1">
      <c r="A303" s="289"/>
      <c r="B303" s="285"/>
      <c r="F303" s="23">
        <f t="shared" si="7"/>
        <v>0</v>
      </c>
      <c r="H303" s="420"/>
    </row>
    <row r="304" spans="1:10" ht="11.1" customHeight="1">
      <c r="A304" s="289"/>
      <c r="B304" s="285" t="s">
        <v>383</v>
      </c>
      <c r="F304" s="23">
        <f t="shared" si="7"/>
        <v>314501</v>
      </c>
      <c r="H304" s="420">
        <v>314500897</v>
      </c>
    </row>
  </sheetData>
  <customSheetViews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7" orientation="portrait" r:id="rId3"/>
  <headerFooter alignWithMargins="0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CD604AEB00814281E7FB598C0D8A47" ma:contentTypeVersion="76" ma:contentTypeDescription="" ma:contentTypeScope="" ma:versionID="601264b78c22b054163984324390b44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2018-08-17T07:00:00+00:00</OpenedDate>
    <SignificantOrder xmlns="dc463f71-b30c-4ab2-9473-d307f9d35888">false</SignificantOrder>
    <Date1 xmlns="dc463f71-b30c-4ab2-9473-d307f9d35888">2018-08-17T07:00:00+00:00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180701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910B098-5D36-4518-8A4E-CC33EC6CF163}"/>
</file>

<file path=customXml/itemProps2.xml><?xml version="1.0" encoding="utf-8"?>
<ds:datastoreItem xmlns:ds="http://schemas.openxmlformats.org/officeDocument/2006/customXml" ds:itemID="{EF7309B4-0471-46D2-B690-47775F0B95D7}"/>
</file>

<file path=customXml/itemProps3.xml><?xml version="1.0" encoding="utf-8"?>
<ds:datastoreItem xmlns:ds="http://schemas.openxmlformats.org/officeDocument/2006/customXml" ds:itemID="{F684D2C8-34ED-4B99-BB09-5A1118E6464D}"/>
</file>

<file path=customXml/itemProps4.xml><?xml version="1.0" encoding="utf-8"?>
<ds:datastoreItem xmlns:ds="http://schemas.openxmlformats.org/officeDocument/2006/customXml" ds:itemID="{9053E64A-1C13-4C1A-A1A4-A01B50FE38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ADJ DETAIL INPUT</vt:lpstr>
      <vt:lpstr>RR SUMMARY</vt:lpstr>
      <vt:lpstr>CF</vt:lpstr>
      <vt:lpstr>ADJ SUMMARY</vt:lpstr>
      <vt:lpstr>LEAD SHEETS-DO NOT ENTER</vt:lpstr>
      <vt:lpstr>DEBT CALC</vt:lpstr>
      <vt:lpstr>ROO INPUT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'ROO INPUT'!Print_Area</vt:lpstr>
      <vt:lpstr>'RR SUMMARY'!Print_Area</vt:lpstr>
      <vt:lpstr>Print_for_CBReport</vt:lpstr>
      <vt:lpstr>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gzhkw6</cp:lastModifiedBy>
  <cp:lastPrinted>2018-08-06T18:13:18Z</cp:lastPrinted>
  <dcterms:created xsi:type="dcterms:W3CDTF">1997-05-15T21:41:44Z</dcterms:created>
  <dcterms:modified xsi:type="dcterms:W3CDTF">2018-08-06T18:15:01Z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0x0101006E56B4D1795A2E4DB2F0B01679ED314A003ACD604AEB00814281E7FB598C0D8A47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