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970" windowHeight="12810" tabRatio="945" activeTab="3"/>
  </bookViews>
  <sheets>
    <sheet name="SEF-3 p1 Deficiency" sheetId="45" r:id="rId1"/>
    <sheet name="SEF-3 p2 ERF ROR" sheetId="110" r:id="rId2"/>
    <sheet name="SEF-3 p3 ERF Conv Factr" sheetId="115" r:id="rId3"/>
    <sheet name="SEF-3 p4 ERF Summary" sheetId="43" r:id="rId4"/>
    <sheet name="SEF-3 p5 Remove Non-ERF" sheetId="108" r:id="rId5"/>
    <sheet name="SEF-3 p6 ERF Adj Summary" sheetId="104" r:id="rId6"/>
    <sheet name="SEF-3 p7+ ERF Adj Pages" sheetId="105" r:id="rId7"/>
    <sheet name="Restating Print Macros" sheetId="4" state="veryHidden" r:id="rId8"/>
    <sheet name="Module13" sheetId="5" state="veryHidden" r:id="rId9"/>
    <sheet name="Module14" sheetId="6" state="veryHidden" r:id="rId10"/>
    <sheet name="Module15" sheetId="7" state="veryHidden" r:id="rId11"/>
    <sheet name="Module1" sheetId="8" state="veryHidden" r:id="rId12"/>
  </sheets>
  <externalReferences>
    <externalReference r:id="rId13"/>
  </externalReferences>
  <definedNames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3.01_ConvFact">'SEF-3 p3 ERF Conv Factr'!$A$2:$E$26</definedName>
    <definedName name="_3.01_Deficiency">'SEF-3 p1 Deficiency'!$A$1:$C$24</definedName>
    <definedName name="_3.01_ERF_ROR">'SEF-3 p2 ERF ROR'!$A$4:$E$30</definedName>
    <definedName name="_3.02_ERF_Summ">'SEF-3 p4 ERF Summary'!$A$4:$K$60</definedName>
    <definedName name="_3.03_RemoveNonERF">'SEF-3 p5 Remove Non-ERF'!$A$5:$C$60</definedName>
    <definedName name="_3.04_AdjSumm">'SEF-3 p6 ERF Adj Summary'!$A$4:$M$59</definedName>
    <definedName name="_3.05_RevExp">'SEF-3 p7+ ERF Adj Pages'!$A$3:$E$37</definedName>
    <definedName name="_3.06_Depr">'SEF-3 p7+ ERF Adj Pages'!$F$4:$J$28</definedName>
    <definedName name="_3.07_FIT">'SEF-3 p7+ ERF Adj Pages'!$K$4:$N$30</definedName>
    <definedName name="_3.08_DefGainsLoses">'SEF-3 p7+ ERF Adj Pages'!$O$4:$R$27</definedName>
    <definedName name="_3.09_EnvironmRem">'SEF-3 p7+ ERF Adj Pages'!$S$4:$W$33</definedName>
    <definedName name="_3.10_PaymentProc">'SEF-3 p7+ ERF Adj Pages'!$X$4:$AB$33</definedName>
    <definedName name="_3.11_Storm">'SEF-3 p7+ ERF Adj Pages'!$AC$4:$AG$36</definedName>
    <definedName name="_Key1" hidden="1">#REF!</definedName>
    <definedName name="_Key2" hidden="1">#REF!</definedName>
    <definedName name="_Order1" localSheetId="2" hidden="1">255</definedName>
    <definedName name="_Order2" localSheetId="2" hidden="1">255</definedName>
    <definedName name="_RemoveERF">'SEF-3 p5 Remove Non-ERF'!$A$8:$C$60</definedName>
    <definedName name="_Sort" hidden="1">#REF!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3.02_COC" localSheetId="1">'SEF-3 p2 ERF ROR'!$A$4:$E$27</definedName>
    <definedName name="k_ExhNo">'SEF-3 p1 Deficiency'!$C$1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  <customWorkbookViews>
    <customWorkbookView name="Page 4.03" guid="{ACABE5FC-E604-45C9-ACB7-53C863CA19F6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3" guid="{DD70B4E1-CC64-4568-BFD6-83390A7B0268}" maximized="1" windowWidth="1020" windowHeight="606" tabRatio="588" activeSheetId="1"/>
    <customWorkbookView name="Page 4.02" guid="{D358E58B-5EA6-4EB2-8562-4D9FEBA8EA54}" maximized="1" windowWidth="1276" windowHeight="719" tabRatio="588" activeSheetId="1"/>
  </customWorkbookViews>
</workbook>
</file>

<file path=xl/calcChain.xml><?xml version="1.0" encoding="utf-8"?>
<calcChain xmlns="http://schemas.openxmlformats.org/spreadsheetml/2006/main">
  <c r="AG1" i="105" l="1"/>
  <c r="AB1" i="105"/>
  <c r="W1" i="105"/>
  <c r="R1" i="105"/>
  <c r="N1" i="105"/>
  <c r="J1" i="105"/>
  <c r="E1" i="105"/>
  <c r="M1" i="104"/>
  <c r="C2" i="108"/>
  <c r="K1" i="43"/>
  <c r="E1" i="115"/>
  <c r="E1" i="110"/>
  <c r="AC8" i="105" l="1"/>
  <c r="AC7" i="105"/>
  <c r="S8" i="105"/>
  <c r="S7" i="105"/>
  <c r="O8" i="105"/>
  <c r="O7" i="105"/>
  <c r="K8" i="105"/>
  <c r="K7" i="105"/>
  <c r="F8" i="105"/>
  <c r="F7" i="105"/>
  <c r="A11" i="110"/>
  <c r="A7" i="110" l="1"/>
  <c r="D25" i="110" l="1"/>
  <c r="C25" i="110"/>
  <c r="C24" i="110"/>
  <c r="E25" i="110" l="1"/>
  <c r="E20" i="110"/>
  <c r="C21" i="110"/>
  <c r="C26" i="110"/>
  <c r="B17" i="115" l="1"/>
  <c r="E17" i="115" l="1"/>
  <c r="E19" i="115" l="1"/>
  <c r="E21" i="115" s="1"/>
  <c r="E22" i="115" s="1"/>
  <c r="E23" i="115" s="1"/>
  <c r="C23" i="45" s="1"/>
  <c r="D23" i="105" l="1"/>
  <c r="X14" i="105" l="1"/>
  <c r="X15" i="105" s="1"/>
  <c r="X16" i="105" s="1"/>
  <c r="X17" i="105" s="1"/>
  <c r="X18" i="105" s="1"/>
  <c r="X19" i="105" s="1"/>
  <c r="X20" i="105" s="1"/>
  <c r="X21" i="105" s="1"/>
  <c r="X22" i="105" s="1"/>
  <c r="X23" i="105" s="1"/>
  <c r="AC14" i="105"/>
  <c r="AC15" i="105" s="1"/>
  <c r="AC16" i="105" s="1"/>
  <c r="AC17" i="105" s="1"/>
  <c r="Z17" i="105" l="1"/>
  <c r="AB15" i="105"/>
  <c r="AB14" i="105"/>
  <c r="AA17" i="105"/>
  <c r="AB17" i="105" l="1"/>
  <c r="AB19" i="105" l="1"/>
  <c r="AB21" i="105" s="1"/>
  <c r="AB23" i="105" s="1"/>
  <c r="J32" i="104"/>
  <c r="AF27" i="105"/>
  <c r="K14" i="105" l="1"/>
  <c r="K15" i="105" s="1"/>
  <c r="K16" i="105" s="1"/>
  <c r="K17" i="105" s="1"/>
  <c r="K18" i="105" s="1"/>
  <c r="K19" i="105" s="1"/>
  <c r="K20" i="105" s="1"/>
  <c r="K21" i="105" l="1"/>
  <c r="K22" i="105" s="1"/>
  <c r="K23" i="105" s="1"/>
  <c r="K24" i="105" s="1"/>
  <c r="K25" i="105" s="1"/>
  <c r="K26" i="105" s="1"/>
  <c r="K27" i="105" s="1"/>
  <c r="K28" i="105" s="1"/>
  <c r="K29" i="105" s="1"/>
  <c r="J28" i="43"/>
  <c r="AG4" i="105" l="1"/>
  <c r="AB4" i="105"/>
  <c r="W4" i="105"/>
  <c r="R4" i="105"/>
  <c r="N4" i="105"/>
  <c r="J4" i="105"/>
  <c r="E4" i="105"/>
  <c r="F59" i="43" l="1"/>
  <c r="F44" i="43"/>
  <c r="F41" i="43"/>
  <c r="F40" i="43"/>
  <c r="F39" i="43"/>
  <c r="F37" i="43"/>
  <c r="F35" i="43"/>
  <c r="F34" i="43"/>
  <c r="F32" i="43"/>
  <c r="F31" i="43"/>
  <c r="F30" i="43"/>
  <c r="F27" i="43"/>
  <c r="F26" i="43"/>
  <c r="F24" i="43"/>
  <c r="F18" i="43"/>
  <c r="F17" i="43"/>
  <c r="F16" i="43"/>
  <c r="F56" i="43" l="1"/>
  <c r="A16" i="108" l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A47" i="108" s="1"/>
  <c r="A48" i="108" s="1"/>
  <c r="A49" i="108" s="1"/>
  <c r="A50" i="108" s="1"/>
  <c r="A51" i="108" s="1"/>
  <c r="A52" i="108" s="1"/>
  <c r="A53" i="108" s="1"/>
  <c r="A54" i="108" s="1"/>
  <c r="A55" i="108" s="1"/>
  <c r="A56" i="108" s="1"/>
  <c r="A57" i="108" s="1"/>
  <c r="A58" i="108" s="1"/>
  <c r="A59" i="108" s="1"/>
  <c r="A60" i="108" s="1"/>
  <c r="AG108" i="105" l="1"/>
  <c r="AE22" i="105" l="1"/>
  <c r="AF23" i="105" s="1"/>
  <c r="AF29" i="105" s="1"/>
  <c r="AG32" i="105" s="1"/>
  <c r="K38" i="104" s="1"/>
  <c r="AC18" i="105"/>
  <c r="AC19" i="105" s="1"/>
  <c r="AC20" i="105" s="1"/>
  <c r="AC21" i="105" l="1"/>
  <c r="AC22" i="105" s="1"/>
  <c r="AC23" i="105" s="1"/>
  <c r="AC24" i="105" s="1"/>
  <c r="AC25" i="105" s="1"/>
  <c r="AC26" i="105" s="1"/>
  <c r="AC27" i="105" s="1"/>
  <c r="AC28" i="105" s="1"/>
  <c r="AC29" i="105" s="1"/>
  <c r="AC30" i="105" s="1"/>
  <c r="AC31" i="105" s="1"/>
  <c r="AC32" i="105" s="1"/>
  <c r="AC33" i="105" s="1"/>
  <c r="AC34" i="105" s="1"/>
  <c r="AC35" i="105" s="1"/>
  <c r="AC36" i="105" s="1"/>
  <c r="AG34" i="105"/>
  <c r="K42" i="104" s="1"/>
  <c r="X8" i="105"/>
  <c r="F14" i="105"/>
  <c r="F15" i="105" s="1"/>
  <c r="F16" i="105" s="1"/>
  <c r="F17" i="105" s="1"/>
  <c r="F18" i="105" s="1"/>
  <c r="F19" i="105" s="1"/>
  <c r="F20" i="105" s="1"/>
  <c r="F21" i="105" s="1"/>
  <c r="F22" i="105" s="1"/>
  <c r="F23" i="105" s="1"/>
  <c r="F24" i="105" s="1"/>
  <c r="F25" i="105" s="1"/>
  <c r="F26" i="105" s="1"/>
  <c r="F27" i="105" s="1"/>
  <c r="F28" i="105" s="1"/>
  <c r="O14" i="105"/>
  <c r="O15" i="105" s="1"/>
  <c r="O16" i="105" s="1"/>
  <c r="O17" i="105" s="1"/>
  <c r="O18" i="105" s="1"/>
  <c r="O19" i="105" s="1"/>
  <c r="O20" i="105" s="1"/>
  <c r="O21" i="105" s="1"/>
  <c r="O22" i="105" s="1"/>
  <c r="O23" i="105" s="1"/>
  <c r="O24" i="105" s="1"/>
  <c r="O25" i="105" s="1"/>
  <c r="O26" i="105" s="1"/>
  <c r="S14" i="105"/>
  <c r="S15" i="105" s="1"/>
  <c r="S16" i="105" s="1"/>
  <c r="S17" i="105" s="1"/>
  <c r="S18" i="105" s="1"/>
  <c r="S19" i="105" s="1"/>
  <c r="S20" i="105" s="1"/>
  <c r="W16" i="105"/>
  <c r="W22" i="105"/>
  <c r="S23" i="105" l="1"/>
  <c r="S24" i="105" s="1"/>
  <c r="S25" i="105" s="1"/>
  <c r="S26" i="105" s="1"/>
  <c r="S27" i="105" s="1"/>
  <c r="S28" i="105" s="1"/>
  <c r="S29" i="105" s="1"/>
  <c r="S30" i="105" s="1"/>
  <c r="S31" i="105" s="1"/>
  <c r="S32" i="105" s="1"/>
  <c r="S21" i="105"/>
  <c r="S22" i="105" s="1"/>
  <c r="W24" i="105"/>
  <c r="W28" i="105" s="1"/>
  <c r="W30" i="105" s="1"/>
  <c r="W32" i="105" s="1"/>
  <c r="AG36" i="105"/>
  <c r="J14" i="105"/>
  <c r="R15" i="105"/>
  <c r="R17" i="105" s="1"/>
  <c r="H17" i="105"/>
  <c r="I17" i="105"/>
  <c r="J13" i="105"/>
  <c r="I39" i="104" l="1"/>
  <c r="R22" i="105"/>
  <c r="R24" i="105" s="1"/>
  <c r="J17" i="105"/>
  <c r="F36" i="104" l="1"/>
  <c r="J19" i="105"/>
  <c r="J21" i="105" s="1"/>
  <c r="R26" i="105"/>
  <c r="J25" i="105" l="1"/>
  <c r="J28" i="105" l="1"/>
  <c r="A14" i="104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A57" i="104" s="1"/>
  <c r="A58" i="104" s="1"/>
  <c r="A59" i="104" s="1"/>
  <c r="L16" i="104"/>
  <c r="G18" i="104"/>
  <c r="F18" i="104"/>
  <c r="H18" i="104"/>
  <c r="I18" i="104"/>
  <c r="J18" i="104"/>
  <c r="K18" i="104"/>
  <c r="L23" i="104"/>
  <c r="L25" i="104"/>
  <c r="E27" i="104"/>
  <c r="G27" i="104"/>
  <c r="F27" i="104"/>
  <c r="H27" i="104"/>
  <c r="I27" i="104"/>
  <c r="J27" i="104"/>
  <c r="K27" i="104"/>
  <c r="L34" i="104"/>
  <c r="H35" i="43" s="1"/>
  <c r="L36" i="104"/>
  <c r="H37" i="43" s="1"/>
  <c r="L37" i="104"/>
  <c r="H38" i="43" s="1"/>
  <c r="H39" i="104"/>
  <c r="H42" i="104"/>
  <c r="I42" i="104"/>
  <c r="J42" i="104"/>
  <c r="L53" i="104"/>
  <c r="H54" i="43" s="1"/>
  <c r="F54" i="104"/>
  <c r="F56" i="104"/>
  <c r="L58" i="104"/>
  <c r="H59" i="43" s="1"/>
  <c r="E59" i="104"/>
  <c r="G59" i="104"/>
  <c r="H59" i="104"/>
  <c r="I59" i="104"/>
  <c r="I48" i="104" s="1"/>
  <c r="J59" i="104"/>
  <c r="K59" i="104"/>
  <c r="F59" i="104" l="1"/>
  <c r="F48" i="104" s="1"/>
  <c r="H26" i="43"/>
  <c r="H24" i="43"/>
  <c r="L26" i="104"/>
  <c r="H27" i="43" s="1"/>
  <c r="H17" i="43"/>
  <c r="J44" i="104"/>
  <c r="J46" i="104" s="1"/>
  <c r="K44" i="104"/>
  <c r="K46" i="104" s="1"/>
  <c r="L30" i="104"/>
  <c r="H31" i="43" s="1"/>
  <c r="L33" i="104"/>
  <c r="H44" i="104"/>
  <c r="H46" i="104" s="1"/>
  <c r="I44" i="104"/>
  <c r="I46" i="104" s="1"/>
  <c r="G48" i="104"/>
  <c r="L54" i="104"/>
  <c r="H55" i="43" s="1"/>
  <c r="K48" i="104"/>
  <c r="L57" i="104"/>
  <c r="H58" i="43" s="1"/>
  <c r="H48" i="104"/>
  <c r="L55" i="104"/>
  <c r="H56" i="43" s="1"/>
  <c r="L38" i="104"/>
  <c r="H39" i="43" s="1"/>
  <c r="L39" i="104"/>
  <c r="H40" i="43" s="1"/>
  <c r="L29" i="104"/>
  <c r="H30" i="43" s="1"/>
  <c r="L24" i="104"/>
  <c r="H25" i="43" s="1"/>
  <c r="L56" i="104"/>
  <c r="H57" i="43" s="1"/>
  <c r="L31" i="104"/>
  <c r="H32" i="43" s="1"/>
  <c r="L15" i="104"/>
  <c r="H16" i="43" s="1"/>
  <c r="H28" i="43" l="1"/>
  <c r="H34" i="43"/>
  <c r="L59" i="104"/>
  <c r="L48" i="104" s="1"/>
  <c r="L27" i="104"/>
  <c r="L40" i="104" l="1"/>
  <c r="H41" i="43" s="1"/>
  <c r="L43" i="104" l="1"/>
  <c r="H44" i="43" s="1"/>
  <c r="H60" i="43" l="1"/>
  <c r="H49" i="43" l="1"/>
  <c r="A15" i="43" l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l="1"/>
  <c r="A59" i="43" s="1"/>
  <c r="A60" i="43" s="1"/>
  <c r="D60" i="43" l="1"/>
  <c r="D49" i="43" s="1"/>
  <c r="D19" i="43" l="1"/>
  <c r="D28" i="43" l="1"/>
  <c r="E26" i="43" l="1"/>
  <c r="G26" i="43" s="1"/>
  <c r="E35" i="43" l="1"/>
  <c r="G35" i="43" s="1"/>
  <c r="E39" i="43"/>
  <c r="G39" i="43" s="1"/>
  <c r="E30" i="43"/>
  <c r="G30" i="43" s="1"/>
  <c r="I26" i="43"/>
  <c r="D25" i="104"/>
  <c r="K26" i="43" l="1"/>
  <c r="E32" i="43"/>
  <c r="G32" i="43" s="1"/>
  <c r="I30" i="43"/>
  <c r="D29" i="104"/>
  <c r="M25" i="104"/>
  <c r="I39" i="43"/>
  <c r="D38" i="104"/>
  <c r="I35" i="43"/>
  <c r="D34" i="104"/>
  <c r="E31" i="43"/>
  <c r="G31" i="43" s="1"/>
  <c r="K30" i="43" l="1"/>
  <c r="K35" i="43"/>
  <c r="K39" i="43"/>
  <c r="M34" i="104"/>
  <c r="E16" i="43"/>
  <c r="M29" i="104"/>
  <c r="E27" i="43"/>
  <c r="G27" i="43" s="1"/>
  <c r="I31" i="43"/>
  <c r="D30" i="104"/>
  <c r="M38" i="104"/>
  <c r="E15" i="43"/>
  <c r="I32" i="43"/>
  <c r="D31" i="104"/>
  <c r="E17" i="43"/>
  <c r="G17" i="43" l="1"/>
  <c r="D16" i="104" s="1"/>
  <c r="G16" i="43"/>
  <c r="K32" i="43"/>
  <c r="K31" i="43"/>
  <c r="I27" i="43"/>
  <c r="D26" i="104"/>
  <c r="M31" i="104"/>
  <c r="M30" i="104"/>
  <c r="E24" i="43"/>
  <c r="E18" i="43"/>
  <c r="I17" i="43" l="1"/>
  <c r="G18" i="43"/>
  <c r="D17" i="104" s="1"/>
  <c r="I16" i="43"/>
  <c r="D15" i="104"/>
  <c r="K27" i="43"/>
  <c r="C19" i="43"/>
  <c r="E19" i="43"/>
  <c r="E41" i="43"/>
  <c r="G41" i="43" s="1"/>
  <c r="G24" i="43"/>
  <c r="M26" i="104"/>
  <c r="M16" i="104"/>
  <c r="K17" i="43" l="1"/>
  <c r="K16" i="43"/>
  <c r="M15" i="104"/>
  <c r="E25" i="43"/>
  <c r="C28" i="43"/>
  <c r="D23" i="104"/>
  <c r="I24" i="43"/>
  <c r="I41" i="43"/>
  <c r="D40" i="104"/>
  <c r="K41" i="43" l="1"/>
  <c r="K24" i="43"/>
  <c r="M40" i="104"/>
  <c r="M23" i="104"/>
  <c r="E28" i="43"/>
  <c r="E34" i="43" l="1"/>
  <c r="G34" i="43" s="1"/>
  <c r="E33" i="43" l="1"/>
  <c r="D33" i="104"/>
  <c r="I34" i="43"/>
  <c r="E37" i="43"/>
  <c r="G37" i="43" s="1"/>
  <c r="K34" i="43" l="1"/>
  <c r="E38" i="43"/>
  <c r="D36" i="104"/>
  <c r="I37" i="43"/>
  <c r="M33" i="104"/>
  <c r="K37" i="43" l="1"/>
  <c r="M36" i="104"/>
  <c r="C45" i="43" l="1"/>
  <c r="C47" i="43" s="1"/>
  <c r="E40" i="43" l="1"/>
  <c r="G40" i="43" s="1"/>
  <c r="I40" i="43" l="1"/>
  <c r="D39" i="104"/>
  <c r="K40" i="43" l="1"/>
  <c r="M39" i="104"/>
  <c r="E56" i="43" l="1"/>
  <c r="G56" i="43" s="1"/>
  <c r="I56" i="43" l="1"/>
  <c r="D55" i="104"/>
  <c r="K56" i="43" l="1"/>
  <c r="M55" i="104"/>
  <c r="E59" i="43" l="1"/>
  <c r="G59" i="43" s="1"/>
  <c r="E55" i="43" l="1"/>
  <c r="E57" i="43"/>
  <c r="I59" i="43"/>
  <c r="D58" i="104"/>
  <c r="K59" i="43" l="1"/>
  <c r="E54" i="43"/>
  <c r="M58" i="104"/>
  <c r="E58" i="43" l="1"/>
  <c r="C60" i="43"/>
  <c r="C49" i="43" l="1"/>
  <c r="G58" i="43"/>
  <c r="E60" i="43"/>
  <c r="E49" i="43" l="1"/>
  <c r="C51" i="43"/>
  <c r="D57" i="104"/>
  <c r="I58" i="43"/>
  <c r="K58" i="43" l="1"/>
  <c r="M57" i="104"/>
  <c r="E19" i="105" l="1"/>
  <c r="E14" i="105" l="1"/>
  <c r="E22" i="105" l="1"/>
  <c r="E20" i="105" l="1"/>
  <c r="E23" i="105" s="1"/>
  <c r="C23" i="105"/>
  <c r="E17" i="104" l="1"/>
  <c r="L17" i="104" s="1"/>
  <c r="M17" i="104" s="1"/>
  <c r="H18" i="43" l="1"/>
  <c r="I18" i="43" s="1"/>
  <c r="K18" i="43" l="1"/>
  <c r="E44" i="43" l="1"/>
  <c r="G44" i="43" s="1"/>
  <c r="I44" i="43" l="1"/>
  <c r="D43" i="104"/>
  <c r="N16" i="105" s="1"/>
  <c r="M43" i="104" l="1"/>
  <c r="K44" i="43"/>
  <c r="D16" i="105" l="1"/>
  <c r="D25" i="105" s="1"/>
  <c r="F15" i="43" l="1"/>
  <c r="C20" i="108"/>
  <c r="G15" i="43" l="1"/>
  <c r="F19" i="43"/>
  <c r="D14" i="104" l="1"/>
  <c r="G19" i="43"/>
  <c r="D18" i="104" l="1"/>
  <c r="F25" i="43" l="1"/>
  <c r="C29" i="108"/>
  <c r="F28" i="43" l="1"/>
  <c r="G25" i="43"/>
  <c r="G28" i="43" l="1"/>
  <c r="D24" i="104"/>
  <c r="I25" i="43"/>
  <c r="I28" i="43" l="1"/>
  <c r="K25" i="43"/>
  <c r="K28" i="43" s="1"/>
  <c r="D27" i="104"/>
  <c r="M24" i="104"/>
  <c r="M27" i="104" l="1"/>
  <c r="J22" i="105" l="1"/>
  <c r="F42" i="104"/>
  <c r="F44" i="104" l="1"/>
  <c r="F46" i="104" s="1"/>
  <c r="F57" i="43" l="1"/>
  <c r="G57" i="43" s="1"/>
  <c r="I57" i="43" l="1"/>
  <c r="D56" i="104"/>
  <c r="K57" i="43" l="1"/>
  <c r="M56" i="104"/>
  <c r="F54" i="43" l="1"/>
  <c r="F55" i="43" l="1"/>
  <c r="G55" i="43" s="1"/>
  <c r="C60" i="108"/>
  <c r="G54" i="43"/>
  <c r="F60" i="43" l="1"/>
  <c r="F49" i="43" s="1"/>
  <c r="C50" i="108"/>
  <c r="D54" i="104"/>
  <c r="I55" i="43"/>
  <c r="I54" i="43"/>
  <c r="D53" i="104"/>
  <c r="G60" i="43"/>
  <c r="G49" i="43" s="1"/>
  <c r="K55" i="43" l="1"/>
  <c r="M54" i="104"/>
  <c r="M53" i="104"/>
  <c r="D59" i="104"/>
  <c r="K54" i="43"/>
  <c r="I60" i="43"/>
  <c r="D48" i="104"/>
  <c r="K60" i="43" l="1"/>
  <c r="M59" i="104"/>
  <c r="M48" i="104"/>
  <c r="C15" i="45"/>
  <c r="I49" i="43"/>
  <c r="K49" i="43" l="1"/>
  <c r="F43" i="43" l="1"/>
  <c r="F38" i="43" l="1"/>
  <c r="G38" i="43" s="1"/>
  <c r="D37" i="104" l="1"/>
  <c r="I38" i="43"/>
  <c r="K38" i="43" l="1"/>
  <c r="M37" i="104"/>
  <c r="F36" i="43" l="1"/>
  <c r="F33" i="43" l="1"/>
  <c r="G33" i="43" l="1"/>
  <c r="F42" i="43" l="1"/>
  <c r="C46" i="108"/>
  <c r="D32" i="104"/>
  <c r="C48" i="108" l="1"/>
  <c r="F45" i="43"/>
  <c r="F47" i="43" s="1"/>
  <c r="F51" i="43" l="1"/>
  <c r="C52" i="108"/>
  <c r="N19" i="105" l="1"/>
  <c r="E21" i="110" l="1"/>
  <c r="D19" i="110"/>
  <c r="D24" i="110" s="1"/>
  <c r="E24" i="110" s="1"/>
  <c r="E26" i="110" s="1"/>
  <c r="C16" i="45" l="1"/>
  <c r="C18" i="45" l="1"/>
  <c r="E36" i="43" l="1"/>
  <c r="G36" i="43" l="1"/>
  <c r="D35" i="104" l="1"/>
  <c r="E42" i="43" l="1"/>
  <c r="E43" i="43"/>
  <c r="G43" i="43" s="1"/>
  <c r="D42" i="104" l="1"/>
  <c r="D45" i="43"/>
  <c r="D47" i="43" s="1"/>
  <c r="G42" i="43"/>
  <c r="E45" i="43"/>
  <c r="E47" i="43" s="1"/>
  <c r="D41" i="104" l="1"/>
  <c r="G45" i="43"/>
  <c r="G47" i="43" s="1"/>
  <c r="E51" i="43"/>
  <c r="G51" i="43" l="1"/>
  <c r="D44" i="104"/>
  <c r="D46" i="104" l="1"/>
  <c r="D50" i="104" l="1"/>
  <c r="C16" i="105" l="1"/>
  <c r="C25" i="105" s="1"/>
  <c r="E15" i="105"/>
  <c r="E16" i="105" s="1"/>
  <c r="E14" i="104" l="1"/>
  <c r="E25" i="105"/>
  <c r="D31" i="105" l="1"/>
  <c r="D28" i="105"/>
  <c r="D27" i="105"/>
  <c r="E18" i="104"/>
  <c r="L14" i="104"/>
  <c r="E35" i="104" l="1"/>
  <c r="L35" i="104" s="1"/>
  <c r="E41" i="104"/>
  <c r="L41" i="104" s="1"/>
  <c r="E32" i="104"/>
  <c r="L32" i="104" s="1"/>
  <c r="H33" i="43" s="1"/>
  <c r="E29" i="105"/>
  <c r="E33" i="105" s="1"/>
  <c r="E35" i="105" s="1"/>
  <c r="E36" i="105" s="1"/>
  <c r="E37" i="105" s="1"/>
  <c r="L18" i="104"/>
  <c r="M18" i="104" s="1"/>
  <c r="M14" i="104"/>
  <c r="H15" i="43"/>
  <c r="E42" i="104" l="1"/>
  <c r="N15" i="105" s="1"/>
  <c r="N25" i="105" s="1"/>
  <c r="H42" i="43"/>
  <c r="I42" i="43" s="1"/>
  <c r="M41" i="104"/>
  <c r="H19" i="43"/>
  <c r="I15" i="43"/>
  <c r="M32" i="104"/>
  <c r="H36" i="43"/>
  <c r="I36" i="43" s="1"/>
  <c r="M35" i="104"/>
  <c r="E44" i="104" l="1"/>
  <c r="E46" i="104" s="1"/>
  <c r="I33" i="43"/>
  <c r="I19" i="43"/>
  <c r="N13" i="105" l="1"/>
  <c r="N17" i="105" s="1"/>
  <c r="N20" i="105" s="1"/>
  <c r="N23" i="105" l="1"/>
  <c r="N27" i="105" s="1"/>
  <c r="N29" i="105" l="1"/>
  <c r="G42" i="104"/>
  <c r="L42" i="104" l="1"/>
  <c r="G44" i="104"/>
  <c r="G46" i="104" s="1"/>
  <c r="H43" i="43" l="1"/>
  <c r="M42" i="104"/>
  <c r="M44" i="104" s="1"/>
  <c r="M46" i="104" s="1"/>
  <c r="L44" i="104"/>
  <c r="L46" i="104" s="1"/>
  <c r="I43" i="43" l="1"/>
  <c r="H45" i="43"/>
  <c r="H47" i="43" s="1"/>
  <c r="M50" i="104"/>
  <c r="I45" i="43" l="1"/>
  <c r="I47" i="43" s="1"/>
  <c r="I51" i="43" l="1"/>
  <c r="C20" i="45"/>
  <c r="C21" i="45" l="1"/>
  <c r="C24" i="45" l="1"/>
  <c r="J15" i="43" l="1"/>
  <c r="J19" i="43" l="1"/>
  <c r="K15" i="43"/>
  <c r="K19" i="43" s="1"/>
  <c r="J12" i="43" l="1"/>
  <c r="J42" i="43"/>
  <c r="K42" i="43" s="1"/>
  <c r="K12" i="43"/>
  <c r="J43" i="43"/>
  <c r="K43" i="43" s="1"/>
  <c r="J33" i="43"/>
  <c r="J36" i="43"/>
  <c r="K36" i="43" s="1"/>
  <c r="J45" i="43" l="1"/>
  <c r="J47" i="43" s="1"/>
  <c r="K33" i="43"/>
  <c r="K45" i="43" s="1"/>
  <c r="K47" i="43" s="1"/>
  <c r="K51" i="43" s="1"/>
</calcChain>
</file>

<file path=xl/sharedStrings.xml><?xml version="1.0" encoding="utf-8"?>
<sst xmlns="http://schemas.openxmlformats.org/spreadsheetml/2006/main" count="424" uniqueCount="261">
  <si>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</si>
  <si>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</si>
  <si>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</si>
  <si>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</si>
  <si>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</si>
  <si>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</si>
  <si>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</si>
  <si>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</si>
  <si>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</si>
  <si>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</si>
  <si>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</si>
  <si>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</si>
  <si>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</si>
  <si>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</si>
  <si>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</si>
  <si>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</si>
  <si>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</si>
  <si>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</si>
  <si>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</si>
  <si>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</si>
  <si>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</si>
  <si>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</si>
  <si>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</si>
  <si>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</si>
  <si>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</si>
  <si>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</si>
  <si>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</si>
  <si>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</si>
  <si>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</si>
  <si>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</si>
  <si>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</si>
  <si>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</si>
  <si>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LINE</t>
  </si>
  <si>
    <t>ACTUAL</t>
  </si>
  <si>
    <t>NO.</t>
  </si>
  <si>
    <t>DESCRIPTION</t>
  </si>
  <si>
    <t>RESTATED</t>
  </si>
  <si>
    <t>ADJUSTMENT</t>
  </si>
  <si>
    <t>REVENUES</t>
  </si>
  <si>
    <t>TOTAL</t>
  </si>
  <si>
    <t>INCOME TAX</t>
  </si>
  <si>
    <t>AMORTIZATION</t>
  </si>
  <si>
    <t>RESULTS OF</t>
  </si>
  <si>
    <t>OPERATIONS</t>
  </si>
  <si>
    <t>RATE</t>
  </si>
  <si>
    <t>1</t>
  </si>
  <si>
    <t>FUEL</t>
  </si>
  <si>
    <t>OPERATING REVENUES</t>
  </si>
  <si>
    <t>RATE BASE</t>
  </si>
  <si>
    <t>WHEELING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</si>
  <si>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</si>
  <si>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</si>
  <si>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</si>
  <si>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</si>
  <si>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</si>
  <si>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</si>
  <si>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</si>
  <si>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</si>
  <si>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</si>
  <si>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DEPRECIATION</t>
  </si>
  <si>
    <t>FAS 133</t>
  </si>
  <si>
    <t>REVENUE</t>
  </si>
  <si>
    <t>EXHIBIT A-1</t>
  </si>
  <si>
    <t>ACCUM DEPR AND AMORT</t>
  </si>
  <si>
    <t>PCA</t>
  </si>
  <si>
    <t>OPERATING INCOME REQUIREMENT</t>
  </si>
  <si>
    <t>OPERATING INCOME DEFICIENCY</t>
  </si>
  <si>
    <t>REVENUE REQUIREMENT DEFICIENCY</t>
  </si>
  <si>
    <t>N/A</t>
  </si>
  <si>
    <t>ADJUSTED</t>
  </si>
  <si>
    <t>INCOME TAXES</t>
  </si>
  <si>
    <t>TAXES OTHER THAN INCOME TAXES</t>
  </si>
  <si>
    <t>GROSS UTILITY PLANT IN SERVICE</t>
  </si>
  <si>
    <t>DEFERRED G/L ON</t>
  </si>
  <si>
    <t>STORM</t>
  </si>
  <si>
    <t>AFTER</t>
  </si>
  <si>
    <t>&amp; EXPENSES</t>
  </si>
  <si>
    <t>PROPERTY SALES</t>
  </si>
  <si>
    <t>DAMAGE</t>
  </si>
  <si>
    <t>DFIT</t>
  </si>
  <si>
    <t>DETERMINATION OF ERF RELATED REVENUES AND EXPENSES</t>
  </si>
  <si>
    <t>A</t>
  </si>
  <si>
    <t>B</t>
  </si>
  <si>
    <t>C = A + B</t>
  </si>
  <si>
    <t>D</t>
  </si>
  <si>
    <t xml:space="preserve">  DEFERRED DEBITS AND CREDITS</t>
  </si>
  <si>
    <t>ASC 815</t>
  </si>
  <si>
    <t>AMOUNT</t>
  </si>
  <si>
    <t>INCREASE (DECREASE) NOI</t>
  </si>
  <si>
    <t>TEST YEAR</t>
  </si>
  <si>
    <t>ERF ADJUSTED</t>
  </si>
  <si>
    <t>RESULTS</t>
  </si>
  <si>
    <t>UTILITY PLANT IN SERVICE</t>
  </si>
  <si>
    <t>DEFERRED DEBITS</t>
  </si>
  <si>
    <t>DEFERRED TAXES</t>
  </si>
  <si>
    <t>ALLOWANCE FOR WORKING CAPITAL</t>
  </si>
  <si>
    <t>OTHER</t>
  </si>
  <si>
    <t>RESTATED OPERATING INCOME</t>
  </si>
  <si>
    <t>EXPEDITED RATE FILING INCREASE</t>
  </si>
  <si>
    <t>SALES FROM RESALE-FIRM/SPECIAL CONTRACT</t>
  </si>
  <si>
    <t>-</t>
  </si>
  <si>
    <t>REQUIREMENT</t>
  </si>
  <si>
    <t>PROCESSING COSTS</t>
  </si>
  <si>
    <t>REMEDIATION</t>
  </si>
  <si>
    <t>STUDY</t>
  </si>
  <si>
    <t>PAYMENT</t>
  </si>
  <si>
    <t>ENVIRONMENTAL</t>
  </si>
  <si>
    <t>INCREASE (DECREASE) FIT</t>
  </si>
  <si>
    <t>STATE UTILITY TAX @</t>
  </si>
  <si>
    <t>ANNUAL FILING FEE @</t>
  </si>
  <si>
    <t>UNCOLLECTIBLES @</t>
  </si>
  <si>
    <t>TOTAL  ADJUSTMENT TO RATEBASE</t>
  </si>
  <si>
    <t>ADJUSTMENT TO RATE BASE</t>
  </si>
  <si>
    <t>INCREASE (DECREASE) EXPENSE</t>
  </si>
  <si>
    <t>INCREASE (DECREASE) OPERATING EXPENSE</t>
  </si>
  <si>
    <t>INCREASE (DECREASE) FIT (LINE 11 X 21%)</t>
  </si>
  <si>
    <t>TOTAL RATE YEAR AMORTIZATION ENVIRONMENTAL (LINE 4 + LINE 9)</t>
  </si>
  <si>
    <t>INCREASE (DECREASE) IN EXPENSE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</si>
  <si>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</si>
  <si>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DOCKET UE-160203 &amp; UG-160204 CREDIT CARD FEES</t>
  </si>
  <si>
    <t>DISTRIBUTION</t>
  </si>
  <si>
    <t>SUBTOTAL DEPRECIATION EXPENSE 403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</si>
  <si>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</si>
  <si>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TRANSMISSION</t>
  </si>
  <si>
    <t>403 ELEC. PORTION OF COMMON</t>
  </si>
  <si>
    <t>403 ELEC. DEPRECIATION EXPENSE</t>
  </si>
  <si>
    <t>PAYMENT PROCESSING COSTS</t>
  </si>
  <si>
    <t>ENVIRONMENTAL REMEDIATION</t>
  </si>
  <si>
    <t>DEFERRED GAINS/LOSSES ON PROPERTY SALES</t>
  </si>
  <si>
    <t>DEPRECIATION STUDY</t>
  </si>
  <si>
    <t>REVENUES AND EXPENSES</t>
  </si>
  <si>
    <t>PUGET SOUND ENERGY-ELECTRIC 2018 ERF</t>
  </si>
  <si>
    <t>LESS TOTAL TEST YEAR AMORTIZATION</t>
  </si>
  <si>
    <t>STORM DAMAGE</t>
  </si>
  <si>
    <t>FOR THE TWELVE MONTHS ENDED MARCH, 2018</t>
  </si>
  <si>
    <t>FOR THE TWELVE MONTHS ENDED MARCH 31, 2018</t>
  </si>
  <si>
    <t>PCORC RELATED</t>
  </si>
  <si>
    <t>REMOVE NON-ERF</t>
  </si>
  <si>
    <t xml:space="preserve">E = C - D </t>
  </si>
  <si>
    <t>F = D - E</t>
  </si>
  <si>
    <t>G = E + F</t>
  </si>
  <si>
    <t>(Using twelve months ended March 2018 prepared in conformance with WAC 480-100-257)</t>
  </si>
  <si>
    <t xml:space="preserve">  DEFERRED DEBITS</t>
  </si>
  <si>
    <t xml:space="preserve">  UTILITY PLANT IN SERVICE</t>
  </si>
  <si>
    <t>COMMISSION BASIS REPORT</t>
  </si>
  <si>
    <t>PRO FORMA</t>
  </si>
  <si>
    <t>COST OF</t>
  </si>
  <si>
    <t>CAPITAL %</t>
  </si>
  <si>
    <t>CAPITAL</t>
  </si>
  <si>
    <t>EQUITY</t>
  </si>
  <si>
    <t>TOTAL COST OF CAPITAL</t>
  </si>
  <si>
    <t>TOTAL AFTER TAX COST OF CAPITAL</t>
  </si>
  <si>
    <t>ERF 17GRC</t>
  </si>
  <si>
    <t>INCREASE (DECREASE) FIT @</t>
  </si>
  <si>
    <t>EXPEDITED RATE FILING</t>
  </si>
  <si>
    <t>ANNUALIZED ERF REVENUES FROM UE-180282 2017 GRC TAX REFORM FILING</t>
  </si>
  <si>
    <t>INCREASE (DECREASE) TAXES OTHER</t>
  </si>
  <si>
    <t>INCREASE (DECREASE) OPERATING INCOME</t>
  </si>
  <si>
    <t>Segregate by Recovery Mechanism</t>
  </si>
  <si>
    <t>OPERATIONS ERF</t>
  </si>
  <si>
    <t>ADD BACK</t>
  </si>
  <si>
    <t>CURRENT FIT</t>
  </si>
  <si>
    <t xml:space="preserve">DEFERRED FIT  </t>
  </si>
  <si>
    <t>SUB TOTAL</t>
  </si>
  <si>
    <t>LESS INTEREST</t>
  </si>
  <si>
    <t>TAXABLE INCOME</t>
  </si>
  <si>
    <t>TOTAL TAXES BEFORE FIT ADJUSTMENT</t>
  </si>
  <si>
    <t>INCREASE (DECREASE) DEFERRED FIT</t>
  </si>
  <si>
    <t xml:space="preserve">INCREASE (DECREASE) NOI </t>
  </si>
  <si>
    <t>REMOVE REVENUE DEFERRALS FOR TAX REFORM</t>
  </si>
  <si>
    <t xml:space="preserve">2010 STORM DAMAGE </t>
  </si>
  <si>
    <t>2014 STORM DAMAGE</t>
  </si>
  <si>
    <t>2015 STORM DAMAGE</t>
  </si>
  <si>
    <t>2016 STORM DAMAGE</t>
  </si>
  <si>
    <t>2017 STORM DAMAGE</t>
  </si>
  <si>
    <t xml:space="preserve">01/18/12 SNOW STORM </t>
  </si>
  <si>
    <t xml:space="preserve">DEFERRED BALANCES FOR 6 YEAR AMORTIZATION </t>
  </si>
  <si>
    <t>TEST YEAR INCLUDES FULL YEAR OF PROCESSING FEES</t>
  </si>
  <si>
    <t>INCREASE(DECREASE) OPERATING EXPENSE (LINES 3 &amp; 8)</t>
  </si>
  <si>
    <t xml:space="preserve">SHARE OF DEFERRED UNASSIGNED RECOVERIES </t>
  </si>
  <si>
    <t>ELECTRIC ENVIRONMENTAL REMEDIATION DEFERRED COSTS</t>
  </si>
  <si>
    <t>INSURANCE PROCEEDS &amp; THIRD PARTY PAYMENTS</t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</si>
  <si>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</si>
  <si>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t>TOTAL INCREASE (DECREASE) OPERATING EXPENSE</t>
  </si>
  <si>
    <t>EXPEDITED RATE FILING REVENUES - SALES TO CUSTOMERS</t>
  </si>
  <si>
    <t>ALL OTHER ERF RELATED REVENUES</t>
  </si>
  <si>
    <t>RECLASSIFY TRANSPORTATION REVENUE TO SALES TO CUSTOMERS</t>
  </si>
  <si>
    <t>REMOVE DECOUPLING DEFERRALS FROM TEST YEAR</t>
  </si>
  <si>
    <t>TOTAL INCREASE (DECREASE) IN REVENUES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</si>
  <si>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</si>
  <si>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</si>
  <si>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</si>
  <si>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</si>
  <si>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</si>
  <si>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</si>
  <si>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ANNUAL AMORTIZATION (LN 3 ÷ 36) x 12</t>
  </si>
  <si>
    <t>INCREASE (DECREASE) EXPENSE  (LINE 13 - LINE 11)</t>
  </si>
  <si>
    <t>ADJUSTMENT TO ACCUM. DEPREC. AT 100% DEPREC. EXP. LINE 21</t>
  </si>
  <si>
    <t xml:space="preserve">  ACCUMULATED DFIT</t>
  </si>
  <si>
    <t>PRO FORMA COST OF CAPITAL APPROVED IN UE-170033/UG-170034</t>
  </si>
  <si>
    <t>ADJUSTED FOR FEDERAL TAX RATE CHANGE FROM 35% to 21%</t>
  </si>
  <si>
    <t>UPDATED FOR NEW DEBT ISSUANCES</t>
  </si>
  <si>
    <t>COST %</t>
  </si>
  <si>
    <t>SHORT TERM AND LONG TERM DEBT</t>
  </si>
  <si>
    <t>AFTER TAX SHORT AND LONG TERM DEBT</t>
  </si>
  <si>
    <t>ANNUALIZE FEDERAL</t>
  </si>
  <si>
    <t>ANNUALIZE FEDERAL INCOME TAX</t>
  </si>
  <si>
    <t xml:space="preserve">TOTAL </t>
  </si>
  <si>
    <t>AMORTIZATION OF ELECTRIC DEFERRED GAINS/LOSSES FOR THE TEST YEAR</t>
  </si>
  <si>
    <t>DEFERRED GAIN APPROVED IN  UE-180282</t>
  </si>
  <si>
    <t>DEFERRED LOSS APRROVED IN UE-180282</t>
  </si>
  <si>
    <t>CONVERSION FACTOR - ELECTRIC</t>
  </si>
  <si>
    <t>Ref 3.05</t>
  </si>
  <si>
    <t>Ref 3.06</t>
  </si>
  <si>
    <t>Ref 3.07</t>
  </si>
  <si>
    <t>Ref 3.08</t>
  </si>
  <si>
    <t>Ref 3.09</t>
  </si>
  <si>
    <t>Ref 3.10</t>
  </si>
  <si>
    <t>Ref 3.11</t>
  </si>
  <si>
    <t>Ref 3.01 Page 2 of 3</t>
  </si>
  <si>
    <t>Ref 3.01 Page 1 of 3</t>
  </si>
  <si>
    <t>(Included in SEF-5)</t>
  </si>
  <si>
    <t>Ref 3.01 Page 3 of 3</t>
  </si>
  <si>
    <t>Ref 3.02</t>
  </si>
  <si>
    <t>REMOVE NON-ERF (PCORC)</t>
  </si>
  <si>
    <t>Ref 3.03</t>
  </si>
  <si>
    <t>EXPEDITED RATE FILING ADJUSTMENTS SUMMARY</t>
  </si>
  <si>
    <t>Ref 3.04</t>
  </si>
  <si>
    <t xml:space="preserve">AMOUNTS THAT HAVE CHANGED SINCE UE-170033/UG-170034  &amp; UE-180282/UG-180283 </t>
  </si>
  <si>
    <t>HAVE BEEN HIGHLIGHTED IN BLUE.</t>
  </si>
  <si>
    <t>OPERATIONS - ERF</t>
  </si>
  <si>
    <t>NET OPERATING INCOME BEFORE FIT ADJUSTMENT AND INTEREST DEDUCTION</t>
  </si>
  <si>
    <t xml:space="preserve">EFFECTIVE TAX RATE </t>
  </si>
  <si>
    <t>CALCULATED ANNUALIZED RESTATED FEDERAL INCOME TAX</t>
  </si>
  <si>
    <t>TOTAL DEFERRED NET GAIN AND LOSSES TO AMORTIZE</t>
  </si>
  <si>
    <r>
      <t>ENVIRONMENTAL REMEDIATION COSTS</t>
    </r>
    <r>
      <rPr>
        <sz val="10"/>
        <color rgb="FF0000FF"/>
        <rFont val="Calibri"/>
        <family val="2"/>
      </rPr>
      <t/>
    </r>
  </si>
  <si>
    <t>APRROVED IN UE-180282 (2017 GRC TAX REFORM)</t>
  </si>
  <si>
    <r>
      <rPr>
        <vertAlign val="superscript"/>
        <sz val="9"/>
        <color rgb="FF0000CC"/>
        <rFont val="Times New Roman"/>
        <family val="1"/>
      </rPr>
      <t xml:space="preserve">1  </t>
    </r>
    <r>
      <rPr>
        <sz val="10"/>
        <color rgb="FF0000CC"/>
        <rFont val="Times New Roman"/>
        <family val="1"/>
      </rPr>
      <t>APRROVED IN UE-180282 (2017 GRC TAX REFORM)</t>
    </r>
  </si>
  <si>
    <r>
      <t>AMORTIZATION OF DEFERRAL- 3 YEAR AMORT</t>
    </r>
    <r>
      <rPr>
        <vertAlign val="superscript"/>
        <sz val="9"/>
        <rFont val="Times New Roman"/>
        <family val="1"/>
      </rPr>
      <t>1</t>
    </r>
  </si>
  <si>
    <t>ANNUAL AMORTIZATION (LINE 10 ÷ 48) x 12</t>
  </si>
  <si>
    <r>
      <t xml:space="preserve">ANNUAL AMORTIZATION (LINE 14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</si>
  <si>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</t>
  </si>
  <si>
    <t xml:space="preserve">INCREASE (DECREASE) FIT  </t>
  </si>
  <si>
    <t>RECLASSIFY TRANSPORTATION REVENUE FROM OTHER OPERATING REV.</t>
  </si>
  <si>
    <t>Exh. SEF-3</t>
  </si>
  <si>
    <t>Page 1 of 13</t>
  </si>
  <si>
    <t>Page 2 of 13</t>
  </si>
  <si>
    <t>Page 3 of 13</t>
  </si>
  <si>
    <t>Page 4 of 13</t>
  </si>
  <si>
    <t>Page 5 of 13</t>
  </si>
  <si>
    <t>Page 6 of 13</t>
  </si>
  <si>
    <t>Page 7 of 13</t>
  </si>
  <si>
    <t>Page 8 of 13</t>
  </si>
  <si>
    <t>Page 9 of 13</t>
  </si>
  <si>
    <t>Page 10 of 13</t>
  </si>
  <si>
    <t>Page 11 of 13</t>
  </si>
  <si>
    <t>Page 12 of 13</t>
  </si>
  <si>
    <t>Page 13 of 13</t>
  </si>
  <si>
    <t>DEFERRED BALANCES FOR STORM 4 YEAR AMORTIZATION</t>
  </si>
  <si>
    <t>H</t>
  </si>
  <si>
    <t>I = G +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</si>
</sst>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.0000000;\(#,##0.0000000\)"/>
    <numFmt numFmtId="166" formatCode="#,##0;\(#,##0\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_);[Red]_(&quot;$&quot;* \(#,##0\);_(&quot;$&quot;* &quot;-&quot;_);_(@_)"/>
    <numFmt numFmtId="170" formatCode="0.000000"/>
    <numFmt numFmtId="171" formatCode="0.0000%"/>
    <numFmt numFmtId="172" formatCode="0.00000%"/>
    <numFmt numFmtId="173" formatCode="_(* #,##0.00000_);_(* \(#,##0.00000\);_(* &quot;-&quot;??_);_(@_)"/>
    <numFmt numFmtId="174" formatCode="_(* #,##0.0_);_(* \(#,##0.0\);_(* &quot;-&quot;_);_(@_)"/>
    <numFmt numFmtId="175" formatCode="&quot;Adj.&quot;\ 0.00"/>
    <numFmt numFmtId="176" formatCode="0.00000"/>
    <numFmt numFmtId="177" formatCode="_(&quot;$&quot;* #,##0.0000_);_(&quot;$&quot;* \(#,##0.0000\);_(&quot;$&quot;* &quot;-&quot;????_);_(@_)"/>
    <numFmt numFmtId="178" formatCode="0.0%"/>
    <numFmt numFmtId="179" formatCode="0.00000000"/>
    <numFmt numFmtId="180" formatCode="0.0000000"/>
    <numFmt numFmtId="181" formatCode="0000"/>
    <numFmt numFmtId="182" formatCode="000000"/>
    <numFmt numFmtId="183" formatCode="d\.mmm\.yy"/>
    <numFmt numFmtId="184" formatCode="dd\-mmm\-yy"/>
    <numFmt numFmtId="185" formatCode="_-* #,##0.00\ _D_M_-;\-* #,##0.00\ _D_M_-;_-* &quot;-&quot;??\ _D_M_-;_-@_-"/>
    <numFmt numFmtId="186" formatCode="&quot;$&quot;#,##0.00;\(&quot;$&quot;#,##0.00\)"/>
    <numFmt numFmtId="187" formatCode="#."/>
    <numFmt numFmtId="188" formatCode="_-* #,##0.00\ &quot;DM&quot;_-;\-* #,##0.00\ &quot;DM&quot;_-;_-* &quot;-&quot;??\ &quot;DM&quot;_-;_-@_-"/>
    <numFmt numFmtId="189" formatCode="&quot;$&quot;#,##0\ ;\(&quot;$&quot;#,##0\)"/>
    <numFmt numFmtId="190" formatCode="_(&quot;$&quot;* #,##0.0_);_(&quot;$&quot;* \(#,##0.0\);_(&quot;$&quot;* &quot;-&quot;??_);_(@_)"/>
    <numFmt numFmtId="191" formatCode="0.00_)"/>
    <numFmt numFmtId="192" formatCode="mmmm\ d\,\ yyyy"/>
    <numFmt numFmtId="193" formatCode="&quot;$&quot;#,##0.00"/>
    <numFmt numFmtId="194" formatCode="#,##0.000000;\(#,##0.000000\)"/>
  </numFmts>
  <fonts count="89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Helv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Helv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8.8000000000000007"/>
      <name val="Symbol"/>
      <family val="1"/>
      <charset val="2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8"/>
      <name val="Helv"/>
    </font>
    <font>
      <b/>
      <i/>
      <sz val="10"/>
      <color rgb="FF0000FF"/>
      <name val="Times New Roman"/>
      <family val="1"/>
    </font>
    <font>
      <b/>
      <u/>
      <sz val="10"/>
      <name val="Times New Roman"/>
      <family val="1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vertAlign val="superscript"/>
      <sz val="9"/>
      <name val="Times New Roman"/>
      <family val="1"/>
    </font>
    <font>
      <sz val="8"/>
      <color rgb="FFFF0000"/>
      <name val="Helv"/>
    </font>
    <font>
      <sz val="10"/>
      <color rgb="FFFF0000"/>
      <name val="Times New Roman"/>
      <family val="1"/>
    </font>
    <font>
      <vertAlign val="superscript"/>
      <sz val="9"/>
      <color rgb="FF0000CC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4">
    <xf numFmtId="170" fontId="0" fillId="0" borderId="0">
      <alignment horizontal="left" wrapText="1"/>
    </xf>
    <xf numFmtId="0" fontId="7" fillId="0" borderId="0"/>
    <xf numFmtId="177" fontId="7" fillId="0" borderId="0">
      <alignment horizontal="left" wrapText="1"/>
    </xf>
    <xf numFmtId="0" fontId="2" fillId="0" borderId="0"/>
    <xf numFmtId="170" fontId="7" fillId="0" borderId="0">
      <alignment horizontal="left" wrapText="1"/>
    </xf>
    <xf numFmtId="173" fontId="7" fillId="0" borderId="0">
      <alignment horizontal="left" wrapText="1"/>
    </xf>
    <xf numFmtId="180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0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44" fillId="0" borderId="0"/>
    <xf numFmtId="173" fontId="7" fillId="0" borderId="0">
      <alignment horizontal="left" wrapText="1"/>
    </xf>
    <xf numFmtId="170" fontId="7" fillId="0" borderId="0">
      <alignment horizontal="left" wrapText="1"/>
    </xf>
    <xf numFmtId="173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44" fillId="0" borderId="0"/>
    <xf numFmtId="181" fontId="45" fillId="0" borderId="0">
      <alignment horizontal="left"/>
    </xf>
    <xf numFmtId="182" fontId="46" fillId="0" borderId="0">
      <alignment horizontal="left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8" fillId="48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8" fillId="51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8" fillId="4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7" fillId="55" borderId="0" applyNumberFormat="0" applyBorder="0" applyAlignment="0" applyProtection="0"/>
    <xf numFmtId="0" fontId="47" fillId="50" borderId="0" applyNumberFormat="0" applyBorder="0" applyAlignment="0" applyProtection="0"/>
    <xf numFmtId="0" fontId="48" fillId="56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6" fillId="0" borderId="0" applyFont="0" applyFill="0" applyBorder="0" applyAlignment="0" applyProtection="0">
      <alignment horizontal="right"/>
    </xf>
    <xf numFmtId="183" fontId="49" fillId="0" borderId="0" applyFill="0" applyBorder="0" applyAlignment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38" fillId="8" borderId="33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0" fontId="40" fillId="9" borderId="36" applyNumberFormat="0" applyAlignment="0" applyProtection="0"/>
    <xf numFmtId="41" fontId="7" fillId="57" borderId="0"/>
    <xf numFmtId="18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18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14" fillId="0" borderId="0"/>
    <xf numFmtId="0" fontId="14" fillId="0" borderId="0"/>
    <xf numFmtId="0" fontId="54" fillId="0" borderId="0"/>
    <xf numFmtId="187" fontId="55" fillId="0" borderId="0">
      <protection locked="0"/>
    </xf>
    <xf numFmtId="0" fontId="54" fillId="0" borderId="0"/>
    <xf numFmtId="0" fontId="56" fillId="0" borderId="0" applyNumberFormat="0" applyAlignment="0">
      <alignment horizontal="left"/>
    </xf>
    <xf numFmtId="0" fontId="57" fillId="0" borderId="0" applyNumberFormat="0" applyAlignment="0"/>
    <xf numFmtId="0" fontId="14" fillId="0" borderId="0"/>
    <xf numFmtId="0" fontId="54" fillId="0" borderId="0"/>
    <xf numFmtId="0" fontId="14" fillId="0" borderId="0"/>
    <xf numFmtId="0" fontId="5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8" fillId="58" borderId="0" applyNumberFormat="0" applyBorder="0" applyAlignment="0" applyProtection="0"/>
    <xf numFmtId="0" fontId="58" fillId="59" borderId="0" applyNumberFormat="0" applyBorder="0" applyAlignment="0" applyProtection="0"/>
    <xf numFmtId="0" fontId="58" fillId="60" borderId="0" applyNumberFormat="0" applyBorder="0" applyAlignment="0" applyProtection="0"/>
    <xf numFmtId="170" fontId="7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59" fillId="0" borderId="0" applyFont="0" applyFill="0" applyBorder="0" applyAlignment="0" applyProtection="0"/>
    <xf numFmtId="0" fontId="14" fillId="0" borderId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38" fontId="10" fillId="57" borderId="0" applyNumberFormat="0" applyBorder="0" applyAlignment="0" applyProtection="0"/>
    <xf numFmtId="190" fontId="60" fillId="0" borderId="0" applyNumberFormat="0" applyFill="0" applyBorder="0" applyProtection="0">
      <alignment horizontal="right"/>
    </xf>
    <xf numFmtId="0" fontId="61" fillId="0" borderId="39" applyNumberFormat="0" applyAlignment="0" applyProtection="0">
      <alignment horizontal="left"/>
    </xf>
    <xf numFmtId="0" fontId="61" fillId="0" borderId="22">
      <alignment horizontal="left"/>
    </xf>
    <xf numFmtId="14" fontId="12" fillId="61" borderId="1">
      <alignment horizontal="center" vertical="center" wrapText="1"/>
    </xf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0" fillId="0" borderId="30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38" fontId="62" fillId="0" borderId="0"/>
    <xf numFmtId="40" fontId="62" fillId="0" borderId="0"/>
    <xf numFmtId="10" fontId="10" fillId="62" borderId="29" applyNumberFormat="0" applyBorder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0" fontId="36" fillId="7" borderId="33" applyNumberFormat="0" applyAlignment="0" applyProtection="0"/>
    <xf numFmtId="41" fontId="63" fillId="63" borderId="40">
      <alignment horizontal="left"/>
      <protection locked="0"/>
    </xf>
    <xf numFmtId="10" fontId="63" fillId="63" borderId="40">
      <alignment horizontal="right"/>
      <protection locked="0"/>
    </xf>
    <xf numFmtId="0" fontId="10" fillId="57" borderId="0"/>
    <xf numFmtId="3" fontId="64" fillId="0" borderId="0" applyFill="0" applyBorder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0" fontId="39" fillId="0" borderId="35" applyNumberFormat="0" applyFill="0" applyAlignment="0" applyProtection="0"/>
    <xf numFmtId="44" fontId="12" fillId="0" borderId="41" applyNumberFormat="0" applyFont="0" applyAlignment="0">
      <alignment horizontal="center"/>
    </xf>
    <xf numFmtId="44" fontId="12" fillId="0" borderId="42" applyNumberFormat="0" applyFont="0" applyAlignment="0">
      <alignment horizontal="center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37" fontId="65" fillId="0" borderId="0"/>
    <xf numFmtId="191" fontId="66" fillId="0" borderId="0"/>
    <xf numFmtId="191" fontId="66" fillId="0" borderId="0"/>
    <xf numFmtId="0" fontId="10" fillId="64" borderId="0"/>
    <xf numFmtId="0" fontId="47" fillId="0" borderId="0"/>
    <xf numFmtId="0" fontId="7" fillId="0" borderId="0"/>
    <xf numFmtId="0" fontId="7" fillId="0" borderId="0"/>
    <xf numFmtId="186" fontId="7" fillId="0" borderId="0">
      <alignment horizontal="left" wrapText="1"/>
    </xf>
    <xf numFmtId="0" fontId="47" fillId="0" borderId="0"/>
    <xf numFmtId="186" fontId="7" fillId="0" borderId="0">
      <alignment horizontal="left" wrapText="1"/>
    </xf>
    <xf numFmtId="0" fontId="7" fillId="0" borderId="0"/>
    <xf numFmtId="0" fontId="51" fillId="0" borderId="0"/>
    <xf numFmtId="0" fontId="51" fillId="0" borderId="0"/>
    <xf numFmtId="186" fontId="7" fillId="0" borderId="0">
      <alignment horizontal="left" wrapText="1"/>
    </xf>
    <xf numFmtId="186" fontId="7" fillId="0" borderId="0">
      <alignment horizontal="left" wrapText="1"/>
    </xf>
    <xf numFmtId="186" fontId="7" fillId="0" borderId="0">
      <alignment horizontal="left" wrapText="1"/>
    </xf>
    <xf numFmtId="186" fontId="7" fillId="0" borderId="0">
      <alignment horizontal="left" wrapText="1"/>
    </xf>
    <xf numFmtId="0" fontId="7" fillId="0" borderId="0"/>
    <xf numFmtId="0" fontId="47" fillId="0" borderId="0"/>
    <xf numFmtId="0" fontId="47" fillId="0" borderId="0"/>
    <xf numFmtId="0" fontId="2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2" fillId="0" borderId="0"/>
    <xf numFmtId="0" fontId="47" fillId="0" borderId="0"/>
    <xf numFmtId="186" fontId="7" fillId="0" borderId="0">
      <alignment horizontal="left" wrapText="1"/>
    </xf>
    <xf numFmtId="186" fontId="7" fillId="0" borderId="0">
      <alignment horizontal="left" wrapText="1"/>
    </xf>
    <xf numFmtId="186" fontId="7" fillId="0" borderId="0">
      <alignment horizontal="left" wrapText="1"/>
    </xf>
    <xf numFmtId="186" fontId="7" fillId="0" borderId="0">
      <alignment horizontal="left" wrapText="1"/>
    </xf>
    <xf numFmtId="0" fontId="10" fillId="64" borderId="0"/>
    <xf numFmtId="0" fontId="7" fillId="0" borderId="0"/>
    <xf numFmtId="0" fontId="50" fillId="0" borderId="0"/>
    <xf numFmtId="170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170" fontId="7" fillId="0" borderId="0">
      <alignment horizontal="left" wrapText="1"/>
    </xf>
    <xf numFmtId="0" fontId="7" fillId="0" borderId="0"/>
    <xf numFmtId="0" fontId="47" fillId="0" borderId="0"/>
    <xf numFmtId="0" fontId="7" fillId="0" borderId="0"/>
    <xf numFmtId="0" fontId="47" fillId="0" borderId="0"/>
    <xf numFmtId="0" fontId="7" fillId="0" borderId="0"/>
    <xf numFmtId="0" fontId="47" fillId="0" borderId="0"/>
    <xf numFmtId="0" fontId="2" fillId="0" borderId="0"/>
    <xf numFmtId="0" fontId="52" fillId="0" borderId="0"/>
    <xf numFmtId="0" fontId="52" fillId="0" borderId="0"/>
    <xf numFmtId="192" fontId="7" fillId="0" borderId="0">
      <alignment horizontal="left" wrapText="1"/>
    </xf>
    <xf numFmtId="192" fontId="7" fillId="0" borderId="0">
      <alignment horizontal="left" wrapText="1"/>
    </xf>
    <xf numFmtId="172" fontId="7" fillId="0" borderId="0">
      <alignment horizontal="left" wrapText="1"/>
    </xf>
    <xf numFmtId="0" fontId="7" fillId="0" borderId="0"/>
    <xf numFmtId="0" fontId="47" fillId="0" borderId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2" fillId="10" borderId="37" applyNumberFormat="0" applyFont="0" applyAlignment="0" applyProtection="0"/>
    <xf numFmtId="0" fontId="47" fillId="65" borderId="43" applyNumberFormat="0" applyFont="0" applyAlignment="0" applyProtection="0"/>
    <xf numFmtId="0" fontId="47" fillId="10" borderId="37" applyNumberFormat="0" applyFont="0" applyAlignment="0" applyProtection="0"/>
    <xf numFmtId="0" fontId="47" fillId="65" borderId="43" applyNumberFormat="0" applyFont="0" applyAlignment="0" applyProtection="0"/>
    <xf numFmtId="0" fontId="47" fillId="10" borderId="37" applyNumberFormat="0" applyFont="0" applyAlignment="0" applyProtection="0"/>
    <xf numFmtId="0" fontId="47" fillId="65" borderId="43" applyNumberFormat="0" applyFont="0" applyAlignment="0" applyProtection="0"/>
    <xf numFmtId="0" fontId="47" fillId="10" borderId="37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47" fillId="65" borderId="43" applyNumberFormat="0" applyFon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37" fillId="8" borderId="34" applyNumberFormat="0" applyAlignment="0" applyProtection="0"/>
    <xf numFmtId="0" fontId="14" fillId="0" borderId="0"/>
    <xf numFmtId="0" fontId="14" fillId="0" borderId="0"/>
    <xf numFmtId="0" fontId="54" fillId="0" borderId="0"/>
    <xf numFmtId="178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66" borderId="40"/>
    <xf numFmtId="0" fontId="67" fillId="0" borderId="0" applyNumberFormat="0" applyFont="0" applyFill="0" applyBorder="0" applyAlignment="0" applyProtection="0">
      <alignment horizontal="left"/>
    </xf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68" fillId="0" borderId="1">
      <alignment horizontal="center"/>
    </xf>
    <xf numFmtId="3" fontId="67" fillId="0" borderId="0" applyFont="0" applyFill="0" applyBorder="0" applyAlignment="0" applyProtection="0"/>
    <xf numFmtId="0" fontId="67" fillId="67" borderId="0" applyNumberFormat="0" applyFont="0" applyBorder="0" applyAlignment="0" applyProtection="0"/>
    <xf numFmtId="0" fontId="54" fillId="0" borderId="0"/>
    <xf numFmtId="3" fontId="69" fillId="0" borderId="0" applyFill="0" applyBorder="0" applyAlignment="0" applyProtection="0"/>
    <xf numFmtId="0" fontId="70" fillId="0" borderId="0"/>
    <xf numFmtId="42" fontId="7" fillId="62" borderId="0"/>
    <xf numFmtId="42" fontId="7" fillId="62" borderId="21">
      <alignment vertical="center"/>
    </xf>
    <xf numFmtId="0" fontId="12" fillId="62" borderId="28" applyNumberFormat="0">
      <alignment horizontal="center" vertical="center" wrapText="1"/>
    </xf>
    <xf numFmtId="10" fontId="7" fillId="62" borderId="0"/>
    <xf numFmtId="177" fontId="7" fillId="62" borderId="0"/>
    <xf numFmtId="167" fontId="62" fillId="0" borderId="0" applyBorder="0" applyAlignment="0"/>
    <xf numFmtId="42" fontId="7" fillId="62" borderId="44">
      <alignment horizontal="left"/>
    </xf>
    <xf numFmtId="177" fontId="71" fillId="62" borderId="44">
      <alignment horizontal="left"/>
    </xf>
    <xf numFmtId="14" fontId="11" fillId="0" borderId="0" applyNumberFormat="0" applyFill="0" applyBorder="0" applyAlignment="0" applyProtection="0">
      <alignment horizontal="left"/>
    </xf>
    <xf numFmtId="174" fontId="7" fillId="0" borderId="0" applyFont="0" applyFill="0" applyAlignment="0">
      <alignment horizontal="right"/>
    </xf>
    <xf numFmtId="4" fontId="51" fillId="63" borderId="45" applyNumberFormat="0" applyProtection="0">
      <alignment vertical="center"/>
    </xf>
    <xf numFmtId="4" fontId="72" fillId="68" borderId="46" applyNumberFormat="0" applyProtection="0">
      <alignment vertical="center"/>
    </xf>
    <xf numFmtId="4" fontId="73" fillId="63" borderId="45" applyNumberFormat="0" applyProtection="0">
      <alignment vertical="center"/>
    </xf>
    <xf numFmtId="4" fontId="74" fillId="63" borderId="46" applyNumberFormat="0" applyProtection="0">
      <alignment vertical="center"/>
    </xf>
    <xf numFmtId="4" fontId="51" fillId="63" borderId="45" applyNumberFormat="0" applyProtection="0">
      <alignment horizontal="left" vertical="center" indent="1"/>
    </xf>
    <xf numFmtId="4" fontId="72" fillId="63" borderId="46" applyNumberFormat="0" applyProtection="0">
      <alignment horizontal="left" vertical="center" indent="1"/>
    </xf>
    <xf numFmtId="4" fontId="51" fillId="63" borderId="45" applyNumberFormat="0" applyProtection="0">
      <alignment horizontal="left" vertical="center" indent="1"/>
    </xf>
    <xf numFmtId="0" fontId="72" fillId="63" borderId="46" applyNumberFormat="0" applyProtection="0">
      <alignment horizontal="left" vertical="top" indent="1"/>
    </xf>
    <xf numFmtId="0" fontId="7" fillId="2" borderId="45" applyNumberFormat="0" applyProtection="0">
      <alignment horizontal="left" vertical="center" indent="1"/>
    </xf>
    <xf numFmtId="0" fontId="7" fillId="69" borderId="0" applyNumberFormat="0" applyProtection="0">
      <alignment horizontal="left" vertical="center" indent="1"/>
    </xf>
    <xf numFmtId="4" fontId="72" fillId="70" borderId="0" applyNumberFormat="0" applyProtection="0">
      <alignment horizontal="left" vertical="center" indent="1"/>
    </xf>
    <xf numFmtId="4" fontId="51" fillId="71" borderId="45" applyNumberFormat="0" applyProtection="0">
      <alignment horizontal="right" vertical="center"/>
    </xf>
    <xf numFmtId="4" fontId="51" fillId="37" borderId="46" applyNumberFormat="0" applyProtection="0">
      <alignment horizontal="right" vertical="center"/>
    </xf>
    <xf numFmtId="4" fontId="51" fillId="72" borderId="45" applyNumberFormat="0" applyProtection="0">
      <alignment horizontal="right" vertical="center"/>
    </xf>
    <xf numFmtId="4" fontId="51" fillId="43" borderId="46" applyNumberFormat="0" applyProtection="0">
      <alignment horizontal="right" vertical="center"/>
    </xf>
    <xf numFmtId="4" fontId="51" fillId="73" borderId="45" applyNumberFormat="0" applyProtection="0">
      <alignment horizontal="right" vertical="center"/>
    </xf>
    <xf numFmtId="4" fontId="51" fillId="74" borderId="46" applyNumberFormat="0" applyProtection="0">
      <alignment horizontal="right" vertical="center"/>
    </xf>
    <xf numFmtId="4" fontId="51" fillId="75" borderId="45" applyNumberFormat="0" applyProtection="0">
      <alignment horizontal="right" vertical="center"/>
    </xf>
    <xf numFmtId="4" fontId="51" fillId="45" borderId="46" applyNumberFormat="0" applyProtection="0">
      <alignment horizontal="right" vertical="center"/>
    </xf>
    <xf numFmtId="4" fontId="51" fillId="76" borderId="45" applyNumberFormat="0" applyProtection="0">
      <alignment horizontal="right" vertical="center"/>
    </xf>
    <xf numFmtId="4" fontId="51" fillId="77" borderId="46" applyNumberFormat="0" applyProtection="0">
      <alignment horizontal="right" vertical="center"/>
    </xf>
    <xf numFmtId="4" fontId="51" fillId="78" borderId="45" applyNumberFormat="0" applyProtection="0">
      <alignment horizontal="right" vertical="center"/>
    </xf>
    <xf numFmtId="4" fontId="51" fillId="79" borderId="46" applyNumberFormat="0" applyProtection="0">
      <alignment horizontal="right" vertical="center"/>
    </xf>
    <xf numFmtId="4" fontId="51" fillId="80" borderId="45" applyNumberFormat="0" applyProtection="0">
      <alignment horizontal="right" vertical="center"/>
    </xf>
    <xf numFmtId="4" fontId="51" fillId="81" borderId="46" applyNumberFormat="0" applyProtection="0">
      <alignment horizontal="right" vertical="center"/>
    </xf>
    <xf numFmtId="4" fontId="51" fillId="35" borderId="45" applyNumberFormat="0" applyProtection="0">
      <alignment horizontal="right" vertical="center"/>
    </xf>
    <xf numFmtId="4" fontId="51" fillId="82" borderId="46" applyNumberFormat="0" applyProtection="0">
      <alignment horizontal="right" vertical="center"/>
    </xf>
    <xf numFmtId="4" fontId="51" fillId="83" borderId="45" applyNumberFormat="0" applyProtection="0">
      <alignment horizontal="right" vertical="center"/>
    </xf>
    <xf numFmtId="4" fontId="51" fillId="44" borderId="46" applyNumberFormat="0" applyProtection="0">
      <alignment horizontal="right" vertical="center"/>
    </xf>
    <xf numFmtId="4" fontId="72" fillId="84" borderId="45" applyNumberFormat="0" applyProtection="0">
      <alignment horizontal="left" vertical="center" indent="1"/>
    </xf>
    <xf numFmtId="4" fontId="72" fillId="85" borderId="47" applyNumberFormat="0" applyProtection="0">
      <alignment horizontal="left" vertical="center" indent="1"/>
    </xf>
    <xf numFmtId="4" fontId="51" fillId="86" borderId="48" applyNumberFormat="0" applyProtection="0">
      <alignment horizontal="left" vertical="center" indent="1"/>
    </xf>
    <xf numFmtId="4" fontId="51" fillId="87" borderId="0" applyNumberFormat="0" applyProtection="0">
      <alignment horizontal="left" vertical="center" indent="1"/>
    </xf>
    <xf numFmtId="4" fontId="75" fillId="88" borderId="0" applyNumberFormat="0" applyProtection="0">
      <alignment horizontal="left" vertical="center" indent="1"/>
    </xf>
    <xf numFmtId="0" fontId="7" fillId="2" borderId="45" applyNumberFormat="0" applyProtection="0">
      <alignment horizontal="left" vertical="center" indent="1"/>
    </xf>
    <xf numFmtId="4" fontId="51" fillId="89" borderId="46" applyNumberFormat="0" applyProtection="0">
      <alignment horizontal="right" vertical="center"/>
    </xf>
    <xf numFmtId="4" fontId="51" fillId="86" borderId="45" applyNumberFormat="0" applyProtection="0">
      <alignment horizontal="left" vertical="center" indent="1"/>
    </xf>
    <xf numFmtId="4" fontId="51" fillId="87" borderId="0" applyNumberFormat="0" applyProtection="0">
      <alignment horizontal="left" vertical="center" indent="1"/>
    </xf>
    <xf numFmtId="4" fontId="51" fillId="90" borderId="45" applyNumberFormat="0" applyProtection="0">
      <alignment horizontal="left" vertical="center" indent="1"/>
    </xf>
    <xf numFmtId="4" fontId="51" fillId="70" borderId="0" applyNumberFormat="0" applyProtection="0">
      <alignment horizontal="left" vertical="center" indent="1"/>
    </xf>
    <xf numFmtId="0" fontId="7" fillId="90" borderId="45" applyNumberFormat="0" applyProtection="0">
      <alignment horizontal="left" vertical="center" indent="1"/>
    </xf>
    <xf numFmtId="0" fontId="7" fillId="88" borderId="46" applyNumberFormat="0" applyProtection="0">
      <alignment horizontal="left" vertical="center" indent="1"/>
    </xf>
    <xf numFmtId="0" fontId="7" fillId="90" borderId="45" applyNumberFormat="0" applyProtection="0">
      <alignment horizontal="left" vertical="center" indent="1"/>
    </xf>
    <xf numFmtId="0" fontId="7" fillId="88" borderId="46" applyNumberFormat="0" applyProtection="0">
      <alignment horizontal="left" vertical="top" indent="1"/>
    </xf>
    <xf numFmtId="0" fontId="7" fillId="91" borderId="45" applyNumberFormat="0" applyProtection="0">
      <alignment horizontal="left" vertical="center" indent="1"/>
    </xf>
    <xf numFmtId="0" fontId="7" fillId="70" borderId="46" applyNumberFormat="0" applyProtection="0">
      <alignment horizontal="left" vertical="center" indent="1"/>
    </xf>
    <xf numFmtId="0" fontId="7" fillId="91" borderId="45" applyNumberFormat="0" applyProtection="0">
      <alignment horizontal="left" vertical="center" indent="1"/>
    </xf>
    <xf numFmtId="0" fontId="7" fillId="70" borderId="46" applyNumberFormat="0" applyProtection="0">
      <alignment horizontal="left" vertical="top" indent="1"/>
    </xf>
    <xf numFmtId="0" fontId="7" fillId="57" borderId="45" applyNumberFormat="0" applyProtection="0">
      <alignment horizontal="left" vertical="center" indent="1"/>
    </xf>
    <xf numFmtId="0" fontId="7" fillId="92" borderId="46" applyNumberFormat="0" applyProtection="0">
      <alignment horizontal="left" vertical="center" indent="1"/>
    </xf>
    <xf numFmtId="0" fontId="7" fillId="57" borderId="45" applyNumberFormat="0" applyProtection="0">
      <alignment horizontal="left" vertical="center" indent="1"/>
    </xf>
    <xf numFmtId="0" fontId="7" fillId="92" borderId="46" applyNumberFormat="0" applyProtection="0">
      <alignment horizontal="left" vertical="top" indent="1"/>
    </xf>
    <xf numFmtId="0" fontId="7" fillId="2" borderId="45" applyNumberFormat="0" applyProtection="0">
      <alignment horizontal="left" vertical="center" indent="1"/>
    </xf>
    <xf numFmtId="0" fontId="7" fillId="66" borderId="46" applyNumberFormat="0" applyProtection="0">
      <alignment horizontal="left" vertical="center" indent="1"/>
    </xf>
    <xf numFmtId="0" fontId="7" fillId="2" borderId="45" applyNumberFormat="0" applyProtection="0">
      <alignment horizontal="left" vertical="center" indent="1"/>
    </xf>
    <xf numFmtId="0" fontId="7" fillId="66" borderId="46" applyNumberFormat="0" applyProtection="0">
      <alignment horizontal="left" vertical="top" indent="1"/>
    </xf>
    <xf numFmtId="0" fontId="7" fillId="93" borderId="49" applyNumberFormat="0">
      <protection locked="0"/>
    </xf>
    <xf numFmtId="0" fontId="62" fillId="94" borderId="50" applyBorder="0"/>
    <xf numFmtId="4" fontId="51" fillId="95" borderId="45" applyNumberFormat="0" applyProtection="0">
      <alignment vertical="center"/>
    </xf>
    <xf numFmtId="4" fontId="51" fillId="95" borderId="46" applyNumberFormat="0" applyProtection="0">
      <alignment vertical="center"/>
    </xf>
    <xf numFmtId="4" fontId="73" fillId="95" borderId="45" applyNumberFormat="0" applyProtection="0">
      <alignment vertical="center"/>
    </xf>
    <xf numFmtId="4" fontId="73" fillId="95" borderId="46" applyNumberFormat="0" applyProtection="0">
      <alignment vertical="center"/>
    </xf>
    <xf numFmtId="4" fontId="51" fillId="95" borderId="45" applyNumberFormat="0" applyProtection="0">
      <alignment horizontal="left" vertical="center" indent="1"/>
    </xf>
    <xf numFmtId="4" fontId="51" fillId="95" borderId="46" applyNumberFormat="0" applyProtection="0">
      <alignment horizontal="left" vertical="center" indent="1"/>
    </xf>
    <xf numFmtId="4" fontId="51" fillId="95" borderId="45" applyNumberFormat="0" applyProtection="0">
      <alignment horizontal="left" vertical="center" indent="1"/>
    </xf>
    <xf numFmtId="0" fontId="51" fillId="95" borderId="46" applyNumberFormat="0" applyProtection="0">
      <alignment horizontal="left" vertical="top" indent="1"/>
    </xf>
    <xf numFmtId="4" fontId="51" fillId="86" borderId="45" applyNumberFormat="0" applyProtection="0">
      <alignment horizontal="right" vertical="center"/>
    </xf>
    <xf numFmtId="4" fontId="51" fillId="87" borderId="46" applyNumberFormat="0" applyProtection="0">
      <alignment horizontal="right" vertical="center"/>
    </xf>
    <xf numFmtId="4" fontId="73" fillId="86" borderId="45" applyNumberFormat="0" applyProtection="0">
      <alignment horizontal="right" vertical="center"/>
    </xf>
    <xf numFmtId="4" fontId="73" fillId="87" borderId="46" applyNumberFormat="0" applyProtection="0">
      <alignment horizontal="right" vertical="center"/>
    </xf>
    <xf numFmtId="0" fontId="7" fillId="2" borderId="45" applyNumberFormat="0" applyProtection="0">
      <alignment horizontal="left" vertical="center" indent="1"/>
    </xf>
    <xf numFmtId="4" fontId="51" fillId="89" borderId="46" applyNumberFormat="0" applyProtection="0">
      <alignment horizontal="left" vertical="center" indent="1"/>
    </xf>
    <xf numFmtId="0" fontId="7" fillId="2" borderId="45" applyNumberFormat="0" applyProtection="0">
      <alignment horizontal="left" vertical="center" indent="1"/>
    </xf>
    <xf numFmtId="0" fontId="51" fillId="70" borderId="46" applyNumberFormat="0" applyProtection="0">
      <alignment horizontal="left" vertical="top" indent="1"/>
    </xf>
    <xf numFmtId="0" fontId="76" fillId="0" borderId="0"/>
    <xf numFmtId="4" fontId="77" fillId="96" borderId="0" applyNumberFormat="0" applyProtection="0">
      <alignment horizontal="left" vertical="center" indent="1"/>
    </xf>
    <xf numFmtId="0" fontId="10" fillId="97" borderId="49"/>
    <xf numFmtId="4" fontId="78" fillId="86" borderId="45" applyNumberFormat="0" applyProtection="0">
      <alignment horizontal="right" vertical="center"/>
    </xf>
    <xf numFmtId="4" fontId="78" fillId="87" borderId="46" applyNumberFormat="0" applyProtection="0">
      <alignment horizontal="right" vertical="center"/>
    </xf>
    <xf numFmtId="39" fontId="7" fillId="98" borderId="0"/>
    <xf numFmtId="0" fontId="79" fillId="0" borderId="0" applyNumberFormat="0" applyFill="0" applyBorder="0" applyAlignment="0" applyProtection="0"/>
    <xf numFmtId="38" fontId="10" fillId="0" borderId="51"/>
    <xf numFmtId="38" fontId="62" fillId="0" borderId="44"/>
    <xf numFmtId="39" fontId="11" fillId="99" borderId="0"/>
    <xf numFmtId="170" fontId="7" fillId="0" borderId="0">
      <alignment horizontal="left" wrapText="1"/>
    </xf>
    <xf numFmtId="173" fontId="7" fillId="0" borderId="0">
      <alignment horizontal="left" wrapText="1"/>
    </xf>
    <xf numFmtId="187" fontId="7" fillId="0" borderId="0">
      <alignment horizontal="left" wrapText="1"/>
    </xf>
    <xf numFmtId="177" fontId="7" fillId="0" borderId="0">
      <alignment horizontal="left" wrapText="1"/>
    </xf>
    <xf numFmtId="177" fontId="7" fillId="0" borderId="0">
      <alignment horizontal="left" wrapText="1"/>
    </xf>
    <xf numFmtId="177" fontId="7" fillId="0" borderId="0">
      <alignment horizontal="left" wrapText="1"/>
    </xf>
    <xf numFmtId="177" fontId="7" fillId="0" borderId="0">
      <alignment horizontal="left" wrapText="1"/>
    </xf>
    <xf numFmtId="177" fontId="7" fillId="0" borderId="0">
      <alignment horizontal="left" wrapText="1"/>
    </xf>
    <xf numFmtId="177" fontId="7" fillId="0" borderId="0">
      <alignment horizontal="left" wrapText="1"/>
    </xf>
    <xf numFmtId="192" fontId="7" fillId="0" borderId="0">
      <alignment horizontal="left" wrapText="1"/>
    </xf>
    <xf numFmtId="40" fontId="80" fillId="0" borderId="0" applyBorder="0">
      <alignment horizontal="right"/>
    </xf>
    <xf numFmtId="41" fontId="81" fillId="62" borderId="0">
      <alignment horizontal="left"/>
    </xf>
    <xf numFmtId="0" fontId="15" fillId="0" borderId="0"/>
    <xf numFmtId="0" fontId="82" fillId="0" borderId="0" applyFill="0" applyBorder="0" applyProtection="0">
      <alignment horizontal="left" vertical="top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93" fontId="83" fillId="62" borderId="0">
      <alignment horizontal="left" vertical="center"/>
    </xf>
    <xf numFmtId="0" fontId="12" fillId="62" borderId="0">
      <alignment horizontal="left" wrapText="1"/>
    </xf>
    <xf numFmtId="0" fontId="84" fillId="0" borderId="0">
      <alignment horizontal="left" vertical="center"/>
    </xf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17" fillId="0" borderId="38" applyNumberFormat="0" applyFill="0" applyAlignment="0" applyProtection="0"/>
    <xf numFmtId="0" fontId="54" fillId="0" borderId="52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47">
    <xf numFmtId="0" fontId="0" fillId="0" borderId="0" xfId="0" applyNumberFormat="1" applyAlignment="1"/>
    <xf numFmtId="0" fontId="4" fillId="0" borderId="0" xfId="0" applyNumberFormat="1" applyFont="1" applyFill="1" applyAlignment="1">
      <alignment horizontal="right"/>
    </xf>
    <xf numFmtId="41" fontId="3" fillId="0" borderId="3" xfId="0" applyNumberFormat="1" applyFont="1" applyFill="1" applyBorder="1" applyAlignment="1" applyProtection="1">
      <protection locked="0"/>
    </xf>
    <xf numFmtId="42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fill"/>
    </xf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42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166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fill"/>
    </xf>
    <xf numFmtId="41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49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0" fillId="0" borderId="0" xfId="0" applyNumberFormat="1" applyFill="1" applyAlignment="1"/>
    <xf numFmtId="49" fontId="4" fillId="0" borderId="0" xfId="0" applyNumberFormat="1" applyFont="1" applyFill="1" applyAlignment="1"/>
    <xf numFmtId="0" fontId="3" fillId="0" borderId="3" xfId="0" applyNumberFormat="1" applyFont="1" applyFill="1" applyBorder="1" applyAlignment="1"/>
    <xf numFmtId="166" fontId="3" fillId="0" borderId="0" xfId="0" applyNumberFormat="1" applyFont="1" applyFill="1" applyBorder="1" applyAlignment="1"/>
    <xf numFmtId="37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37" fontId="3" fillId="0" borderId="0" xfId="0" applyNumberFormat="1" applyFont="1" applyFill="1" applyAlignment="1"/>
    <xf numFmtId="41" fontId="3" fillId="0" borderId="4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/>
    <xf numFmtId="167" fontId="3" fillId="0" borderId="0" xfId="0" applyNumberFormat="1" applyFont="1" applyFill="1" applyAlignment="1"/>
    <xf numFmtId="0" fontId="6" fillId="0" borderId="0" xfId="0" applyNumberFormat="1" applyFont="1" applyFill="1" applyAlignment="1"/>
    <xf numFmtId="42" fontId="8" fillId="0" borderId="2" xfId="0" applyNumberFormat="1" applyFont="1" applyFill="1" applyBorder="1" applyAlignment="1" applyProtection="1"/>
    <xf numFmtId="42" fontId="6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centerContinuous"/>
      <protection locked="0"/>
    </xf>
    <xf numFmtId="165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>
      <alignment horizontal="center" wrapText="1"/>
    </xf>
    <xf numFmtId="2" fontId="4" fillId="0" borderId="0" xfId="0" applyNumberFormat="1" applyFont="1" applyFill="1" applyAlignment="1" applyProtection="1">
      <alignment horizontal="center"/>
      <protection locked="0"/>
    </xf>
    <xf numFmtId="170" fontId="0" fillId="0" borderId="0" xfId="0" applyFill="1">
      <alignment horizontal="left" wrapText="1"/>
    </xf>
    <xf numFmtId="42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fill"/>
      <protection locked="0"/>
    </xf>
    <xf numFmtId="10" fontId="3" fillId="0" borderId="0" xfId="0" applyNumberFormat="1" applyFont="1" applyFill="1" applyAlignment="1" applyProtection="1">
      <protection locked="0"/>
    </xf>
    <xf numFmtId="9" fontId="3" fillId="0" borderId="0" xfId="0" applyNumberFormat="1" applyFont="1" applyFill="1" applyBorder="1" applyAlignment="1"/>
    <xf numFmtId="0" fontId="4" fillId="0" borderId="9" xfId="0" applyNumberFormat="1" applyFont="1" applyFill="1" applyBorder="1" applyAlignment="1"/>
    <xf numFmtId="0" fontId="3" fillId="0" borderId="9" xfId="0" applyNumberFormat="1" applyFont="1" applyFill="1" applyBorder="1" applyAlignment="1"/>
    <xf numFmtId="0" fontId="4" fillId="0" borderId="9" xfId="0" applyNumberFormat="1" applyFont="1" applyFill="1" applyBorder="1" applyAlignment="1" applyProtection="1">
      <alignment horizontal="centerContinuous"/>
      <protection locked="0"/>
    </xf>
    <xf numFmtId="0" fontId="3" fillId="0" borderId="12" xfId="0" applyNumberFormat="1" applyFont="1" applyFill="1" applyBorder="1" applyAlignment="1"/>
    <xf numFmtId="0" fontId="4" fillId="0" borderId="9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0" fillId="0" borderId="0" xfId="0" applyNumberFormat="1" applyBorder="1" applyAlignment="1"/>
    <xf numFmtId="0" fontId="4" fillId="0" borderId="7" xfId="0" applyNumberFormat="1" applyFont="1" applyFill="1" applyBorder="1" applyAlignment="1"/>
    <xf numFmtId="0" fontId="3" fillId="0" borderId="10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/>
    <xf numFmtId="37" fontId="16" fillId="0" borderId="0" xfId="0" applyNumberFormat="1" applyFont="1" applyFill="1" applyAlignment="1"/>
    <xf numFmtId="0" fontId="18" fillId="0" borderId="0" xfId="0" applyNumberFormat="1" applyFont="1" applyAlignment="1"/>
    <xf numFmtId="41" fontId="1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0" fontId="4" fillId="0" borderId="14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41" fontId="3" fillId="0" borderId="14" xfId="0" applyNumberFormat="1" applyFont="1" applyFill="1" applyBorder="1" applyAlignment="1" applyProtection="1">
      <protection locked="0"/>
    </xf>
    <xf numFmtId="42" fontId="3" fillId="0" borderId="12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/>
    <xf numFmtId="166" fontId="3" fillId="0" borderId="12" xfId="0" applyNumberFormat="1" applyFont="1" applyFill="1" applyBorder="1" applyAlignment="1"/>
    <xf numFmtId="41" fontId="3" fillId="0" borderId="13" xfId="0" applyNumberFormat="1" applyFont="1" applyFill="1" applyBorder="1" applyAlignment="1"/>
    <xf numFmtId="0" fontId="0" fillId="0" borderId="0" xfId="0" applyNumberFormat="1" applyAlignment="1"/>
    <xf numFmtId="0" fontId="4" fillId="0" borderId="0" xfId="0" applyNumberFormat="1" applyFont="1" applyFill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Continuous"/>
    </xf>
    <xf numFmtId="0" fontId="3" fillId="0" borderId="12" xfId="0" applyNumberFormat="1" applyFont="1" applyFill="1" applyBorder="1" applyAlignment="1">
      <alignment horizontal="centerContinuous"/>
    </xf>
    <xf numFmtId="0" fontId="4" fillId="0" borderId="0" xfId="0" quotePrefix="1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center"/>
    </xf>
    <xf numFmtId="42" fontId="3" fillId="0" borderId="16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>
      <alignment horizontal="center"/>
    </xf>
    <xf numFmtId="10" fontId="4" fillId="0" borderId="13" xfId="0" applyNumberFormat="1" applyFont="1" applyFill="1" applyBorder="1" applyAlignment="1"/>
    <xf numFmtId="42" fontId="4" fillId="0" borderId="15" xfId="0" applyNumberFormat="1" applyFont="1" applyFill="1" applyBorder="1" applyAlignment="1"/>
    <xf numFmtId="0" fontId="3" fillId="0" borderId="0" xfId="0" applyNumberFormat="1" applyFont="1" applyAlignment="1"/>
    <xf numFmtId="0" fontId="0" fillId="0" borderId="0" xfId="0" applyNumberFormat="1" applyFont="1" applyAlignment="1"/>
    <xf numFmtId="170" fontId="3" fillId="0" borderId="0" xfId="0" applyFont="1" applyFill="1" applyAlignment="1">
      <alignment horizontal="left"/>
    </xf>
    <xf numFmtId="42" fontId="3" fillId="0" borderId="0" xfId="0" applyNumberFormat="1" applyFont="1" applyAlignment="1"/>
    <xf numFmtId="41" fontId="18" fillId="0" borderId="0" xfId="0" applyNumberFormat="1" applyFont="1" applyAlignment="1"/>
    <xf numFmtId="9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15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164" fontId="3" fillId="0" borderId="0" xfId="0" applyNumberFormat="1" applyFont="1" applyFill="1" applyAlignment="1">
      <alignment horizontal="left"/>
    </xf>
    <xf numFmtId="41" fontId="3" fillId="0" borderId="0" xfId="0" applyNumberFormat="1" applyFont="1" applyAlignment="1"/>
    <xf numFmtId="41" fontId="3" fillId="0" borderId="0" xfId="0" applyNumberFormat="1" applyFont="1" applyFill="1" applyAlignment="1"/>
    <xf numFmtId="41" fontId="3" fillId="0" borderId="14" xfId="0" applyNumberFormat="1" applyFont="1" applyBorder="1" applyAlignment="1"/>
    <xf numFmtId="41" fontId="0" fillId="0" borderId="0" xfId="0" applyNumberFormat="1" applyFont="1" applyAlignment="1"/>
    <xf numFmtId="41" fontId="3" fillId="0" borderId="4" xfId="0" applyNumberFormat="1" applyFont="1" applyFill="1" applyBorder="1" applyAlignment="1" applyProtection="1">
      <protection locked="0"/>
    </xf>
    <xf numFmtId="41" fontId="3" fillId="0" borderId="0" xfId="0" applyNumberFormat="1" applyFont="1" applyBorder="1" applyAlignment="1"/>
    <xf numFmtId="41" fontId="3" fillId="0" borderId="0" xfId="0" applyNumberFormat="1" applyFont="1" applyAlignment="1">
      <alignment horizontal="right"/>
    </xf>
    <xf numFmtId="42" fontId="3" fillId="0" borderId="0" xfId="0" applyNumberFormat="1" applyFont="1" applyFill="1" applyAlignment="1"/>
    <xf numFmtId="42" fontId="0" fillId="0" borderId="0" xfId="0" applyNumberFormat="1" applyFont="1" applyAlignment="1"/>
    <xf numFmtId="41" fontId="3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0" fontId="3" fillId="0" borderId="0" xfId="0" applyNumberFormat="1" applyFont="1" applyFill="1" applyAlignment="1">
      <alignment horizontal="left" indent="1"/>
    </xf>
    <xf numFmtId="3" fontId="3" fillId="0" borderId="0" xfId="0" applyNumberFormat="1" applyFont="1" applyFill="1" applyAlignment="1"/>
    <xf numFmtId="3" fontId="3" fillId="0" borderId="14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1" fontId="3" fillId="0" borderId="14" xfId="0" applyNumberFormat="1" applyFont="1" applyFill="1" applyBorder="1" applyAlignment="1"/>
    <xf numFmtId="170" fontId="0" fillId="0" borderId="0" xfId="0" applyFont="1" applyFill="1">
      <alignment horizontal="left" wrapText="1"/>
    </xf>
    <xf numFmtId="169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Fill="1" applyAlignment="1" applyProtection="1">
      <alignment horizontal="right"/>
      <protection locked="0"/>
    </xf>
    <xf numFmtId="168" fontId="3" fillId="0" borderId="0" xfId="0" applyNumberFormat="1" applyFont="1" applyFill="1" applyAlignment="1"/>
    <xf numFmtId="0" fontId="9" fillId="0" borderId="0" xfId="0" applyNumberFormat="1" applyFont="1" applyFill="1" applyAlignment="1"/>
    <xf numFmtId="167" fontId="3" fillId="0" borderId="0" xfId="0" applyNumberFormat="1" applyFont="1" applyFill="1" applyAlignment="1"/>
    <xf numFmtId="41" fontId="3" fillId="0" borderId="18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fill"/>
    </xf>
    <xf numFmtId="170" fontId="13" fillId="0" borderId="0" xfId="0" applyFont="1" applyFill="1" applyBorder="1" applyAlignment="1"/>
    <xf numFmtId="49" fontId="13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"/>
      <protection locked="0"/>
    </xf>
    <xf numFmtId="41" fontId="3" fillId="0" borderId="19" xfId="0" applyNumberFormat="1" applyFont="1" applyFill="1" applyBorder="1" applyAlignment="1"/>
    <xf numFmtId="37" fontId="3" fillId="0" borderId="0" xfId="0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41" fontId="3" fillId="0" borderId="20" xfId="0" applyNumberFormat="1" applyFont="1" applyFill="1" applyBorder="1" applyAlignment="1"/>
    <xf numFmtId="176" fontId="3" fillId="0" borderId="0" xfId="0" applyNumberFormat="1" applyFont="1" applyFill="1" applyAlignment="1"/>
    <xf numFmtId="170" fontId="3" fillId="0" borderId="0" xfId="0" applyFont="1" applyFill="1" applyAlignment="1"/>
    <xf numFmtId="42" fontId="3" fillId="0" borderId="21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9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9" fontId="3" fillId="0" borderId="0" xfId="0" applyNumberFormat="1" applyFont="1" applyFill="1" applyAlignment="1"/>
    <xf numFmtId="0" fontId="3" fillId="0" borderId="19" xfId="0" applyNumberFormat="1" applyFont="1" applyFill="1" applyBorder="1" applyAlignment="1"/>
    <xf numFmtId="168" fontId="3" fillId="0" borderId="0" xfId="0" applyNumberFormat="1" applyFont="1" applyFill="1" applyBorder="1" applyAlignment="1"/>
    <xf numFmtId="43" fontId="3" fillId="0" borderId="0" xfId="0" applyNumberFormat="1" applyFont="1" applyFill="1" applyAlignment="1"/>
    <xf numFmtId="0" fontId="3" fillId="0" borderId="20" xfId="0" applyNumberFormat="1" applyFont="1" applyFill="1" applyBorder="1" applyAlignment="1"/>
    <xf numFmtId="0" fontId="5" fillId="0" borderId="0" xfId="0" applyNumberFormat="1" applyFont="1" applyFill="1" applyAlignment="1"/>
    <xf numFmtId="170" fontId="3" fillId="0" borderId="0" xfId="0" applyFont="1" applyFill="1" applyAlignment="1">
      <alignment horizontal="left" wrapText="1"/>
    </xf>
    <xf numFmtId="37" fontId="3" fillId="0" borderId="20" xfId="0" applyNumberFormat="1" applyFont="1" applyFill="1" applyBorder="1" applyAlignment="1"/>
    <xf numFmtId="1" fontId="3" fillId="0" borderId="0" xfId="0" quotePrefix="1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/>
    <xf numFmtId="41" fontId="3" fillId="0" borderId="19" xfId="0" applyNumberFormat="1" applyFont="1" applyFill="1" applyBorder="1" applyAlignment="1" applyProtection="1">
      <protection locked="0"/>
    </xf>
    <xf numFmtId="170" fontId="3" fillId="0" borderId="0" xfId="0" applyFont="1" applyFill="1" applyAlignment="1">
      <alignment horizontal="left" indent="1"/>
    </xf>
    <xf numFmtId="170" fontId="3" fillId="0" borderId="0" xfId="0" applyFont="1" applyFill="1" applyBorder="1" applyAlignment="1" applyProtection="1">
      <alignment horizontal="left"/>
      <protection locked="0"/>
    </xf>
    <xf numFmtId="15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left" wrapText="1"/>
    </xf>
    <xf numFmtId="41" fontId="3" fillId="0" borderId="2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0" fontId="4" fillId="0" borderId="19" xfId="0" applyNumberFormat="1" applyFont="1" applyFill="1" applyBorder="1" applyAlignment="1"/>
    <xf numFmtId="0" fontId="4" fillId="0" borderId="19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0" fontId="4" fillId="0" borderId="19" xfId="0" applyNumberFormat="1" applyFont="1" applyFill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>
      <alignment horizontal="left"/>
    </xf>
    <xf numFmtId="0" fontId="4" fillId="0" borderId="19" xfId="0" applyNumberFormat="1" applyFont="1" applyFill="1" applyBorder="1" applyAlignment="1" applyProtection="1">
      <protection locked="0"/>
    </xf>
    <xf numFmtId="0" fontId="4" fillId="0" borderId="19" xfId="0" applyNumberFormat="1" applyFont="1" applyFill="1" applyBorder="1" applyAlignment="1">
      <alignment horizontal="centerContinuous"/>
    </xf>
    <xf numFmtId="3" fontId="4" fillId="0" borderId="19" xfId="0" applyNumberFormat="1" applyFont="1" applyFill="1" applyBorder="1" applyAlignment="1">
      <alignment horizontal="center"/>
    </xf>
    <xf numFmtId="170" fontId="4" fillId="0" borderId="0" xfId="0" applyFont="1" applyFill="1" applyAlignment="1"/>
    <xf numFmtId="170" fontId="4" fillId="0" borderId="0" xfId="0" applyFont="1" applyFill="1" applyAlignment="1">
      <alignment horizontal="center"/>
    </xf>
    <xf numFmtId="0" fontId="1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3" fontId="4" fillId="0" borderId="0" xfId="0" applyNumberFormat="1" applyFont="1" applyFill="1" applyAlignment="1"/>
    <xf numFmtId="3" fontId="21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>
      <alignment horizontal="center"/>
    </xf>
    <xf numFmtId="175" fontId="4" fillId="0" borderId="5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1" fontId="3" fillId="0" borderId="0" xfId="0" quotePrefix="1" applyNumberFormat="1" applyFont="1" applyFill="1" applyAlignment="1">
      <alignment horizontal="left"/>
    </xf>
    <xf numFmtId="41" fontId="3" fillId="0" borderId="0" xfId="0" applyNumberFormat="1" applyFont="1" applyFill="1" applyBorder="1" applyAlignment="1">
      <alignment horizontal="left" indent="1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Alignment="1">
      <alignment horizontal="left" indent="1"/>
    </xf>
    <xf numFmtId="41" fontId="3" fillId="0" borderId="19" xfId="0" applyNumberFormat="1" applyFont="1" applyFill="1" applyBorder="1" applyAlignment="1">
      <alignment horizontal="centerContinuous" vertical="center" wrapText="1"/>
    </xf>
    <xf numFmtId="0" fontId="3" fillId="0" borderId="19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/>
    <xf numFmtId="0" fontId="23" fillId="0" borderId="0" xfId="0" applyNumberFormat="1" applyFont="1" applyAlignment="1"/>
    <xf numFmtId="9" fontId="3" fillId="0" borderId="0" xfId="0" applyNumberFormat="1" applyFont="1" applyFill="1" applyBorder="1" applyAlignment="1">
      <alignment horizontal="right" wrapText="1"/>
    </xf>
    <xf numFmtId="42" fontId="3" fillId="0" borderId="6" xfId="0" applyNumberFormat="1" applyFont="1" applyFill="1" applyBorder="1" applyAlignment="1"/>
    <xf numFmtId="0" fontId="23" fillId="0" borderId="0" xfId="0" applyNumberFormat="1" applyFont="1" applyFill="1" applyAlignment="1"/>
    <xf numFmtId="0" fontId="3" fillId="0" borderId="19" xfId="0" applyNumberFormat="1" applyFont="1" applyFill="1" applyBorder="1" applyAlignment="1">
      <alignment horizontal="centerContinuous" vertical="center" wrapText="1"/>
    </xf>
    <xf numFmtId="167" fontId="0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37" fontId="3" fillId="0" borderId="24" xfId="0" applyNumberFormat="1" applyFont="1" applyFill="1" applyBorder="1" applyAlignment="1"/>
    <xf numFmtId="37" fontId="3" fillId="0" borderId="26" xfId="0" applyNumberFormat="1" applyFont="1" applyFill="1" applyBorder="1" applyAlignment="1"/>
    <xf numFmtId="41" fontId="3" fillId="0" borderId="26" xfId="0" applyNumberFormat="1" applyFont="1" applyFill="1" applyBorder="1" applyAlignment="1"/>
    <xf numFmtId="10" fontId="3" fillId="0" borderId="26" xfId="0" applyNumberFormat="1" applyFont="1" applyFill="1" applyBorder="1" applyAlignment="1"/>
    <xf numFmtId="3" fontId="3" fillId="0" borderId="26" xfId="0" applyNumberFormat="1" applyFont="1" applyFill="1" applyBorder="1" applyAlignment="1"/>
    <xf numFmtId="4" fontId="3" fillId="0" borderId="26" xfId="0" applyNumberFormat="1" applyFont="1" applyFill="1" applyBorder="1" applyAlignment="1"/>
    <xf numFmtId="3" fontId="3" fillId="0" borderId="26" xfId="0" applyNumberFormat="1" applyFont="1" applyFill="1" applyBorder="1" applyAlignment="1" applyProtection="1">
      <protection locked="0"/>
    </xf>
    <xf numFmtId="37" fontId="3" fillId="0" borderId="27" xfId="0" applyNumberFormat="1" applyFont="1" applyFill="1" applyBorder="1" applyAlignment="1"/>
    <xf numFmtId="37" fontId="3" fillId="0" borderId="27" xfId="0" applyNumberFormat="1" applyFont="1" applyFill="1" applyBorder="1" applyAlignment="1" applyProtection="1">
      <protection locked="0"/>
    </xf>
    <xf numFmtId="0" fontId="3" fillId="0" borderId="26" xfId="0" applyNumberFormat="1" applyFont="1" applyFill="1" applyBorder="1" applyAlignment="1"/>
    <xf numFmtId="0" fontId="3" fillId="0" borderId="27" xfId="0" applyNumberFormat="1" applyFont="1" applyFill="1" applyBorder="1" applyAlignment="1"/>
    <xf numFmtId="0" fontId="4" fillId="0" borderId="24" xfId="0" applyNumberFormat="1" applyFont="1" applyFill="1" applyBorder="1" applyAlignment="1">
      <alignment horizontal="center"/>
    </xf>
    <xf numFmtId="41" fontId="4" fillId="0" borderId="26" xfId="0" applyNumberFormat="1" applyFont="1" applyFill="1" applyBorder="1" applyAlignment="1">
      <alignment horizontal="center"/>
    </xf>
    <xf numFmtId="0" fontId="4" fillId="0" borderId="27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/>
    <xf numFmtId="42" fontId="18" fillId="0" borderId="0" xfId="0" applyNumberFormat="1" applyFont="1" applyFill="1" applyAlignment="1"/>
    <xf numFmtId="0" fontId="0" fillId="0" borderId="0" xfId="0" applyNumberFormat="1" applyFill="1" applyBorder="1" applyAlignment="1"/>
    <xf numFmtId="0" fontId="3" fillId="0" borderId="0" xfId="0" applyNumberFormat="1" applyFont="1" applyFill="1" applyAlignment="1">
      <alignment horizontal="centerContinuous"/>
    </xf>
    <xf numFmtId="10" fontId="3" fillId="0" borderId="0" xfId="0" applyNumberFormat="1" applyFont="1" applyFill="1" applyBorder="1" applyAlignment="1"/>
    <xf numFmtId="10" fontId="3" fillId="0" borderId="20" xfId="0" applyNumberFormat="1" applyFont="1" applyFill="1" applyBorder="1" applyAlignment="1"/>
    <xf numFmtId="170" fontId="0" fillId="0" borderId="0" xfId="0">
      <alignment horizontal="left" wrapText="1"/>
    </xf>
    <xf numFmtId="167" fontId="0" fillId="0" borderId="0" xfId="0" applyNumberFormat="1" applyFont="1" applyAlignment="1"/>
    <xf numFmtId="0" fontId="3" fillId="0" borderId="0" xfId="0" applyNumberFormat="1" applyFont="1" applyFill="1" applyAlignment="1"/>
    <xf numFmtId="170" fontId="4" fillId="0" borderId="0" xfId="0" applyFont="1" applyFill="1" applyAlignment="1" applyProtection="1">
      <alignment horizontal="center"/>
      <protection locked="0"/>
    </xf>
    <xf numFmtId="170" fontId="4" fillId="0" borderId="19" xfId="0" applyFont="1" applyFill="1" applyBorder="1" applyAlignment="1" applyProtection="1">
      <alignment horizontal="center"/>
      <protection locked="0"/>
    </xf>
    <xf numFmtId="170" fontId="4" fillId="0" borderId="19" xfId="0" applyFont="1" applyFill="1" applyBorder="1" applyAlignment="1"/>
    <xf numFmtId="170" fontId="4" fillId="0" borderId="19" xfId="0" applyFont="1" applyFill="1" applyBorder="1" applyAlignment="1">
      <alignment horizontal="center"/>
    </xf>
    <xf numFmtId="170" fontId="0" fillId="0" borderId="0" xfId="0" applyAlignment="1"/>
    <xf numFmtId="1" fontId="3" fillId="0" borderId="0" xfId="0" applyNumberFormat="1" applyFont="1" applyFill="1" applyAlignment="1">
      <alignment horizontal="center"/>
    </xf>
    <xf numFmtId="172" fontId="3" fillId="0" borderId="0" xfId="0" applyNumberFormat="1" applyFont="1" applyFill="1" applyAlignment="1">
      <alignment horizontal="right"/>
    </xf>
    <xf numFmtId="170" fontId="3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Alignment="1">
      <alignment horizontal="center"/>
    </xf>
    <xf numFmtId="4" fontId="0" fillId="0" borderId="0" xfId="0" applyNumberFormat="1" applyFont="1" applyAlignment="1"/>
    <xf numFmtId="3" fontId="0" fillId="0" borderId="0" xfId="0" applyNumberFormat="1" applyFont="1" applyAlignment="1"/>
    <xf numFmtId="4" fontId="18" fillId="0" borderId="0" xfId="0" applyNumberFormat="1" applyFont="1" applyAlignment="1"/>
    <xf numFmtId="3" fontId="18" fillId="0" borderId="0" xfId="0" applyNumberFormat="1" applyFont="1" applyAlignment="1"/>
    <xf numFmtId="42" fontId="8" fillId="0" borderId="0" xfId="0" applyNumberFormat="1" applyFont="1" applyFill="1" applyBorder="1" applyAlignment="1" applyProtection="1"/>
    <xf numFmtId="171" fontId="3" fillId="0" borderId="0" xfId="0" applyNumberFormat="1" applyFont="1" applyFill="1" applyAlignment="1"/>
    <xf numFmtId="4" fontId="3" fillId="0" borderId="0" xfId="0" applyNumberFormat="1" applyFont="1" applyFill="1" applyAlignment="1"/>
    <xf numFmtId="170" fontId="4" fillId="0" borderId="0" xfId="0" applyFont="1" applyFill="1" applyBorder="1" applyAlignment="1" applyProtection="1">
      <alignment horizontal="left"/>
      <protection locked="0"/>
    </xf>
    <xf numFmtId="168" fontId="3" fillId="0" borderId="21" xfId="0" applyNumberFormat="1" applyFont="1" applyFill="1" applyBorder="1" applyAlignment="1"/>
    <xf numFmtId="42" fontId="3" fillId="0" borderId="2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right"/>
    </xf>
    <xf numFmtId="41" fontId="3" fillId="0" borderId="28" xfId="0" applyNumberFormat="1" applyFont="1" applyFill="1" applyBorder="1" applyAlignment="1"/>
    <xf numFmtId="9" fontId="3" fillId="0" borderId="0" xfId="0" applyNumberFormat="1" applyFont="1" applyFill="1" applyBorder="1" applyAlignment="1">
      <alignment horizontal="right"/>
    </xf>
    <xf numFmtId="41" fontId="3" fillId="0" borderId="28" xfId="0" applyNumberFormat="1" applyFont="1" applyFill="1" applyBorder="1" applyAlignment="1" applyProtection="1">
      <alignment horizontal="right"/>
      <protection locked="0"/>
    </xf>
    <xf numFmtId="0" fontId="26" fillId="0" borderId="0" xfId="0" applyNumberFormat="1" applyFont="1" applyFill="1" applyAlignment="1"/>
    <xf numFmtId="167" fontId="3" fillId="0" borderId="28" xfId="0" applyNumberFormat="1" applyFont="1" applyFill="1" applyBorder="1" applyAlignment="1"/>
    <xf numFmtId="0" fontId="4" fillId="0" borderId="0" xfId="2" applyNumberFormat="1" applyFont="1" applyFill="1" applyAlignment="1"/>
    <xf numFmtId="0" fontId="3" fillId="0" borderId="0" xfId="2" applyNumberFormat="1" applyFont="1" applyFill="1" applyAlignment="1"/>
    <xf numFmtId="170" fontId="4" fillId="0" borderId="0" xfId="3" applyNumberFormat="1" applyFont="1" applyFill="1" applyAlignment="1">
      <alignment horizontal="right"/>
    </xf>
    <xf numFmtId="0" fontId="7" fillId="0" borderId="0" xfId="2" applyNumberFormat="1" applyAlignment="1"/>
    <xf numFmtId="0" fontId="4" fillId="0" borderId="0" xfId="2" applyNumberFormat="1" applyFont="1" applyFill="1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  <protection locked="0"/>
    </xf>
    <xf numFmtId="0" fontId="4" fillId="0" borderId="0" xfId="2" applyNumberFormat="1" applyFont="1" applyFill="1" applyAlignment="1">
      <alignment horizontal="center"/>
    </xf>
    <xf numFmtId="0" fontId="4" fillId="0" borderId="28" xfId="2" applyNumberFormat="1" applyFont="1" applyFill="1" applyBorder="1" applyAlignment="1">
      <alignment horizontal="center"/>
    </xf>
    <xf numFmtId="0" fontId="4" fillId="0" borderId="28" xfId="2" applyNumberFormat="1" applyFont="1" applyFill="1" applyBorder="1" applyAlignment="1" applyProtection="1">
      <protection locked="0"/>
    </xf>
    <xf numFmtId="0" fontId="4" fillId="0" borderId="28" xfId="2" applyNumberFormat="1" applyFont="1" applyFill="1" applyBorder="1" applyAlignment="1"/>
    <xf numFmtId="0" fontId="4" fillId="0" borderId="28" xfId="2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left"/>
    </xf>
    <xf numFmtId="170" fontId="3" fillId="0" borderId="0" xfId="2" applyNumberFormat="1" applyFont="1" applyFill="1" applyAlignment="1"/>
    <xf numFmtId="171" fontId="3" fillId="0" borderId="0" xfId="2" applyNumberFormat="1" applyFont="1" applyFill="1" applyAlignment="1"/>
    <xf numFmtId="170" fontId="3" fillId="0" borderId="28" xfId="2" applyNumberFormat="1" applyFont="1" applyFill="1" applyBorder="1" applyAlignment="1"/>
    <xf numFmtId="170" fontId="3" fillId="0" borderId="0" xfId="2" applyNumberFormat="1" applyFont="1" applyFill="1" applyBorder="1" applyAlignment="1"/>
    <xf numFmtId="170" fontId="3" fillId="0" borderId="29" xfId="2" applyNumberFormat="1" applyFont="1" applyFill="1" applyBorder="1" applyAlignment="1" applyProtection="1">
      <protection locked="0"/>
    </xf>
    <xf numFmtId="179" fontId="7" fillId="0" borderId="0" xfId="2" applyNumberFormat="1" applyAlignment="1"/>
    <xf numFmtId="41" fontId="3" fillId="0" borderId="2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Border="1" applyAlignment="1" applyProtection="1">
      <protection locked="0"/>
    </xf>
    <xf numFmtId="42" fontId="4" fillId="0" borderId="21" xfId="0" applyNumberFormat="1" applyFont="1" applyFill="1" applyBorder="1" applyAlignment="1"/>
    <xf numFmtId="0" fontId="3" fillId="0" borderId="0" xfId="642" applyFont="1" applyFill="1" applyAlignment="1"/>
    <xf numFmtId="0" fontId="4" fillId="0" borderId="0" xfId="0" applyNumberFormat="1" applyFont="1" applyFill="1" applyAlignment="1">
      <alignment horizontal="center"/>
    </xf>
    <xf numFmtId="170" fontId="4" fillId="0" borderId="0" xfId="0" applyNumberFormat="1" applyFont="1" applyFill="1" applyAlignment="1">
      <alignment horizontal="right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Continuous"/>
    </xf>
    <xf numFmtId="170" fontId="0" fillId="0" borderId="0" xfId="0" applyFill="1" applyAlignment="1">
      <alignment horizontal="centerContinuous" wrapText="1"/>
    </xf>
    <xf numFmtId="0" fontId="4" fillId="0" borderId="0" xfId="0" quotePrefix="1" applyNumberFormat="1" applyFont="1" applyFill="1" applyBorder="1" applyAlignment="1">
      <alignment horizontal="centerContinuous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/>
    </xf>
    <xf numFmtId="10" fontId="24" fillId="3" borderId="0" xfId="0" applyNumberFormat="1" applyFont="1" applyFill="1" applyBorder="1" applyAlignment="1">
      <alignment horizontal="right" wrapText="1"/>
    </xf>
    <xf numFmtId="10" fontId="24" fillId="3" borderId="20" xfId="0" applyNumberFormat="1" applyFont="1" applyFill="1" applyBorder="1" applyAlignment="1">
      <alignment horizontal="right" wrapText="1"/>
    </xf>
    <xf numFmtId="10" fontId="3" fillId="0" borderId="0" xfId="0" applyNumberFormat="1" applyFont="1" applyFill="1" applyAlignment="1" applyProtection="1">
      <alignment horizontal="left" indent="2"/>
    </xf>
    <xf numFmtId="41" fontId="4" fillId="0" borderId="0" xfId="0" applyNumberFormat="1" applyFont="1" applyFill="1" applyAlignment="1">
      <alignment horizontal="center"/>
    </xf>
    <xf numFmtId="178" fontId="3" fillId="0" borderId="0" xfId="2" applyNumberFormat="1" applyFont="1" applyFill="1" applyAlignment="1"/>
    <xf numFmtId="0" fontId="3" fillId="0" borderId="53" xfId="0" applyNumberFormat="1" applyFont="1" applyFill="1" applyBorder="1" applyAlignment="1"/>
    <xf numFmtId="0" fontId="5" fillId="0" borderId="53" xfId="0" applyNumberFormat="1" applyFont="1" applyFill="1" applyBorder="1" applyAlignment="1">
      <alignment horizontal="left"/>
    </xf>
    <xf numFmtId="0" fontId="3" fillId="0" borderId="53" xfId="0" applyNumberFormat="1" applyFont="1" applyFill="1" applyBorder="1" applyAlignment="1">
      <alignment horizontal="left"/>
    </xf>
    <xf numFmtId="0" fontId="3" fillId="0" borderId="53" xfId="0" quotePrefix="1" applyNumberFormat="1" applyFont="1" applyFill="1" applyBorder="1" applyAlignment="1">
      <alignment horizontal="left"/>
    </xf>
    <xf numFmtId="169" fontId="8" fillId="0" borderId="53" xfId="0" applyNumberFormat="1" applyFont="1" applyFill="1" applyBorder="1" applyAlignment="1" applyProtection="1">
      <alignment horizontal="left"/>
    </xf>
    <xf numFmtId="0" fontId="3" fillId="0" borderId="54" xfId="0" applyNumberFormat="1" applyFont="1" applyFill="1" applyBorder="1" applyAlignment="1"/>
    <xf numFmtId="0" fontId="4" fillId="0" borderId="55" xfId="0" applyNumberFormat="1" applyFont="1" applyFill="1" applyBorder="1" applyAlignment="1"/>
    <xf numFmtId="0" fontId="4" fillId="0" borderId="26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4" fillId="0" borderId="26" xfId="0" applyNumberFormat="1" applyFont="1" applyFill="1" applyBorder="1" applyAlignment="1"/>
    <xf numFmtId="0" fontId="3" fillId="0" borderId="24" xfId="0" applyNumberFormat="1" applyFont="1" applyFill="1" applyBorder="1" applyAlignment="1"/>
    <xf numFmtId="18" fontId="22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Border="1" applyAlignment="1">
      <alignment horizontal="centerContinuous"/>
    </xf>
    <xf numFmtId="0" fontId="86" fillId="0" borderId="0" xfId="0" applyNumberFormat="1" applyFont="1" applyAlignment="1"/>
    <xf numFmtId="0" fontId="41" fillId="0" borderId="0" xfId="0" applyNumberFormat="1" applyFont="1" applyAlignment="1"/>
    <xf numFmtId="170" fontId="12" fillId="0" borderId="5" xfId="0" applyFont="1" applyFill="1" applyBorder="1" applyAlignment="1">
      <alignment horizontal="center"/>
    </xf>
    <xf numFmtId="170" fontId="12" fillId="0" borderId="0" xfId="0" applyFont="1" applyFill="1" applyBorder="1" applyAlignment="1">
      <alignment horizontal="center"/>
    </xf>
    <xf numFmtId="170" fontId="4" fillId="0" borderId="5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  <xf numFmtId="194" fontId="3" fillId="0" borderId="13" xfId="0" applyNumberFormat="1" applyFont="1" applyFill="1" applyBorder="1" applyAlignment="1" applyProtection="1">
      <protection locked="0"/>
    </xf>
    <xf numFmtId="168" fontId="3" fillId="0" borderId="26" xfId="883" applyNumberFormat="1" applyFont="1" applyFill="1" applyBorder="1" applyAlignment="1"/>
    <xf numFmtId="168" fontId="3" fillId="0" borderId="25" xfId="883" applyNumberFormat="1" applyFont="1" applyFill="1" applyBorder="1" applyAlignment="1"/>
    <xf numFmtId="170" fontId="12" fillId="0" borderId="5" xfId="0" applyFont="1" applyFill="1" applyBorder="1" applyAlignment="1">
      <alignment horizontal="centerContinuous"/>
    </xf>
    <xf numFmtId="0" fontId="87" fillId="0" borderId="0" xfId="0" applyNumberFormat="1" applyFont="1" applyFill="1" applyAlignment="1">
      <alignment horizontal="centerContinuous"/>
    </xf>
    <xf numFmtId="0" fontId="87" fillId="0" borderId="0" xfId="0" applyNumberFormat="1" applyFont="1" applyFill="1" applyAlignment="1"/>
    <xf numFmtId="170" fontId="86" fillId="0" borderId="0" xfId="0" applyFont="1" applyFill="1">
      <alignment horizontal="left" wrapText="1"/>
    </xf>
    <xf numFmtId="168" fontId="3" fillId="0" borderId="0" xfId="883" applyNumberFormat="1" applyFont="1" applyFill="1" applyBorder="1" applyAlignment="1"/>
    <xf numFmtId="168" fontId="3" fillId="0" borderId="0" xfId="883" applyNumberFormat="1" applyFont="1" applyAlignment="1"/>
    <xf numFmtId="43" fontId="3" fillId="0" borderId="0" xfId="882" applyFont="1" applyFill="1" applyBorder="1" applyAlignment="1"/>
    <xf numFmtId="167" fontId="3" fillId="0" borderId="0" xfId="882" applyNumberFormat="1" applyFont="1" applyFill="1" applyBorder="1" applyAlignment="1"/>
    <xf numFmtId="167" fontId="3" fillId="0" borderId="0" xfId="882" applyNumberFormat="1" applyFont="1" applyFill="1" applyAlignment="1" applyProtection="1">
      <protection locked="0"/>
    </xf>
    <xf numFmtId="0" fontId="25" fillId="0" borderId="0" xfId="0" applyNumberFormat="1" applyFont="1" applyFill="1" applyAlignment="1">
      <alignment horizontal="left"/>
    </xf>
    <xf numFmtId="0" fontId="28" fillId="0" borderId="0" xfId="0" applyNumberFormat="1" applyFont="1" applyFill="1" applyBorder="1" applyAlignment="1"/>
    <xf numFmtId="168" fontId="3" fillId="0" borderId="0" xfId="883" applyNumberFormat="1" applyFont="1" applyFill="1" applyAlignment="1">
      <alignment horizontal="left" indent="1"/>
    </xf>
    <xf numFmtId="41" fontId="3" fillId="0" borderId="28" xfId="0" applyNumberFormat="1" applyFont="1" applyFill="1" applyBorder="1" applyAlignment="1">
      <alignment horizontal="left" indent="1"/>
    </xf>
    <xf numFmtId="170" fontId="3" fillId="0" borderId="0" xfId="1" applyNumberFormat="1" applyFont="1" applyFill="1" applyAlignment="1"/>
    <xf numFmtId="0" fontId="21" fillId="0" borderId="0" xfId="0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12" xfId="0" applyNumberFormat="1" applyFont="1" applyFill="1" applyBorder="1" applyAlignment="1" applyProtection="1">
      <alignment horizontal="center"/>
      <protection locked="0"/>
    </xf>
    <xf numFmtId="0" fontId="22" fillId="0" borderId="9" xfId="0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 applyFill="1" applyBorder="1" applyAlignment="1" applyProtection="1">
      <alignment horizontal="center"/>
      <protection locked="0"/>
    </xf>
    <xf numFmtId="0" fontId="22" fillId="0" borderId="12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170" fontId="12" fillId="0" borderId="56" xfId="0" applyFont="1" applyFill="1" applyBorder="1" applyAlignment="1">
      <alignment horizontal="center"/>
    </xf>
    <xf numFmtId="170" fontId="12" fillId="0" borderId="57" xfId="0" applyFont="1" applyFill="1" applyBorder="1" applyAlignment="1">
      <alignment horizontal="center"/>
    </xf>
    <xf numFmtId="0" fontId="4" fillId="0" borderId="0" xfId="2" applyNumberFormat="1" applyFont="1" applyFill="1" applyAlignment="1" applyProtection="1">
      <alignment horizontal="center"/>
      <protection locked="0"/>
    </xf>
    <xf numFmtId="0" fontId="22" fillId="0" borderId="0" xfId="2" applyNumberFormat="1" applyFont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4" fillId="0" borderId="58" xfId="0" applyNumberFormat="1" applyFont="1" applyFill="1" applyBorder="1" applyAlignment="1">
      <alignment horizontal="center"/>
    </xf>
    <xf numFmtId="0" fontId="4" fillId="0" borderId="59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center"/>
    </xf>
  </cellXfs>
  <cellStyles count="884">
    <cellStyle name="_4.06E Pass Throughs" xfId="4"/>
    <cellStyle name="_4.13E Montana Energy Tax" xfId="5"/>
    <cellStyle name="_Book1" xfId="6"/>
    <cellStyle name="_Book1 (2)" xfId="7"/>
    <cellStyle name="_Book2" xfId="8"/>
    <cellStyle name="_Chelan Debt Forecast 12.19.05" xfId="9"/>
    <cellStyle name="_Costs not in AURORA 06GRC" xfId="10"/>
    <cellStyle name="_Costs not in AURORA 2006GRC 6.15.06" xfId="11"/>
    <cellStyle name="_Costs not in AURORA 2007 Rate Case" xfId="12"/>
    <cellStyle name="_Costs not in KWI3000 '06Budget" xfId="13"/>
    <cellStyle name="_DEM-WP (C) Power Cost 2006GRC Order" xfId="14"/>
    <cellStyle name="_DEM-WP Revised (HC) Wild Horse 2006GRC" xfId="15"/>
    <cellStyle name="_DEM-WP(C) Costs not in AURORA 2006GRC" xfId="16"/>
    <cellStyle name="_DEM-WP(C) Costs not in AURORA 2007GRC" xfId="17"/>
    <cellStyle name="_DEM-WP(C) Costs not in AURORA 2007PCORC-5.07Update" xfId="18"/>
    <cellStyle name="_DEM-WP(C) Sumas Proforma 11.5.07" xfId="19"/>
    <cellStyle name="_DEM-WP(C) Westside Hydro Data_051007" xfId="20"/>
    <cellStyle name="_Fuel Prices 4-14" xfId="21"/>
    <cellStyle name="_Power Cost Value Copy 11.30.05 gas 1.09.06 AURORA at 1.10.06" xfId="22"/>
    <cellStyle name="_Pro Forma Rev 07 GRC" xfId="23"/>
    <cellStyle name="_Recon to Darrin's 5.11.05 proforma" xfId="24"/>
    <cellStyle name="_Revenue" xfId="25"/>
    <cellStyle name="_Revenue_Data" xfId="26"/>
    <cellStyle name="_Revenue_Data_1" xfId="27"/>
    <cellStyle name="_Revenue_Data_Pro Forma Rev 09 GRC" xfId="28"/>
    <cellStyle name="_Revenue_Data_Pro Forma Rev 2010 GRC" xfId="29"/>
    <cellStyle name="_Revenue_Data_Pro Forma Rev 2010 GRC_Preliminary" xfId="30"/>
    <cellStyle name="_Revenue_Data_Revenue (Feb 09 - Jan 10)" xfId="31"/>
    <cellStyle name="_Revenue_Data_Revenue (Jan 09 - Dec 09)" xfId="32"/>
    <cellStyle name="_Revenue_Data_Revenue (Mar 09 - Feb 10)" xfId="33"/>
    <cellStyle name="_Revenue_Data_Volume Exhibit (Jan09 - Dec09)" xfId="34"/>
    <cellStyle name="_Revenue_Mins" xfId="35"/>
    <cellStyle name="_Revenue_Pro Forma Rev 07 GRC" xfId="36"/>
    <cellStyle name="_Revenue_Pro Forma Rev 08 GRC" xfId="37"/>
    <cellStyle name="_Revenue_Pro Forma Rev 09 GRC" xfId="38"/>
    <cellStyle name="_Revenue_Pro Forma Rev 2010 GRC" xfId="39"/>
    <cellStyle name="_Revenue_Pro Forma Rev 2010 GRC_Preliminary" xfId="40"/>
    <cellStyle name="_Revenue_Revenue (Feb 09 - Jan 10)" xfId="41"/>
    <cellStyle name="_Revenue_Revenue (Jan 09 - Dec 09)" xfId="42"/>
    <cellStyle name="_Revenue_Revenue (Mar 09 - Feb 10)" xfId="43"/>
    <cellStyle name="_Revenue_Sheet2" xfId="44"/>
    <cellStyle name="_Revenue_Therms Data" xfId="45"/>
    <cellStyle name="_Revenue_Therms Data Rerun" xfId="46"/>
    <cellStyle name="_Revenue_Volume Exhibit (Jan09 - Dec09)" xfId="47"/>
    <cellStyle name="_Tenaska Comparison" xfId="48"/>
    <cellStyle name="_Therms Data" xfId="49"/>
    <cellStyle name="_Therms Data_Pro Forma Rev 09 GRC" xfId="50"/>
    <cellStyle name="_Therms Data_Pro Forma Rev 2010 GRC" xfId="51"/>
    <cellStyle name="_Therms Data_Pro Forma Rev 2010 GRC_Preliminary" xfId="52"/>
    <cellStyle name="_Therms Data_Revenue (Feb 09 - Jan 10)" xfId="53"/>
    <cellStyle name="_Therms Data_Revenue (Jan 09 - Dec 09)" xfId="54"/>
    <cellStyle name="_Therms Data_Revenue (Mar 09 - Feb 10)" xfId="55"/>
    <cellStyle name="_Therms Data_Volume Exhibit (Jan09 - Dec09)" xfId="56"/>
    <cellStyle name="_Value Copy 11 30 05 gas 12 09 05 AURORA at 12 14 05" xfId="57"/>
    <cellStyle name="_VC 6.15.06 update on 06GRC power costs.xls Chart 1" xfId="58"/>
    <cellStyle name="_VC 6.15.06 update on 06GRC power costs.xls Chart 2" xfId="59"/>
    <cellStyle name="_VC 6.15.06 update on 06GRC power costs.xls Chart 3" xfId="60"/>
    <cellStyle name="0,0_x000d__x000a_NA_x000d__x000a_" xfId="61"/>
    <cellStyle name="0000" xfId="62"/>
    <cellStyle name="000000" xfId="63"/>
    <cellStyle name="20% - Accent1 10" xfId="64"/>
    <cellStyle name="20% - Accent1 11" xfId="65"/>
    <cellStyle name="20% - Accent1 12" xfId="66"/>
    <cellStyle name="20% - Accent1 13" xfId="67"/>
    <cellStyle name="20% - Accent1 2" xfId="68"/>
    <cellStyle name="20% - Accent1 2 2" xfId="69"/>
    <cellStyle name="20% - Accent1 3" xfId="70"/>
    <cellStyle name="20% - Accent1 3 2" xfId="71"/>
    <cellStyle name="20% - Accent1 4" xfId="72"/>
    <cellStyle name="20% - Accent1 5" xfId="73"/>
    <cellStyle name="20% - Accent1 6" xfId="74"/>
    <cellStyle name="20% - Accent1 7" xfId="75"/>
    <cellStyle name="20% - Accent1 8" xfId="76"/>
    <cellStyle name="20% - Accent1 9" xfId="77"/>
    <cellStyle name="20% - Accent2 10" xfId="78"/>
    <cellStyle name="20% - Accent2 11" xfId="79"/>
    <cellStyle name="20% - Accent2 12" xfId="80"/>
    <cellStyle name="20% - Accent2 13" xfId="81"/>
    <cellStyle name="20% - Accent2 2" xfId="82"/>
    <cellStyle name="20% - Accent2 2 2" xfId="83"/>
    <cellStyle name="20% - Accent2 3" xfId="84"/>
    <cellStyle name="20% - Accent2 3 2" xfId="85"/>
    <cellStyle name="20% - Accent2 4" xfId="86"/>
    <cellStyle name="20% - Accent2 5" xfId="87"/>
    <cellStyle name="20% - Accent2 6" xfId="88"/>
    <cellStyle name="20% - Accent2 7" xfId="89"/>
    <cellStyle name="20% - Accent2 8" xfId="90"/>
    <cellStyle name="20% - Accent2 9" xfId="91"/>
    <cellStyle name="20% - Accent3 10" xfId="92"/>
    <cellStyle name="20% - Accent3 11" xfId="93"/>
    <cellStyle name="20% - Accent3 12" xfId="94"/>
    <cellStyle name="20% - Accent3 13" xfId="95"/>
    <cellStyle name="20% - Accent3 2" xfId="96"/>
    <cellStyle name="20% - Accent3 2 2" xfId="97"/>
    <cellStyle name="20% - Accent3 3" xfId="98"/>
    <cellStyle name="20% - Accent3 3 2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4 10" xfId="106"/>
    <cellStyle name="20% - Accent4 11" xfId="107"/>
    <cellStyle name="20% - Accent4 12" xfId="108"/>
    <cellStyle name="20% - Accent4 13" xfId="109"/>
    <cellStyle name="20% - Accent4 2" xfId="110"/>
    <cellStyle name="20% - Accent4 2 2" xfId="111"/>
    <cellStyle name="20% - Accent4 3" xfId="112"/>
    <cellStyle name="20% - Accent4 3 2" xfId="113"/>
    <cellStyle name="20% - Accent4 4" xfId="114"/>
    <cellStyle name="20% - Accent4 5" xfId="115"/>
    <cellStyle name="20% - Accent4 6" xfId="116"/>
    <cellStyle name="20% - Accent4 7" xfId="117"/>
    <cellStyle name="20% - Accent4 8" xfId="118"/>
    <cellStyle name="20% - Accent4 9" xfId="119"/>
    <cellStyle name="20% - Accent5 10" xfId="120"/>
    <cellStyle name="20% - Accent5 11" xfId="121"/>
    <cellStyle name="20% - Accent5 12" xfId="122"/>
    <cellStyle name="20% - Accent5 13" xfId="123"/>
    <cellStyle name="20% - Accent5 2" xfId="124"/>
    <cellStyle name="20% - Accent5 2 2" xfId="125"/>
    <cellStyle name="20% - Accent5 3" xfId="126"/>
    <cellStyle name="20% - Accent5 3 2" xfId="127"/>
    <cellStyle name="20% - Accent5 4" xfId="128"/>
    <cellStyle name="20% - Accent5 5" xfId="129"/>
    <cellStyle name="20% - Accent5 6" xfId="130"/>
    <cellStyle name="20% - Accent5 7" xfId="131"/>
    <cellStyle name="20% - Accent5 8" xfId="132"/>
    <cellStyle name="20% - Accent5 9" xfId="133"/>
    <cellStyle name="20% - Accent6 10" xfId="134"/>
    <cellStyle name="20% - Accent6 11" xfId="135"/>
    <cellStyle name="20% - Accent6 12" xfId="136"/>
    <cellStyle name="20% - Accent6 13" xfId="137"/>
    <cellStyle name="20% - Accent6 2" xfId="138"/>
    <cellStyle name="20% - Accent6 2 2" xfId="139"/>
    <cellStyle name="20% - Accent6 3" xfId="140"/>
    <cellStyle name="20% - Accent6 3 2" xfId="141"/>
    <cellStyle name="20% - Accent6 4" xfId="142"/>
    <cellStyle name="20% - Accent6 5" xfId="143"/>
    <cellStyle name="20% - Accent6 6" xfId="144"/>
    <cellStyle name="20% - Accent6 7" xfId="145"/>
    <cellStyle name="20% - Accent6 8" xfId="146"/>
    <cellStyle name="20% - Accent6 9" xfId="147"/>
    <cellStyle name="40% - Accent1 10" xfId="148"/>
    <cellStyle name="40% - Accent1 11" xfId="149"/>
    <cellStyle name="40% - Accent1 12" xfId="150"/>
    <cellStyle name="40% - Accent1 13" xfId="151"/>
    <cellStyle name="40% - Accent1 2" xfId="152"/>
    <cellStyle name="40% - Accent1 2 2" xfId="153"/>
    <cellStyle name="40% - Accent1 3" xfId="154"/>
    <cellStyle name="40% - Accent1 3 2" xfId="155"/>
    <cellStyle name="40% - Accent1 4" xfId="156"/>
    <cellStyle name="40% - Accent1 5" xfId="157"/>
    <cellStyle name="40% - Accent1 6" xfId="158"/>
    <cellStyle name="40% - Accent1 7" xfId="159"/>
    <cellStyle name="40% - Accent1 8" xfId="160"/>
    <cellStyle name="40% - Accent1 9" xfId="161"/>
    <cellStyle name="40% - Accent2 10" xfId="162"/>
    <cellStyle name="40% - Accent2 11" xfId="163"/>
    <cellStyle name="40% - Accent2 12" xfId="164"/>
    <cellStyle name="40% - Accent2 13" xfId="165"/>
    <cellStyle name="40% - Accent2 2" xfId="166"/>
    <cellStyle name="40% - Accent2 2 2" xfId="167"/>
    <cellStyle name="40% - Accent2 3" xfId="168"/>
    <cellStyle name="40% - Accent2 3 2" xfId="169"/>
    <cellStyle name="40% - Accent2 4" xfId="170"/>
    <cellStyle name="40% - Accent2 5" xfId="171"/>
    <cellStyle name="40% - Accent2 6" xfId="172"/>
    <cellStyle name="40% - Accent2 7" xfId="173"/>
    <cellStyle name="40% - Accent2 8" xfId="174"/>
    <cellStyle name="40% - Accent2 9" xfId="175"/>
    <cellStyle name="40% - Accent3 10" xfId="176"/>
    <cellStyle name="40% - Accent3 11" xfId="177"/>
    <cellStyle name="40% - Accent3 12" xfId="178"/>
    <cellStyle name="40% - Accent3 13" xfId="179"/>
    <cellStyle name="40% - Accent3 2" xfId="180"/>
    <cellStyle name="40% - Accent3 2 2" xfId="181"/>
    <cellStyle name="40% - Accent3 3" xfId="182"/>
    <cellStyle name="40% - Accent3 3 2" xfId="183"/>
    <cellStyle name="40% - Accent3 4" xfId="184"/>
    <cellStyle name="40% - Accent3 5" xfId="185"/>
    <cellStyle name="40% - Accent3 6" xfId="186"/>
    <cellStyle name="40% - Accent3 7" xfId="187"/>
    <cellStyle name="40% - Accent3 8" xfId="188"/>
    <cellStyle name="40% - Accent3 9" xfId="189"/>
    <cellStyle name="40% - Accent4 10" xfId="190"/>
    <cellStyle name="40% - Accent4 11" xfId="191"/>
    <cellStyle name="40% - Accent4 12" xfId="192"/>
    <cellStyle name="40% - Accent4 13" xfId="193"/>
    <cellStyle name="40% - Accent4 2" xfId="194"/>
    <cellStyle name="40% - Accent4 2 2" xfId="195"/>
    <cellStyle name="40% - Accent4 3" xfId="196"/>
    <cellStyle name="40% - Accent4 3 2" xfId="197"/>
    <cellStyle name="40% - Accent4 4" xfId="198"/>
    <cellStyle name="40% - Accent4 5" xfId="199"/>
    <cellStyle name="40% - Accent4 6" xfId="200"/>
    <cellStyle name="40% - Accent4 7" xfId="201"/>
    <cellStyle name="40% - Accent4 8" xfId="202"/>
    <cellStyle name="40% - Accent4 9" xfId="203"/>
    <cellStyle name="40% - Accent5 10" xfId="204"/>
    <cellStyle name="40% - Accent5 11" xfId="205"/>
    <cellStyle name="40% - Accent5 12" xfId="206"/>
    <cellStyle name="40% - Accent5 13" xfId="207"/>
    <cellStyle name="40% - Accent5 2" xfId="208"/>
    <cellStyle name="40% - Accent5 2 2" xfId="209"/>
    <cellStyle name="40% - Accent5 3" xfId="210"/>
    <cellStyle name="40% - Accent5 3 2" xfId="211"/>
    <cellStyle name="40% - Accent5 4" xfId="212"/>
    <cellStyle name="40% - Accent5 5" xfId="213"/>
    <cellStyle name="40% - Accent5 6" xfId="214"/>
    <cellStyle name="40% - Accent5 7" xfId="215"/>
    <cellStyle name="40% - Accent5 8" xfId="216"/>
    <cellStyle name="40% - Accent5 9" xfId="217"/>
    <cellStyle name="40% - Accent6 10" xfId="218"/>
    <cellStyle name="40% - Accent6 11" xfId="219"/>
    <cellStyle name="40% - Accent6 12" xfId="220"/>
    <cellStyle name="40% - Accent6 13" xfId="221"/>
    <cellStyle name="40% - Accent6 2" xfId="222"/>
    <cellStyle name="40% - Accent6 2 2" xfId="223"/>
    <cellStyle name="40% - Accent6 3" xfId="224"/>
    <cellStyle name="40% - Accent6 3 2" xfId="225"/>
    <cellStyle name="40% - Accent6 4" xfId="226"/>
    <cellStyle name="40% - Accent6 5" xfId="227"/>
    <cellStyle name="40% - Accent6 6" xfId="228"/>
    <cellStyle name="40% - Accent6 7" xfId="229"/>
    <cellStyle name="40% - Accent6 8" xfId="230"/>
    <cellStyle name="40% - Accent6 9" xfId="231"/>
    <cellStyle name="60% - Accent1 2" xfId="232"/>
    <cellStyle name="60% - Accent1 3" xfId="233"/>
    <cellStyle name="60% - Accent1 4" xfId="234"/>
    <cellStyle name="60% - Accent1 5" xfId="235"/>
    <cellStyle name="60% - Accent1 6" xfId="236"/>
    <cellStyle name="60% - Accent1 7" xfId="237"/>
    <cellStyle name="60% - Accent1 8" xfId="238"/>
    <cellStyle name="60% - Accent1 9" xfId="239"/>
    <cellStyle name="60% - Accent2 2" xfId="240"/>
    <cellStyle name="60% - Accent2 3" xfId="241"/>
    <cellStyle name="60% - Accent2 4" xfId="242"/>
    <cellStyle name="60% - Accent2 5" xfId="243"/>
    <cellStyle name="60% - Accent2 6" xfId="244"/>
    <cellStyle name="60% - Accent2 7" xfId="245"/>
    <cellStyle name="60% - Accent2 8" xfId="246"/>
    <cellStyle name="60% - Accent2 9" xfId="247"/>
    <cellStyle name="60% - Accent3 2" xfId="248"/>
    <cellStyle name="60% - Accent3 3" xfId="249"/>
    <cellStyle name="60% - Accent3 4" xfId="250"/>
    <cellStyle name="60% - Accent3 5" xfId="251"/>
    <cellStyle name="60% - Accent3 6" xfId="252"/>
    <cellStyle name="60% - Accent3 7" xfId="253"/>
    <cellStyle name="60% - Accent3 8" xfId="254"/>
    <cellStyle name="60% - Accent3 9" xfId="255"/>
    <cellStyle name="60% - Accent4 2" xfId="256"/>
    <cellStyle name="60% - Accent4 3" xfId="257"/>
    <cellStyle name="60% - Accent4 4" xfId="258"/>
    <cellStyle name="60% - Accent4 5" xfId="259"/>
    <cellStyle name="60% - Accent4 6" xfId="260"/>
    <cellStyle name="60% - Accent4 7" xfId="261"/>
    <cellStyle name="60% - Accent4 8" xfId="262"/>
    <cellStyle name="60% - Accent4 9" xfId="263"/>
    <cellStyle name="60% - Accent5 2" xfId="264"/>
    <cellStyle name="60% - Accent5 3" xfId="265"/>
    <cellStyle name="60% - Accent5 4" xfId="266"/>
    <cellStyle name="60% - Accent5 5" xfId="267"/>
    <cellStyle name="60% - Accent5 6" xfId="268"/>
    <cellStyle name="60% - Accent5 7" xfId="269"/>
    <cellStyle name="60% - Accent5 8" xfId="270"/>
    <cellStyle name="60% - Accent5 9" xfId="271"/>
    <cellStyle name="60% - Accent6 2" xfId="272"/>
    <cellStyle name="60% - Accent6 3" xfId="273"/>
    <cellStyle name="60% - Accent6 4" xfId="274"/>
    <cellStyle name="60% - Accent6 5" xfId="275"/>
    <cellStyle name="60% - Accent6 6" xfId="276"/>
    <cellStyle name="60% - Accent6 7" xfId="277"/>
    <cellStyle name="60% - Accent6 8" xfId="278"/>
    <cellStyle name="60% - Accent6 9" xfId="279"/>
    <cellStyle name="Accent1 - 20%" xfId="280"/>
    <cellStyle name="Accent1 - 40%" xfId="281"/>
    <cellStyle name="Accent1 - 60%" xfId="282"/>
    <cellStyle name="Accent1 10" xfId="283"/>
    <cellStyle name="Accent1 11" xfId="284"/>
    <cellStyle name="Accent1 12" xfId="285"/>
    <cellStyle name="Accent1 13" xfId="286"/>
    <cellStyle name="Accent1 14" xfId="287"/>
    <cellStyle name="Accent1 15" xfId="288"/>
    <cellStyle name="Accent1 16" xfId="289"/>
    <cellStyle name="Accent1 17" xfId="290"/>
    <cellStyle name="Accent1 18" xfId="291"/>
    <cellStyle name="Accent1 19" xfId="292"/>
    <cellStyle name="Accent1 2" xfId="293"/>
    <cellStyle name="Accent1 20" xfId="294"/>
    <cellStyle name="Accent1 21" xfId="295"/>
    <cellStyle name="Accent1 22" xfId="296"/>
    <cellStyle name="Accent1 3" xfId="297"/>
    <cellStyle name="Accent1 4" xfId="298"/>
    <cellStyle name="Accent1 5" xfId="299"/>
    <cellStyle name="Accent1 6" xfId="300"/>
    <cellStyle name="Accent1 7" xfId="301"/>
    <cellStyle name="Accent1 8" xfId="302"/>
    <cellStyle name="Accent1 9" xfId="303"/>
    <cellStyle name="Accent2 - 20%" xfId="304"/>
    <cellStyle name="Accent2 - 40%" xfId="305"/>
    <cellStyle name="Accent2 - 60%" xfId="306"/>
    <cellStyle name="Accent2 10" xfId="307"/>
    <cellStyle name="Accent2 11" xfId="308"/>
    <cellStyle name="Accent2 12" xfId="309"/>
    <cellStyle name="Accent2 13" xfId="310"/>
    <cellStyle name="Accent2 14" xfId="311"/>
    <cellStyle name="Accent2 15" xfId="312"/>
    <cellStyle name="Accent2 16" xfId="313"/>
    <cellStyle name="Accent2 17" xfId="314"/>
    <cellStyle name="Accent2 18" xfId="315"/>
    <cellStyle name="Accent2 19" xfId="316"/>
    <cellStyle name="Accent2 2" xfId="317"/>
    <cellStyle name="Accent2 20" xfId="318"/>
    <cellStyle name="Accent2 21" xfId="319"/>
    <cellStyle name="Accent2 22" xfId="320"/>
    <cellStyle name="Accent2 3" xfId="321"/>
    <cellStyle name="Accent2 4" xfId="322"/>
    <cellStyle name="Accent2 5" xfId="323"/>
    <cellStyle name="Accent2 6" xfId="324"/>
    <cellStyle name="Accent2 7" xfId="325"/>
    <cellStyle name="Accent2 8" xfId="326"/>
    <cellStyle name="Accent2 9" xfId="327"/>
    <cellStyle name="Accent3 - 20%" xfId="328"/>
    <cellStyle name="Accent3 - 40%" xfId="329"/>
    <cellStyle name="Accent3 - 60%" xfId="330"/>
    <cellStyle name="Accent3 10" xfId="331"/>
    <cellStyle name="Accent3 11" xfId="332"/>
    <cellStyle name="Accent3 12" xfId="333"/>
    <cellStyle name="Accent3 13" xfId="334"/>
    <cellStyle name="Accent3 14" xfId="335"/>
    <cellStyle name="Accent3 15" xfId="336"/>
    <cellStyle name="Accent3 16" xfId="337"/>
    <cellStyle name="Accent3 17" xfId="338"/>
    <cellStyle name="Accent3 18" xfId="339"/>
    <cellStyle name="Accent3 19" xfId="340"/>
    <cellStyle name="Accent3 2" xfId="341"/>
    <cellStyle name="Accent3 20" xfId="342"/>
    <cellStyle name="Accent3 21" xfId="343"/>
    <cellStyle name="Accent3 22" xfId="344"/>
    <cellStyle name="Accent3 3" xfId="345"/>
    <cellStyle name="Accent3 4" xfId="346"/>
    <cellStyle name="Accent3 5" xfId="347"/>
    <cellStyle name="Accent3 6" xfId="348"/>
    <cellStyle name="Accent3 7" xfId="349"/>
    <cellStyle name="Accent3 8" xfId="350"/>
    <cellStyle name="Accent3 9" xfId="351"/>
    <cellStyle name="Accent4 - 20%" xfId="352"/>
    <cellStyle name="Accent4 - 40%" xfId="353"/>
    <cellStyle name="Accent4 - 60%" xfId="354"/>
    <cellStyle name="Accent4 10" xfId="355"/>
    <cellStyle name="Accent4 11" xfId="356"/>
    <cellStyle name="Accent4 12" xfId="357"/>
    <cellStyle name="Accent4 13" xfId="358"/>
    <cellStyle name="Accent4 14" xfId="359"/>
    <cellStyle name="Accent4 15" xfId="360"/>
    <cellStyle name="Accent4 16" xfId="361"/>
    <cellStyle name="Accent4 17" xfId="362"/>
    <cellStyle name="Accent4 18" xfId="363"/>
    <cellStyle name="Accent4 19" xfId="364"/>
    <cellStyle name="Accent4 2" xfId="365"/>
    <cellStyle name="Accent4 20" xfId="366"/>
    <cellStyle name="Accent4 21" xfId="367"/>
    <cellStyle name="Accent4 22" xfId="368"/>
    <cellStyle name="Accent4 3" xfId="369"/>
    <cellStyle name="Accent4 4" xfId="370"/>
    <cellStyle name="Accent4 5" xfId="371"/>
    <cellStyle name="Accent4 6" xfId="372"/>
    <cellStyle name="Accent4 7" xfId="373"/>
    <cellStyle name="Accent4 8" xfId="374"/>
    <cellStyle name="Accent4 9" xfId="375"/>
    <cellStyle name="Accent5 - 20%" xfId="376"/>
    <cellStyle name="Accent5 - 40%" xfId="377"/>
    <cellStyle name="Accent5 - 60%" xfId="378"/>
    <cellStyle name="Accent5 10" xfId="379"/>
    <cellStyle name="Accent5 11" xfId="380"/>
    <cellStyle name="Accent5 12" xfId="381"/>
    <cellStyle name="Accent5 13" xfId="382"/>
    <cellStyle name="Accent5 14" xfId="383"/>
    <cellStyle name="Accent5 15" xfId="384"/>
    <cellStyle name="Accent5 16" xfId="385"/>
    <cellStyle name="Accent5 17" xfId="386"/>
    <cellStyle name="Accent5 18" xfId="387"/>
    <cellStyle name="Accent5 19" xfId="388"/>
    <cellStyle name="Accent5 2" xfId="389"/>
    <cellStyle name="Accent5 20" xfId="390"/>
    <cellStyle name="Accent5 21" xfId="391"/>
    <cellStyle name="Accent5 22" xfId="392"/>
    <cellStyle name="Accent5 3" xfId="393"/>
    <cellStyle name="Accent5 4" xfId="394"/>
    <cellStyle name="Accent5 5" xfId="395"/>
    <cellStyle name="Accent5 6" xfId="396"/>
    <cellStyle name="Accent5 7" xfId="397"/>
    <cellStyle name="Accent5 8" xfId="398"/>
    <cellStyle name="Accent5 9" xfId="399"/>
    <cellStyle name="Accent6 - 20%" xfId="400"/>
    <cellStyle name="Accent6 - 40%" xfId="401"/>
    <cellStyle name="Accent6 - 60%" xfId="402"/>
    <cellStyle name="Accent6 10" xfId="403"/>
    <cellStyle name="Accent6 11" xfId="404"/>
    <cellStyle name="Accent6 12" xfId="405"/>
    <cellStyle name="Accent6 13" xfId="406"/>
    <cellStyle name="Accent6 14" xfId="407"/>
    <cellStyle name="Accent6 15" xfId="408"/>
    <cellStyle name="Accent6 16" xfId="409"/>
    <cellStyle name="Accent6 17" xfId="410"/>
    <cellStyle name="Accent6 18" xfId="411"/>
    <cellStyle name="Accent6 19" xfId="412"/>
    <cellStyle name="Accent6 2" xfId="413"/>
    <cellStyle name="Accent6 20" xfId="414"/>
    <cellStyle name="Accent6 21" xfId="415"/>
    <cellStyle name="Accent6 22" xfId="416"/>
    <cellStyle name="Accent6 3" xfId="417"/>
    <cellStyle name="Accent6 4" xfId="418"/>
    <cellStyle name="Accent6 5" xfId="419"/>
    <cellStyle name="Accent6 6" xfId="420"/>
    <cellStyle name="Accent6 7" xfId="421"/>
    <cellStyle name="Accent6 8" xfId="422"/>
    <cellStyle name="Accent6 9" xfId="423"/>
    <cellStyle name="Bad 2" xfId="424"/>
    <cellStyle name="Bad 3" xfId="425"/>
    <cellStyle name="Bad 4" xfId="426"/>
    <cellStyle name="Bad 5" xfId="427"/>
    <cellStyle name="Bad 6" xfId="428"/>
    <cellStyle name="Bad 7" xfId="429"/>
    <cellStyle name="Bad 8" xfId="430"/>
    <cellStyle name="Bad 9" xfId="431"/>
    <cellStyle name="blank" xfId="432"/>
    <cellStyle name="Calc Currency (0)" xfId="433"/>
    <cellStyle name="Calculation 2" xfId="434"/>
    <cellStyle name="Calculation 3" xfId="435"/>
    <cellStyle name="Calculation 4" xfId="436"/>
    <cellStyle name="Calculation 5" xfId="437"/>
    <cellStyle name="Calculation 6" xfId="438"/>
    <cellStyle name="Calculation 7" xfId="439"/>
    <cellStyle name="Calculation 8" xfId="440"/>
    <cellStyle name="Calculation 9" xfId="441"/>
    <cellStyle name="Check Cell 2" xfId="442"/>
    <cellStyle name="Check Cell 3" xfId="443"/>
    <cellStyle name="Check Cell 4" xfId="444"/>
    <cellStyle name="Check Cell 5" xfId="445"/>
    <cellStyle name="Check Cell 6" xfId="446"/>
    <cellStyle name="Check Cell 7" xfId="447"/>
    <cellStyle name="Check Cell 8" xfId="448"/>
    <cellStyle name="Check Cell 9" xfId="449"/>
    <cellStyle name="CheckCell" xfId="450"/>
    <cellStyle name="Comma" xfId="882" builtinId="3"/>
    <cellStyle name="Comma [0] 2" xfId="881"/>
    <cellStyle name="Comma 10" xfId="451"/>
    <cellStyle name="Comma 11" xfId="452"/>
    <cellStyle name="Comma 12" xfId="453"/>
    <cellStyle name="Comma 13" xfId="454"/>
    <cellStyle name="Comma 14" xfId="455"/>
    <cellStyle name="Comma 15" xfId="456"/>
    <cellStyle name="Comma 16" xfId="457"/>
    <cellStyle name="Comma 17" xfId="458"/>
    <cellStyle name="Comma 18" xfId="459"/>
    <cellStyle name="Comma 19" xfId="460"/>
    <cellStyle name="Comma 2" xfId="461"/>
    <cellStyle name="Comma 2 2" xfId="462"/>
    <cellStyle name="Comma 2 3" xfId="463"/>
    <cellStyle name="Comma 20" xfId="464"/>
    <cellStyle name="Comma 21" xfId="465"/>
    <cellStyle name="Comma 22" xfId="466"/>
    <cellStyle name="Comma 23" xfId="467"/>
    <cellStyle name="Comma 24" xfId="468"/>
    <cellStyle name="Comma 25" xfId="469"/>
    <cellStyle name="Comma 26" xfId="879"/>
    <cellStyle name="Comma 3" xfId="470"/>
    <cellStyle name="Comma 3 2" xfId="471"/>
    <cellStyle name="Comma 3 3" xfId="472"/>
    <cellStyle name="Comma 4" xfId="473"/>
    <cellStyle name="Comma 4 2" xfId="474"/>
    <cellStyle name="Comma 5" xfId="475"/>
    <cellStyle name="Comma 5 2" xfId="476"/>
    <cellStyle name="Comma 6" xfId="477"/>
    <cellStyle name="Comma 6 2" xfId="478"/>
    <cellStyle name="Comma 7" xfId="479"/>
    <cellStyle name="Comma 8" xfId="480"/>
    <cellStyle name="Comma 9" xfId="481"/>
    <cellStyle name="Comma0" xfId="482"/>
    <cellStyle name="Comma0 - Style2" xfId="483"/>
    <cellStyle name="Comma0 - Style4" xfId="484"/>
    <cellStyle name="Comma0 - Style5" xfId="485"/>
    <cellStyle name="Comma0_00COS Ind Allocators" xfId="486"/>
    <cellStyle name="Comma1 - Style1" xfId="487"/>
    <cellStyle name="Copied" xfId="488"/>
    <cellStyle name="COST1" xfId="489"/>
    <cellStyle name="Curren - Style1" xfId="490"/>
    <cellStyle name="Curren - Style2" xfId="491"/>
    <cellStyle name="Curren - Style5" xfId="492"/>
    <cellStyle name="Curren - Style6" xfId="493"/>
    <cellStyle name="Currency" xfId="883" builtinId="4"/>
    <cellStyle name="Currency 10" xfId="494"/>
    <cellStyle name="Currency 11" xfId="495"/>
    <cellStyle name="Currency 12" xfId="496"/>
    <cellStyle name="Currency 13" xfId="497"/>
    <cellStyle name="Currency 14" xfId="498"/>
    <cellStyle name="Currency 15" xfId="499"/>
    <cellStyle name="Currency 16" xfId="500"/>
    <cellStyle name="Currency 17" xfId="501"/>
    <cellStyle name="Currency 18" xfId="502"/>
    <cellStyle name="Currency 19" xfId="503"/>
    <cellStyle name="Currency 2" xfId="504"/>
    <cellStyle name="Currency 2 2" xfId="505"/>
    <cellStyle name="Currency 20" xfId="506"/>
    <cellStyle name="Currency 21" xfId="507"/>
    <cellStyle name="Currency 22" xfId="508"/>
    <cellStyle name="Currency 23" xfId="509"/>
    <cellStyle name="Currency 3" xfId="510"/>
    <cellStyle name="Currency 3 2" xfId="511"/>
    <cellStyle name="Currency 4" xfId="512"/>
    <cellStyle name="Currency 5" xfId="513"/>
    <cellStyle name="Currency 6" xfId="514"/>
    <cellStyle name="Currency 7" xfId="515"/>
    <cellStyle name="Currency 8" xfId="516"/>
    <cellStyle name="Currency 9" xfId="517"/>
    <cellStyle name="Currency0" xfId="518"/>
    <cellStyle name="Date" xfId="519"/>
    <cellStyle name="Emphasis 1" xfId="520"/>
    <cellStyle name="Emphasis 2" xfId="521"/>
    <cellStyle name="Emphasis 3" xfId="522"/>
    <cellStyle name="Entered" xfId="523"/>
    <cellStyle name="Explanatory Text 2" xfId="524"/>
    <cellStyle name="Explanatory Text 3" xfId="525"/>
    <cellStyle name="Explanatory Text 4" xfId="526"/>
    <cellStyle name="Explanatory Text 5" xfId="527"/>
    <cellStyle name="Explanatory Text 6" xfId="528"/>
    <cellStyle name="Explanatory Text 7" xfId="529"/>
    <cellStyle name="Explanatory Text 8" xfId="530"/>
    <cellStyle name="Explanatory Text 9" xfId="531"/>
    <cellStyle name="Fixed" xfId="532"/>
    <cellStyle name="Fixed3 - Style3" xfId="533"/>
    <cellStyle name="Good 2" xfId="534"/>
    <cellStyle name="Good 3" xfId="535"/>
    <cellStyle name="Good 4" xfId="536"/>
    <cellStyle name="Good 5" xfId="537"/>
    <cellStyle name="Good 6" xfId="538"/>
    <cellStyle name="Good 7" xfId="539"/>
    <cellStyle name="Good 8" xfId="540"/>
    <cellStyle name="Good 9" xfId="541"/>
    <cellStyle name="Grey" xfId="542"/>
    <cellStyle name="Header" xfId="543"/>
    <cellStyle name="Header1" xfId="544"/>
    <cellStyle name="Header2" xfId="545"/>
    <cellStyle name="Heading" xfId="546"/>
    <cellStyle name="Heading 1 2" xfId="547"/>
    <cellStyle name="Heading 1 3" xfId="548"/>
    <cellStyle name="Heading 1 4" xfId="549"/>
    <cellStyle name="Heading 1 5" xfId="550"/>
    <cellStyle name="Heading 1 6" xfId="551"/>
    <cellStyle name="Heading 1 7" xfId="552"/>
    <cellStyle name="Heading 1 8" xfId="553"/>
    <cellStyle name="Heading 1 9" xfId="554"/>
    <cellStyle name="Heading 2 2" xfId="555"/>
    <cellStyle name="Heading 2 3" xfId="556"/>
    <cellStyle name="Heading 2 4" xfId="557"/>
    <cellStyle name="Heading 2 5" xfId="558"/>
    <cellStyle name="Heading 2 6" xfId="559"/>
    <cellStyle name="Heading 2 7" xfId="560"/>
    <cellStyle name="Heading 2 8" xfId="561"/>
    <cellStyle name="Heading 2 9" xfId="562"/>
    <cellStyle name="Heading 3 2" xfId="563"/>
    <cellStyle name="Heading 3 3" xfId="564"/>
    <cellStyle name="Heading 3 4" xfId="565"/>
    <cellStyle name="Heading 3 5" xfId="566"/>
    <cellStyle name="Heading 3 6" xfId="567"/>
    <cellStyle name="Heading 3 7" xfId="568"/>
    <cellStyle name="Heading 3 8" xfId="569"/>
    <cellStyle name="Heading 3 9" xfId="570"/>
    <cellStyle name="Heading 4 2" xfId="571"/>
    <cellStyle name="Heading 4 3" xfId="572"/>
    <cellStyle name="Heading 4 4" xfId="573"/>
    <cellStyle name="Heading 4 5" xfId="574"/>
    <cellStyle name="Heading 4 6" xfId="575"/>
    <cellStyle name="Heading 4 7" xfId="576"/>
    <cellStyle name="Heading 4 8" xfId="577"/>
    <cellStyle name="Heading 4 9" xfId="578"/>
    <cellStyle name="Heading1" xfId="579"/>
    <cellStyle name="Heading2" xfId="580"/>
    <cellStyle name="Input [yellow]" xfId="581"/>
    <cellStyle name="Input 10" xfId="582"/>
    <cellStyle name="Input 11" xfId="583"/>
    <cellStyle name="Input 12" xfId="584"/>
    <cellStyle name="Input 13" xfId="585"/>
    <cellStyle name="Input 14" xfId="586"/>
    <cellStyle name="Input 15" xfId="587"/>
    <cellStyle name="Input 16" xfId="588"/>
    <cellStyle name="Input 17" xfId="589"/>
    <cellStyle name="Input 18" xfId="590"/>
    <cellStyle name="Input 19" xfId="591"/>
    <cellStyle name="Input 2" xfId="592"/>
    <cellStyle name="Input 20" xfId="593"/>
    <cellStyle name="Input 21" xfId="594"/>
    <cellStyle name="Input 22" xfId="595"/>
    <cellStyle name="Input 3" xfId="596"/>
    <cellStyle name="Input 4" xfId="597"/>
    <cellStyle name="Input 5" xfId="598"/>
    <cellStyle name="Input 6" xfId="599"/>
    <cellStyle name="Input 7" xfId="600"/>
    <cellStyle name="Input 8" xfId="601"/>
    <cellStyle name="Input 9" xfId="602"/>
    <cellStyle name="Input Cells" xfId="603"/>
    <cellStyle name="Input Cells Percent" xfId="604"/>
    <cellStyle name="Lines" xfId="605"/>
    <cellStyle name="LINKED" xfId="606"/>
    <cellStyle name="Linked Cell 2" xfId="607"/>
    <cellStyle name="Linked Cell 3" xfId="608"/>
    <cellStyle name="Linked Cell 4" xfId="609"/>
    <cellStyle name="Linked Cell 5" xfId="610"/>
    <cellStyle name="Linked Cell 6" xfId="611"/>
    <cellStyle name="Linked Cell 7" xfId="612"/>
    <cellStyle name="Linked Cell 8" xfId="613"/>
    <cellStyle name="Linked Cell 9" xfId="614"/>
    <cellStyle name="modified border" xfId="615"/>
    <cellStyle name="modified border1" xfId="616"/>
    <cellStyle name="Neutral 2" xfId="617"/>
    <cellStyle name="Neutral 3" xfId="618"/>
    <cellStyle name="Neutral 4" xfId="619"/>
    <cellStyle name="Neutral 5" xfId="620"/>
    <cellStyle name="Neutral 6" xfId="621"/>
    <cellStyle name="Neutral 7" xfId="622"/>
    <cellStyle name="Neutral 8" xfId="623"/>
    <cellStyle name="Neutral 9" xfId="624"/>
    <cellStyle name="no dec" xfId="625"/>
    <cellStyle name="Normal" xfId="0" builtinId="0"/>
    <cellStyle name="Normal - Style1" xfId="626"/>
    <cellStyle name="Normal - Style1 2" xfId="627"/>
    <cellStyle name="Normal 10" xfId="628"/>
    <cellStyle name="Normal 10 2" xfId="629"/>
    <cellStyle name="Normal 11" xfId="630"/>
    <cellStyle name="Normal 11 2" xfId="631"/>
    <cellStyle name="Normal 12" xfId="632"/>
    <cellStyle name="Normal 12 2" xfId="633"/>
    <cellStyle name="Normal 13" xfId="634"/>
    <cellStyle name="Normal 13 2" xfId="635"/>
    <cellStyle name="Normal 14" xfId="636"/>
    <cellStyle name="Normal 15" xfId="637"/>
    <cellStyle name="Normal 16" xfId="638"/>
    <cellStyle name="Normal 17" xfId="639"/>
    <cellStyle name="Normal 18" xfId="640"/>
    <cellStyle name="Normal 19" xfId="641"/>
    <cellStyle name="Normal 2" xfId="3"/>
    <cellStyle name="Normal 2 2" xfId="642"/>
    <cellStyle name="Normal 2 2 2" xfId="643"/>
    <cellStyle name="Normal 2 2 3" xfId="644"/>
    <cellStyle name="Normal 2 3" xfId="645"/>
    <cellStyle name="Normal 2 4" xfId="646"/>
    <cellStyle name="Normal 2 5" xfId="647"/>
    <cellStyle name="Normal 2 6" xfId="648"/>
    <cellStyle name="Normal 2 7" xfId="649"/>
    <cellStyle name="Normal 2 8" xfId="650"/>
    <cellStyle name="Normal 2_Allocation Method - Working File" xfId="651"/>
    <cellStyle name="Normal 20" xfId="652"/>
    <cellStyle name="Normal 21" xfId="653"/>
    <cellStyle name="Normal 22" xfId="654"/>
    <cellStyle name="Normal 23" xfId="655"/>
    <cellStyle name="Normal 24" xfId="656"/>
    <cellStyle name="Normal 25" xfId="657"/>
    <cellStyle name="Normal 26" xfId="658"/>
    <cellStyle name="Normal 27" xfId="659"/>
    <cellStyle name="Normal 28" xfId="660"/>
    <cellStyle name="Normal 29" xfId="661"/>
    <cellStyle name="Normal 3" xfId="1"/>
    <cellStyle name="Normal 3 2" xfId="662"/>
    <cellStyle name="Normal 3 3" xfId="663"/>
    <cellStyle name="Normal 3 4" xfId="664"/>
    <cellStyle name="Normal 3 5" xfId="665"/>
    <cellStyle name="Normal 3 6" xfId="666"/>
    <cellStyle name="Normal 3_Net Classified Plant" xfId="667"/>
    <cellStyle name="Normal 30" xfId="668"/>
    <cellStyle name="Normal 31" xfId="669"/>
    <cellStyle name="Normal 32" xfId="670"/>
    <cellStyle name="Normal 33" xfId="671"/>
    <cellStyle name="Normal 34" xfId="672"/>
    <cellStyle name="Normal 35" xfId="878"/>
    <cellStyle name="Normal 4" xfId="673"/>
    <cellStyle name="Normal 4 2" xfId="674"/>
    <cellStyle name="Normal 4 3" xfId="675"/>
    <cellStyle name="Normal 4_Net Classified Plant" xfId="676"/>
    <cellStyle name="Normal 5" xfId="677"/>
    <cellStyle name="Normal 5 2" xfId="678"/>
    <cellStyle name="Normal 6" xfId="679"/>
    <cellStyle name="Normal 6 2" xfId="680"/>
    <cellStyle name="Normal 7" xfId="681"/>
    <cellStyle name="Normal 7 2" xfId="682"/>
    <cellStyle name="Normal 8" xfId="2"/>
    <cellStyle name="Normal 8 2" xfId="683"/>
    <cellStyle name="Normal 9" xfId="684"/>
    <cellStyle name="Normal 9 2" xfId="685"/>
    <cellStyle name="Note 10" xfId="686"/>
    <cellStyle name="Note 10 2" xfId="687"/>
    <cellStyle name="Note 11" xfId="688"/>
    <cellStyle name="Note 11 2" xfId="689"/>
    <cellStyle name="Note 12" xfId="690"/>
    <cellStyle name="Note 12 2" xfId="691"/>
    <cellStyle name="Note 13" xfId="692"/>
    <cellStyle name="Note 2" xfId="693"/>
    <cellStyle name="Note 2 2" xfId="694"/>
    <cellStyle name="Note 3" xfId="695"/>
    <cellStyle name="Note 3 2" xfId="696"/>
    <cellStyle name="Note 4" xfId="697"/>
    <cellStyle name="Note 4 2" xfId="698"/>
    <cellStyle name="Note 5" xfId="699"/>
    <cellStyle name="Note 5 2" xfId="700"/>
    <cellStyle name="Note 6" xfId="701"/>
    <cellStyle name="Note 6 2" xfId="702"/>
    <cellStyle name="Note 7" xfId="703"/>
    <cellStyle name="Note 7 2" xfId="704"/>
    <cellStyle name="Note 8" xfId="705"/>
    <cellStyle name="Note 8 2" xfId="706"/>
    <cellStyle name="Note 9" xfId="707"/>
    <cellStyle name="Note 9 2" xfId="708"/>
    <cellStyle name="Output 2" xfId="709"/>
    <cellStyle name="Output 3" xfId="710"/>
    <cellStyle name="Output 4" xfId="711"/>
    <cellStyle name="Output 5" xfId="712"/>
    <cellStyle name="Output 6" xfId="713"/>
    <cellStyle name="Output 7" xfId="714"/>
    <cellStyle name="Output 8" xfId="715"/>
    <cellStyle name="Output 9" xfId="716"/>
    <cellStyle name="Percen - Style1" xfId="717"/>
    <cellStyle name="Percen - Style2" xfId="718"/>
    <cellStyle name="Percen - Style3" xfId="719"/>
    <cellStyle name="Percent (0)" xfId="720"/>
    <cellStyle name="Percent [2]" xfId="721"/>
    <cellStyle name="Percent 10" xfId="722"/>
    <cellStyle name="Percent 11" xfId="880"/>
    <cellStyle name="Percent 2" xfId="723"/>
    <cellStyle name="Percent 3" xfId="724"/>
    <cellStyle name="Percent 3 2" xfId="725"/>
    <cellStyle name="Percent 4" xfId="726"/>
    <cellStyle name="Percent 5" xfId="727"/>
    <cellStyle name="Percent 6" xfId="728"/>
    <cellStyle name="Percent 7" xfId="729"/>
    <cellStyle name="Percent 8" xfId="730"/>
    <cellStyle name="Percent 9" xfId="731"/>
    <cellStyle name="Processing" xfId="732"/>
    <cellStyle name="PSChar" xfId="733"/>
    <cellStyle name="PSDate" xfId="734"/>
    <cellStyle name="PSDec" xfId="735"/>
    <cellStyle name="PSHeading" xfId="736"/>
    <cellStyle name="PSInt" xfId="737"/>
    <cellStyle name="PSSpacer" xfId="738"/>
    <cellStyle name="purple - Style8" xfId="739"/>
    <cellStyle name="RED" xfId="740"/>
    <cellStyle name="Red - Style7" xfId="741"/>
    <cellStyle name="Report" xfId="742"/>
    <cellStyle name="Report Bar" xfId="743"/>
    <cellStyle name="Report Heading" xfId="744"/>
    <cellStyle name="Report Percent" xfId="745"/>
    <cellStyle name="Report Unit Cost" xfId="746"/>
    <cellStyle name="Reports" xfId="747"/>
    <cellStyle name="Reports Total" xfId="748"/>
    <cellStyle name="Reports Unit Cost Total" xfId="749"/>
    <cellStyle name="RevList" xfId="750"/>
    <cellStyle name="round100" xfId="751"/>
    <cellStyle name="SAPBEXaggData" xfId="752"/>
    <cellStyle name="SAPBEXaggData 2" xfId="753"/>
    <cellStyle name="SAPBEXaggDataEmph" xfId="754"/>
    <cellStyle name="SAPBEXaggDataEmph 2" xfId="755"/>
    <cellStyle name="SAPBEXaggItem" xfId="756"/>
    <cellStyle name="SAPBEXaggItem 2" xfId="757"/>
    <cellStyle name="SAPBEXaggItemX" xfId="758"/>
    <cellStyle name="SAPBEXaggItemX 2" xfId="759"/>
    <cellStyle name="SAPBEXchaText" xfId="760"/>
    <cellStyle name="SAPBEXchaText 2" xfId="761"/>
    <cellStyle name="SAPBEXchaText 3" xfId="762"/>
    <cellStyle name="SAPBEXexcBad7" xfId="763"/>
    <cellStyle name="SAPBEXexcBad7 2" xfId="764"/>
    <cellStyle name="SAPBEXexcBad8" xfId="765"/>
    <cellStyle name="SAPBEXexcBad8 2" xfId="766"/>
    <cellStyle name="SAPBEXexcBad9" xfId="767"/>
    <cellStyle name="SAPBEXexcBad9 2" xfId="768"/>
    <cellStyle name="SAPBEXexcCritical4" xfId="769"/>
    <cellStyle name="SAPBEXexcCritical4 2" xfId="770"/>
    <cellStyle name="SAPBEXexcCritical5" xfId="771"/>
    <cellStyle name="SAPBEXexcCritical5 2" xfId="772"/>
    <cellStyle name="SAPBEXexcCritical6" xfId="773"/>
    <cellStyle name="SAPBEXexcCritical6 2" xfId="774"/>
    <cellStyle name="SAPBEXexcGood1" xfId="775"/>
    <cellStyle name="SAPBEXexcGood1 2" xfId="776"/>
    <cellStyle name="SAPBEXexcGood2" xfId="777"/>
    <cellStyle name="SAPBEXexcGood2 2" xfId="778"/>
    <cellStyle name="SAPBEXexcGood3" xfId="779"/>
    <cellStyle name="SAPBEXexcGood3 2" xfId="780"/>
    <cellStyle name="SAPBEXfilterDrill" xfId="781"/>
    <cellStyle name="SAPBEXfilterDrill 2" xfId="782"/>
    <cellStyle name="SAPBEXfilterItem" xfId="783"/>
    <cellStyle name="SAPBEXfilterItem 2" xfId="784"/>
    <cellStyle name="SAPBEXfilterText" xfId="785"/>
    <cellStyle name="SAPBEXformats" xfId="786"/>
    <cellStyle name="SAPBEXformats 2" xfId="787"/>
    <cellStyle name="SAPBEXheaderItem" xfId="788"/>
    <cellStyle name="SAPBEXheaderItem 2" xfId="789"/>
    <cellStyle name="SAPBEXheaderText" xfId="790"/>
    <cellStyle name="SAPBEXheaderText 2" xfId="791"/>
    <cellStyle name="SAPBEXHLevel0" xfId="792"/>
    <cellStyle name="SAPBEXHLevel0 2" xfId="793"/>
    <cellStyle name="SAPBEXHLevel0X" xfId="794"/>
    <cellStyle name="SAPBEXHLevel0X 2" xfId="795"/>
    <cellStyle name="SAPBEXHLevel1" xfId="796"/>
    <cellStyle name="SAPBEXHLevel1 2" xfId="797"/>
    <cellStyle name="SAPBEXHLevel1X" xfId="798"/>
    <cellStyle name="SAPBEXHLevel1X 2" xfId="799"/>
    <cellStyle name="SAPBEXHLevel2" xfId="800"/>
    <cellStyle name="SAPBEXHLevel2 2" xfId="801"/>
    <cellStyle name="SAPBEXHLevel2X" xfId="802"/>
    <cellStyle name="SAPBEXHLevel2X 2" xfId="803"/>
    <cellStyle name="SAPBEXHLevel3" xfId="804"/>
    <cellStyle name="SAPBEXHLevel3 2" xfId="805"/>
    <cellStyle name="SAPBEXHLevel3X" xfId="806"/>
    <cellStyle name="SAPBEXHLevel3X 2" xfId="807"/>
    <cellStyle name="SAPBEXinputData" xfId="808"/>
    <cellStyle name="SAPBEXItemHeader" xfId="809"/>
    <cellStyle name="SAPBEXresData" xfId="810"/>
    <cellStyle name="SAPBEXresData 2" xfId="811"/>
    <cellStyle name="SAPBEXresDataEmph" xfId="812"/>
    <cellStyle name="SAPBEXresDataEmph 2" xfId="813"/>
    <cellStyle name="SAPBEXresItem" xfId="814"/>
    <cellStyle name="SAPBEXresItem 2" xfId="815"/>
    <cellStyle name="SAPBEXresItemX" xfId="816"/>
    <cellStyle name="SAPBEXresItemX 2" xfId="817"/>
    <cellStyle name="SAPBEXstdData" xfId="818"/>
    <cellStyle name="SAPBEXstdData 2" xfId="819"/>
    <cellStyle name="SAPBEXstdDataEmph" xfId="820"/>
    <cellStyle name="SAPBEXstdDataEmph 2" xfId="821"/>
    <cellStyle name="SAPBEXstdItem" xfId="822"/>
    <cellStyle name="SAPBEXstdItem 2" xfId="823"/>
    <cellStyle name="SAPBEXstdItemX" xfId="824"/>
    <cellStyle name="SAPBEXstdItemX 2" xfId="825"/>
    <cellStyle name="SAPBEXtitle" xfId="826"/>
    <cellStyle name="SAPBEXtitle 2" xfId="827"/>
    <cellStyle name="SAPBEXunassignedItem" xfId="828"/>
    <cellStyle name="SAPBEXundefined" xfId="829"/>
    <cellStyle name="SAPBEXundefined 2" xfId="830"/>
    <cellStyle name="shade" xfId="831"/>
    <cellStyle name="Sheet Title" xfId="832"/>
    <cellStyle name="StmtTtl1" xfId="833"/>
    <cellStyle name="StmtTtl2" xfId="834"/>
    <cellStyle name="STYL1 - Style1" xfId="835"/>
    <cellStyle name="Style 1" xfId="836"/>
    <cellStyle name="Style 1 2" xfId="837"/>
    <cellStyle name="Style 1 3" xfId="838"/>
    <cellStyle name="Style 1 3 2" xfId="839"/>
    <cellStyle name="Style 1 3 2 2" xfId="840"/>
    <cellStyle name="Style 1 3 2 3" xfId="841"/>
    <cellStyle name="Style 1 3 3" xfId="842"/>
    <cellStyle name="Style 1 3 4" xfId="843"/>
    <cellStyle name="Style 1 3 5" xfId="844"/>
    <cellStyle name="Style 1 4" xfId="845"/>
    <cellStyle name="Subtotal" xfId="846"/>
    <cellStyle name="Sub-total" xfId="847"/>
    <cellStyle name="taples Plaza" xfId="848"/>
    <cellStyle name="Tickmark" xfId="849"/>
    <cellStyle name="Title 2" xfId="850"/>
    <cellStyle name="Title 3" xfId="851"/>
    <cellStyle name="Title 4" xfId="852"/>
    <cellStyle name="Title 5" xfId="853"/>
    <cellStyle name="Title 6" xfId="854"/>
    <cellStyle name="Title 7" xfId="855"/>
    <cellStyle name="Title 8" xfId="856"/>
    <cellStyle name="Title 9" xfId="857"/>
    <cellStyle name="Title: Major" xfId="858"/>
    <cellStyle name="Title: Minor" xfId="859"/>
    <cellStyle name="Title: Worksheet" xfId="860"/>
    <cellStyle name="Total 2" xfId="861"/>
    <cellStyle name="Total 3" xfId="862"/>
    <cellStyle name="Total 4" xfId="863"/>
    <cellStyle name="Total 5" xfId="864"/>
    <cellStyle name="Total 6" xfId="865"/>
    <cellStyle name="Total 7" xfId="866"/>
    <cellStyle name="Total 8" xfId="867"/>
    <cellStyle name="Total 9" xfId="868"/>
    <cellStyle name="Total4 - Style4" xfId="869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5"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0000FF"/>
      <color rgb="FFCC99FF"/>
      <color rgb="FFCCFF33"/>
      <color rgb="FFFFCC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4"/>
  <sheetViews>
    <sheetView zoomScaleNormal="100" workbookViewId="0">
      <selection activeCell="C16" sqref="C16"/>
    </sheetView>
  </sheetViews>
  <sheetFormatPr defaultRowHeight="12.75"/>
  <cols>
    <col min="1" max="1" width="5.85546875" style="5" customWidth="1"/>
    <col min="2" max="2" width="57.85546875" style="5" customWidth="1"/>
    <col min="3" max="3" width="30.28515625" style="5" customWidth="1"/>
    <col min="4" max="4" width="14.28515625" style="78" customWidth="1"/>
    <col min="5" max="5" width="26" bestFit="1" customWidth="1"/>
    <col min="6" max="6" width="14.28515625" customWidth="1"/>
    <col min="7" max="7" width="10.42578125" customWidth="1"/>
    <col min="8" max="8" width="12.42578125" customWidth="1"/>
    <col min="10" max="10" width="6.140625" customWidth="1"/>
    <col min="11" max="11" width="52.140625" customWidth="1"/>
    <col min="12" max="13" width="12" customWidth="1"/>
    <col min="14" max="14" width="11.140625" customWidth="1"/>
  </cols>
  <sheetData>
    <row r="1" spans="1:7" s="29" customFormat="1" ht="15.75">
      <c r="A1" s="26"/>
      <c r="B1" s="26"/>
      <c r="C1" s="324" t="s">
        <v>244</v>
      </c>
      <c r="D1" s="26"/>
      <c r="E1" s="78"/>
      <c r="F1" s="26"/>
      <c r="G1" s="26"/>
    </row>
    <row r="2" spans="1:7" s="29" customFormat="1" ht="15.75">
      <c r="A2" s="26"/>
      <c r="B2" s="26"/>
      <c r="C2" s="324" t="s">
        <v>245</v>
      </c>
      <c r="D2" s="26"/>
      <c r="E2" s="78"/>
      <c r="F2" s="26"/>
      <c r="G2" s="26"/>
    </row>
    <row r="3" spans="1:7" s="29" customFormat="1" ht="13.5" thickBot="1">
      <c r="A3" s="26"/>
      <c r="B3" s="26"/>
      <c r="C3" s="26"/>
      <c r="D3" s="26"/>
      <c r="E3" s="78"/>
      <c r="F3" s="26"/>
      <c r="G3" s="26"/>
    </row>
    <row r="4" spans="1:7" ht="13.5" thickBot="1">
      <c r="A4" s="61"/>
      <c r="B4" s="63"/>
      <c r="C4" s="305" t="s">
        <v>220</v>
      </c>
      <c r="E4" s="78"/>
    </row>
    <row r="5" spans="1:7" s="78" customFormat="1" ht="15.75" customHeight="1">
      <c r="A5" s="52"/>
      <c r="B5" s="26"/>
      <c r="C5" s="55"/>
    </row>
    <row r="6" spans="1:7" ht="14.25" customHeight="1">
      <c r="A6" s="325" t="s">
        <v>57</v>
      </c>
      <c r="B6" s="326"/>
      <c r="C6" s="327"/>
    </row>
    <row r="7" spans="1:7" ht="14.25" customHeight="1">
      <c r="A7" s="328" t="s">
        <v>98</v>
      </c>
      <c r="B7" s="329"/>
      <c r="C7" s="330"/>
    </row>
    <row r="8" spans="1:7" ht="14.25" customHeight="1">
      <c r="A8" s="331" t="s">
        <v>134</v>
      </c>
      <c r="B8" s="332"/>
      <c r="C8" s="333"/>
    </row>
    <row r="9" spans="1:7" ht="14.25" customHeight="1">
      <c r="A9" s="331"/>
      <c r="B9" s="332"/>
      <c r="C9" s="333"/>
    </row>
    <row r="10" spans="1:7" ht="14.25" customHeight="1">
      <c r="A10" s="54"/>
      <c r="B10" s="42"/>
      <c r="C10" s="81"/>
    </row>
    <row r="11" spans="1:7" ht="14.25" customHeight="1">
      <c r="A11" s="53"/>
      <c r="B11" s="26"/>
      <c r="C11" s="55"/>
    </row>
    <row r="12" spans="1:7" ht="14.25" customHeight="1">
      <c r="A12" s="56" t="s">
        <v>32</v>
      </c>
      <c r="B12" s="26"/>
      <c r="C12" s="71"/>
    </row>
    <row r="13" spans="1:7" ht="14.25" customHeight="1">
      <c r="A13" s="57" t="s">
        <v>34</v>
      </c>
      <c r="B13" s="70" t="s">
        <v>35</v>
      </c>
      <c r="C13" s="72" t="s">
        <v>87</v>
      </c>
    </row>
    <row r="14" spans="1:7" ht="14.25" customHeight="1">
      <c r="A14" s="53"/>
      <c r="B14" s="26"/>
      <c r="C14" s="55"/>
    </row>
    <row r="15" spans="1:7" ht="14.25" customHeight="1">
      <c r="A15" s="58">
        <v>1</v>
      </c>
      <c r="B15" s="26" t="s">
        <v>48</v>
      </c>
      <c r="C15" s="74">
        <f>'SEF-3 p4 ERF Summary'!I60</f>
        <v>3145294476.1626039</v>
      </c>
    </row>
    <row r="16" spans="1:7" ht="14.25" customHeight="1">
      <c r="A16" s="58">
        <v>2</v>
      </c>
      <c r="B16" s="21" t="s">
        <v>29</v>
      </c>
      <c r="C16" s="86">
        <f>'SEF-3 p2 ERF ROR'!E21</f>
        <v>7.4899999999999994E-2</v>
      </c>
    </row>
    <row r="17" spans="1:9" ht="14.25" customHeight="1">
      <c r="A17" s="58">
        <v>3</v>
      </c>
      <c r="B17" s="21"/>
      <c r="C17" s="55"/>
    </row>
    <row r="18" spans="1:9" ht="14.25" customHeight="1">
      <c r="A18" s="58">
        <v>4</v>
      </c>
      <c r="B18" s="26" t="s">
        <v>65</v>
      </c>
      <c r="C18" s="75">
        <f>C15*C16</f>
        <v>235582556.264579</v>
      </c>
    </row>
    <row r="19" spans="1:9" ht="14.25" customHeight="1">
      <c r="A19" s="58">
        <v>5</v>
      </c>
      <c r="B19" s="26"/>
      <c r="C19" s="76"/>
    </row>
    <row r="20" spans="1:9" ht="14.25" customHeight="1">
      <c r="A20" s="58">
        <v>6</v>
      </c>
      <c r="B20" s="21" t="s">
        <v>97</v>
      </c>
      <c r="C20" s="77">
        <f>'SEF-3 p4 ERF Summary'!I47</f>
        <v>204466405.98221195</v>
      </c>
    </row>
    <row r="21" spans="1:9" ht="14.25" customHeight="1">
      <c r="A21" s="58">
        <v>7</v>
      </c>
      <c r="B21" s="21" t="s">
        <v>66</v>
      </c>
      <c r="C21" s="75">
        <f>+C18-C20</f>
        <v>31116150.282367051</v>
      </c>
    </row>
    <row r="22" spans="1:9" ht="14.25" customHeight="1">
      <c r="A22" s="58">
        <v>8</v>
      </c>
      <c r="B22" s="26"/>
      <c r="C22" s="76"/>
    </row>
    <row r="23" spans="1:9" ht="14.25" customHeight="1">
      <c r="A23" s="58">
        <v>9</v>
      </c>
      <c r="B23" s="26" t="s">
        <v>31</v>
      </c>
      <c r="C23" s="307">
        <f>+'SEF-3 p3 ERF Conv Factr'!E23</f>
        <v>0.75183900000000004</v>
      </c>
    </row>
    <row r="24" spans="1:9" ht="16.5" customHeight="1" thickBot="1">
      <c r="A24" s="62">
        <v>10</v>
      </c>
      <c r="B24" s="59" t="s">
        <v>67</v>
      </c>
      <c r="C24" s="87">
        <f t="shared" ref="C24" si="0">ROUND(+C21/C23,0)</f>
        <v>41386720</v>
      </c>
    </row>
    <row r="25" spans="1:9">
      <c r="A25" s="6"/>
    </row>
    <row r="26" spans="1:9" s="78" customFormat="1">
      <c r="A26" s="29"/>
      <c r="B26" s="29"/>
      <c r="C26" s="29"/>
      <c r="E26"/>
      <c r="F26"/>
      <c r="G26"/>
    </row>
    <row r="27" spans="1:9">
      <c r="A27" s="14"/>
      <c r="B27" s="26"/>
      <c r="C27" s="32"/>
      <c r="D27" s="60"/>
      <c r="E27" s="60"/>
      <c r="F27" s="60"/>
      <c r="G27" s="60"/>
      <c r="H27" s="60"/>
      <c r="I27" s="60"/>
    </row>
    <row r="28" spans="1:9">
      <c r="A28" s="14"/>
      <c r="B28" s="26"/>
      <c r="C28" s="43"/>
      <c r="D28" s="60"/>
      <c r="E28" s="60"/>
      <c r="F28" s="60"/>
      <c r="G28" s="60"/>
      <c r="H28" s="60"/>
      <c r="I28" s="60"/>
    </row>
    <row r="29" spans="1:9" ht="13.5">
      <c r="A29" s="14"/>
      <c r="B29" s="26"/>
      <c r="C29" s="66"/>
      <c r="D29" s="60"/>
      <c r="E29" s="60"/>
      <c r="F29" s="60"/>
      <c r="G29" s="60"/>
      <c r="H29" s="60"/>
      <c r="I29" s="60"/>
    </row>
    <row r="30" spans="1:9">
      <c r="A30" s="14"/>
      <c r="B30" s="21"/>
      <c r="C30" s="67"/>
    </row>
    <row r="31" spans="1:9">
      <c r="A31" s="14"/>
      <c r="B31" s="21"/>
      <c r="C31" s="68"/>
    </row>
    <row r="32" spans="1:9">
      <c r="A32" s="14"/>
      <c r="B32" s="26"/>
      <c r="C32" s="26"/>
    </row>
    <row r="33" spans="1:3">
      <c r="A33" s="14"/>
      <c r="B33" s="26"/>
      <c r="C33" s="26"/>
    </row>
    <row r="34" spans="1:3">
      <c r="A34" s="14"/>
    </row>
  </sheetData>
  <mergeCells count="4">
    <mergeCell ref="A6:C6"/>
    <mergeCell ref="A7:C7"/>
    <mergeCell ref="A8:C8"/>
    <mergeCell ref="A9:C9"/>
  </mergeCells>
  <conditionalFormatting sqref="F1:G3 A3:C3 A1:B2">
    <cfRule type="cellIs" dxfId="4" priority="6" stopIfTrue="1" operator="notEqual">
      <formula>0</formula>
    </cfRule>
  </conditionalFormatting>
  <conditionalFormatting sqref="D1:D3">
    <cfRule type="cellIs" dxfId="3" priority="3" stopIfTrue="1" operator="notEqual">
      <formula>0</formula>
    </cfRule>
  </conditionalFormatting>
  <printOptions horizontalCentered="1"/>
  <pageMargins left="0.95" right="0.7" top="1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workbookViewId="0">
      <selection activeCell="B5" sqref="B5"/>
    </sheetView>
  </sheetViews>
  <sheetFormatPr defaultColWidth="19.28515625" defaultRowHeight="12.75"/>
  <cols>
    <col min="1" max="1" width="6.42578125" style="78" bestFit="1" customWidth="1"/>
    <col min="2" max="2" width="41.7109375" style="78" customWidth="1"/>
    <col min="3" max="3" width="19.28515625" style="78"/>
    <col min="4" max="4" width="13.85546875" style="78" customWidth="1"/>
    <col min="5" max="5" width="14.42578125" style="78" customWidth="1"/>
    <col min="6" max="16384" width="19.28515625" style="78"/>
  </cols>
  <sheetData>
    <row r="1" spans="1:6" ht="15.75">
      <c r="E1" s="324" t="str">
        <f>k_ExhNo</f>
        <v>Exh. SEF-3</v>
      </c>
    </row>
    <row r="2" spans="1:6" ht="15.75">
      <c r="A2" s="275"/>
      <c r="B2" s="275"/>
      <c r="C2" s="275"/>
      <c r="D2" s="275"/>
      <c r="E2" s="324" t="s">
        <v>246</v>
      </c>
    </row>
    <row r="3" spans="1:6" ht="13.5" thickBot="1">
      <c r="A3" s="275"/>
      <c r="B3" s="275"/>
      <c r="C3" s="275"/>
      <c r="D3" s="275"/>
      <c r="E3" s="276"/>
    </row>
    <row r="4" spans="1:6" s="29" customFormat="1" ht="19.5" customHeight="1" thickBot="1">
      <c r="A4" s="28"/>
      <c r="B4" s="28"/>
      <c r="C4" s="28"/>
      <c r="D4" s="334" t="s">
        <v>219</v>
      </c>
      <c r="E4" s="335"/>
    </row>
    <row r="5" spans="1:6" s="29" customFormat="1" ht="19.5" customHeight="1">
      <c r="A5" s="28"/>
      <c r="B5" s="28"/>
      <c r="C5" s="28"/>
      <c r="D5" s="304"/>
      <c r="E5" s="304"/>
    </row>
    <row r="6" spans="1:6" s="29" customFormat="1" ht="19.5" customHeight="1">
      <c r="A6" s="28"/>
      <c r="B6" s="28"/>
      <c r="C6" s="28"/>
      <c r="D6" s="304"/>
      <c r="E6" s="304"/>
    </row>
    <row r="7" spans="1:6" s="29" customFormat="1" ht="15.75" customHeight="1">
      <c r="A7" s="94" t="str">
        <f>'SEF-3 p1 Deficiency'!A6:C6</f>
        <v>PUGET SOUND ENERGY-ELECTRIC</v>
      </c>
      <c r="B7" s="11"/>
      <c r="C7" s="11"/>
      <c r="D7" s="11"/>
      <c r="E7" s="306"/>
    </row>
    <row r="8" spans="1:6" s="218" customFormat="1" ht="15.75" customHeight="1">
      <c r="A8" s="182" t="s">
        <v>199</v>
      </c>
      <c r="B8" s="11"/>
      <c r="C8" s="12"/>
      <c r="D8" s="11"/>
      <c r="E8" s="11"/>
    </row>
    <row r="9" spans="1:6" s="29" customFormat="1" ht="18.75" customHeight="1">
      <c r="A9" s="181" t="s">
        <v>200</v>
      </c>
      <c r="B9" s="219"/>
      <c r="C9" s="277"/>
      <c r="D9" s="219"/>
      <c r="E9" s="278"/>
    </row>
    <row r="10" spans="1:6" s="29" customFormat="1" ht="18.75" customHeight="1">
      <c r="A10" s="181" t="s">
        <v>201</v>
      </c>
      <c r="B10" s="278"/>
      <c r="C10" s="277"/>
      <c r="D10" s="219"/>
      <c r="E10" s="279"/>
    </row>
    <row r="11" spans="1:6" ht="18.75" customHeight="1">
      <c r="A11" s="11" t="str">
        <f>'SEF-3 p1 Deficiency'!A8:C8</f>
        <v>FOR THE TWELVE MONTHS ENDED MARCH, 2018</v>
      </c>
      <c r="B11" s="11"/>
      <c r="C11" s="11"/>
      <c r="D11" s="11"/>
      <c r="E11" s="11"/>
    </row>
    <row r="12" spans="1:6">
      <c r="A12" s="94"/>
      <c r="B12" s="11"/>
      <c r="C12" s="11"/>
      <c r="D12" s="11"/>
      <c r="E12" s="11"/>
    </row>
    <row r="13" spans="1:6">
      <c r="A13" s="28"/>
      <c r="B13" s="28"/>
      <c r="C13" s="28"/>
      <c r="D13" s="28"/>
      <c r="E13" s="28"/>
    </row>
    <row r="14" spans="1:6">
      <c r="A14" s="28"/>
      <c r="B14" s="28"/>
      <c r="C14" s="28"/>
      <c r="D14" s="28"/>
      <c r="E14" s="28"/>
    </row>
    <row r="15" spans="1:6">
      <c r="A15" s="274" t="s">
        <v>32</v>
      </c>
      <c r="B15" s="28"/>
      <c r="C15" s="274" t="s">
        <v>145</v>
      </c>
      <c r="D15" s="274"/>
      <c r="E15" s="274" t="s">
        <v>146</v>
      </c>
    </row>
    <row r="16" spans="1:6" s="128" customFormat="1">
      <c r="A16" s="280" t="s">
        <v>34</v>
      </c>
      <c r="B16" s="281" t="s">
        <v>35</v>
      </c>
      <c r="C16" s="280" t="s">
        <v>147</v>
      </c>
      <c r="D16" s="280" t="s">
        <v>202</v>
      </c>
      <c r="E16" s="280" t="s">
        <v>148</v>
      </c>
      <c r="F16" s="114"/>
    </row>
    <row r="17" spans="1:6" s="128" customFormat="1" ht="15" customHeight="1">
      <c r="A17" s="9"/>
      <c r="B17" s="9"/>
      <c r="C17" s="9"/>
      <c r="D17" s="9"/>
      <c r="E17" s="9"/>
      <c r="F17" s="114"/>
    </row>
    <row r="18" spans="1:6" s="128" customFormat="1" ht="15" customHeight="1">
      <c r="A18" s="6">
        <v>1</v>
      </c>
      <c r="B18" s="224"/>
      <c r="C18" s="220"/>
      <c r="D18" s="220"/>
      <c r="E18" s="220"/>
      <c r="F18" s="114"/>
    </row>
    <row r="19" spans="1:6" s="128" customFormat="1" ht="15" customHeight="1">
      <c r="A19" s="6">
        <v>2</v>
      </c>
      <c r="B19" s="224" t="s">
        <v>203</v>
      </c>
      <c r="C19" s="220">
        <v>0.51500000000000001</v>
      </c>
      <c r="D19" s="282">
        <f>E19/C19</f>
        <v>5.5922330097087379E-2</v>
      </c>
      <c r="E19" s="282">
        <v>2.8799999999999999E-2</v>
      </c>
      <c r="F19" s="114"/>
    </row>
    <row r="20" spans="1:6" s="128" customFormat="1" ht="15" customHeight="1">
      <c r="A20" s="6">
        <v>3</v>
      </c>
      <c r="B20" s="224" t="s">
        <v>149</v>
      </c>
      <c r="C20" s="220">
        <v>0.48499999999999999</v>
      </c>
      <c r="D20" s="220">
        <v>9.5000000000000001E-2</v>
      </c>
      <c r="E20" s="220">
        <f>ROUND(+C20*D20,4)</f>
        <v>4.6100000000000002E-2</v>
      </c>
      <c r="F20" s="114"/>
    </row>
    <row r="21" spans="1:6" s="128" customFormat="1" ht="15" customHeight="1">
      <c r="A21" s="6">
        <v>4</v>
      </c>
      <c r="B21" s="224" t="s">
        <v>150</v>
      </c>
      <c r="C21" s="221">
        <f>SUM(C18:C20)</f>
        <v>1</v>
      </c>
      <c r="D21" s="146"/>
      <c r="E21" s="283">
        <f>SUM(E18:E20)</f>
        <v>7.4899999999999994E-2</v>
      </c>
      <c r="F21" s="114"/>
    </row>
    <row r="22" spans="1:6" s="128" customFormat="1" ht="15" customHeight="1">
      <c r="A22" s="6">
        <v>5</v>
      </c>
      <c r="B22" s="284"/>
      <c r="C22" s="224"/>
      <c r="D22" s="224"/>
      <c r="E22" s="26"/>
      <c r="F22" s="114"/>
    </row>
    <row r="23" spans="1:6" s="128" customFormat="1" ht="15" customHeight="1">
      <c r="A23" s="6">
        <v>6</v>
      </c>
      <c r="B23" s="224"/>
      <c r="C23" s="37"/>
      <c r="D23" s="37"/>
      <c r="E23" s="220"/>
      <c r="F23" s="114"/>
    </row>
    <row r="24" spans="1:6" s="128" customFormat="1" ht="15" customHeight="1">
      <c r="A24" s="6">
        <v>7</v>
      </c>
      <c r="B24" s="224" t="s">
        <v>204</v>
      </c>
      <c r="C24" s="37">
        <f>C19</f>
        <v>0.51500000000000001</v>
      </c>
      <c r="D24" s="282">
        <f>+ROUND(D19*0.79,4)</f>
        <v>4.4200000000000003E-2</v>
      </c>
      <c r="E24" s="282">
        <f>ROUND(+C24*D24,4)</f>
        <v>2.2800000000000001E-2</v>
      </c>
      <c r="F24" s="114"/>
    </row>
    <row r="25" spans="1:6" s="128" customFormat="1" ht="15" customHeight="1">
      <c r="A25" s="6">
        <v>8</v>
      </c>
      <c r="B25" s="224" t="s">
        <v>149</v>
      </c>
      <c r="C25" s="37">
        <f>C20</f>
        <v>0.48499999999999999</v>
      </c>
      <c r="D25" s="37">
        <f t="shared" ref="D25" si="0">+D20</f>
        <v>9.5000000000000001E-2</v>
      </c>
      <c r="E25" s="220">
        <f>ROUND(C25*D25,4)</f>
        <v>4.6100000000000002E-2</v>
      </c>
      <c r="F25" s="114"/>
    </row>
    <row r="26" spans="1:6" s="128" customFormat="1" ht="15" customHeight="1">
      <c r="A26" s="6">
        <v>9</v>
      </c>
      <c r="B26" s="224" t="s">
        <v>151</v>
      </c>
      <c r="C26" s="221">
        <f>SUM(C23:C25)</f>
        <v>1</v>
      </c>
      <c r="D26" s="146"/>
      <c r="E26" s="283">
        <f>SUM(E23:E25)</f>
        <v>6.8900000000000003E-2</v>
      </c>
      <c r="F26" s="114"/>
    </row>
    <row r="27" spans="1:6" s="128" customFormat="1" ht="15" customHeight="1">
      <c r="A27" s="6"/>
      <c r="B27" s="118"/>
      <c r="C27" s="118"/>
      <c r="D27" s="118"/>
      <c r="E27" s="118"/>
      <c r="F27" s="114"/>
    </row>
    <row r="28" spans="1:6" s="128" customFormat="1" ht="15" customHeight="1">
      <c r="A28" s="224" t="s">
        <v>228</v>
      </c>
      <c r="C28" s="118"/>
      <c r="D28" s="118"/>
      <c r="E28" s="118"/>
    </row>
    <row r="29" spans="1:6" s="128" customFormat="1" ht="15" customHeight="1">
      <c r="A29" s="224" t="s">
        <v>229</v>
      </c>
      <c r="B29" s="224"/>
    </row>
    <row r="30" spans="1:6" s="128" customFormat="1"/>
    <row r="31" spans="1:6" s="128" customFormat="1"/>
    <row r="32" spans="1:6" s="128" customFormat="1">
      <c r="A32" s="47"/>
      <c r="B32" s="47"/>
    </row>
    <row r="33" spans="1:2" s="128" customFormat="1">
      <c r="A33" s="47"/>
      <c r="B33" s="47"/>
    </row>
    <row r="34" spans="1:2" s="128" customFormat="1">
      <c r="A34" s="47"/>
      <c r="B34" s="47"/>
    </row>
    <row r="35" spans="1:2" s="128" customFormat="1">
      <c r="A35" s="47"/>
      <c r="B35" s="47"/>
    </row>
    <row r="36" spans="1:2" s="89" customFormat="1">
      <c r="A36" s="222"/>
      <c r="B36" s="222"/>
    </row>
    <row r="37" spans="1:2" s="89" customFormat="1">
      <c r="A37" s="222"/>
      <c r="B37" s="222"/>
    </row>
    <row r="38" spans="1:2" s="89" customFormat="1">
      <c r="A38" s="222"/>
      <c r="B38" s="222"/>
    </row>
    <row r="39" spans="1:2" s="89" customFormat="1">
      <c r="A39" s="222"/>
      <c r="B39" s="222"/>
    </row>
    <row r="40" spans="1:2" s="89" customFormat="1">
      <c r="A40" s="222"/>
      <c r="B40" s="222"/>
    </row>
    <row r="41" spans="1:2" s="89" customFormat="1">
      <c r="A41" s="222"/>
      <c r="B41" s="222"/>
    </row>
    <row r="42" spans="1:2" s="89" customFormat="1">
      <c r="A42" s="222"/>
      <c r="B42" s="222"/>
    </row>
    <row r="43" spans="1:2" s="89" customFormat="1">
      <c r="A43" s="222"/>
      <c r="B43" s="222"/>
    </row>
    <row r="44" spans="1:2" s="89" customFormat="1">
      <c r="A44" s="222"/>
      <c r="B44" s="222"/>
    </row>
    <row r="45" spans="1:2" s="89" customFormat="1">
      <c r="A45" s="222"/>
      <c r="B45" s="222"/>
    </row>
    <row r="46" spans="1:2" s="89" customFormat="1">
      <c r="A46" s="222"/>
      <c r="B46" s="222"/>
    </row>
    <row r="47" spans="1:2" s="89" customFormat="1">
      <c r="A47" s="222"/>
      <c r="B47" s="222"/>
    </row>
    <row r="48" spans="1:2" s="89" customFormat="1">
      <c r="A48" s="222"/>
      <c r="B48" s="222"/>
    </row>
    <row r="49" spans="1:2" s="89" customFormat="1">
      <c r="A49" s="222"/>
      <c r="B49" s="222"/>
    </row>
    <row r="50" spans="1:2" s="89" customFormat="1">
      <c r="A50" s="222"/>
      <c r="B50" s="222"/>
    </row>
    <row r="51" spans="1:2" s="89" customFormat="1">
      <c r="A51" s="222"/>
      <c r="B51" s="222"/>
    </row>
    <row r="52" spans="1:2" s="89" customFormat="1">
      <c r="A52" s="222"/>
      <c r="B52" s="222"/>
    </row>
    <row r="53" spans="1:2" s="89" customFormat="1">
      <c r="A53" s="222"/>
      <c r="B53" s="222"/>
    </row>
    <row r="54" spans="1:2" s="89" customFormat="1">
      <c r="A54" s="222"/>
      <c r="B54" s="222"/>
    </row>
    <row r="55" spans="1:2" s="89" customFormat="1" ht="13.5" customHeight="1">
      <c r="A55" s="222"/>
      <c r="B55" s="222"/>
    </row>
    <row r="56" spans="1:2" s="89" customFormat="1">
      <c r="A56" s="222"/>
      <c r="B56" s="222"/>
    </row>
    <row r="57" spans="1:2" s="89" customFormat="1">
      <c r="A57" s="222"/>
      <c r="B57" s="222"/>
    </row>
    <row r="58" spans="1:2" s="89" customFormat="1">
      <c r="A58" s="222"/>
      <c r="B58" s="222"/>
    </row>
    <row r="59" spans="1:2" s="89" customFormat="1">
      <c r="A59" s="222"/>
      <c r="B59" s="222"/>
    </row>
    <row r="60" spans="1:2" s="89" customFormat="1">
      <c r="A60" s="222"/>
      <c r="B60" s="222"/>
    </row>
    <row r="61" spans="1:2" s="89" customFormat="1">
      <c r="A61" s="222"/>
      <c r="B61" s="222"/>
    </row>
    <row r="62" spans="1:2" s="89" customFormat="1">
      <c r="A62" s="222"/>
      <c r="B62" s="222"/>
    </row>
    <row r="63" spans="1:2" s="89" customFormat="1">
      <c r="A63" s="222"/>
      <c r="B63" s="223"/>
    </row>
    <row r="64" spans="1:2" s="89" customFormat="1"/>
    <row r="65" s="89" customFormat="1"/>
    <row r="66" s="89" customFormat="1"/>
    <row r="67" s="89" customFormat="1"/>
    <row r="68" s="89" customFormat="1"/>
    <row r="69" s="89" customFormat="1"/>
    <row r="70" s="89" customFormat="1"/>
    <row r="71" s="89" customFormat="1"/>
    <row r="72" s="89" customFormat="1"/>
    <row r="73" s="89" customFormat="1"/>
    <row r="74" s="89" customFormat="1"/>
    <row r="75" s="89" customFormat="1"/>
    <row r="76" s="89" customFormat="1"/>
    <row r="77" s="89" customFormat="1"/>
    <row r="78" s="89" customFormat="1"/>
    <row r="79" s="89" customFormat="1"/>
    <row r="80" s="89" customFormat="1"/>
    <row r="81" s="89" customFormat="1"/>
    <row r="82" s="89" customFormat="1"/>
    <row r="83" s="89" customFormat="1"/>
    <row r="84" s="89" customFormat="1"/>
    <row r="85" s="89" customFormat="1"/>
    <row r="86" s="89" customFormat="1"/>
    <row r="87" s="89" customFormat="1"/>
    <row r="88" s="89" customFormat="1"/>
    <row r="89" s="89" customFormat="1"/>
    <row r="90" s="89" customFormat="1"/>
    <row r="91" s="89" customFormat="1"/>
    <row r="92" s="89" customFormat="1"/>
    <row r="93" s="89" customFormat="1"/>
    <row r="94" s="89" customFormat="1"/>
    <row r="95" s="89" customFormat="1"/>
    <row r="96" s="89" customFormat="1"/>
    <row r="97" s="89" customFormat="1"/>
    <row r="98" s="89" customFormat="1"/>
    <row r="99" s="89" customFormat="1"/>
    <row r="100" s="89" customFormat="1"/>
    <row r="101" s="89" customFormat="1"/>
    <row r="102" s="89" customFormat="1"/>
    <row r="103" s="89" customFormat="1"/>
    <row r="104" s="89" customFormat="1"/>
    <row r="105" s="89" customFormat="1"/>
    <row r="106" s="89" customFormat="1"/>
    <row r="107" s="89" customFormat="1"/>
    <row r="108" s="89" customFormat="1"/>
    <row r="109" s="89" customFormat="1"/>
    <row r="110" s="89" customFormat="1"/>
    <row r="111" s="89" customFormat="1"/>
    <row r="112" s="89" customFormat="1"/>
    <row r="113" s="89" customFormat="1"/>
    <row r="114" s="89" customFormat="1"/>
  </sheetData>
  <mergeCells count="1">
    <mergeCell ref="D4:E4"/>
  </mergeCells>
  <conditionalFormatting sqref="A3:IN3 A2:D2 F2:IN2">
    <cfRule type="cellIs" dxfId="2" priority="3" stopIfTrue="1" operator="notEqual">
      <formula>0</formula>
    </cfRule>
  </conditionalFormatting>
  <printOptions horizontalCentered="1"/>
  <pageMargins left="0.95" right="0.7" top="1" bottom="0.75" header="0.3" footer="0.5500000000000000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" sqref="A7:XFD23"/>
    </sheetView>
  </sheetViews>
  <sheetFormatPr defaultColWidth="9.140625" defaultRowHeight="12.75"/>
  <cols>
    <col min="1" max="1" width="5.42578125" style="254" customWidth="1"/>
    <col min="2" max="2" width="73.5703125" style="254" customWidth="1"/>
    <col min="3" max="3" width="2.5703125" style="254" customWidth="1"/>
    <col min="4" max="4" width="13.42578125" style="254" customWidth="1"/>
    <col min="5" max="5" width="11.42578125" style="254" customWidth="1"/>
    <col min="6" max="6" width="13.7109375" style="254" bestFit="1" customWidth="1"/>
    <col min="7" max="16384" width="9.140625" style="254"/>
  </cols>
  <sheetData>
    <row r="1" spans="1:5" ht="15.75">
      <c r="E1" s="324" t="str">
        <f>k_ExhNo</f>
        <v>Exh. SEF-3</v>
      </c>
    </row>
    <row r="2" spans="1:5" ht="15.75">
      <c r="A2" s="251"/>
      <c r="B2" s="252"/>
      <c r="C2" s="252"/>
      <c r="D2" s="252"/>
      <c r="E2" s="324" t="s">
        <v>247</v>
      </c>
    </row>
    <row r="3" spans="1:5" ht="13.5" thickBot="1">
      <c r="A3" s="251"/>
      <c r="B3" s="251"/>
      <c r="C3" s="251"/>
      <c r="D3" s="251"/>
      <c r="E3" s="253"/>
    </row>
    <row r="4" spans="1:5" ht="15" customHeight="1" thickBot="1">
      <c r="A4" s="251"/>
      <c r="B4" s="251"/>
      <c r="C4" s="251"/>
      <c r="D4" s="334" t="s">
        <v>222</v>
      </c>
      <c r="E4" s="335"/>
    </row>
    <row r="5" spans="1:5" ht="15" customHeight="1">
      <c r="A5" s="251"/>
      <c r="B5" s="251"/>
      <c r="C5" s="251"/>
      <c r="D5" s="304"/>
      <c r="E5" s="304"/>
    </row>
    <row r="6" spans="1:5" ht="15" customHeight="1">
      <c r="A6" s="251"/>
      <c r="B6" s="251"/>
      <c r="C6" s="251"/>
      <c r="D6" s="304"/>
      <c r="E6" s="304"/>
    </row>
    <row r="7" spans="1:5" ht="15" customHeight="1">
      <c r="B7" s="336" t="s">
        <v>57</v>
      </c>
      <c r="C7" s="336"/>
      <c r="D7" s="336"/>
      <c r="E7" s="336"/>
    </row>
    <row r="8" spans="1:5" ht="15" customHeight="1">
      <c r="A8" s="255"/>
      <c r="B8" s="337" t="s">
        <v>211</v>
      </c>
      <c r="C8" s="337"/>
      <c r="D8" s="337"/>
      <c r="E8" s="337"/>
    </row>
    <row r="9" spans="1:5" ht="15" customHeight="1">
      <c r="A9" s="256"/>
      <c r="B9" s="338" t="s">
        <v>135</v>
      </c>
      <c r="C9" s="338"/>
      <c r="D9" s="338"/>
      <c r="E9" s="338"/>
    </row>
    <row r="10" spans="1:5" ht="15" customHeight="1">
      <c r="A10" s="256"/>
      <c r="B10" s="338" t="s">
        <v>144</v>
      </c>
      <c r="C10" s="338"/>
      <c r="D10" s="338"/>
      <c r="E10" s="338"/>
    </row>
    <row r="11" spans="1:5" ht="15" customHeight="1">
      <c r="A11" s="251"/>
      <c r="B11" s="251"/>
      <c r="C11" s="251"/>
      <c r="D11" s="251"/>
      <c r="E11" s="251"/>
    </row>
    <row r="12" spans="1:5" ht="15" customHeight="1">
      <c r="A12" s="257" t="s">
        <v>32</v>
      </c>
      <c r="B12" s="251"/>
      <c r="C12" s="251"/>
      <c r="D12" s="251"/>
      <c r="E12" s="251"/>
    </row>
    <row r="13" spans="1:5" ht="15" customHeight="1">
      <c r="A13" s="258" t="s">
        <v>34</v>
      </c>
      <c r="B13" s="259" t="s">
        <v>35</v>
      </c>
      <c r="C13" s="260"/>
      <c r="D13" s="260"/>
      <c r="E13" s="261" t="s">
        <v>44</v>
      </c>
    </row>
    <row r="14" spans="1:5" ht="15" customHeight="1">
      <c r="A14" s="252"/>
      <c r="B14" s="252"/>
      <c r="C14" s="252"/>
      <c r="D14" s="252"/>
      <c r="E14" s="262"/>
    </row>
    <row r="15" spans="1:5" ht="15" customHeight="1">
      <c r="A15" s="262">
        <v>1</v>
      </c>
      <c r="B15" s="263" t="s">
        <v>189</v>
      </c>
      <c r="C15" s="252"/>
      <c r="D15" s="252"/>
      <c r="E15" s="264">
        <v>7.8759999999999993E-3</v>
      </c>
    </row>
    <row r="16" spans="1:5" ht="15" customHeight="1">
      <c r="A16" s="262">
        <v>2</v>
      </c>
      <c r="B16" s="263" t="s">
        <v>190</v>
      </c>
      <c r="C16" s="252"/>
      <c r="D16" s="252"/>
      <c r="E16" s="264">
        <v>2E-3</v>
      </c>
    </row>
    <row r="17" spans="1:5" ht="15" customHeight="1">
      <c r="A17" s="262">
        <v>3</v>
      </c>
      <c r="B17" s="263" t="str">
        <f>"STATE UTILITY TAX - NET OF BAD DEBTS ( "&amp;D17*100&amp;"% - ( LINE 1 * "&amp;D17*100&amp;"%) )"</f>
        <v>STATE UTILITY TAX - NET OF BAD DEBTS ( 3.8734% - ( LINE 1 * 3.8734%) )</v>
      </c>
      <c r="C17" s="252"/>
      <c r="D17" s="265">
        <v>3.8733999999999998E-2</v>
      </c>
      <c r="E17" s="266">
        <f>ROUND(D17-(D17*E15),6)</f>
        <v>3.8428999999999998E-2</v>
      </c>
    </row>
    <row r="18" spans="1:5" ht="15" customHeight="1">
      <c r="A18" s="262">
        <v>4</v>
      </c>
      <c r="B18" s="263"/>
      <c r="C18" s="252"/>
      <c r="D18" s="252"/>
      <c r="E18" s="267"/>
    </row>
    <row r="19" spans="1:5" ht="15" customHeight="1">
      <c r="A19" s="262">
        <v>5</v>
      </c>
      <c r="B19" s="263" t="s">
        <v>191</v>
      </c>
      <c r="C19" s="252"/>
      <c r="D19" s="252"/>
      <c r="E19" s="264">
        <f>ROUND(SUM(E15:E17),6)</f>
        <v>4.8305000000000001E-2</v>
      </c>
    </row>
    <row r="20" spans="1:5" ht="15" customHeight="1">
      <c r="A20" s="262">
        <v>6</v>
      </c>
      <c r="B20" s="252"/>
      <c r="C20" s="252"/>
      <c r="D20" s="252"/>
      <c r="E20" s="264"/>
    </row>
    <row r="21" spans="1:5" ht="15" customHeight="1">
      <c r="A21" s="262">
        <v>7</v>
      </c>
      <c r="B21" s="252" t="s">
        <v>192</v>
      </c>
      <c r="C21" s="252"/>
      <c r="D21" s="252"/>
      <c r="E21" s="264">
        <f>ROUND(1-E19,6)</f>
        <v>0.95169499999999996</v>
      </c>
    </row>
    <row r="22" spans="1:5" ht="15" customHeight="1">
      <c r="A22" s="262">
        <v>8</v>
      </c>
      <c r="B22" s="263" t="s">
        <v>193</v>
      </c>
      <c r="C22" s="252"/>
      <c r="D22" s="286">
        <v>0.21</v>
      </c>
      <c r="E22" s="264">
        <f>ROUND((E21)*D22,6)</f>
        <v>0.19985600000000001</v>
      </c>
    </row>
    <row r="23" spans="1:5" ht="15" customHeight="1">
      <c r="A23" s="262">
        <v>9</v>
      </c>
      <c r="B23" s="263" t="s">
        <v>194</v>
      </c>
      <c r="C23" s="252"/>
      <c r="D23" s="252"/>
      <c r="E23" s="268">
        <f>ROUND(1-E22-E19,6)</f>
        <v>0.75183900000000004</v>
      </c>
    </row>
    <row r="24" spans="1:5">
      <c r="A24" s="252"/>
      <c r="B24" s="252"/>
      <c r="C24" s="252"/>
      <c r="D24" s="252"/>
      <c r="E24" s="262"/>
    </row>
    <row r="27" spans="1:5">
      <c r="E27" s="269"/>
    </row>
  </sheetData>
  <mergeCells count="5">
    <mergeCell ref="B7:E7"/>
    <mergeCell ref="B8:E8"/>
    <mergeCell ref="B9:E9"/>
    <mergeCell ref="B10:E10"/>
    <mergeCell ref="D4:E4"/>
  </mergeCells>
  <pageMargins left="0.65" right="0.5600000000000000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91"/>
  <sheetViews>
    <sheetView tabSelected="1" zoomScale="88" zoomScaleNormal="88" workbookViewId="0">
      <pane xSplit="2" ySplit="12" topLeftCell="D13" activePane="bottomRight" state="frozen"/>
      <selection activeCell="E25" sqref="E25"/>
      <selection pane="topRight" activeCell="E25" sqref="E25"/>
      <selection pane="bottomLeft" activeCell="E25" sqref="E25"/>
      <selection pane="bottomRight" activeCell="J13" sqref="J13"/>
    </sheetView>
  </sheetViews>
  <sheetFormatPr defaultColWidth="9.28515625" defaultRowHeight="15"/>
  <cols>
    <col min="1" max="1" width="6" style="65" bestFit="1" customWidth="1"/>
    <col min="2" max="2" width="43.5703125" style="65" customWidth="1"/>
    <col min="3" max="3" width="21" style="65" customWidth="1"/>
    <col min="4" max="4" width="19.85546875" style="65" bestFit="1" customWidth="1"/>
    <col min="5" max="5" width="20.42578125" style="65" bestFit="1" customWidth="1"/>
    <col min="6" max="6" width="24" style="65" customWidth="1"/>
    <col min="7" max="7" width="23.42578125" style="65" bestFit="1" customWidth="1"/>
    <col min="8" max="8" width="19.85546875" style="78" bestFit="1" customWidth="1"/>
    <col min="9" max="11" width="20" style="78" bestFit="1" customWidth="1"/>
    <col min="12" max="12" width="15.140625" bestFit="1" customWidth="1"/>
    <col min="13" max="14" width="9.140625" customWidth="1"/>
    <col min="15" max="16384" width="9.28515625" style="65"/>
  </cols>
  <sheetData>
    <row r="1" spans="1:14" ht="17.100000000000001" customHeight="1">
      <c r="K1" s="324" t="str">
        <f>k_ExhNo</f>
        <v>Exh. SEF-3</v>
      </c>
      <c r="L1" s="78"/>
      <c r="M1" s="78"/>
      <c r="N1" s="78"/>
    </row>
    <row r="2" spans="1:14" ht="17.100000000000001" customHeight="1">
      <c r="K2" s="324" t="s">
        <v>248</v>
      </c>
      <c r="L2" s="78"/>
      <c r="M2" s="78"/>
      <c r="N2" s="78"/>
    </row>
    <row r="3" spans="1:14" ht="17.100000000000001" customHeight="1">
      <c r="L3" s="78"/>
      <c r="M3" s="78"/>
      <c r="N3" s="78"/>
    </row>
    <row r="4" spans="1:14" ht="17.100000000000001" customHeight="1" thickBot="1">
      <c r="A4" s="42" t="s">
        <v>57</v>
      </c>
      <c r="B4" s="11"/>
      <c r="C4" s="12"/>
      <c r="D4" s="20"/>
      <c r="E4" s="11"/>
      <c r="F4" s="48"/>
      <c r="G4" s="11"/>
      <c r="H4" s="11"/>
      <c r="I4" s="11"/>
      <c r="J4" s="11"/>
      <c r="K4" s="11"/>
    </row>
    <row r="5" spans="1:14" s="302" customFormat="1" ht="17.100000000000001" customHeight="1" thickBot="1">
      <c r="A5" s="300"/>
      <c r="B5" s="20"/>
      <c r="C5" s="299"/>
      <c r="D5" s="329" t="s">
        <v>80</v>
      </c>
      <c r="E5" s="329"/>
      <c r="F5" s="329"/>
      <c r="G5" s="329"/>
      <c r="H5" s="329"/>
      <c r="I5" s="181"/>
      <c r="J5" s="334" t="s">
        <v>223</v>
      </c>
      <c r="K5" s="335"/>
      <c r="L5" s="301"/>
      <c r="M5" s="301"/>
      <c r="N5" s="301"/>
    </row>
    <row r="6" spans="1:14" ht="17.100000000000001" customHeight="1">
      <c r="A6" s="20" t="s">
        <v>135</v>
      </c>
      <c r="B6" s="11"/>
      <c r="C6" s="11"/>
      <c r="D6" s="20"/>
      <c r="E6" s="11"/>
      <c r="F6" s="11"/>
      <c r="G6" s="11"/>
      <c r="H6" s="11"/>
      <c r="I6" s="11"/>
      <c r="J6" s="11"/>
      <c r="K6" s="11"/>
    </row>
    <row r="7" spans="1:14" ht="17.100000000000001" customHeight="1">
      <c r="A7" s="80"/>
      <c r="B7" s="11"/>
      <c r="C7" s="11"/>
      <c r="D7" s="20"/>
      <c r="E7" s="11"/>
      <c r="F7" s="11"/>
      <c r="G7" s="11"/>
      <c r="H7" s="11"/>
      <c r="I7" s="11"/>
      <c r="J7" s="11"/>
      <c r="K7" s="11"/>
    </row>
    <row r="8" spans="1:14" ht="17.100000000000001" customHeight="1">
      <c r="A8" s="80"/>
      <c r="B8" s="11"/>
      <c r="C8" s="339" t="s">
        <v>141</v>
      </c>
      <c r="D8" s="340"/>
      <c r="E8" s="340"/>
      <c r="F8" s="340"/>
      <c r="G8" s="341"/>
      <c r="H8" s="234"/>
      <c r="I8" s="234"/>
      <c r="J8" s="234"/>
      <c r="K8" s="234"/>
    </row>
    <row r="9" spans="1:14" ht="17.100000000000001" customHeight="1">
      <c r="A9" s="80"/>
      <c r="B9" s="11"/>
      <c r="C9" s="342" t="s">
        <v>221</v>
      </c>
      <c r="D9" s="343"/>
      <c r="E9" s="344"/>
      <c r="F9" s="339" t="s">
        <v>158</v>
      </c>
      <c r="G9" s="341"/>
    </row>
    <row r="10" spans="1:14" ht="17.100000000000001" customHeight="1">
      <c r="A10" s="28"/>
      <c r="B10" s="28"/>
      <c r="C10" s="4" t="s">
        <v>33</v>
      </c>
      <c r="D10" s="4"/>
      <c r="E10" s="4" t="s">
        <v>36</v>
      </c>
      <c r="F10"/>
      <c r="G10" s="234" t="s">
        <v>36</v>
      </c>
      <c r="H10"/>
      <c r="I10"/>
      <c r="J10" s="234" t="s">
        <v>61</v>
      </c>
      <c r="K10" s="234" t="s">
        <v>75</v>
      </c>
    </row>
    <row r="11" spans="1:14" ht="17.100000000000001" customHeight="1">
      <c r="A11" s="4" t="s">
        <v>32</v>
      </c>
      <c r="B11" s="28"/>
      <c r="C11" s="4" t="s">
        <v>42</v>
      </c>
      <c r="D11" s="4" t="s">
        <v>39</v>
      </c>
      <c r="E11" s="4" t="s">
        <v>42</v>
      </c>
      <c r="F11" s="285" t="s">
        <v>137</v>
      </c>
      <c r="G11" s="85" t="s">
        <v>42</v>
      </c>
      <c r="H11" s="85" t="s">
        <v>152</v>
      </c>
      <c r="I11" s="85" t="s">
        <v>90</v>
      </c>
      <c r="J11" s="234" t="s">
        <v>101</v>
      </c>
      <c r="K11" s="234" t="s">
        <v>44</v>
      </c>
    </row>
    <row r="12" spans="1:14" ht="17.100000000000001" customHeight="1">
      <c r="A12" s="8" t="s">
        <v>34</v>
      </c>
      <c r="B12" s="31"/>
      <c r="C12" s="8" t="s">
        <v>43</v>
      </c>
      <c r="D12" s="8" t="s">
        <v>51</v>
      </c>
      <c r="E12" s="8" t="s">
        <v>43</v>
      </c>
      <c r="F12" s="8" t="s">
        <v>136</v>
      </c>
      <c r="G12" s="8" t="s">
        <v>159</v>
      </c>
      <c r="H12" s="69" t="s">
        <v>51</v>
      </c>
      <c r="I12" s="69" t="s">
        <v>91</v>
      </c>
      <c r="J12" s="8" t="str">
        <f>IF(J19&lt;0,"SUFFICIENCY","DEFICIENCY")</f>
        <v>DEFICIENCY</v>
      </c>
      <c r="K12" s="8" t="str">
        <f>IF(J19&lt;0,"DECREASE","INCREASE")</f>
        <v>INCREASE</v>
      </c>
    </row>
    <row r="13" spans="1:14" ht="17.100000000000001" customHeight="1">
      <c r="A13" s="5"/>
      <c r="B13" s="5"/>
      <c r="C13" s="6" t="s">
        <v>81</v>
      </c>
      <c r="D13" s="6" t="s">
        <v>82</v>
      </c>
      <c r="E13" s="6" t="s">
        <v>83</v>
      </c>
      <c r="F13" s="6" t="s">
        <v>84</v>
      </c>
      <c r="G13" s="6" t="s">
        <v>138</v>
      </c>
      <c r="H13" s="6" t="s">
        <v>139</v>
      </c>
      <c r="I13" s="6" t="s">
        <v>140</v>
      </c>
      <c r="J13" s="6" t="s">
        <v>259</v>
      </c>
      <c r="K13" s="6" t="s">
        <v>260</v>
      </c>
    </row>
    <row r="14" spans="1:14" ht="17.100000000000001" customHeight="1">
      <c r="A14" s="6">
        <v>1</v>
      </c>
      <c r="B14" s="19" t="s">
        <v>4</v>
      </c>
      <c r="C14" s="5"/>
      <c r="D14" s="5"/>
      <c r="E14" s="5"/>
      <c r="F14" s="224"/>
      <c r="G14" s="5"/>
      <c r="H14" s="89"/>
      <c r="I14" s="89"/>
      <c r="J14" s="89"/>
      <c r="K14" s="89"/>
    </row>
    <row r="15" spans="1:14" ht="17.100000000000001" customHeight="1">
      <c r="A15" s="6">
        <f t="shared" ref="A15:A60" si="0">+A14+1</f>
        <v>2</v>
      </c>
      <c r="B15" s="7" t="s">
        <v>5</v>
      </c>
      <c r="C15" s="3">
        <v>2252425747.9400001</v>
      </c>
      <c r="D15" s="3">
        <v>-186590802.77395022</v>
      </c>
      <c r="E15" s="3">
        <f>C15+D15</f>
        <v>2065834945.16605</v>
      </c>
      <c r="F15" s="105">
        <f>'SEF-3 p5 Remove Non-ERF'!C16</f>
        <v>1234742451.7010772</v>
      </c>
      <c r="G15" s="105">
        <f>E15-F15</f>
        <v>831092493.46497273</v>
      </c>
      <c r="H15" s="91">
        <f>+'SEF-3 p6 ERF Adj Summary'!L14</f>
        <v>-96642040.464972779</v>
      </c>
      <c r="I15" s="91">
        <f>SUM(G15:H15)</f>
        <v>734450453</v>
      </c>
      <c r="J15" s="91">
        <f>'SEF-3 p1 Deficiency'!C24</f>
        <v>41386720</v>
      </c>
      <c r="K15" s="91">
        <f>SUM(I15:J15)</f>
        <v>775837173</v>
      </c>
    </row>
    <row r="16" spans="1:14" ht="17.100000000000001" customHeight="1">
      <c r="A16" s="6">
        <f t="shared" si="0"/>
        <v>3</v>
      </c>
      <c r="B16" s="7" t="s">
        <v>6</v>
      </c>
      <c r="C16" s="10">
        <v>345108.95999999897</v>
      </c>
      <c r="D16" s="10">
        <v>266</v>
      </c>
      <c r="E16" s="10">
        <f t="shared" ref="E16:E18" si="1">C16+D16</f>
        <v>345374.95999999897</v>
      </c>
      <c r="F16" s="99">
        <f>'SEF-3 p5 Remove Non-ERF'!C17</f>
        <v>0</v>
      </c>
      <c r="G16" s="110">
        <f t="shared" ref="G16:G18" si="2">E16-F16</f>
        <v>345374.95999999897</v>
      </c>
      <c r="H16" s="98">
        <f>+'SEF-3 p6 ERF Adj Summary'!L15</f>
        <v>0</v>
      </c>
      <c r="I16" s="98">
        <f t="shared" ref="I16:I18" si="3">SUM(G16:H16)</f>
        <v>345374.95999999897</v>
      </c>
      <c r="J16" s="98"/>
      <c r="K16" s="98">
        <f>SUM(I16:J16)</f>
        <v>345374.95999999897</v>
      </c>
    </row>
    <row r="17" spans="1:11" ht="17.100000000000001" customHeight="1">
      <c r="A17" s="6">
        <f t="shared" si="0"/>
        <v>4</v>
      </c>
      <c r="B17" s="7" t="s">
        <v>7</v>
      </c>
      <c r="C17" s="10">
        <v>119913342.73999999</v>
      </c>
      <c r="D17" s="10">
        <v>0</v>
      </c>
      <c r="E17" s="10">
        <f t="shared" si="1"/>
        <v>119913342.73999999</v>
      </c>
      <c r="F17" s="99">
        <f>'SEF-3 p5 Remove Non-ERF'!C18</f>
        <v>119913342.73999999</v>
      </c>
      <c r="G17" s="110">
        <f t="shared" si="2"/>
        <v>0</v>
      </c>
      <c r="H17" s="98">
        <f>+'SEF-3 p6 ERF Adj Summary'!L16</f>
        <v>0</v>
      </c>
      <c r="I17" s="98">
        <f t="shared" si="3"/>
        <v>0</v>
      </c>
      <c r="J17" s="98"/>
      <c r="K17" s="98">
        <f>SUM(I17:J17)</f>
        <v>0</v>
      </c>
    </row>
    <row r="18" spans="1:11" ht="17.100000000000001" customHeight="1">
      <c r="A18" s="6">
        <f t="shared" si="0"/>
        <v>5</v>
      </c>
      <c r="B18" s="7" t="s">
        <v>8</v>
      </c>
      <c r="C18" s="113">
        <v>19205356.129999999</v>
      </c>
      <c r="D18" s="113">
        <v>31852829.300000001</v>
      </c>
      <c r="E18" s="113">
        <f t="shared" si="1"/>
        <v>51058185.43</v>
      </c>
      <c r="F18" s="113">
        <f>'SEF-3 p5 Remove Non-ERF'!C19</f>
        <v>13144940.310000002</v>
      </c>
      <c r="G18" s="111">
        <f t="shared" si="2"/>
        <v>37913245.119999997</v>
      </c>
      <c r="H18" s="100">
        <f>+'SEF-3 p6 ERF Adj Summary'!L17</f>
        <v>9579706.3300000001</v>
      </c>
      <c r="I18" s="100">
        <f t="shared" si="3"/>
        <v>47492951.449999996</v>
      </c>
      <c r="J18" s="100"/>
      <c r="K18" s="100">
        <f>SUM(I18:J18)</f>
        <v>47492951.449999996</v>
      </c>
    </row>
    <row r="19" spans="1:11" ht="17.100000000000001" customHeight="1">
      <c r="A19" s="6">
        <f t="shared" si="0"/>
        <v>6</v>
      </c>
      <c r="B19" s="7" t="s">
        <v>9</v>
      </c>
      <c r="C19" s="36">
        <f t="shared" ref="C19:F19" si="4">SUM(C15:C18)</f>
        <v>2391889555.77</v>
      </c>
      <c r="D19" s="36">
        <f t="shared" si="4"/>
        <v>-154737707.47395021</v>
      </c>
      <c r="E19" s="36">
        <f t="shared" si="4"/>
        <v>2237151848.2960496</v>
      </c>
      <c r="F19" s="99">
        <f t="shared" si="4"/>
        <v>1367800734.7510772</v>
      </c>
      <c r="G19" s="99">
        <f>SUM(G15:G18)</f>
        <v>869351113.54497278</v>
      </c>
      <c r="H19" s="99">
        <f t="shared" ref="H19:I19" si="5">SUM(H15:H18)</f>
        <v>-87062334.134972781</v>
      </c>
      <c r="I19" s="99">
        <f t="shared" si="5"/>
        <v>782288779.41000009</v>
      </c>
      <c r="J19" s="99">
        <f>SUM(J15:J18)</f>
        <v>41386720</v>
      </c>
      <c r="K19" s="99">
        <f>SUM(K15:K18)</f>
        <v>823675499.41000009</v>
      </c>
    </row>
    <row r="20" spans="1:11" ht="17.100000000000001" customHeight="1">
      <c r="A20" s="6">
        <f t="shared" si="0"/>
        <v>7</v>
      </c>
      <c r="B20" s="5"/>
      <c r="C20" s="10"/>
      <c r="D20" s="10"/>
      <c r="E20" s="10"/>
      <c r="F20" s="99"/>
      <c r="G20" s="99"/>
      <c r="H20" s="101"/>
      <c r="I20" s="101"/>
      <c r="J20" s="101"/>
      <c r="K20" s="101"/>
    </row>
    <row r="21" spans="1:11" ht="17.100000000000001" customHeight="1">
      <c r="A21" s="6">
        <f t="shared" si="0"/>
        <v>8</v>
      </c>
      <c r="B21" s="21" t="s">
        <v>10</v>
      </c>
      <c r="C21" s="10"/>
      <c r="D21" s="10"/>
      <c r="E21" s="17"/>
      <c r="F21" s="99"/>
      <c r="G21" s="99"/>
      <c r="H21" s="101"/>
      <c r="I21" s="101"/>
      <c r="J21" s="101"/>
      <c r="K21" s="101"/>
    </row>
    <row r="22" spans="1:11" ht="17.100000000000001" customHeight="1">
      <c r="A22" s="6">
        <f t="shared" si="0"/>
        <v>9</v>
      </c>
      <c r="B22" s="5"/>
      <c r="C22" s="10"/>
      <c r="D22" s="10"/>
      <c r="E22" s="10"/>
      <c r="F22" s="99"/>
      <c r="G22" s="99"/>
      <c r="H22" s="101"/>
      <c r="I22" s="101"/>
      <c r="J22" s="101"/>
      <c r="K22" s="101"/>
    </row>
    <row r="23" spans="1:11" ht="17.100000000000001" customHeight="1">
      <c r="A23" s="6">
        <f t="shared" si="0"/>
        <v>10</v>
      </c>
      <c r="B23" s="19" t="s">
        <v>11</v>
      </c>
      <c r="C23" s="10"/>
      <c r="D23" s="10"/>
      <c r="E23" s="17"/>
      <c r="F23" s="99"/>
      <c r="G23" s="99"/>
      <c r="H23" s="101"/>
      <c r="I23" s="101"/>
      <c r="J23" s="101"/>
      <c r="K23" s="101"/>
    </row>
    <row r="24" spans="1:11" ht="17.100000000000001" customHeight="1">
      <c r="A24" s="6">
        <f t="shared" si="0"/>
        <v>11</v>
      </c>
      <c r="B24" s="7" t="s">
        <v>46</v>
      </c>
      <c r="C24" s="10">
        <v>197388367.59999999</v>
      </c>
      <c r="D24" s="10">
        <v>0</v>
      </c>
      <c r="E24" s="17">
        <f>SUM(C24:D24)</f>
        <v>197388367.59999999</v>
      </c>
      <c r="F24" s="99">
        <f>'SEF-3 p5 Remove Non-ERF'!C25</f>
        <v>197388367.60000002</v>
      </c>
      <c r="G24" s="10">
        <f>E24-F24</f>
        <v>0</v>
      </c>
      <c r="H24" s="10">
        <f>+'SEF-3 p6 ERF Adj Summary'!L23</f>
        <v>0</v>
      </c>
      <c r="I24" s="98">
        <f t="shared" ref="I24:I27" si="6">SUM(G24:H24)</f>
        <v>0</v>
      </c>
      <c r="J24" s="98">
        <v>0</v>
      </c>
      <c r="K24" s="98">
        <f>SUM(I24:J24)</f>
        <v>0</v>
      </c>
    </row>
    <row r="25" spans="1:11" ht="17.100000000000001" customHeight="1">
      <c r="A25" s="6">
        <f t="shared" si="0"/>
        <v>12</v>
      </c>
      <c r="B25" s="7" t="s">
        <v>0</v>
      </c>
      <c r="C25" s="10">
        <v>482961036.42000002</v>
      </c>
      <c r="D25" s="10">
        <v>-2109545.4300000002</v>
      </c>
      <c r="E25" s="17">
        <f>SUM(C25:D25)</f>
        <v>480851490.99000001</v>
      </c>
      <c r="F25" s="99">
        <f>'SEF-3 p5 Remove Non-ERF'!C26</f>
        <v>480851490.98999995</v>
      </c>
      <c r="G25" s="10">
        <f>E25-F25</f>
        <v>0</v>
      </c>
      <c r="H25" s="10">
        <f>+'SEF-3 p6 ERF Adj Summary'!L24</f>
        <v>0</v>
      </c>
      <c r="I25" s="98">
        <f t="shared" si="6"/>
        <v>0</v>
      </c>
      <c r="J25" s="98"/>
      <c r="K25" s="98">
        <f>SUM(I25:J25)</f>
        <v>0</v>
      </c>
    </row>
    <row r="26" spans="1:11" ht="17.100000000000001" customHeight="1">
      <c r="A26" s="6">
        <f t="shared" si="0"/>
        <v>13</v>
      </c>
      <c r="B26" s="7" t="s">
        <v>49</v>
      </c>
      <c r="C26" s="10">
        <v>117308227.88</v>
      </c>
      <c r="D26" s="10">
        <v>0</v>
      </c>
      <c r="E26" s="17">
        <f>SUM(C26:D26)</f>
        <v>117308227.88</v>
      </c>
      <c r="F26" s="99">
        <f>'SEF-3 p5 Remove Non-ERF'!C27</f>
        <v>117308227.88</v>
      </c>
      <c r="G26" s="10">
        <f>E26-F26</f>
        <v>0</v>
      </c>
      <c r="H26" s="10">
        <f>+'SEF-3 p6 ERF Adj Summary'!L25</f>
        <v>0</v>
      </c>
      <c r="I26" s="98">
        <f t="shared" si="6"/>
        <v>0</v>
      </c>
      <c r="J26" s="98"/>
      <c r="K26" s="98">
        <f>SUM(I26:J26)</f>
        <v>0</v>
      </c>
    </row>
    <row r="27" spans="1:11" ht="17.100000000000001" customHeight="1">
      <c r="A27" s="6">
        <f t="shared" si="0"/>
        <v>14</v>
      </c>
      <c r="B27" s="5" t="s">
        <v>15</v>
      </c>
      <c r="C27" s="10">
        <v>-76430322.280000001</v>
      </c>
      <c r="D27" s="10">
        <v>76430322.280000001</v>
      </c>
      <c r="E27" s="2">
        <f>SUM(C27:D27)</f>
        <v>0</v>
      </c>
      <c r="F27" s="99">
        <f>'SEF-3 p5 Remove Non-ERF'!C28</f>
        <v>0</v>
      </c>
      <c r="G27" s="10">
        <f>E27-F27</f>
        <v>0</v>
      </c>
      <c r="H27" s="10">
        <f>+'SEF-3 p6 ERF Adj Summary'!L26</f>
        <v>0</v>
      </c>
      <c r="I27" s="98">
        <f t="shared" si="6"/>
        <v>0</v>
      </c>
      <c r="J27" s="98"/>
      <c r="K27" s="98">
        <f>SUM(I27:J27)</f>
        <v>0</v>
      </c>
    </row>
    <row r="28" spans="1:11" ht="17.100000000000001" customHeight="1">
      <c r="A28" s="6">
        <f t="shared" si="0"/>
        <v>15</v>
      </c>
      <c r="B28" s="7" t="s">
        <v>16</v>
      </c>
      <c r="C28" s="36">
        <f>SUM(C24:C27)</f>
        <v>721227309.62</v>
      </c>
      <c r="D28" s="36">
        <f>SUM(D24:D27)</f>
        <v>74320776.849999994</v>
      </c>
      <c r="E28" s="36">
        <f t="shared" ref="E28" si="7">SUM(E24:E27)</f>
        <v>795548086.47000003</v>
      </c>
      <c r="F28" s="102">
        <f>SUM(F24:F27)</f>
        <v>795548086.46999991</v>
      </c>
      <c r="G28" s="102">
        <f>SUM(G24:G27)</f>
        <v>0</v>
      </c>
      <c r="H28" s="102">
        <f t="shared" ref="H28:I28" si="8">SUM(H24:H27)</f>
        <v>0</v>
      </c>
      <c r="I28" s="102">
        <f t="shared" si="8"/>
        <v>0</v>
      </c>
      <c r="J28" s="102">
        <f>SUM(J24:J27)</f>
        <v>0</v>
      </c>
      <c r="K28" s="102">
        <f>SUM(K24:K27)</f>
        <v>0</v>
      </c>
    </row>
    <row r="29" spans="1:11" ht="17.100000000000001" customHeight="1">
      <c r="A29" s="6">
        <f t="shared" si="0"/>
        <v>16</v>
      </c>
      <c r="B29" s="7"/>
      <c r="C29" s="10"/>
      <c r="D29" s="10"/>
      <c r="E29" s="10"/>
      <c r="F29" s="99"/>
      <c r="G29" s="99"/>
      <c r="H29" s="92"/>
      <c r="I29" s="92"/>
      <c r="J29" s="92"/>
      <c r="K29" s="92"/>
    </row>
    <row r="30" spans="1:11" ht="17.100000000000001" customHeight="1">
      <c r="A30" s="6">
        <f t="shared" si="0"/>
        <v>17</v>
      </c>
      <c r="B30" s="21" t="s">
        <v>1</v>
      </c>
      <c r="C30" s="10">
        <v>126777937.98999999</v>
      </c>
      <c r="D30" s="10">
        <v>0</v>
      </c>
      <c r="E30" s="17">
        <f t="shared" ref="E30:E44" si="9">SUM(C30:D30)</f>
        <v>126777937.98999999</v>
      </c>
      <c r="F30" s="99">
        <f>'SEF-3 p5 Remove Non-ERF'!C31</f>
        <v>126777937.98999999</v>
      </c>
      <c r="G30" s="99">
        <f t="shared" ref="G30:G44" si="10">E30-F30</f>
        <v>0</v>
      </c>
      <c r="H30" s="101">
        <f>+'SEF-3 p6 ERF Adj Summary'!L29</f>
        <v>0</v>
      </c>
      <c r="I30" s="98">
        <f t="shared" ref="I30:I44" si="11">SUM(G30:H30)</f>
        <v>0</v>
      </c>
      <c r="J30" s="98">
        <v>0</v>
      </c>
      <c r="K30" s="98">
        <f t="shared" ref="K30:K44" si="12">SUM(I30:J30)</f>
        <v>0</v>
      </c>
    </row>
    <row r="31" spans="1:11" ht="17.100000000000001" customHeight="1">
      <c r="A31" s="6">
        <f t="shared" si="0"/>
        <v>18</v>
      </c>
      <c r="B31" s="7" t="s">
        <v>17</v>
      </c>
      <c r="C31" s="10">
        <v>21892949.559999999</v>
      </c>
      <c r="D31" s="10">
        <v>-50723.014999999956</v>
      </c>
      <c r="E31" s="17">
        <f t="shared" si="9"/>
        <v>21842226.544999998</v>
      </c>
      <c r="F31" s="99">
        <f>'SEF-3 p5 Remove Non-ERF'!C32</f>
        <v>727391.64000000013</v>
      </c>
      <c r="G31" s="110">
        <f t="shared" si="10"/>
        <v>21114834.904999997</v>
      </c>
      <c r="H31" s="98">
        <f>+'SEF-3 p6 ERF Adj Summary'!L30</f>
        <v>0</v>
      </c>
      <c r="I31" s="98">
        <f t="shared" si="11"/>
        <v>21114834.904999997</v>
      </c>
      <c r="J31" s="98"/>
      <c r="K31" s="98">
        <f t="shared" si="12"/>
        <v>21114834.904999997</v>
      </c>
    </row>
    <row r="32" spans="1:11" ht="17.100000000000001" customHeight="1">
      <c r="A32" s="6">
        <f t="shared" si="0"/>
        <v>19</v>
      </c>
      <c r="B32" s="7" t="s">
        <v>18</v>
      </c>
      <c r="C32" s="10">
        <v>77869045.599999905</v>
      </c>
      <c r="D32" s="10">
        <v>3539892.1833333336</v>
      </c>
      <c r="E32" s="17">
        <f t="shared" si="9"/>
        <v>81408937.783333242</v>
      </c>
      <c r="F32" s="99">
        <f>'SEF-3 p5 Remove Non-ERF'!C33</f>
        <v>0</v>
      </c>
      <c r="G32" s="110">
        <f t="shared" si="10"/>
        <v>81408937.783333242</v>
      </c>
      <c r="H32" s="103">
        <f>+'SEF-3 p6 ERF Adj Summary'!L31</f>
        <v>0</v>
      </c>
      <c r="I32" s="98">
        <f t="shared" si="11"/>
        <v>81408937.783333242</v>
      </c>
      <c r="J32" s="98"/>
      <c r="K32" s="98">
        <f t="shared" si="12"/>
        <v>81408937.783333242</v>
      </c>
    </row>
    <row r="33" spans="1:11" ht="17.100000000000001" customHeight="1">
      <c r="A33" s="6">
        <f t="shared" si="0"/>
        <v>20</v>
      </c>
      <c r="B33" s="7" t="s">
        <v>3</v>
      </c>
      <c r="C33" s="10">
        <v>50615958.691398904</v>
      </c>
      <c r="D33" s="10">
        <v>228567.67971310153</v>
      </c>
      <c r="E33" s="17">
        <f t="shared" si="9"/>
        <v>50844526.371112004</v>
      </c>
      <c r="F33" s="99">
        <f>'SEF-3 p5 Remove Non-ERF'!C34</f>
        <v>9724831.5495976843</v>
      </c>
      <c r="G33" s="110">
        <f t="shared" si="10"/>
        <v>41119694.821514323</v>
      </c>
      <c r="H33" s="103">
        <f>+'SEF-3 p6 ERF Adj Summary'!L32</f>
        <v>1853598.3879178734</v>
      </c>
      <c r="I33" s="98">
        <f t="shared" si="11"/>
        <v>42973293.2094322</v>
      </c>
      <c r="J33" s="98">
        <f>'SEF-3 p3 ERF Conv Factr'!E15*J19</f>
        <v>325961.80671999999</v>
      </c>
      <c r="K33" s="98">
        <f t="shared" si="12"/>
        <v>43299255.016152203</v>
      </c>
    </row>
    <row r="34" spans="1:11" ht="17.100000000000001" customHeight="1">
      <c r="A34" s="6">
        <f t="shared" si="0"/>
        <v>21</v>
      </c>
      <c r="B34" s="7" t="s">
        <v>20</v>
      </c>
      <c r="C34" s="10">
        <v>21828367.420462001</v>
      </c>
      <c r="D34" s="10">
        <v>-19042060.639999997</v>
      </c>
      <c r="E34" s="17">
        <f t="shared" si="9"/>
        <v>2786306.7804620042</v>
      </c>
      <c r="F34" s="99">
        <f>'SEF-3 p5 Remove Non-ERF'!C35</f>
        <v>0</v>
      </c>
      <c r="G34" s="110">
        <f t="shared" si="10"/>
        <v>2786306.7804620042</v>
      </c>
      <c r="H34" s="103">
        <f>+'SEF-3 p6 ERF Adj Summary'!L33</f>
        <v>0</v>
      </c>
      <c r="I34" s="98">
        <f t="shared" si="11"/>
        <v>2786306.7804620042</v>
      </c>
      <c r="J34" s="98"/>
      <c r="K34" s="98">
        <f t="shared" si="12"/>
        <v>2786306.7804620042</v>
      </c>
    </row>
    <row r="35" spans="1:11" ht="17.100000000000001" customHeight="1">
      <c r="A35" s="6">
        <f t="shared" si="0"/>
        <v>22</v>
      </c>
      <c r="B35" s="7" t="s">
        <v>21</v>
      </c>
      <c r="C35" s="10">
        <v>108081464.22</v>
      </c>
      <c r="D35" s="10">
        <v>-108081464.22</v>
      </c>
      <c r="E35" s="17">
        <f t="shared" si="9"/>
        <v>0</v>
      </c>
      <c r="F35" s="99">
        <f>'SEF-3 p5 Remove Non-ERF'!C36</f>
        <v>0</v>
      </c>
      <c r="G35" s="99">
        <f t="shared" si="10"/>
        <v>0</v>
      </c>
      <c r="H35" s="103">
        <f>+'SEF-3 p6 ERF Adj Summary'!L34</f>
        <v>0</v>
      </c>
      <c r="I35" s="98">
        <f t="shared" si="11"/>
        <v>0</v>
      </c>
      <c r="J35" s="98"/>
      <c r="K35" s="98">
        <f t="shared" si="12"/>
        <v>0</v>
      </c>
    </row>
    <row r="36" spans="1:11" ht="17.100000000000001" customHeight="1">
      <c r="A36" s="6">
        <f t="shared" si="0"/>
        <v>23</v>
      </c>
      <c r="B36" s="7" t="s">
        <v>22</v>
      </c>
      <c r="C36" s="10">
        <v>127722469.81661491</v>
      </c>
      <c r="D36" s="10">
        <v>-278649.77577866783</v>
      </c>
      <c r="E36" s="17">
        <f t="shared" si="9"/>
        <v>127443820.04083624</v>
      </c>
      <c r="F36" s="99">
        <f>'SEF-3 p5 Remove Non-ERF'!C37</f>
        <v>12391543.363359809</v>
      </c>
      <c r="G36" s="110">
        <f t="shared" si="10"/>
        <v>115052276.67747644</v>
      </c>
      <c r="H36" s="103">
        <f>+'SEF-3 p6 ERF Adj Summary'!L35</f>
        <v>-174124.66826994557</v>
      </c>
      <c r="I36" s="98">
        <f t="shared" si="11"/>
        <v>114878152.00920649</v>
      </c>
      <c r="J36" s="98">
        <f>'SEF-3 p3 ERF Conv Factr'!E16*J19</f>
        <v>82773.440000000002</v>
      </c>
      <c r="K36" s="98">
        <f t="shared" si="12"/>
        <v>114960925.44920649</v>
      </c>
    </row>
    <row r="37" spans="1:11" ht="17.100000000000001" customHeight="1">
      <c r="A37" s="6">
        <f t="shared" si="0"/>
        <v>24</v>
      </c>
      <c r="B37" s="7" t="s">
        <v>59</v>
      </c>
      <c r="C37" s="10">
        <v>299690912.46301591</v>
      </c>
      <c r="D37" s="10">
        <v>0</v>
      </c>
      <c r="E37" s="17">
        <f t="shared" si="9"/>
        <v>299690912.46301591</v>
      </c>
      <c r="F37" s="99">
        <f>'SEF-3 p5 Remove Non-ERF'!C38</f>
        <v>129560953.964486</v>
      </c>
      <c r="G37" s="110">
        <f t="shared" si="10"/>
        <v>170129958.49852991</v>
      </c>
      <c r="H37" s="103">
        <f>+'SEF-3 p6 ERF Adj Summary'!L36</f>
        <v>8894287.2539917286</v>
      </c>
      <c r="I37" s="98">
        <f t="shared" si="11"/>
        <v>179024245.75252163</v>
      </c>
      <c r="J37" s="98"/>
      <c r="K37" s="98">
        <f t="shared" si="12"/>
        <v>179024245.75252163</v>
      </c>
    </row>
    <row r="38" spans="1:11" ht="17.100000000000001" customHeight="1">
      <c r="A38" s="6">
        <f t="shared" si="0"/>
        <v>25</v>
      </c>
      <c r="B38" s="7" t="s">
        <v>41</v>
      </c>
      <c r="C38" s="10">
        <v>61146264.530047998</v>
      </c>
      <c r="D38" s="10">
        <v>0</v>
      </c>
      <c r="E38" s="17">
        <f t="shared" si="9"/>
        <v>61146264.530047998</v>
      </c>
      <c r="F38" s="99">
        <f>'SEF-3 p5 Remove Non-ERF'!C39</f>
        <v>15994603.294000002</v>
      </c>
      <c r="G38" s="110">
        <f t="shared" si="10"/>
        <v>45151661.236047998</v>
      </c>
      <c r="H38" s="103">
        <f>+'SEF-3 p6 ERF Adj Summary'!L37</f>
        <v>0</v>
      </c>
      <c r="I38" s="98">
        <f t="shared" si="11"/>
        <v>45151661.236047998</v>
      </c>
      <c r="J38" s="98"/>
      <c r="K38" s="98">
        <f t="shared" si="12"/>
        <v>45151661.236047998</v>
      </c>
    </row>
    <row r="39" spans="1:11" ht="17.100000000000001" customHeight="1">
      <c r="A39" s="6">
        <f t="shared" si="0"/>
        <v>26</v>
      </c>
      <c r="B39" s="15" t="s">
        <v>58</v>
      </c>
      <c r="C39" s="10">
        <v>24598110.5699999</v>
      </c>
      <c r="D39" s="10">
        <v>0</v>
      </c>
      <c r="E39" s="17">
        <f t="shared" si="9"/>
        <v>24598110.5699999</v>
      </c>
      <c r="F39" s="99">
        <f>'SEF-3 p5 Remove Non-ERF'!C40</f>
        <v>6315271.4299999997</v>
      </c>
      <c r="G39" s="110">
        <f t="shared" si="10"/>
        <v>18282839.1399999</v>
      </c>
      <c r="H39" s="103">
        <f>+'SEF-3 p6 ERF Adj Summary'!L38</f>
        <v>7040080.8999999985</v>
      </c>
      <c r="I39" s="98">
        <f t="shared" si="11"/>
        <v>25322920.039999899</v>
      </c>
      <c r="J39" s="98"/>
      <c r="K39" s="98">
        <f t="shared" si="12"/>
        <v>25322920.039999899</v>
      </c>
    </row>
    <row r="40" spans="1:11" ht="17.100000000000001" customHeight="1">
      <c r="A40" s="6">
        <f t="shared" si="0"/>
        <v>27</v>
      </c>
      <c r="B40" s="7" t="s">
        <v>23</v>
      </c>
      <c r="C40" s="10">
        <v>-79731820.409999907</v>
      </c>
      <c r="D40" s="10">
        <v>86576552.539999992</v>
      </c>
      <c r="E40" s="17">
        <f t="shared" si="9"/>
        <v>6844732.1300000846</v>
      </c>
      <c r="F40" s="99">
        <f>'SEF-3 p5 Remove Non-ERF'!C41</f>
        <v>9065161</v>
      </c>
      <c r="G40" s="17">
        <f t="shared" si="10"/>
        <v>-2220428.8699999154</v>
      </c>
      <c r="H40" s="103">
        <f>+'SEF-3 p6 ERF Adj Summary'!L39</f>
        <v>829748.89144472673</v>
      </c>
      <c r="I40" s="98">
        <f t="shared" si="11"/>
        <v>-1390679.9785551885</v>
      </c>
      <c r="J40" s="98"/>
      <c r="K40" s="98">
        <f t="shared" si="12"/>
        <v>-1390679.9785551885</v>
      </c>
    </row>
    <row r="41" spans="1:11" ht="17.100000000000001" customHeight="1">
      <c r="A41" s="6">
        <f t="shared" si="0"/>
        <v>28</v>
      </c>
      <c r="B41" s="7" t="s">
        <v>60</v>
      </c>
      <c r="C41" s="10">
        <v>10506772.619999999</v>
      </c>
      <c r="D41" s="10">
        <v>-10506772.619999999</v>
      </c>
      <c r="E41" s="17">
        <f t="shared" si="9"/>
        <v>0</v>
      </c>
      <c r="F41" s="99">
        <f>'SEF-3 p5 Remove Non-ERF'!C42</f>
        <v>0</v>
      </c>
      <c r="G41" s="99">
        <f t="shared" si="10"/>
        <v>0</v>
      </c>
      <c r="H41" s="103">
        <f>+'SEF-3 p6 ERF Adj Summary'!L40</f>
        <v>0</v>
      </c>
      <c r="I41" s="98">
        <f t="shared" si="11"/>
        <v>0</v>
      </c>
      <c r="J41" s="98"/>
      <c r="K41" s="98">
        <f t="shared" si="12"/>
        <v>0</v>
      </c>
    </row>
    <row r="42" spans="1:11" ht="17.100000000000001" customHeight="1">
      <c r="A42" s="6">
        <f t="shared" si="0"/>
        <v>29</v>
      </c>
      <c r="B42" s="7" t="s">
        <v>52</v>
      </c>
      <c r="C42" s="10">
        <v>243915571.73922399</v>
      </c>
      <c r="D42" s="10">
        <v>-151165495.71832129</v>
      </c>
      <c r="E42" s="17">
        <f t="shared" si="9"/>
        <v>92750076.020902693</v>
      </c>
      <c r="F42" s="99">
        <f>'SEF-3 p5 Remove Non-ERF'!C43</f>
        <v>51250996.526420698</v>
      </c>
      <c r="G42" s="110">
        <f t="shared" si="10"/>
        <v>41499079.494481996</v>
      </c>
      <c r="H42" s="103">
        <f>+'SEF-3 p6 ERF Adj Summary'!L41</f>
        <v>-3345718.4384728689</v>
      </c>
      <c r="I42" s="98">
        <f t="shared" si="11"/>
        <v>38153361.056009129</v>
      </c>
      <c r="J42" s="98">
        <f>'SEF-3 p3 ERF Conv Factr'!E17*J19</f>
        <v>1590450.2628799998</v>
      </c>
      <c r="K42" s="98">
        <f t="shared" si="12"/>
        <v>39743811.318889126</v>
      </c>
    </row>
    <row r="43" spans="1:11" ht="17.100000000000001" customHeight="1">
      <c r="A43" s="6">
        <f t="shared" si="0"/>
        <v>30</v>
      </c>
      <c r="B43" s="7" t="s">
        <v>24</v>
      </c>
      <c r="C43" s="10">
        <v>52535707.060000002</v>
      </c>
      <c r="D43" s="10">
        <v>4099577.7219882095</v>
      </c>
      <c r="E43" s="17">
        <f t="shared" si="9"/>
        <v>56635284.781988211</v>
      </c>
      <c r="F43" s="99">
        <f>'SEF-3 p5 Remove Non-ERF'!C44</f>
        <v>45623078.455857113</v>
      </c>
      <c r="G43" s="17">
        <f t="shared" si="10"/>
        <v>11012206.326131098</v>
      </c>
      <c r="H43" s="103">
        <f>+'SEF-3 p6 ERF Adj Summary'!L42</f>
        <v>-46783679.336880691</v>
      </c>
      <c r="I43" s="98">
        <f t="shared" si="11"/>
        <v>-35771473.010749593</v>
      </c>
      <c r="J43" s="98">
        <f>J19*'SEF-3 p3 ERF Conv Factr'!E22</f>
        <v>8271384.3123200005</v>
      </c>
      <c r="K43" s="98">
        <f t="shared" si="12"/>
        <v>-27500088.698429592</v>
      </c>
    </row>
    <row r="44" spans="1:11" ht="17.100000000000001" customHeight="1">
      <c r="A44" s="6">
        <f t="shared" si="0"/>
        <v>31</v>
      </c>
      <c r="B44" s="5" t="s">
        <v>25</v>
      </c>
      <c r="C44" s="10">
        <v>112685940.827847</v>
      </c>
      <c r="D44" s="10">
        <v>-48515127.182766728</v>
      </c>
      <c r="E44" s="17">
        <f t="shared" si="9"/>
        <v>64170813.645080276</v>
      </c>
      <c r="F44" s="99">
        <f>'SEF-3 p5 Remove Non-ERF'!C45</f>
        <v>0</v>
      </c>
      <c r="G44" s="110">
        <f t="shared" si="10"/>
        <v>64170813.645080276</v>
      </c>
      <c r="H44" s="100">
        <f>+'SEF-3 p6 ERF Adj Summary'!L43</f>
        <v>0</v>
      </c>
      <c r="I44" s="98">
        <f t="shared" si="11"/>
        <v>64170813.645080276</v>
      </c>
      <c r="J44" s="98"/>
      <c r="K44" s="98">
        <f t="shared" si="12"/>
        <v>64170813.645080276</v>
      </c>
    </row>
    <row r="45" spans="1:11" ht="17.100000000000001" customHeight="1">
      <c r="A45" s="6">
        <f t="shared" si="0"/>
        <v>32</v>
      </c>
      <c r="B45" s="7" t="s">
        <v>26</v>
      </c>
      <c r="C45" s="107">
        <f t="shared" ref="C45:E45" si="13">SUM(C28:C44)</f>
        <v>1981362962.3186104</v>
      </c>
      <c r="D45" s="107">
        <f t="shared" si="13"/>
        <v>-168874926.19683203</v>
      </c>
      <c r="E45" s="107">
        <f t="shared" si="13"/>
        <v>1812488036.1217785</v>
      </c>
      <c r="F45" s="108">
        <f>SUM(F28:F44)</f>
        <v>1202979855.6837211</v>
      </c>
      <c r="G45" s="108">
        <f>SUM(G28:G44)</f>
        <v>609508180.4380573</v>
      </c>
      <c r="H45" s="108">
        <f t="shared" ref="H45:I45" si="14">SUM(H28:H44)</f>
        <v>-31685807.01026918</v>
      </c>
      <c r="I45" s="108">
        <f t="shared" si="14"/>
        <v>577822373.42778814</v>
      </c>
      <c r="J45" s="108">
        <f t="shared" ref="J45:K45" si="15">SUM(J28:J44)</f>
        <v>10270569.82192</v>
      </c>
      <c r="K45" s="108">
        <f t="shared" si="15"/>
        <v>588092943.24970806</v>
      </c>
    </row>
    <row r="46" spans="1:11" ht="17.100000000000001" customHeight="1">
      <c r="A46" s="6">
        <f t="shared" si="0"/>
        <v>33</v>
      </c>
      <c r="B46" s="5"/>
      <c r="C46" s="3"/>
      <c r="D46" s="3"/>
      <c r="E46" s="3"/>
      <c r="F46" s="35"/>
      <c r="G46" s="35"/>
      <c r="H46" s="89"/>
      <c r="I46" s="89"/>
      <c r="J46" s="89"/>
      <c r="K46" s="89"/>
    </row>
    <row r="47" spans="1:11" ht="17.100000000000001" customHeight="1">
      <c r="A47" s="6">
        <f t="shared" si="0"/>
        <v>34</v>
      </c>
      <c r="B47" s="5" t="s">
        <v>27</v>
      </c>
      <c r="C47" s="18">
        <f t="shared" ref="C47:F47" si="16">C19-C45</f>
        <v>410526593.45138955</v>
      </c>
      <c r="D47" s="18">
        <f t="shared" si="16"/>
        <v>14137218.722881824</v>
      </c>
      <c r="E47" s="18">
        <f t="shared" si="16"/>
        <v>424663812.17427111</v>
      </c>
      <c r="F47" s="18">
        <f t="shared" si="16"/>
        <v>164820879.06735611</v>
      </c>
      <c r="G47" s="18">
        <f>G19-G45</f>
        <v>259842933.10691547</v>
      </c>
      <c r="H47" s="18">
        <f>H19-H45</f>
        <v>-55376527.124703601</v>
      </c>
      <c r="I47" s="18">
        <f>I19-I45</f>
        <v>204466405.98221195</v>
      </c>
      <c r="J47" s="18">
        <f t="shared" ref="J47:K47" si="17">J19-J45</f>
        <v>31116150.17808</v>
      </c>
      <c r="K47" s="18">
        <f t="shared" si="17"/>
        <v>235582556.16029203</v>
      </c>
    </row>
    <row r="48" spans="1:11" ht="17.100000000000001" customHeight="1">
      <c r="A48" s="6">
        <f t="shared" si="0"/>
        <v>35</v>
      </c>
      <c r="B48" s="7"/>
      <c r="C48" s="13"/>
      <c r="D48" s="13"/>
      <c r="E48" s="13"/>
      <c r="F48" s="105"/>
      <c r="G48" s="105"/>
      <c r="H48" s="106"/>
      <c r="I48" s="106"/>
      <c r="J48" s="106"/>
      <c r="K48" s="106"/>
    </row>
    <row r="49" spans="1:17" ht="17.100000000000001" customHeight="1">
      <c r="A49" s="6">
        <f t="shared" si="0"/>
        <v>36</v>
      </c>
      <c r="B49" s="5" t="s">
        <v>28</v>
      </c>
      <c r="C49" s="3">
        <f>C60</f>
        <v>5221534297.9814234</v>
      </c>
      <c r="D49" s="3">
        <f>D60</f>
        <v>0</v>
      </c>
      <c r="E49" s="3">
        <f>SUM(C49:D49)</f>
        <v>5221534297.9814234</v>
      </c>
      <c r="F49" s="105">
        <f>F60</f>
        <v>2069213338.8881664</v>
      </c>
      <c r="G49" s="3">
        <f>G60</f>
        <v>3152320963.093257</v>
      </c>
      <c r="H49" s="91">
        <f>H60</f>
        <v>-7026486.9306534659</v>
      </c>
      <c r="I49" s="91">
        <f>I60</f>
        <v>3145294476.1626039</v>
      </c>
      <c r="J49" s="91">
        <v>0</v>
      </c>
      <c r="K49" s="91">
        <f>SUM(I49:J49)</f>
        <v>3145294476.1626039</v>
      </c>
    </row>
    <row r="50" spans="1:17" ht="17.100000000000001" customHeight="1">
      <c r="A50" s="6">
        <f t="shared" si="0"/>
        <v>37</v>
      </c>
      <c r="B50" s="5"/>
      <c r="C50" s="3"/>
      <c r="D50" s="3"/>
      <c r="E50" s="5"/>
      <c r="F50" s="35"/>
      <c r="G50" s="35"/>
      <c r="H50" s="89"/>
      <c r="I50" s="89"/>
      <c r="J50" s="89"/>
      <c r="K50" s="89"/>
    </row>
    <row r="51" spans="1:17" ht="17.100000000000001" customHeight="1">
      <c r="A51" s="6">
        <f t="shared" si="0"/>
        <v>38</v>
      </c>
      <c r="B51" s="5" t="s">
        <v>29</v>
      </c>
      <c r="C51" s="37">
        <f>C47/C49</f>
        <v>7.8621832209374506E-2</v>
      </c>
      <c r="D51" s="37"/>
      <c r="E51" s="37">
        <f>E47/E49</f>
        <v>8.132931585615373E-2</v>
      </c>
      <c r="F51" s="37">
        <f>F47/F49</f>
        <v>7.9653883903492512E-2</v>
      </c>
      <c r="G51" s="37">
        <f>G47/G49</f>
        <v>8.2429085156335458E-2</v>
      </c>
      <c r="H51" s="104" t="s">
        <v>68</v>
      </c>
      <c r="I51" s="37">
        <f>I47/I49</f>
        <v>6.5007078838503499E-2</v>
      </c>
      <c r="J51" s="37"/>
      <c r="K51" s="37">
        <f>K47/K49</f>
        <v>7.4899999966843489E-2</v>
      </c>
    </row>
    <row r="52" spans="1:17" ht="17.100000000000001" customHeight="1">
      <c r="A52" s="6">
        <f t="shared" si="0"/>
        <v>39</v>
      </c>
      <c r="B52" s="5"/>
      <c r="C52" s="5"/>
      <c r="D52" s="5"/>
      <c r="E52" s="5"/>
      <c r="F52" s="35"/>
      <c r="G52" s="35"/>
      <c r="H52" s="89"/>
      <c r="I52" s="89"/>
      <c r="J52" s="89" t="s">
        <v>30</v>
      </c>
      <c r="K52" s="89"/>
    </row>
    <row r="53" spans="1:17" ht="17.100000000000001" customHeight="1">
      <c r="A53" s="6">
        <f t="shared" si="0"/>
        <v>40</v>
      </c>
      <c r="B53" s="5" t="s">
        <v>2</v>
      </c>
      <c r="C53" s="5"/>
      <c r="D53" s="5"/>
      <c r="E53" s="5"/>
      <c r="F53" s="35"/>
      <c r="G53" s="35"/>
      <c r="H53" s="89"/>
      <c r="I53" s="89"/>
      <c r="J53" s="89" t="s">
        <v>30</v>
      </c>
      <c r="K53" s="89"/>
    </row>
    <row r="54" spans="1:17" ht="17.100000000000001" customHeight="1">
      <c r="A54" s="6">
        <f t="shared" si="0"/>
        <v>41</v>
      </c>
      <c r="B54" s="109" t="s">
        <v>92</v>
      </c>
      <c r="C54" s="3">
        <v>10478154812.746208</v>
      </c>
      <c r="D54" s="3">
        <v>0</v>
      </c>
      <c r="E54" s="3">
        <f t="shared" ref="E54:E59" si="18">+D54+C54</f>
        <v>10478154812.746208</v>
      </c>
      <c r="F54" s="105">
        <f>'SEF-3 p5 Remove Non-ERF'!C55</f>
        <v>4488250673.1929998</v>
      </c>
      <c r="G54" s="3">
        <f>E54-F54</f>
        <v>5989904139.5532084</v>
      </c>
      <c r="H54" s="3">
        <f>+'SEF-3 p6 ERF Adj Summary'!L53</f>
        <v>0</v>
      </c>
      <c r="I54" s="3">
        <f>SUM(G54:H54)</f>
        <v>5989904139.5532084</v>
      </c>
      <c r="J54" s="3"/>
      <c r="K54" s="3">
        <f t="shared" ref="K54:K59" si="19">SUM(I54:J54)</f>
        <v>5989904139.5532084</v>
      </c>
    </row>
    <row r="55" spans="1:17" ht="17.100000000000001" customHeight="1">
      <c r="A55" s="6">
        <f t="shared" si="0"/>
        <v>42</v>
      </c>
      <c r="B55" s="109" t="s">
        <v>63</v>
      </c>
      <c r="C55" s="17">
        <v>-4176283636.9941368</v>
      </c>
      <c r="D55" s="17">
        <v>0</v>
      </c>
      <c r="E55" s="17">
        <f t="shared" si="18"/>
        <v>-4176283636.9941368</v>
      </c>
      <c r="F55" s="17">
        <f>'SEF-3 p5 Remove Non-ERF'!C56</f>
        <v>-2086656323.3878331</v>
      </c>
      <c r="G55" s="17">
        <f t="shared" ref="G55:G59" si="20">E55-F55</f>
        <v>-2089627313.6063037</v>
      </c>
      <c r="H55" s="17">
        <f>+'SEF-3 p6 ERF Adj Summary'!L54</f>
        <v>-8894287.2539917286</v>
      </c>
      <c r="I55" s="17">
        <f t="shared" ref="I55:I59" si="21">SUM(G55:H55)</f>
        <v>-2098521600.8602955</v>
      </c>
      <c r="J55" s="17"/>
      <c r="K55" s="17">
        <f t="shared" si="19"/>
        <v>-2098521600.8602955</v>
      </c>
    </row>
    <row r="56" spans="1:17" ht="17.100000000000001" customHeight="1">
      <c r="A56" s="6">
        <f t="shared" si="0"/>
        <v>43</v>
      </c>
      <c r="B56" s="109" t="s">
        <v>93</v>
      </c>
      <c r="C56" s="17">
        <v>294296997.80000007</v>
      </c>
      <c r="D56" s="17">
        <v>0</v>
      </c>
      <c r="E56" s="17">
        <f t="shared" si="18"/>
        <v>294296997.80000007</v>
      </c>
      <c r="F56" s="17">
        <f>'SEF-3 p5 Remove Non-ERF'!C57</f>
        <v>242432145.01399994</v>
      </c>
      <c r="G56" s="17">
        <f t="shared" si="20"/>
        <v>51864852.786000133</v>
      </c>
      <c r="H56" s="17">
        <f>+'SEF-3 p6 ERF Adj Summary'!L55</f>
        <v>0</v>
      </c>
      <c r="I56" s="17">
        <f t="shared" si="21"/>
        <v>51864852.786000133</v>
      </c>
      <c r="J56" s="17"/>
      <c r="K56" s="17">
        <f t="shared" si="19"/>
        <v>51864852.786000133</v>
      </c>
    </row>
    <row r="57" spans="1:17" ht="17.100000000000001" customHeight="1">
      <c r="A57" s="6">
        <f t="shared" si="0"/>
        <v>44</v>
      </c>
      <c r="B57" s="109" t="s">
        <v>94</v>
      </c>
      <c r="C57" s="17">
        <v>-1444156899.9966838</v>
      </c>
      <c r="D57" s="17">
        <v>0</v>
      </c>
      <c r="E57" s="17">
        <f t="shared" si="18"/>
        <v>-1444156899.9966838</v>
      </c>
      <c r="F57" s="17">
        <f>'SEF-3 p5 Remove Non-ERF'!C58</f>
        <v>-574813159.93100023</v>
      </c>
      <c r="G57" s="17">
        <f t="shared" si="20"/>
        <v>-869343740.0656836</v>
      </c>
      <c r="H57" s="17">
        <f>+'SEF-3 p6 ERF Adj Summary'!L56</f>
        <v>1867800.3233382625</v>
      </c>
      <c r="I57" s="17">
        <f t="shared" si="21"/>
        <v>-867475939.74234533</v>
      </c>
      <c r="J57" s="17"/>
      <c r="K57" s="17">
        <f t="shared" si="19"/>
        <v>-867475939.74234533</v>
      </c>
    </row>
    <row r="58" spans="1:17" ht="17.100000000000001" customHeight="1">
      <c r="A58" s="6">
        <f>+A57+1</f>
        <v>45</v>
      </c>
      <c r="B58" s="109" t="s">
        <v>95</v>
      </c>
      <c r="C58" s="17">
        <v>173252695.94745985</v>
      </c>
      <c r="D58" s="17">
        <v>0</v>
      </c>
      <c r="E58" s="17">
        <f t="shared" si="18"/>
        <v>173252695.94745985</v>
      </c>
      <c r="F58" s="17"/>
      <c r="G58" s="17">
        <f t="shared" si="20"/>
        <v>173252695.94745985</v>
      </c>
      <c r="H58" s="17">
        <f>+'SEF-3 p6 ERF Adj Summary'!L57</f>
        <v>0</v>
      </c>
      <c r="I58" s="17">
        <f t="shared" si="21"/>
        <v>173252695.94745985</v>
      </c>
      <c r="J58" s="17"/>
      <c r="K58" s="17">
        <f t="shared" si="19"/>
        <v>173252695.94745985</v>
      </c>
    </row>
    <row r="59" spans="1:17" ht="17.100000000000001" customHeight="1">
      <c r="A59" s="6">
        <f t="shared" si="0"/>
        <v>46</v>
      </c>
      <c r="B59" s="109" t="s">
        <v>96</v>
      </c>
      <c r="C59" s="17">
        <v>-103729671.521424</v>
      </c>
      <c r="D59" s="17">
        <v>0</v>
      </c>
      <c r="E59" s="17">
        <f t="shared" si="18"/>
        <v>-103729671.521424</v>
      </c>
      <c r="F59" s="17">
        <f>+'SEF-3 p5 Remove Non-ERF'!C59</f>
        <v>0</v>
      </c>
      <c r="G59" s="17">
        <f t="shared" si="20"/>
        <v>-103729671.521424</v>
      </c>
      <c r="H59" s="17">
        <f>+'SEF-3 p6 ERF Adj Summary'!L58</f>
        <v>0</v>
      </c>
      <c r="I59" s="17">
        <f t="shared" si="21"/>
        <v>-103729671.521424</v>
      </c>
      <c r="J59" s="17"/>
      <c r="K59" s="17">
        <f t="shared" si="19"/>
        <v>-103729671.521424</v>
      </c>
    </row>
    <row r="60" spans="1:17" ht="17.100000000000001" customHeight="1" thickBot="1">
      <c r="A60" s="6">
        <f t="shared" si="0"/>
        <v>47</v>
      </c>
      <c r="B60" s="5" t="s">
        <v>56</v>
      </c>
      <c r="C60" s="40">
        <f>SUM(C54:C59)</f>
        <v>5221534297.9814234</v>
      </c>
      <c r="D60" s="40">
        <f>SUM(D54:D59)</f>
        <v>0</v>
      </c>
      <c r="E60" s="40">
        <f>SUM(E54:E59)</f>
        <v>5221534297.9814234</v>
      </c>
      <c r="F60" s="40">
        <f>SUM(F54:F59)+4</f>
        <v>2069213338.8881664</v>
      </c>
      <c r="G60" s="40">
        <f>SUM(G54:G59)</f>
        <v>3152320963.093257</v>
      </c>
      <c r="H60" s="40">
        <f>SUM(H54:H59)</f>
        <v>-7026486.9306534659</v>
      </c>
      <c r="I60" s="40">
        <f>SUM(I54:I59)</f>
        <v>3145294476.1626039</v>
      </c>
      <c r="J60" s="239"/>
      <c r="K60" s="40">
        <f>SUM(K54:K59)</f>
        <v>3145294476.1626039</v>
      </c>
    </row>
    <row r="61" spans="1:17" ht="15.75" thickTop="1">
      <c r="A61" s="39"/>
      <c r="B61" s="39"/>
      <c r="C61" s="39"/>
      <c r="D61" s="39"/>
      <c r="E61" s="39"/>
      <c r="F61" s="64"/>
      <c r="G61" s="64"/>
    </row>
    <row r="62" spans="1:17">
      <c r="A62"/>
      <c r="B62"/>
      <c r="C62"/>
      <c r="D62"/>
      <c r="E62"/>
      <c r="F62"/>
      <c r="G62"/>
      <c r="H62"/>
      <c r="I62"/>
      <c r="J62"/>
      <c r="K62"/>
      <c r="O62"/>
      <c r="P62"/>
      <c r="Q62"/>
    </row>
    <row r="63" spans="1:17">
      <c r="A63"/>
      <c r="B63"/>
      <c r="C63"/>
      <c r="D63"/>
      <c r="E63"/>
      <c r="F63"/>
      <c r="G63"/>
      <c r="H63"/>
      <c r="I63"/>
      <c r="J63"/>
      <c r="K63"/>
      <c r="O63"/>
      <c r="P63"/>
      <c r="Q63"/>
    </row>
    <row r="64" spans="1:17">
      <c r="A64"/>
      <c r="B64"/>
      <c r="C64"/>
      <c r="D64"/>
      <c r="E64"/>
      <c r="F64"/>
      <c r="G64"/>
      <c r="H64"/>
      <c r="I64"/>
      <c r="J64"/>
      <c r="K64"/>
      <c r="O64"/>
      <c r="P64"/>
      <c r="Q64"/>
    </row>
    <row r="65" spans="1:17">
      <c r="A65"/>
      <c r="B65"/>
      <c r="C65"/>
      <c r="D65"/>
      <c r="E65"/>
      <c r="F65"/>
      <c r="G65"/>
      <c r="H65"/>
      <c r="I65"/>
      <c r="J65"/>
      <c r="K65"/>
      <c r="O65"/>
      <c r="P65"/>
      <c r="Q65"/>
    </row>
    <row r="66" spans="1:17">
      <c r="A66"/>
      <c r="B66"/>
      <c r="C66"/>
      <c r="D66"/>
      <c r="E66"/>
      <c r="F66"/>
      <c r="G66"/>
      <c r="H66"/>
      <c r="I66"/>
      <c r="J66"/>
      <c r="K66"/>
      <c r="O66"/>
      <c r="P66"/>
      <c r="Q66"/>
    </row>
    <row r="67" spans="1:17">
      <c r="A67"/>
      <c r="B67"/>
      <c r="C67"/>
      <c r="D67"/>
      <c r="E67"/>
      <c r="F67"/>
      <c r="G67"/>
      <c r="H67"/>
      <c r="I67"/>
      <c r="J67"/>
      <c r="K67"/>
      <c r="O67"/>
      <c r="P67"/>
      <c r="Q67"/>
    </row>
    <row r="68" spans="1:17">
      <c r="A68"/>
      <c r="B68"/>
      <c r="C68"/>
      <c r="D68"/>
      <c r="E68"/>
      <c r="F68"/>
      <c r="G68"/>
      <c r="H68"/>
      <c r="I68"/>
      <c r="J68"/>
      <c r="K68"/>
      <c r="O68"/>
      <c r="P68"/>
      <c r="Q68"/>
    </row>
    <row r="69" spans="1:17">
      <c r="A69"/>
      <c r="B69"/>
      <c r="C69"/>
      <c r="D69"/>
      <c r="E69"/>
      <c r="F69"/>
      <c r="G69"/>
      <c r="H69"/>
      <c r="I69"/>
      <c r="J69"/>
      <c r="K69"/>
      <c r="O69"/>
      <c r="P69"/>
      <c r="Q69"/>
    </row>
    <row r="70" spans="1:17">
      <c r="A70"/>
      <c r="B70"/>
      <c r="C70"/>
      <c r="D70"/>
      <c r="E70"/>
      <c r="F70"/>
      <c r="G70"/>
      <c r="H70"/>
      <c r="I70"/>
      <c r="J70"/>
      <c r="K70"/>
      <c r="O70"/>
      <c r="P70"/>
      <c r="Q70"/>
    </row>
    <row r="71" spans="1:17">
      <c r="A71"/>
      <c r="B71"/>
      <c r="C71"/>
      <c r="D71"/>
      <c r="E71"/>
      <c r="F71"/>
      <c r="G71"/>
      <c r="H71"/>
      <c r="I71"/>
      <c r="J71"/>
      <c r="K71"/>
      <c r="O71"/>
      <c r="P71"/>
      <c r="Q71"/>
    </row>
    <row r="72" spans="1:17">
      <c r="A72"/>
      <c r="B72"/>
      <c r="C72"/>
      <c r="D72"/>
      <c r="E72"/>
      <c r="F72"/>
      <c r="G72"/>
      <c r="H72"/>
      <c r="I72"/>
      <c r="J72"/>
      <c r="K72"/>
      <c r="O72"/>
      <c r="P72"/>
      <c r="Q72"/>
    </row>
    <row r="73" spans="1:17">
      <c r="A73"/>
      <c r="B73"/>
      <c r="C73"/>
      <c r="D73"/>
      <c r="E73"/>
      <c r="F73"/>
      <c r="G73"/>
      <c r="H73"/>
      <c r="I73"/>
      <c r="J73"/>
      <c r="K73"/>
      <c r="O73"/>
      <c r="P73"/>
      <c r="Q73"/>
    </row>
    <row r="74" spans="1:17">
      <c r="A74"/>
      <c r="B74"/>
      <c r="C74"/>
      <c r="D74"/>
      <c r="E74"/>
      <c r="F74"/>
      <c r="G74"/>
      <c r="H74"/>
      <c r="I74"/>
      <c r="J74"/>
      <c r="K74"/>
      <c r="O74"/>
      <c r="P74"/>
      <c r="Q74"/>
    </row>
    <row r="75" spans="1:17">
      <c r="A75"/>
      <c r="B75"/>
      <c r="C75"/>
      <c r="D75"/>
      <c r="E75"/>
      <c r="F75"/>
      <c r="G75"/>
      <c r="H75"/>
      <c r="I75"/>
      <c r="J75"/>
      <c r="K75"/>
      <c r="O75"/>
      <c r="P75"/>
      <c r="Q75"/>
    </row>
    <row r="76" spans="1:17">
      <c r="A76"/>
      <c r="B76"/>
      <c r="C76"/>
      <c r="D76"/>
      <c r="E76"/>
      <c r="F76"/>
      <c r="G76"/>
      <c r="H76"/>
      <c r="I76"/>
      <c r="J76"/>
      <c r="K76"/>
      <c r="O76"/>
      <c r="P76"/>
      <c r="Q76"/>
    </row>
    <row r="77" spans="1:17">
      <c r="A77"/>
      <c r="B77"/>
      <c r="C77"/>
      <c r="D77"/>
      <c r="E77"/>
      <c r="F77"/>
      <c r="G77"/>
      <c r="H77"/>
      <c r="I77"/>
      <c r="J77"/>
      <c r="K77"/>
      <c r="O77"/>
      <c r="P77"/>
      <c r="Q77"/>
    </row>
    <row r="78" spans="1:17">
      <c r="A78"/>
      <c r="B78"/>
      <c r="C78"/>
      <c r="D78"/>
      <c r="E78"/>
      <c r="F78"/>
      <c r="G78"/>
      <c r="H78"/>
      <c r="I78"/>
      <c r="J78"/>
      <c r="K78"/>
      <c r="O78"/>
      <c r="P78"/>
      <c r="Q78"/>
    </row>
    <row r="79" spans="1:17">
      <c r="A79"/>
      <c r="B79"/>
      <c r="C79"/>
      <c r="D79"/>
      <c r="E79"/>
      <c r="F79"/>
      <c r="G79"/>
      <c r="H79"/>
      <c r="I79"/>
      <c r="J79"/>
      <c r="K79"/>
      <c r="O79"/>
      <c r="P79"/>
      <c r="Q79"/>
    </row>
    <row r="80" spans="1:17">
      <c r="A80"/>
      <c r="B80"/>
      <c r="C80"/>
      <c r="D80"/>
      <c r="E80"/>
      <c r="F80"/>
      <c r="G80"/>
      <c r="H80"/>
      <c r="I80"/>
      <c r="J80"/>
      <c r="K80"/>
      <c r="O80"/>
      <c r="P80"/>
      <c r="Q80"/>
    </row>
    <row r="81" spans="1:17">
      <c r="A81"/>
      <c r="B81"/>
      <c r="C81"/>
      <c r="D81"/>
      <c r="E81"/>
      <c r="F81"/>
      <c r="G81"/>
      <c r="H81"/>
      <c r="I81"/>
      <c r="J81"/>
      <c r="K81"/>
      <c r="O81"/>
      <c r="P81"/>
      <c r="Q81"/>
    </row>
    <row r="82" spans="1:17">
      <c r="A82"/>
      <c r="B82"/>
      <c r="C82"/>
      <c r="D82"/>
      <c r="E82"/>
      <c r="F82"/>
      <c r="G82"/>
      <c r="H82"/>
      <c r="I82"/>
      <c r="J82"/>
      <c r="K82"/>
      <c r="O82"/>
      <c r="P82"/>
      <c r="Q82"/>
    </row>
    <row r="83" spans="1:17">
      <c r="A83"/>
      <c r="B83"/>
      <c r="C83"/>
      <c r="D83"/>
      <c r="E83"/>
      <c r="F83"/>
      <c r="G83"/>
      <c r="H83"/>
      <c r="I83"/>
      <c r="J83"/>
      <c r="K83"/>
      <c r="O83"/>
      <c r="P83"/>
      <c r="Q83"/>
    </row>
    <row r="84" spans="1:17">
      <c r="A84"/>
      <c r="B84"/>
      <c r="C84"/>
      <c r="D84"/>
      <c r="E84"/>
      <c r="F84"/>
      <c r="G84"/>
      <c r="H84"/>
      <c r="I84"/>
      <c r="J84"/>
      <c r="K84"/>
      <c r="O84"/>
      <c r="P84"/>
      <c r="Q84"/>
    </row>
    <row r="85" spans="1:17">
      <c r="A85"/>
      <c r="B85"/>
      <c r="C85"/>
      <c r="D85"/>
      <c r="E85"/>
      <c r="F85"/>
      <c r="G85"/>
      <c r="H85"/>
      <c r="I85"/>
      <c r="J85"/>
      <c r="K85"/>
      <c r="O85"/>
      <c r="P85"/>
      <c r="Q85"/>
    </row>
    <row r="86" spans="1:17">
      <c r="A86"/>
      <c r="B86"/>
      <c r="C86"/>
      <c r="D86"/>
      <c r="E86"/>
      <c r="F86"/>
      <c r="G86"/>
      <c r="H86"/>
      <c r="I86"/>
      <c r="J86"/>
      <c r="K86"/>
      <c r="O86"/>
      <c r="P86"/>
      <c r="Q86"/>
    </row>
    <row r="87" spans="1:17">
      <c r="A87"/>
      <c r="B87"/>
      <c r="C87"/>
      <c r="D87"/>
      <c r="E87"/>
      <c r="F87"/>
      <c r="G87"/>
      <c r="H87"/>
      <c r="I87"/>
      <c r="J87"/>
      <c r="K87"/>
      <c r="O87"/>
      <c r="P87"/>
      <c r="Q87"/>
    </row>
    <row r="88" spans="1:17">
      <c r="A88"/>
      <c r="B88"/>
      <c r="C88"/>
      <c r="D88"/>
      <c r="E88"/>
      <c r="F88"/>
      <c r="G88"/>
      <c r="H88"/>
      <c r="I88"/>
      <c r="J88"/>
      <c r="K88"/>
      <c r="O88"/>
      <c r="P88"/>
      <c r="Q88"/>
    </row>
    <row r="89" spans="1:17">
      <c r="A89"/>
      <c r="B89"/>
      <c r="C89"/>
      <c r="D89"/>
      <c r="E89"/>
      <c r="F89"/>
      <c r="G89"/>
      <c r="H89"/>
      <c r="I89"/>
      <c r="J89"/>
      <c r="K89"/>
      <c r="O89"/>
      <c r="P89"/>
      <c r="Q89"/>
    </row>
    <row r="90" spans="1:17">
      <c r="A90"/>
      <c r="B90"/>
      <c r="C90"/>
      <c r="D90"/>
      <c r="E90"/>
      <c r="F90"/>
      <c r="G90"/>
      <c r="H90"/>
      <c r="I90"/>
      <c r="J90"/>
      <c r="K90"/>
      <c r="O90"/>
      <c r="P90"/>
      <c r="Q90"/>
    </row>
    <row r="91" spans="1:17">
      <c r="A91"/>
      <c r="B91"/>
      <c r="C91"/>
      <c r="D91"/>
      <c r="E91"/>
      <c r="F91"/>
      <c r="G91"/>
      <c r="H91"/>
      <c r="I91"/>
      <c r="J91"/>
      <c r="K91"/>
      <c r="O91"/>
      <c r="P91"/>
      <c r="Q91"/>
    </row>
  </sheetData>
  <mergeCells count="5">
    <mergeCell ref="C8:G8"/>
    <mergeCell ref="C9:E9"/>
    <mergeCell ref="F9:G9"/>
    <mergeCell ref="J5:K5"/>
    <mergeCell ref="D5:H5"/>
  </mergeCells>
  <pageMargins left="0.7" right="0.45" top="0.5" bottom="0.7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2" zoomScaleNormal="100" workbookViewId="0">
      <selection activeCell="C2" sqref="C2:C3"/>
    </sheetView>
  </sheetViews>
  <sheetFormatPr defaultColWidth="9.28515625" defaultRowHeight="15"/>
  <cols>
    <col min="1" max="1" width="6" style="216" bestFit="1" customWidth="1"/>
    <col min="2" max="2" width="57.42578125" style="216" customWidth="1"/>
    <col min="3" max="3" width="29.28515625" style="216" customWidth="1"/>
    <col min="4" max="4" width="15.7109375" style="216" bestFit="1" customWidth="1"/>
    <col min="5" max="5" width="11.28515625" bestFit="1" customWidth="1"/>
    <col min="6" max="6" width="15.7109375" style="65" bestFit="1" customWidth="1"/>
    <col min="7" max="16384" width="9.28515625" style="65"/>
  </cols>
  <sheetData>
    <row r="1" spans="1:5">
      <c r="B1" s="11"/>
      <c r="C1" s="11"/>
    </row>
    <row r="2" spans="1:5" ht="15.75">
      <c r="B2" s="11"/>
      <c r="C2" s="324" t="str">
        <f>k_ExhNo</f>
        <v>Exh. SEF-3</v>
      </c>
      <c r="E2" s="78"/>
    </row>
    <row r="3" spans="1:5" ht="15.75">
      <c r="B3" s="11"/>
      <c r="C3" s="324" t="s">
        <v>249</v>
      </c>
      <c r="E3" s="78"/>
    </row>
    <row r="4" spans="1:5" ht="15.75" thickBot="1">
      <c r="B4" s="11"/>
      <c r="C4" s="11"/>
      <c r="E4" s="78"/>
    </row>
    <row r="5" spans="1:5" ht="21.75" customHeight="1" thickBot="1">
      <c r="B5" s="11"/>
      <c r="C5" s="303" t="s">
        <v>225</v>
      </c>
      <c r="D5" s="78"/>
    </row>
    <row r="6" spans="1:5" ht="10.5" customHeight="1">
      <c r="B6" s="11"/>
      <c r="C6" s="304"/>
      <c r="D6" s="78"/>
      <c r="E6" s="78"/>
    </row>
    <row r="7" spans="1:5">
      <c r="A7" s="11" t="s">
        <v>57</v>
      </c>
      <c r="B7" s="11"/>
      <c r="C7" s="11"/>
    </row>
    <row r="8" spans="1:5">
      <c r="A8" s="181" t="s">
        <v>224</v>
      </c>
      <c r="B8" s="181"/>
      <c r="C8" s="181"/>
    </row>
    <row r="9" spans="1:5">
      <c r="A9" s="11"/>
      <c r="B9" s="11" t="s">
        <v>135</v>
      </c>
      <c r="C9" s="20"/>
    </row>
    <row r="10" spans="1:5">
      <c r="A10" s="28"/>
      <c r="B10" s="28"/>
      <c r="C10" s="215"/>
    </row>
    <row r="11" spans="1:5">
      <c r="A11" s="293"/>
      <c r="B11" s="293"/>
      <c r="C11" s="214"/>
    </row>
    <row r="12" spans="1:5">
      <c r="A12" s="294" t="s">
        <v>32</v>
      </c>
      <c r="B12" s="297"/>
      <c r="C12" s="213" t="s">
        <v>64</v>
      </c>
    </row>
    <row r="13" spans="1:5">
      <c r="A13" s="212" t="s">
        <v>34</v>
      </c>
      <c r="B13" s="298"/>
      <c r="C13" s="212" t="s">
        <v>62</v>
      </c>
    </row>
    <row r="14" spans="1:5">
      <c r="A14" s="210"/>
      <c r="B14" s="287"/>
      <c r="C14" s="211"/>
    </row>
    <row r="15" spans="1:5">
      <c r="A15" s="295">
        <v>1</v>
      </c>
      <c r="B15" s="288" t="s">
        <v>4</v>
      </c>
      <c r="C15" s="210"/>
    </row>
    <row r="16" spans="1:5">
      <c r="A16" s="295">
        <f t="shared" ref="A16:A60" si="0">+A15+1</f>
        <v>2</v>
      </c>
      <c r="B16" s="289" t="s">
        <v>5</v>
      </c>
      <c r="C16" s="308">
        <v>1234742451.7010772</v>
      </c>
      <c r="D16" s="217"/>
    </row>
    <row r="17" spans="1:6">
      <c r="A17" s="295">
        <f t="shared" si="0"/>
        <v>3</v>
      </c>
      <c r="B17" s="289" t="s">
        <v>6</v>
      </c>
      <c r="C17" s="203">
        <v>0</v>
      </c>
      <c r="D17" s="217"/>
    </row>
    <row r="18" spans="1:6">
      <c r="A18" s="295">
        <f t="shared" si="0"/>
        <v>4</v>
      </c>
      <c r="B18" s="289" t="s">
        <v>7</v>
      </c>
      <c r="C18" s="202">
        <v>119913342.73999999</v>
      </c>
      <c r="D18" s="217"/>
    </row>
    <row r="19" spans="1:6">
      <c r="A19" s="295">
        <f t="shared" si="0"/>
        <v>5</v>
      </c>
      <c r="B19" s="289" t="s">
        <v>8</v>
      </c>
      <c r="C19" s="201">
        <v>13144940.310000002</v>
      </c>
      <c r="D19" s="217"/>
    </row>
    <row r="20" spans="1:6">
      <c r="A20" s="295">
        <f t="shared" si="0"/>
        <v>6</v>
      </c>
      <c r="B20" s="289" t="s">
        <v>9</v>
      </c>
      <c r="C20" s="202">
        <f>SUM(C16:C19)</f>
        <v>1367800734.7510772</v>
      </c>
      <c r="D20" s="217"/>
    </row>
    <row r="21" spans="1:6">
      <c r="A21" s="295">
        <f t="shared" si="0"/>
        <v>7</v>
      </c>
      <c r="B21" s="287"/>
      <c r="C21" s="202"/>
      <c r="D21" s="217"/>
    </row>
    <row r="22" spans="1:6">
      <c r="A22" s="295">
        <f t="shared" si="0"/>
        <v>8</v>
      </c>
      <c r="B22" s="289" t="s">
        <v>10</v>
      </c>
      <c r="C22" s="202"/>
      <c r="D22" s="217"/>
    </row>
    <row r="23" spans="1:6">
      <c r="A23" s="295">
        <f t="shared" si="0"/>
        <v>9</v>
      </c>
      <c r="B23" s="287"/>
      <c r="C23" s="202"/>
      <c r="D23" s="217"/>
    </row>
    <row r="24" spans="1:6">
      <c r="A24" s="295">
        <f t="shared" si="0"/>
        <v>10</v>
      </c>
      <c r="B24" s="288" t="s">
        <v>11</v>
      </c>
      <c r="C24" s="202"/>
      <c r="D24" s="217"/>
    </row>
    <row r="25" spans="1:6">
      <c r="A25" s="295">
        <f t="shared" si="0"/>
        <v>11</v>
      </c>
      <c r="B25" s="289" t="s">
        <v>46</v>
      </c>
      <c r="C25" s="202">
        <v>197388367.60000002</v>
      </c>
      <c r="D25" s="217"/>
    </row>
    <row r="26" spans="1:6">
      <c r="A26" s="295">
        <f t="shared" si="0"/>
        <v>12</v>
      </c>
      <c r="B26" s="289" t="s">
        <v>0</v>
      </c>
      <c r="C26" s="202">
        <v>480851490.98999995</v>
      </c>
      <c r="D26" s="217"/>
    </row>
    <row r="27" spans="1:6">
      <c r="A27" s="295">
        <f t="shared" si="0"/>
        <v>13</v>
      </c>
      <c r="B27" s="289" t="s">
        <v>49</v>
      </c>
      <c r="C27" s="202">
        <v>117308227.88</v>
      </c>
      <c r="D27" s="217"/>
    </row>
    <row r="28" spans="1:6">
      <c r="A28" s="295">
        <f t="shared" si="0"/>
        <v>14</v>
      </c>
      <c r="B28" s="287" t="s">
        <v>15</v>
      </c>
      <c r="C28" s="203">
        <v>0</v>
      </c>
      <c r="D28" s="217"/>
    </row>
    <row r="29" spans="1:6">
      <c r="A29" s="295">
        <f t="shared" si="0"/>
        <v>15</v>
      </c>
      <c r="B29" s="289" t="s">
        <v>16</v>
      </c>
      <c r="C29" s="209">
        <f>SUM(C25:C28)</f>
        <v>795548086.46999991</v>
      </c>
      <c r="D29" s="217"/>
      <c r="E29" s="235"/>
      <c r="F29" s="237"/>
    </row>
    <row r="30" spans="1:6">
      <c r="A30" s="295">
        <f t="shared" si="0"/>
        <v>16</v>
      </c>
      <c r="B30" s="289"/>
      <c r="C30" s="202"/>
      <c r="D30" s="217"/>
      <c r="E30" s="235"/>
      <c r="F30" s="237"/>
    </row>
    <row r="31" spans="1:6">
      <c r="A31" s="295">
        <f t="shared" si="0"/>
        <v>17</v>
      </c>
      <c r="B31" s="289" t="s">
        <v>1</v>
      </c>
      <c r="C31" s="202">
        <v>126777937.98999999</v>
      </c>
      <c r="D31" s="217"/>
      <c r="E31" s="235"/>
      <c r="F31" s="237"/>
    </row>
    <row r="32" spans="1:6">
      <c r="A32" s="295">
        <f t="shared" si="0"/>
        <v>18</v>
      </c>
      <c r="B32" s="289" t="s">
        <v>17</v>
      </c>
      <c r="C32" s="202">
        <v>727391.64000000013</v>
      </c>
      <c r="D32" s="217"/>
    </row>
    <row r="33" spans="1:6">
      <c r="A33" s="295">
        <f t="shared" si="0"/>
        <v>19</v>
      </c>
      <c r="B33" s="289" t="s">
        <v>18</v>
      </c>
      <c r="C33" s="203">
        <v>0</v>
      </c>
      <c r="D33" s="217"/>
    </row>
    <row r="34" spans="1:6">
      <c r="A34" s="295">
        <f t="shared" si="0"/>
        <v>20</v>
      </c>
      <c r="B34" s="289" t="s">
        <v>3</v>
      </c>
      <c r="C34" s="202">
        <v>9724831.5495976843</v>
      </c>
      <c r="D34" s="217"/>
    </row>
    <row r="35" spans="1:6">
      <c r="A35" s="295">
        <f t="shared" si="0"/>
        <v>21</v>
      </c>
      <c r="B35" s="289" t="s">
        <v>20</v>
      </c>
      <c r="C35" s="203">
        <v>0</v>
      </c>
      <c r="D35" s="217"/>
    </row>
    <row r="36" spans="1:6">
      <c r="A36" s="295">
        <f t="shared" si="0"/>
        <v>22</v>
      </c>
      <c r="B36" s="289" t="s">
        <v>21</v>
      </c>
      <c r="C36" s="203">
        <v>0</v>
      </c>
      <c r="D36" s="217"/>
    </row>
    <row r="37" spans="1:6">
      <c r="A37" s="295">
        <f t="shared" si="0"/>
        <v>23</v>
      </c>
      <c r="B37" s="289" t="s">
        <v>22</v>
      </c>
      <c r="C37" s="202">
        <v>12391543.363359809</v>
      </c>
      <c r="D37" s="217"/>
    </row>
    <row r="38" spans="1:6">
      <c r="A38" s="295">
        <f t="shared" si="0"/>
        <v>24</v>
      </c>
      <c r="B38" s="289" t="s">
        <v>59</v>
      </c>
      <c r="C38" s="202">
        <v>129560953.964486</v>
      </c>
      <c r="D38" s="217"/>
    </row>
    <row r="39" spans="1:6">
      <c r="A39" s="295">
        <f t="shared" si="0"/>
        <v>25</v>
      </c>
      <c r="B39" s="289" t="s">
        <v>41</v>
      </c>
      <c r="C39" s="202">
        <v>15994603.294000002</v>
      </c>
      <c r="D39" s="217"/>
      <c r="E39" s="236"/>
    </row>
    <row r="40" spans="1:6">
      <c r="A40" s="295">
        <f t="shared" si="0"/>
        <v>26</v>
      </c>
      <c r="B40" s="290" t="s">
        <v>58</v>
      </c>
      <c r="C40" s="202">
        <v>6315271.4299999997</v>
      </c>
      <c r="D40" s="217"/>
      <c r="F40" s="238"/>
    </row>
    <row r="41" spans="1:6">
      <c r="A41" s="295">
        <f t="shared" si="0"/>
        <v>27</v>
      </c>
      <c r="B41" s="289" t="s">
        <v>23</v>
      </c>
      <c r="C41" s="202">
        <v>9065161</v>
      </c>
      <c r="D41" s="217"/>
    </row>
    <row r="42" spans="1:6">
      <c r="A42" s="295">
        <f t="shared" si="0"/>
        <v>28</v>
      </c>
      <c r="B42" s="289" t="s">
        <v>60</v>
      </c>
      <c r="C42" s="203">
        <v>0</v>
      </c>
      <c r="D42" s="217"/>
    </row>
    <row r="43" spans="1:6">
      <c r="A43" s="295">
        <f t="shared" si="0"/>
        <v>29</v>
      </c>
      <c r="B43" s="289" t="s">
        <v>52</v>
      </c>
      <c r="C43" s="202">
        <v>51250996.526420698</v>
      </c>
      <c r="D43" s="217"/>
    </row>
    <row r="44" spans="1:6">
      <c r="A44" s="295">
        <f t="shared" si="0"/>
        <v>30</v>
      </c>
      <c r="B44" s="289" t="s">
        <v>24</v>
      </c>
      <c r="C44" s="202">
        <v>45623078.455857113</v>
      </c>
      <c r="D44" s="217"/>
    </row>
    <row r="45" spans="1:6">
      <c r="A45" s="295">
        <f t="shared" si="0"/>
        <v>31</v>
      </c>
      <c r="B45" s="287" t="s">
        <v>25</v>
      </c>
      <c r="C45" s="203">
        <v>0</v>
      </c>
      <c r="D45" s="217"/>
    </row>
    <row r="46" spans="1:6">
      <c r="A46" s="295">
        <f t="shared" si="0"/>
        <v>32</v>
      </c>
      <c r="B46" s="289" t="s">
        <v>26</v>
      </c>
      <c r="C46" s="208">
        <f>SUM(C29:C45)</f>
        <v>1202979855.6837211</v>
      </c>
      <c r="D46" s="217"/>
    </row>
    <row r="47" spans="1:6">
      <c r="A47" s="295">
        <f t="shared" si="0"/>
        <v>33</v>
      </c>
      <c r="B47" s="287"/>
      <c r="C47" s="202"/>
      <c r="D47" s="217"/>
    </row>
    <row r="48" spans="1:6">
      <c r="A48" s="295">
        <f t="shared" si="0"/>
        <v>34</v>
      </c>
      <c r="B48" s="287" t="s">
        <v>27</v>
      </c>
      <c r="C48" s="207">
        <f>C20-C46</f>
        <v>164820879.06735611</v>
      </c>
      <c r="D48" s="217"/>
    </row>
    <row r="49" spans="1:4">
      <c r="A49" s="295">
        <f t="shared" si="0"/>
        <v>35</v>
      </c>
      <c r="B49" s="289"/>
      <c r="C49" s="206"/>
      <c r="D49" s="217"/>
    </row>
    <row r="50" spans="1:4">
      <c r="A50" s="295">
        <f t="shared" si="0"/>
        <v>36</v>
      </c>
      <c r="B50" s="287" t="s">
        <v>28</v>
      </c>
      <c r="C50" s="205">
        <f>C60</f>
        <v>2069213338.8881664</v>
      </c>
      <c r="D50" s="217"/>
    </row>
    <row r="51" spans="1:4">
      <c r="A51" s="295">
        <f t="shared" si="0"/>
        <v>37</v>
      </c>
      <c r="B51" s="287"/>
      <c r="C51" s="202"/>
      <c r="D51" s="217"/>
    </row>
    <row r="52" spans="1:4">
      <c r="A52" s="295">
        <f t="shared" si="0"/>
        <v>38</v>
      </c>
      <c r="B52" s="287" t="s">
        <v>29</v>
      </c>
      <c r="C52" s="204">
        <f>C48/C50</f>
        <v>7.9653883903492512E-2</v>
      </c>
      <c r="D52" s="217"/>
    </row>
    <row r="53" spans="1:4">
      <c r="A53" s="295">
        <f t="shared" si="0"/>
        <v>39</v>
      </c>
      <c r="B53" s="287"/>
      <c r="C53" s="202"/>
      <c r="D53" s="217"/>
    </row>
    <row r="54" spans="1:4">
      <c r="A54" s="295">
        <f t="shared" si="0"/>
        <v>40</v>
      </c>
      <c r="B54" s="287" t="s">
        <v>2</v>
      </c>
      <c r="C54" s="202"/>
      <c r="D54" s="217"/>
    </row>
    <row r="55" spans="1:4">
      <c r="A55" s="295">
        <f t="shared" si="0"/>
        <v>41</v>
      </c>
      <c r="B55" s="291" t="s">
        <v>143</v>
      </c>
      <c r="C55" s="203">
        <v>4488250673.1929998</v>
      </c>
      <c r="D55" s="217"/>
    </row>
    <row r="56" spans="1:4">
      <c r="A56" s="295">
        <f t="shared" si="0"/>
        <v>42</v>
      </c>
      <c r="B56" s="291" t="s">
        <v>63</v>
      </c>
      <c r="C56" s="202">
        <v>-2086656323.3878331</v>
      </c>
      <c r="D56" s="217"/>
    </row>
    <row r="57" spans="1:4">
      <c r="A57" s="295">
        <f t="shared" si="0"/>
        <v>43</v>
      </c>
      <c r="B57" s="287" t="s">
        <v>142</v>
      </c>
      <c r="C57" s="202">
        <v>242432145.01399994</v>
      </c>
      <c r="D57" s="217"/>
    </row>
    <row r="58" spans="1:4">
      <c r="A58" s="295">
        <f t="shared" si="0"/>
        <v>44</v>
      </c>
      <c r="B58" s="287" t="s">
        <v>53</v>
      </c>
      <c r="C58" s="202">
        <v>-574813159.93100023</v>
      </c>
      <c r="D58" s="217"/>
    </row>
    <row r="59" spans="1:4">
      <c r="A59" s="295">
        <f t="shared" si="0"/>
        <v>45</v>
      </c>
      <c r="B59" s="287" t="s">
        <v>54</v>
      </c>
      <c r="C59" s="203">
        <v>0</v>
      </c>
      <c r="D59" s="217"/>
    </row>
    <row r="60" spans="1:4" ht="15.75" thickBot="1">
      <c r="A60" s="296">
        <f t="shared" si="0"/>
        <v>46</v>
      </c>
      <c r="B60" s="292" t="s">
        <v>56</v>
      </c>
      <c r="C60" s="309">
        <f>SUM(C55:C59)+4</f>
        <v>2069213338.8881664</v>
      </c>
      <c r="D60" s="217"/>
    </row>
    <row r="61" spans="1:4" ht="15.75" thickTop="1">
      <c r="A61" s="39"/>
      <c r="B61" s="5"/>
      <c r="C61" s="41"/>
    </row>
  </sheetData>
  <conditionalFormatting sqref="C61">
    <cfRule type="cellIs" dxfId="1" priority="1" stopIfTrue="1" operator="equal">
      <formula>"OK"</formula>
    </cfRule>
    <cfRule type="cellIs" dxfId="0" priority="2" stopIfTrue="1" operator="equal">
      <formula>"ERROR"</formula>
    </cfRule>
  </conditionalFormatting>
  <printOptions horizontalCentered="1"/>
  <pageMargins left="0.95" right="0.45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8"/>
  <sheetViews>
    <sheetView zoomScaleNormal="100" workbookViewId="0">
      <pane xSplit="3" ySplit="12" topLeftCell="G13" activePane="bottomRight" state="frozen"/>
      <selection pane="topRight" activeCell="D1" sqref="D1"/>
      <selection pane="bottomLeft" activeCell="A13" sqref="A13"/>
      <selection pane="bottomRight" activeCell="M1" sqref="M1:M2"/>
    </sheetView>
  </sheetViews>
  <sheetFormatPr defaultColWidth="10.7109375" defaultRowHeight="12.75"/>
  <cols>
    <col min="1" max="1" width="6" style="27" customWidth="1"/>
    <col min="2" max="2" width="44.5703125" style="5" customWidth="1"/>
    <col min="3" max="3" width="0.7109375" style="5" customWidth="1"/>
    <col min="4" max="4" width="21.42578125" style="5" customWidth="1"/>
    <col min="5" max="5" width="22.7109375" style="5" customWidth="1"/>
    <col min="6" max="6" width="20" style="5" customWidth="1"/>
    <col min="7" max="7" width="18.7109375" style="5" bestFit="1" customWidth="1"/>
    <col min="8" max="8" width="24" style="5" customWidth="1"/>
    <col min="9" max="9" width="22" style="5" customWidth="1"/>
    <col min="10" max="10" width="25.42578125" style="5" bestFit="1" customWidth="1"/>
    <col min="11" max="11" width="22" style="5" customWidth="1"/>
    <col min="12" max="12" width="20.7109375" style="5" customWidth="1"/>
    <col min="13" max="13" width="19.140625" style="5" bestFit="1" customWidth="1"/>
    <col min="14" max="14" width="2.85546875" style="5" customWidth="1"/>
    <col min="15" max="15" width="23.140625" style="47" customWidth="1"/>
    <col min="16" max="16" width="15.7109375" style="47" customWidth="1"/>
    <col min="17" max="17" width="10.7109375" style="47"/>
    <col min="18" max="18" width="15.42578125" style="47" bestFit="1" customWidth="1"/>
    <col min="19" max="16384" width="10.7109375" style="5"/>
  </cols>
  <sheetData>
    <row r="1" spans="1:29" s="224" customFormat="1" ht="15.75">
      <c r="A1" s="27"/>
      <c r="M1" s="324" t="str">
        <f>k_ExhNo</f>
        <v>Exh. SEF-3</v>
      </c>
      <c r="O1" s="47"/>
      <c r="P1" s="47"/>
      <c r="Q1" s="47"/>
      <c r="R1" s="47"/>
    </row>
    <row r="2" spans="1:29" s="224" customFormat="1" ht="15.75">
      <c r="A2" s="27"/>
      <c r="M2" s="324" t="s">
        <v>250</v>
      </c>
      <c r="O2" s="47"/>
      <c r="P2" s="47"/>
      <c r="Q2" s="47"/>
      <c r="R2" s="47"/>
    </row>
    <row r="3" spans="1:29" s="224" customFormat="1" ht="13.5" thickBot="1">
      <c r="A3" s="27"/>
      <c r="O3" s="47"/>
      <c r="P3" s="47"/>
      <c r="Q3" s="47"/>
      <c r="R3" s="47"/>
    </row>
    <row r="4" spans="1:29" ht="13.5" thickBot="1">
      <c r="A4" s="28"/>
      <c r="H4" s="1"/>
      <c r="L4" s="82"/>
      <c r="M4" s="310" t="s">
        <v>227</v>
      </c>
    </row>
    <row r="5" spans="1:29" ht="15" customHeight="1">
      <c r="A5" s="11" t="s">
        <v>57</v>
      </c>
      <c r="B5" s="219"/>
      <c r="C5" s="219"/>
      <c r="D5" s="219"/>
      <c r="E5" s="219"/>
      <c r="F5" s="219"/>
      <c r="G5" s="219"/>
      <c r="H5" s="11"/>
      <c r="I5" s="219"/>
      <c r="J5" s="219"/>
      <c r="K5" s="219"/>
      <c r="L5" s="219"/>
      <c r="M5" s="219"/>
    </row>
    <row r="6" spans="1:29" s="312" customFormat="1" ht="15" customHeight="1">
      <c r="A6" s="181" t="s">
        <v>226</v>
      </c>
      <c r="B6" s="311"/>
      <c r="C6" s="311"/>
      <c r="D6" s="311"/>
      <c r="E6" s="311"/>
      <c r="F6" s="311"/>
      <c r="G6" s="311"/>
      <c r="H6" s="181"/>
      <c r="I6" s="311"/>
      <c r="J6" s="311"/>
      <c r="K6" s="311"/>
      <c r="L6" s="311"/>
      <c r="M6" s="311"/>
      <c r="O6" s="313"/>
      <c r="P6" s="313"/>
      <c r="Q6" s="313"/>
      <c r="R6" s="313"/>
    </row>
    <row r="7" spans="1:29" s="224" customFormat="1" ht="15" customHeight="1">
      <c r="A7" s="11" t="s">
        <v>135</v>
      </c>
      <c r="B7" s="219"/>
      <c r="C7" s="219"/>
      <c r="D7" s="219"/>
      <c r="E7" s="219"/>
      <c r="F7" s="219"/>
      <c r="G7" s="219"/>
      <c r="H7" s="11"/>
      <c r="I7" s="219"/>
      <c r="J7" s="219"/>
      <c r="K7" s="219"/>
      <c r="L7" s="219"/>
      <c r="M7" s="311"/>
      <c r="O7" s="47"/>
      <c r="P7" s="47"/>
      <c r="Q7" s="47"/>
      <c r="R7" s="47"/>
    </row>
    <row r="8" spans="1:29" s="39" customFormat="1" ht="15" customHeight="1">
      <c r="A8" s="125"/>
      <c r="B8" s="124"/>
      <c r="C8" s="123"/>
      <c r="D8"/>
      <c r="E8"/>
      <c r="F8"/>
      <c r="G8"/>
      <c r="H8"/>
      <c r="I8"/>
      <c r="J8"/>
      <c r="K8"/>
      <c r="L8" s="83"/>
      <c r="M8" s="83"/>
      <c r="N8" s="122"/>
      <c r="O8" s="47"/>
      <c r="P8" s="47"/>
      <c r="Q8" s="47"/>
      <c r="R8" s="47"/>
    </row>
    <row r="9" spans="1:29" ht="15" customHeight="1">
      <c r="A9" s="30"/>
      <c r="B9" s="28"/>
      <c r="C9" s="28"/>
      <c r="D9" s="85" t="s">
        <v>36</v>
      </c>
      <c r="E9" s="85" t="s">
        <v>38</v>
      </c>
      <c r="F9" s="85" t="s">
        <v>59</v>
      </c>
      <c r="G9" s="85" t="s">
        <v>205</v>
      </c>
      <c r="H9" s="85" t="s">
        <v>73</v>
      </c>
      <c r="I9" s="85" t="s">
        <v>106</v>
      </c>
      <c r="J9" s="85" t="s">
        <v>105</v>
      </c>
      <c r="K9" s="85" t="s">
        <v>74</v>
      </c>
      <c r="L9" s="85" t="s">
        <v>39</v>
      </c>
      <c r="M9" s="85" t="s">
        <v>69</v>
      </c>
      <c r="N9" s="28"/>
    </row>
    <row r="10" spans="1:29" ht="15" customHeight="1">
      <c r="A10" s="22" t="s">
        <v>32</v>
      </c>
      <c r="B10" s="28"/>
      <c r="C10" s="28"/>
      <c r="D10" s="85" t="s">
        <v>42</v>
      </c>
      <c r="E10" s="85" t="s">
        <v>76</v>
      </c>
      <c r="F10" s="85" t="s">
        <v>104</v>
      </c>
      <c r="G10" s="45" t="s">
        <v>40</v>
      </c>
      <c r="H10" s="85" t="s">
        <v>77</v>
      </c>
      <c r="I10" s="85" t="s">
        <v>103</v>
      </c>
      <c r="J10" s="85" t="s">
        <v>102</v>
      </c>
      <c r="K10" s="45" t="s">
        <v>78</v>
      </c>
      <c r="L10" s="112" t="s">
        <v>51</v>
      </c>
      <c r="M10" s="85" t="s">
        <v>42</v>
      </c>
      <c r="N10" s="85"/>
    </row>
    <row r="11" spans="1:29" ht="15" customHeight="1">
      <c r="A11" s="22" t="s">
        <v>34</v>
      </c>
      <c r="B11" s="28"/>
      <c r="C11" s="28"/>
      <c r="D11" s="85" t="s">
        <v>230</v>
      </c>
      <c r="E11" s="46" t="s">
        <v>212</v>
      </c>
      <c r="F11" s="46" t="s">
        <v>213</v>
      </c>
      <c r="G11" s="46" t="s">
        <v>214</v>
      </c>
      <c r="H11" s="46" t="s">
        <v>215</v>
      </c>
      <c r="I11" s="46" t="s">
        <v>216</v>
      </c>
      <c r="J11" s="46" t="s">
        <v>217</v>
      </c>
      <c r="K11" s="46" t="s">
        <v>218</v>
      </c>
      <c r="L11" s="112"/>
      <c r="M11" s="112" t="s">
        <v>43</v>
      </c>
      <c r="N11" s="85"/>
    </row>
    <row r="12" spans="1:29" ht="15" customHeight="1">
      <c r="A12" s="23" t="s">
        <v>100</v>
      </c>
      <c r="B12" s="9"/>
      <c r="C12" s="9"/>
      <c r="D12" s="49"/>
      <c r="E12" s="9"/>
      <c r="F12" s="9"/>
      <c r="G12" s="9"/>
      <c r="H12" s="9"/>
      <c r="I12" s="9"/>
      <c r="J12" s="9"/>
      <c r="K12" s="9"/>
      <c r="L12" s="9"/>
      <c r="M12" s="9"/>
      <c r="N12" s="9" t="s">
        <v>30</v>
      </c>
    </row>
    <row r="13" spans="1:29" ht="15" customHeight="1">
      <c r="A13" s="6">
        <v>1</v>
      </c>
      <c r="B13" s="7" t="s">
        <v>47</v>
      </c>
      <c r="C13" s="7"/>
      <c r="D13" s="16"/>
      <c r="E13" s="25"/>
      <c r="F13" s="25"/>
      <c r="G13" s="25"/>
      <c r="H13" s="25"/>
      <c r="K13" s="25"/>
      <c r="M13" s="25"/>
      <c r="O13" s="114"/>
      <c r="P13" s="114"/>
      <c r="Q13" s="114"/>
      <c r="R13" s="114"/>
    </row>
    <row r="14" spans="1:29" ht="15" customHeight="1">
      <c r="A14" s="6">
        <f t="shared" ref="A14:A45" si="0">A13+1</f>
        <v>2</v>
      </c>
      <c r="B14" s="7" t="s">
        <v>5</v>
      </c>
      <c r="C14" s="7"/>
      <c r="D14" s="18">
        <f>'SEF-3 p4 ERF Summary'!G15</f>
        <v>831092493.46497273</v>
      </c>
      <c r="E14" s="18">
        <f>+'SEF-3 p7+ ERF Adj Pages'!E16</f>
        <v>-96642040.464972779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f>SUM(E14:K14)</f>
        <v>-96642040.464972779</v>
      </c>
      <c r="M14" s="18">
        <f>L14+D14</f>
        <v>734450453</v>
      </c>
      <c r="O14" s="114"/>
      <c r="P14" s="114"/>
      <c r="Q14" s="114"/>
      <c r="R14" s="11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" customHeight="1">
      <c r="A15" s="6">
        <f t="shared" si="0"/>
        <v>3</v>
      </c>
      <c r="B15" s="7" t="s">
        <v>99</v>
      </c>
      <c r="C15" s="7"/>
      <c r="D15" s="17">
        <f>'SEF-3 p4 ERF Summary'!G16</f>
        <v>345374.95999999897</v>
      </c>
      <c r="E15" s="17"/>
      <c r="F15" s="17"/>
      <c r="G15" s="17"/>
      <c r="H15" s="17"/>
      <c r="I15" s="17"/>
      <c r="J15" s="17"/>
      <c r="K15" s="17"/>
      <c r="L15" s="17">
        <f>SUM(E15:K15)</f>
        <v>0</v>
      </c>
      <c r="M15" s="17">
        <f>L15+D15</f>
        <v>345374.95999999897</v>
      </c>
      <c r="O15" s="114"/>
      <c r="P15" s="114"/>
      <c r="Q15" s="114"/>
      <c r="R15" s="11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" customHeight="1">
      <c r="A16" s="6">
        <f t="shared" si="0"/>
        <v>4</v>
      </c>
      <c r="B16" s="7" t="s">
        <v>7</v>
      </c>
      <c r="C16" s="7"/>
      <c r="D16" s="17">
        <f>'SEF-3 p4 ERF Summary'!G17</f>
        <v>0</v>
      </c>
      <c r="E16" s="17"/>
      <c r="F16" s="17"/>
      <c r="G16" s="17"/>
      <c r="H16" s="17"/>
      <c r="I16" s="17"/>
      <c r="J16" s="17"/>
      <c r="K16" s="17"/>
      <c r="L16" s="17">
        <f>SUM(E16:K16)</f>
        <v>0</v>
      </c>
      <c r="M16" s="17">
        <f>L16+D16</f>
        <v>0</v>
      </c>
      <c r="N16" s="17"/>
      <c r="O16" s="114"/>
      <c r="P16" s="114"/>
      <c r="Q16" s="114"/>
      <c r="R16" s="114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" customHeight="1">
      <c r="A17" s="6">
        <f t="shared" si="0"/>
        <v>5</v>
      </c>
      <c r="B17" s="7" t="s">
        <v>8</v>
      </c>
      <c r="C17" s="7"/>
      <c r="D17" s="17">
        <f>'SEF-3 p4 ERF Summary'!G18</f>
        <v>37913245.119999997</v>
      </c>
      <c r="E17" s="24">
        <f>SUM('SEF-3 p7+ ERF Adj Pages'!E19:E22)</f>
        <v>9579706.3300000001</v>
      </c>
      <c r="F17" s="24"/>
      <c r="G17" s="24"/>
      <c r="H17" s="24"/>
      <c r="I17" s="24"/>
      <c r="J17" s="24"/>
      <c r="K17" s="24"/>
      <c r="L17" s="17">
        <f>SUM(E17:K17)</f>
        <v>9579706.3300000001</v>
      </c>
      <c r="M17" s="17">
        <f>L17+D17</f>
        <v>47492951.449999996</v>
      </c>
      <c r="N17" s="17"/>
      <c r="O17" s="114"/>
      <c r="P17" s="114"/>
      <c r="Q17" s="114"/>
      <c r="R17" s="11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" customHeight="1">
      <c r="A18" s="6">
        <f t="shared" si="0"/>
        <v>6</v>
      </c>
      <c r="B18" s="7" t="s">
        <v>9</v>
      </c>
      <c r="C18" s="7"/>
      <c r="D18" s="120">
        <f t="shared" ref="D18:K18" si="1">SUM(D14:D17)</f>
        <v>869351113.54497278</v>
      </c>
      <c r="E18" s="120">
        <f t="shared" si="1"/>
        <v>-87062334.134972781</v>
      </c>
      <c r="F18" s="120">
        <f t="shared" si="1"/>
        <v>0</v>
      </c>
      <c r="G18" s="120">
        <f t="shared" si="1"/>
        <v>0</v>
      </c>
      <c r="H18" s="120">
        <f t="shared" si="1"/>
        <v>0</v>
      </c>
      <c r="I18" s="120">
        <f t="shared" si="1"/>
        <v>0</v>
      </c>
      <c r="J18" s="120">
        <f t="shared" si="1"/>
        <v>0</v>
      </c>
      <c r="K18" s="120">
        <f t="shared" si="1"/>
        <v>0</v>
      </c>
      <c r="L18" s="120">
        <f>SUM(L14:L17)</f>
        <v>-87062334.134972781</v>
      </c>
      <c r="M18" s="120">
        <f>L18+D18</f>
        <v>782288779.40999997</v>
      </c>
      <c r="N18" s="24"/>
      <c r="O18" s="114"/>
      <c r="P18" s="114"/>
      <c r="Q18" s="114"/>
      <c r="R18" s="11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" customHeight="1">
      <c r="A19" s="6">
        <f t="shared" si="0"/>
        <v>7</v>
      </c>
      <c r="D19" s="17"/>
      <c r="E19" s="16" t="s">
        <v>30</v>
      </c>
      <c r="F19" s="16"/>
      <c r="G19" s="16" t="s">
        <v>30</v>
      </c>
      <c r="H19" s="16" t="s">
        <v>30</v>
      </c>
      <c r="I19" s="16"/>
      <c r="J19" s="16"/>
      <c r="K19" s="16"/>
      <c r="L19" s="16"/>
      <c r="M19" s="16"/>
      <c r="N19" s="24"/>
      <c r="O19" s="114"/>
      <c r="P19" s="114"/>
      <c r="Q19" s="114"/>
      <c r="R19" s="114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" customHeight="1">
      <c r="A20" s="6">
        <f t="shared" si="0"/>
        <v>8</v>
      </c>
      <c r="B20" s="7" t="s">
        <v>10</v>
      </c>
      <c r="C20" s="7"/>
      <c r="D20" s="17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14"/>
      <c r="P20" s="114"/>
      <c r="Q20" s="114"/>
      <c r="R20" s="114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" customHeight="1">
      <c r="A21" s="6">
        <f t="shared" si="0"/>
        <v>9</v>
      </c>
      <c r="D21" s="10"/>
      <c r="N21" s="16"/>
      <c r="O21" s="114"/>
      <c r="P21" s="114"/>
      <c r="Q21" s="114"/>
      <c r="R21" s="114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" customHeight="1">
      <c r="A22" s="6">
        <f t="shared" si="0"/>
        <v>10</v>
      </c>
      <c r="B22" s="7" t="s">
        <v>11</v>
      </c>
      <c r="C22" s="7"/>
      <c r="D22" s="17"/>
      <c r="E22" s="16"/>
      <c r="F22" s="16"/>
      <c r="G22" s="16"/>
      <c r="H22" s="16"/>
      <c r="I22" s="16"/>
      <c r="J22" s="16"/>
      <c r="K22" s="16"/>
      <c r="L22" s="16"/>
      <c r="M22" s="16"/>
      <c r="O22" s="114"/>
      <c r="P22" s="114"/>
      <c r="Q22" s="114"/>
      <c r="R22" s="114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" customHeight="1">
      <c r="A23" s="6">
        <f t="shared" si="0"/>
        <v>11</v>
      </c>
      <c r="B23" s="7" t="s">
        <v>12</v>
      </c>
      <c r="C23" s="7"/>
      <c r="D23" s="17">
        <f>'SEF-3 p4 ERF Summary'!G24</f>
        <v>0</v>
      </c>
      <c r="E23" s="17">
        <v>0</v>
      </c>
      <c r="F23" s="17">
        <v>0</v>
      </c>
      <c r="G23" s="17">
        <v>0</v>
      </c>
      <c r="H23" s="17">
        <v>0</v>
      </c>
      <c r="I23" s="17"/>
      <c r="J23" s="17"/>
      <c r="K23" s="17">
        <v>0</v>
      </c>
      <c r="L23" s="17">
        <f>SUM(E23:K23)</f>
        <v>0</v>
      </c>
      <c r="M23" s="17">
        <f>L23+D23</f>
        <v>0</v>
      </c>
      <c r="N23" s="16"/>
      <c r="O23" s="114"/>
      <c r="P23" s="114"/>
      <c r="Q23" s="114"/>
      <c r="R23" s="114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" customHeight="1">
      <c r="A24" s="6">
        <f t="shared" si="0"/>
        <v>12</v>
      </c>
      <c r="B24" s="7" t="s">
        <v>13</v>
      </c>
      <c r="C24" s="7"/>
      <c r="D24" s="17">
        <f>'SEF-3 p4 ERF Summary'!G25</f>
        <v>0</v>
      </c>
      <c r="E24" s="17"/>
      <c r="F24" s="17"/>
      <c r="G24" s="17"/>
      <c r="H24" s="17"/>
      <c r="I24" s="17"/>
      <c r="J24" s="17"/>
      <c r="K24" s="17"/>
      <c r="L24" s="17">
        <f>SUM(E24:K24)</f>
        <v>0</v>
      </c>
      <c r="M24" s="17">
        <f>L24+D24</f>
        <v>0</v>
      </c>
      <c r="N24" s="18"/>
      <c r="O24" s="114"/>
      <c r="P24" s="114"/>
      <c r="Q24" s="114"/>
      <c r="R24" s="114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" customHeight="1">
      <c r="A25" s="6">
        <f t="shared" si="0"/>
        <v>13</v>
      </c>
      <c r="B25" s="7" t="s">
        <v>14</v>
      </c>
      <c r="C25" s="7"/>
      <c r="D25" s="17">
        <f>'SEF-3 p4 ERF Summary'!G26</f>
        <v>0</v>
      </c>
      <c r="E25" s="17"/>
      <c r="F25" s="17"/>
      <c r="G25" s="17"/>
      <c r="H25" s="17"/>
      <c r="I25" s="17"/>
      <c r="J25" s="17"/>
      <c r="K25" s="17"/>
      <c r="L25" s="17">
        <f>SUM(E25:K25)</f>
        <v>0</v>
      </c>
      <c r="M25" s="17">
        <f>L25+D25</f>
        <v>0</v>
      </c>
      <c r="N25" s="17"/>
      <c r="O25" s="114"/>
      <c r="P25" s="114"/>
      <c r="Q25" s="114"/>
      <c r="R25" s="1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" customHeight="1">
      <c r="A26" s="6">
        <f t="shared" si="0"/>
        <v>14</v>
      </c>
      <c r="B26" s="5" t="s">
        <v>50</v>
      </c>
      <c r="D26" s="73">
        <f>'SEF-3 p4 ERF Summary'!G27</f>
        <v>0</v>
      </c>
      <c r="E26" s="73"/>
      <c r="F26" s="73"/>
      <c r="G26" s="73"/>
      <c r="H26" s="73"/>
      <c r="I26" s="73"/>
      <c r="J26" s="73"/>
      <c r="K26" s="73"/>
      <c r="L26" s="17">
        <f>SUM(E26:K26)</f>
        <v>0</v>
      </c>
      <c r="M26" s="17">
        <f>L26+D26</f>
        <v>0</v>
      </c>
      <c r="N26" s="17"/>
      <c r="O26" s="114"/>
      <c r="P26" s="114"/>
      <c r="Q26" s="114"/>
      <c r="R26" s="1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" customHeight="1">
      <c r="A27" s="6">
        <f t="shared" si="0"/>
        <v>15</v>
      </c>
      <c r="B27" s="7" t="s">
        <v>16</v>
      </c>
      <c r="C27" s="7"/>
      <c r="D27" s="120">
        <f>SUM(D23:D26)</f>
        <v>0</v>
      </c>
      <c r="E27" s="120">
        <f>SUM(E23:E26)</f>
        <v>0</v>
      </c>
      <c r="F27" s="120">
        <f>SUM(F23:F26)</f>
        <v>0</v>
      </c>
      <c r="G27" s="120">
        <f>SUM(G23:G26)</f>
        <v>0</v>
      </c>
      <c r="H27" s="120">
        <f>SUM(H22:H26)</f>
        <v>0</v>
      </c>
      <c r="I27" s="120">
        <f>SUM(I22:I26)</f>
        <v>0</v>
      </c>
      <c r="J27" s="120">
        <f>SUM(J22:J26)</f>
        <v>0</v>
      </c>
      <c r="K27" s="120">
        <f>SUM(K23:K26)</f>
        <v>0</v>
      </c>
      <c r="L27" s="120">
        <f>SUM(L23:L26)</f>
        <v>0</v>
      </c>
      <c r="M27" s="120">
        <f>L27+D27</f>
        <v>0</v>
      </c>
      <c r="N27" s="24"/>
      <c r="O27" s="114"/>
      <c r="P27" s="114"/>
      <c r="Q27" s="114"/>
      <c r="R27" s="114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" customHeight="1">
      <c r="A28" s="6">
        <f t="shared" si="0"/>
        <v>16</v>
      </c>
      <c r="B28" s="7"/>
      <c r="C28" s="7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4"/>
      <c r="O28" s="114"/>
      <c r="P28" s="114"/>
      <c r="Q28" s="114"/>
      <c r="R28" s="1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" customHeight="1">
      <c r="A29" s="6">
        <f t="shared" si="0"/>
        <v>17</v>
      </c>
      <c r="B29" s="15" t="s">
        <v>1</v>
      </c>
      <c r="C29" s="15"/>
      <c r="D29" s="17">
        <f>'SEF-3 p4 ERF Summary'!G30</f>
        <v>0</v>
      </c>
      <c r="E29" s="17">
        <v>0</v>
      </c>
      <c r="F29" s="17">
        <v>0</v>
      </c>
      <c r="G29" s="17">
        <v>0</v>
      </c>
      <c r="H29" s="17">
        <v>0</v>
      </c>
      <c r="I29" s="17"/>
      <c r="J29" s="17"/>
      <c r="K29" s="17">
        <v>0</v>
      </c>
      <c r="L29" s="17">
        <f t="shared" ref="L29:L43" si="2">SUM(E29:K29)</f>
        <v>0</v>
      </c>
      <c r="M29" s="17">
        <f t="shared" ref="M29:M43" si="3">L29+D29</f>
        <v>0</v>
      </c>
      <c r="N29" s="25"/>
      <c r="O29" s="114"/>
      <c r="P29" s="114"/>
      <c r="Q29" s="114"/>
      <c r="R29" s="114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" customHeight="1">
      <c r="A30" s="6">
        <f t="shared" si="0"/>
        <v>18</v>
      </c>
      <c r="B30" s="7" t="s">
        <v>17</v>
      </c>
      <c r="C30" s="7"/>
      <c r="D30" s="17">
        <f>'SEF-3 p4 ERF Summary'!G31</f>
        <v>21114834.904999997</v>
      </c>
      <c r="E30" s="17"/>
      <c r="F30" s="17"/>
      <c r="G30" s="17"/>
      <c r="H30" s="17"/>
      <c r="I30" s="17"/>
      <c r="J30" s="17"/>
      <c r="K30" s="33">
        <v>0</v>
      </c>
      <c r="L30" s="17">
        <f t="shared" si="2"/>
        <v>0</v>
      </c>
      <c r="M30" s="17">
        <f t="shared" si="3"/>
        <v>21114834.904999997</v>
      </c>
      <c r="N30" s="18"/>
      <c r="O30" s="114"/>
      <c r="P30" s="114"/>
      <c r="Q30" s="114"/>
      <c r="R30" s="114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" customHeight="1">
      <c r="A31" s="6">
        <f t="shared" si="0"/>
        <v>19</v>
      </c>
      <c r="B31" s="7" t="s">
        <v>18</v>
      </c>
      <c r="C31" s="7"/>
      <c r="D31" s="17">
        <f>'SEF-3 p4 ERF Summary'!G32</f>
        <v>81408937.783333242</v>
      </c>
      <c r="E31" s="17"/>
      <c r="F31" s="17"/>
      <c r="G31" s="17"/>
      <c r="H31" s="17"/>
      <c r="I31" s="17"/>
      <c r="J31" s="17"/>
      <c r="K31" s="17">
        <v>0</v>
      </c>
      <c r="L31" s="17">
        <f t="shared" si="2"/>
        <v>0</v>
      </c>
      <c r="M31" s="17">
        <f t="shared" si="3"/>
        <v>81408937.783333242</v>
      </c>
      <c r="N31" s="17"/>
      <c r="O31" s="114"/>
      <c r="P31" s="114"/>
      <c r="Q31" s="114"/>
      <c r="R31" s="114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" customHeight="1">
      <c r="A32" s="6">
        <f t="shared" si="0"/>
        <v>20</v>
      </c>
      <c r="B32" s="7" t="s">
        <v>19</v>
      </c>
      <c r="C32" s="7"/>
      <c r="D32" s="17">
        <f>'SEF-3 p4 ERF Summary'!G33</f>
        <v>41119694.821514323</v>
      </c>
      <c r="E32" s="116">
        <f>E18*'SEF-3 p3 ERF Conv Factr'!E15</f>
        <v>-685702.94364704553</v>
      </c>
      <c r="F32" s="17"/>
      <c r="G32" s="17"/>
      <c r="H32" s="17"/>
      <c r="I32" s="17"/>
      <c r="J32" s="17">
        <f>+'SEF-3 p7+ ERF Adj Pages'!AB17</f>
        <v>2539301.3315649191</v>
      </c>
      <c r="K32" s="17"/>
      <c r="L32" s="17">
        <f t="shared" si="2"/>
        <v>1853598.3879178734</v>
      </c>
      <c r="M32" s="17">
        <f t="shared" si="3"/>
        <v>42973293.2094322</v>
      </c>
      <c r="N32" s="17"/>
      <c r="O32" s="114"/>
      <c r="P32" s="114"/>
      <c r="Q32" s="114"/>
      <c r="R32" s="114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" customHeight="1">
      <c r="A33" s="6">
        <f t="shared" si="0"/>
        <v>21</v>
      </c>
      <c r="B33" s="7" t="s">
        <v>20</v>
      </c>
      <c r="C33" s="7"/>
      <c r="D33" s="17">
        <f>'SEF-3 p4 ERF Summary'!G34</f>
        <v>2786306.7804620042</v>
      </c>
      <c r="E33" s="116"/>
      <c r="F33" s="17"/>
      <c r="G33" s="17"/>
      <c r="H33" s="17"/>
      <c r="I33" s="17"/>
      <c r="J33" s="17"/>
      <c r="K33" s="17"/>
      <c r="L33" s="17">
        <f t="shared" si="2"/>
        <v>0</v>
      </c>
      <c r="M33" s="17">
        <f t="shared" si="3"/>
        <v>2786306.7804620042</v>
      </c>
      <c r="N33" s="17"/>
      <c r="O33" s="114"/>
      <c r="P33" s="114"/>
      <c r="Q33" s="114"/>
      <c r="R33" s="114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" customHeight="1">
      <c r="A34" s="6">
        <f t="shared" si="0"/>
        <v>22</v>
      </c>
      <c r="B34" s="7" t="s">
        <v>21</v>
      </c>
      <c r="C34" s="7"/>
      <c r="D34" s="17">
        <f>'SEF-3 p4 ERF Summary'!G35</f>
        <v>0</v>
      </c>
      <c r="E34" s="116"/>
      <c r="F34" s="17"/>
      <c r="G34" s="17"/>
      <c r="H34" s="17"/>
      <c r="I34" s="17"/>
      <c r="J34" s="17"/>
      <c r="K34" s="17"/>
      <c r="L34" s="17">
        <f t="shared" si="2"/>
        <v>0</v>
      </c>
      <c r="M34" s="17">
        <f t="shared" si="3"/>
        <v>0</v>
      </c>
      <c r="N34" s="17"/>
      <c r="O34" s="114"/>
      <c r="P34" s="114"/>
      <c r="Q34" s="114"/>
      <c r="R34" s="114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" customHeight="1">
      <c r="A35" s="6">
        <f t="shared" si="0"/>
        <v>23</v>
      </c>
      <c r="B35" s="7" t="s">
        <v>22</v>
      </c>
      <c r="C35" s="7"/>
      <c r="D35" s="17">
        <f>'SEF-3 p4 ERF Summary'!G36</f>
        <v>115052276.67747644</v>
      </c>
      <c r="E35" s="116">
        <f>'SEF-3 p3 ERF Conv Factr'!E16*'SEF-3 p6 ERF Adj Summary'!E18</f>
        <v>-174124.66826994557</v>
      </c>
      <c r="F35" s="17" t="s">
        <v>30</v>
      </c>
      <c r="G35" s="17"/>
      <c r="H35" s="17"/>
      <c r="I35" s="17"/>
      <c r="J35" s="17"/>
      <c r="K35" s="17"/>
      <c r="L35" s="17">
        <f t="shared" si="2"/>
        <v>-174124.66826994557</v>
      </c>
      <c r="M35" s="17">
        <f t="shared" si="3"/>
        <v>114878152.00920649</v>
      </c>
      <c r="N35" s="17"/>
      <c r="O35" s="114"/>
      <c r="P35" s="114"/>
      <c r="Q35" s="114"/>
      <c r="R35" s="114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" customHeight="1">
      <c r="A36" s="6">
        <f t="shared" si="0"/>
        <v>24</v>
      </c>
      <c r="B36" s="7" t="s">
        <v>59</v>
      </c>
      <c r="C36" s="7"/>
      <c r="D36" s="17">
        <f>'SEF-3 p4 ERF Summary'!G37</f>
        <v>170129958.49852991</v>
      </c>
      <c r="E36" s="116"/>
      <c r="F36" s="17">
        <f>'SEF-3 p7+ ERF Adj Pages'!J17</f>
        <v>8894287.2539917286</v>
      </c>
      <c r="G36" s="17"/>
      <c r="H36" s="17"/>
      <c r="I36" s="17"/>
      <c r="J36" s="17"/>
      <c r="K36" s="17"/>
      <c r="L36" s="17">
        <f t="shared" si="2"/>
        <v>8894287.2539917286</v>
      </c>
      <c r="M36" s="17">
        <f t="shared" si="3"/>
        <v>179024245.75252163</v>
      </c>
      <c r="N36" s="17"/>
      <c r="O36" s="114"/>
      <c r="P36" s="114"/>
      <c r="Q36" s="114"/>
      <c r="R36" s="11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" customHeight="1">
      <c r="A37" s="6">
        <f t="shared" si="0"/>
        <v>25</v>
      </c>
      <c r="B37" s="7" t="s">
        <v>41</v>
      </c>
      <c r="C37" s="7"/>
      <c r="D37" s="17">
        <f>'SEF-3 p4 ERF Summary'!G38</f>
        <v>45151661.236047998</v>
      </c>
      <c r="E37" s="116"/>
      <c r="F37" s="17"/>
      <c r="G37" s="17"/>
      <c r="H37" s="17"/>
      <c r="I37" s="17"/>
      <c r="J37" s="17"/>
      <c r="L37" s="17">
        <f t="shared" si="2"/>
        <v>0</v>
      </c>
      <c r="M37" s="17">
        <f t="shared" si="3"/>
        <v>45151661.236047998</v>
      </c>
      <c r="N37" s="17"/>
      <c r="O37" s="114"/>
      <c r="P37" s="114"/>
      <c r="Q37" s="114"/>
      <c r="R37" s="114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" customHeight="1">
      <c r="A38" s="6">
        <f t="shared" si="0"/>
        <v>26</v>
      </c>
      <c r="B38" s="15" t="s">
        <v>58</v>
      </c>
      <c r="C38" s="15"/>
      <c r="D38" s="17">
        <f>'SEF-3 p4 ERF Summary'!G39</f>
        <v>18282839.1399999</v>
      </c>
      <c r="E38" s="116"/>
      <c r="F38" s="17"/>
      <c r="G38" s="17"/>
      <c r="H38" s="17" t="s">
        <v>30</v>
      </c>
      <c r="I38" s="17"/>
      <c r="J38" s="17"/>
      <c r="K38" s="17">
        <f>'SEF-3 p7+ ERF Adj Pages'!AG32</f>
        <v>7040080.8999999985</v>
      </c>
      <c r="L38" s="17">
        <f t="shared" si="2"/>
        <v>7040080.8999999985</v>
      </c>
      <c r="M38" s="17">
        <f t="shared" si="3"/>
        <v>25322920.039999899</v>
      </c>
      <c r="N38" s="17"/>
      <c r="O38" s="114"/>
      <c r="P38" s="114"/>
      <c r="Q38" s="114"/>
      <c r="R38" s="114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" customHeight="1">
      <c r="A39" s="6">
        <f t="shared" si="0"/>
        <v>27</v>
      </c>
      <c r="B39" s="7" t="s">
        <v>23</v>
      </c>
      <c r="C39" s="7"/>
      <c r="D39" s="17">
        <f>'SEF-3 p4 ERF Summary'!G40</f>
        <v>-2220428.8699999154</v>
      </c>
      <c r="E39" s="116"/>
      <c r="F39" s="17"/>
      <c r="G39" s="17"/>
      <c r="H39" s="17">
        <f>'SEF-3 p7+ ERF Adj Pages'!R22</f>
        <v>-188333.91666666756</v>
      </c>
      <c r="I39" s="17">
        <f>'SEF-3 p7+ ERF Adj Pages'!W28</f>
        <v>1018082.8081113943</v>
      </c>
      <c r="J39" s="17"/>
      <c r="K39" s="17"/>
      <c r="L39" s="17">
        <f t="shared" si="2"/>
        <v>829748.89144472673</v>
      </c>
      <c r="M39" s="17">
        <f t="shared" si="3"/>
        <v>-1390679.9785551885</v>
      </c>
      <c r="N39" s="17"/>
      <c r="O39" s="114"/>
      <c r="P39" s="114"/>
      <c r="Q39" s="114"/>
      <c r="R39" s="114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" customHeight="1">
      <c r="A40" s="6">
        <f t="shared" si="0"/>
        <v>28</v>
      </c>
      <c r="B40" s="5" t="s">
        <v>86</v>
      </c>
      <c r="D40" s="17">
        <f>'SEF-3 p4 ERF Summary'!G41</f>
        <v>0</v>
      </c>
      <c r="E40" s="200"/>
      <c r="L40" s="17">
        <f t="shared" si="2"/>
        <v>0</v>
      </c>
      <c r="M40" s="17">
        <f t="shared" si="3"/>
        <v>0</v>
      </c>
      <c r="N40" s="17"/>
      <c r="O40" s="114"/>
      <c r="P40" s="114"/>
      <c r="Q40" s="114"/>
      <c r="R40" s="114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" customHeight="1">
      <c r="A41" s="6">
        <f t="shared" si="0"/>
        <v>29</v>
      </c>
      <c r="B41" s="7" t="s">
        <v>71</v>
      </c>
      <c r="C41" s="7"/>
      <c r="D41" s="17">
        <f>'SEF-3 p4 ERF Summary'!G42</f>
        <v>41499079.494481996</v>
      </c>
      <c r="E41" s="116">
        <f>'SEF-3 p3 ERF Conv Factr'!E17*E18</f>
        <v>-3345718.4384728689</v>
      </c>
      <c r="F41" s="17"/>
      <c r="G41" s="17"/>
      <c r="H41" s="17"/>
      <c r="I41" s="17"/>
      <c r="J41" s="17"/>
      <c r="K41" s="17"/>
      <c r="L41" s="17">
        <f t="shared" si="2"/>
        <v>-3345718.4384728689</v>
      </c>
      <c r="M41" s="17">
        <f t="shared" si="3"/>
        <v>38153361.056009129</v>
      </c>
      <c r="N41" s="17"/>
      <c r="O41" s="114"/>
      <c r="P41" s="114"/>
      <c r="Q41" s="114"/>
      <c r="R41" s="114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" customHeight="1">
      <c r="A42" s="6">
        <f t="shared" si="0"/>
        <v>30</v>
      </c>
      <c r="B42" s="7" t="s">
        <v>70</v>
      </c>
      <c r="C42" s="7"/>
      <c r="D42" s="17">
        <f>'SEF-3 p4 ERF Summary'!G43</f>
        <v>11012206.326131098</v>
      </c>
      <c r="E42" s="116">
        <f>(E18-SUM(E32:E41))*'SEF-3 p3 ERF Conv Factr'!D22</f>
        <v>-17399925.497762412</v>
      </c>
      <c r="F42" s="17">
        <f>'SEF-3 p7+ ERF Adj Pages'!J21</f>
        <v>-1867800.323338263</v>
      </c>
      <c r="G42" s="17">
        <f>+'SEF-3 p7+ ERF Adj Pages'!N27</f>
        <v>-25330036.369651385</v>
      </c>
      <c r="H42" s="17">
        <f>'SEF-3 p7+ ERF Adj Pages'!R24</f>
        <v>39550.122500000187</v>
      </c>
      <c r="I42" s="17">
        <f>'SEF-3 p7+ ERF Adj Pages'!W30</f>
        <v>-213797</v>
      </c>
      <c r="J42" s="17">
        <f>'SEF-3 p7+ ERF Adj Pages'!AB21</f>
        <v>-533253.27962863294</v>
      </c>
      <c r="K42" s="17">
        <f>'SEF-3 p7+ ERF Adj Pages'!AG34</f>
        <v>-1478416.9889999996</v>
      </c>
      <c r="L42" s="17">
        <f t="shared" si="2"/>
        <v>-46783679.336880691</v>
      </c>
      <c r="M42" s="17">
        <f t="shared" si="3"/>
        <v>-35771473.010749593</v>
      </c>
      <c r="N42" s="17"/>
      <c r="O42" s="114"/>
      <c r="P42" s="114"/>
      <c r="Q42" s="114"/>
      <c r="R42" s="114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" customHeight="1">
      <c r="A43" s="6">
        <f t="shared" si="0"/>
        <v>31</v>
      </c>
      <c r="B43" s="5" t="s">
        <v>25</v>
      </c>
      <c r="D43" s="73">
        <f>'SEF-3 p4 ERF Summary'!G44</f>
        <v>64170813.645080276</v>
      </c>
      <c r="E43" s="73"/>
      <c r="F43" s="73"/>
      <c r="G43" s="73"/>
      <c r="H43" s="73"/>
      <c r="I43" s="73"/>
      <c r="J43" s="73"/>
      <c r="K43" s="73"/>
      <c r="L43" s="73">
        <f t="shared" si="2"/>
        <v>0</v>
      </c>
      <c r="M43" s="73">
        <f t="shared" si="3"/>
        <v>64170813.645080276</v>
      </c>
      <c r="N43" s="17"/>
      <c r="O43" s="114"/>
      <c r="P43" s="114"/>
      <c r="Q43" s="114"/>
      <c r="R43" s="114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" customHeight="1">
      <c r="A44" s="6">
        <f t="shared" si="0"/>
        <v>32</v>
      </c>
      <c r="B44" s="7" t="s">
        <v>26</v>
      </c>
      <c r="C44" s="7"/>
      <c r="D44" s="120">
        <f t="shared" ref="D44:M44" si="4">SUM(D27:D43)</f>
        <v>609508180.4380573</v>
      </c>
      <c r="E44" s="120">
        <f t="shared" si="4"/>
        <v>-21605471.548152272</v>
      </c>
      <c r="F44" s="120">
        <f t="shared" si="4"/>
        <v>7026486.9306534659</v>
      </c>
      <c r="G44" s="120">
        <f t="shared" si="4"/>
        <v>-25330036.369651385</v>
      </c>
      <c r="H44" s="120">
        <f t="shared" si="4"/>
        <v>-148783.79416666739</v>
      </c>
      <c r="I44" s="120">
        <f t="shared" si="4"/>
        <v>804285.80811139429</v>
      </c>
      <c r="J44" s="120">
        <f t="shared" si="4"/>
        <v>2006048.051936286</v>
      </c>
      <c r="K44" s="120">
        <f t="shared" si="4"/>
        <v>5561663.9109999985</v>
      </c>
      <c r="L44" s="120">
        <f t="shared" si="4"/>
        <v>-31685807.01026918</v>
      </c>
      <c r="M44" s="120">
        <f t="shared" si="4"/>
        <v>577822373.42778814</v>
      </c>
      <c r="N44" s="34"/>
      <c r="O44" s="114"/>
      <c r="P44" s="114"/>
      <c r="Q44" s="114"/>
      <c r="R44" s="114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" customHeight="1">
      <c r="A45" s="6">
        <f t="shared" si="0"/>
        <v>33</v>
      </c>
      <c r="D45" s="3"/>
      <c r="E45" s="3" t="s">
        <v>30</v>
      </c>
      <c r="F45" s="3"/>
      <c r="G45" s="3" t="s">
        <v>30</v>
      </c>
      <c r="H45" s="3" t="s">
        <v>30</v>
      </c>
      <c r="I45" s="3" t="s">
        <v>30</v>
      </c>
      <c r="J45" s="3"/>
      <c r="K45" s="3" t="s">
        <v>30</v>
      </c>
      <c r="L45" s="3"/>
      <c r="M45" s="3"/>
      <c r="N45" s="3"/>
      <c r="O45" s="114"/>
      <c r="P45" s="114"/>
      <c r="Q45" s="114"/>
      <c r="R45" s="114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" customHeight="1">
      <c r="A46" s="6">
        <f t="shared" ref="A46:A59" si="5">A45+1</f>
        <v>34</v>
      </c>
      <c r="B46" s="7" t="s">
        <v>27</v>
      </c>
      <c r="C46" s="7"/>
      <c r="D46" s="117">
        <f t="shared" ref="D46:M46" si="6">D18-D44</f>
        <v>259842933.10691547</v>
      </c>
      <c r="E46" s="117">
        <f t="shared" si="6"/>
        <v>-65456862.586820513</v>
      </c>
      <c r="F46" s="117">
        <f t="shared" si="6"/>
        <v>-7026486.9306534659</v>
      </c>
      <c r="G46" s="117">
        <f t="shared" si="6"/>
        <v>25330036.369651385</v>
      </c>
      <c r="H46" s="117">
        <f t="shared" si="6"/>
        <v>148783.79416666739</v>
      </c>
      <c r="I46" s="117">
        <f t="shared" si="6"/>
        <v>-804285.80811139429</v>
      </c>
      <c r="J46" s="117">
        <f t="shared" si="6"/>
        <v>-2006048.051936286</v>
      </c>
      <c r="K46" s="117">
        <f t="shared" si="6"/>
        <v>-5561663.9109999985</v>
      </c>
      <c r="L46" s="117">
        <f t="shared" si="6"/>
        <v>-55376527.124703601</v>
      </c>
      <c r="M46" s="117">
        <f t="shared" si="6"/>
        <v>204466405.98221183</v>
      </c>
      <c r="N46" s="18"/>
      <c r="O46" s="114"/>
      <c r="P46" s="114"/>
      <c r="Q46" s="114"/>
      <c r="R46" s="114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" customHeight="1">
      <c r="A47" s="6">
        <f t="shared" si="5"/>
        <v>35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14"/>
      <c r="P47" s="114"/>
      <c r="Q47" s="114"/>
      <c r="R47" s="114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" customHeight="1">
      <c r="A48" s="6">
        <f t="shared" si="5"/>
        <v>36</v>
      </c>
      <c r="B48" s="7" t="s">
        <v>28</v>
      </c>
      <c r="C48" s="7"/>
      <c r="D48" s="117">
        <f>'SEF-3 p4 ERF Summary'!G49</f>
        <v>3152320963.093257</v>
      </c>
      <c r="E48" s="117">
        <v>0</v>
      </c>
      <c r="F48" s="117">
        <f>F59</f>
        <v>-7026486.9306534659</v>
      </c>
      <c r="G48" s="17">
        <f>G59</f>
        <v>0</v>
      </c>
      <c r="H48" s="117">
        <f>H59</f>
        <v>0</v>
      </c>
      <c r="I48" s="117">
        <f>I59</f>
        <v>0</v>
      </c>
      <c r="J48" s="117">
        <v>0</v>
      </c>
      <c r="K48" s="117">
        <f>K59</f>
        <v>0</v>
      </c>
      <c r="L48" s="117">
        <f>L59</f>
        <v>-7026486.9306534659</v>
      </c>
      <c r="M48" s="117">
        <f>+L48+D48</f>
        <v>3145294476.1626034</v>
      </c>
      <c r="N48" s="3"/>
      <c r="O48" s="114"/>
      <c r="P48" s="114"/>
      <c r="Q48" s="114"/>
      <c r="R48" s="114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" customHeight="1">
      <c r="A49" s="6">
        <f t="shared" si="5"/>
        <v>37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O49" s="114"/>
      <c r="P49" s="114"/>
      <c r="Q49" s="114"/>
      <c r="R49" s="114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" customHeight="1">
      <c r="A50" s="6">
        <f t="shared" si="5"/>
        <v>38</v>
      </c>
      <c r="B50" s="7" t="s">
        <v>29</v>
      </c>
      <c r="C50" s="7"/>
      <c r="D50" s="50">
        <f>D46/D48</f>
        <v>8.2429085156335458E-2</v>
      </c>
      <c r="E50" s="17"/>
      <c r="F50" s="17"/>
      <c r="G50" s="17"/>
      <c r="H50" s="17"/>
      <c r="I50" s="17"/>
      <c r="J50" s="17"/>
      <c r="K50" s="17"/>
      <c r="L50" s="17"/>
      <c r="M50" s="50">
        <f>M46/M48</f>
        <v>6.5007078838503471E-2</v>
      </c>
      <c r="N50" s="37"/>
      <c r="O50" s="114"/>
      <c r="P50" s="114"/>
      <c r="Q50" s="114"/>
      <c r="R50" s="114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" customHeight="1">
      <c r="A51" s="6">
        <f t="shared" si="5"/>
        <v>39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O51" s="114"/>
      <c r="P51" s="114"/>
      <c r="Q51" s="114"/>
      <c r="R51" s="114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" customHeight="1">
      <c r="A52" s="6">
        <f t="shared" si="5"/>
        <v>40</v>
      </c>
      <c r="B52" s="5" t="s">
        <v>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14"/>
      <c r="P52" s="114"/>
      <c r="Q52" s="114"/>
      <c r="R52" s="114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" customHeight="1">
      <c r="A53" s="6">
        <f t="shared" si="5"/>
        <v>41</v>
      </c>
      <c r="B53" s="115" t="s">
        <v>72</v>
      </c>
      <c r="C53" s="115"/>
      <c r="D53" s="117">
        <f>'SEF-3 p4 ERF Summary'!G54</f>
        <v>5989904139.5532084</v>
      </c>
      <c r="E53" s="117">
        <v>0</v>
      </c>
      <c r="F53" s="117">
        <v>0</v>
      </c>
      <c r="G53" s="17">
        <v>0</v>
      </c>
      <c r="H53" s="117"/>
      <c r="I53" s="117">
        <v>0</v>
      </c>
      <c r="J53" s="117">
        <v>0</v>
      </c>
      <c r="K53" s="117">
        <v>0</v>
      </c>
      <c r="L53" s="117">
        <f t="shared" ref="L53:L59" si="7">SUM(E53:K53)</f>
        <v>0</v>
      </c>
      <c r="M53" s="117">
        <f t="shared" ref="M53:M58" si="8">+L53+D53</f>
        <v>5989904139.5532084</v>
      </c>
      <c r="N53" s="3"/>
      <c r="O53" s="114"/>
      <c r="P53" s="114"/>
      <c r="Q53" s="114"/>
      <c r="R53" s="114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" customHeight="1">
      <c r="A54" s="6">
        <f t="shared" si="5"/>
        <v>42</v>
      </c>
      <c r="B54" s="115" t="s">
        <v>63</v>
      </c>
      <c r="C54" s="115"/>
      <c r="D54" s="24">
        <f>'SEF-3 p4 ERF Summary'!G55</f>
        <v>-2089627313.6063037</v>
      </c>
      <c r="E54" s="17"/>
      <c r="F54" s="17">
        <f>+'SEF-3 p7+ ERF Adj Pages'!J25</f>
        <v>-8894287.2539917286</v>
      </c>
      <c r="G54" s="17"/>
      <c r="H54" s="17"/>
      <c r="I54" s="17"/>
      <c r="J54" s="17"/>
      <c r="K54" s="17"/>
      <c r="L54" s="119">
        <f t="shared" si="7"/>
        <v>-8894287.2539917286</v>
      </c>
      <c r="M54" s="119">
        <f t="shared" si="8"/>
        <v>-2098521600.8602955</v>
      </c>
      <c r="N54" s="3"/>
      <c r="O54" s="114"/>
      <c r="P54" s="114"/>
      <c r="Q54" s="114"/>
      <c r="R54" s="114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" customHeight="1">
      <c r="A55" s="6">
        <f t="shared" si="5"/>
        <v>43</v>
      </c>
      <c r="B55" s="5" t="s">
        <v>85</v>
      </c>
      <c r="D55" s="24">
        <f>'SEF-3 p4 ERF Summary'!G56</f>
        <v>51864852.786000133</v>
      </c>
      <c r="E55" s="17"/>
      <c r="F55" s="17"/>
      <c r="G55" s="17"/>
      <c r="H55" s="17"/>
      <c r="I55" s="17"/>
      <c r="J55" s="17"/>
      <c r="K55" s="17"/>
      <c r="L55" s="119">
        <f t="shared" si="7"/>
        <v>0</v>
      </c>
      <c r="M55" s="119">
        <f t="shared" si="8"/>
        <v>51864852.786000133</v>
      </c>
      <c r="N55" s="3"/>
      <c r="O55" s="114"/>
      <c r="P55" s="114"/>
      <c r="Q55" s="114"/>
      <c r="R55" s="114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" customHeight="1">
      <c r="A56" s="6">
        <f t="shared" si="5"/>
        <v>44</v>
      </c>
      <c r="B56" s="5" t="s">
        <v>198</v>
      </c>
      <c r="D56" s="24">
        <f>'SEF-3 p4 ERF Summary'!G57</f>
        <v>-869343740.0656836</v>
      </c>
      <c r="E56" s="17"/>
      <c r="F56" s="17">
        <f>+'SEF-3 p7+ ERF Adj Pages'!J26</f>
        <v>1867800.3233382625</v>
      </c>
      <c r="G56" s="17"/>
      <c r="H56" s="17"/>
      <c r="I56" s="17"/>
      <c r="J56" s="17"/>
      <c r="K56" s="17"/>
      <c r="L56" s="119">
        <f t="shared" si="7"/>
        <v>1867800.3233382625</v>
      </c>
      <c r="M56" s="119">
        <f t="shared" si="8"/>
        <v>-867475939.74234533</v>
      </c>
      <c r="N56" s="3"/>
      <c r="O56" s="114"/>
      <c r="P56" s="114"/>
      <c r="Q56" s="114"/>
      <c r="R56" s="114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" customHeight="1">
      <c r="A57" s="6">
        <f t="shared" si="5"/>
        <v>45</v>
      </c>
      <c r="B57" s="5" t="s">
        <v>55</v>
      </c>
      <c r="D57" s="24">
        <f>'SEF-3 p4 ERF Summary'!G58</f>
        <v>173252695.94745985</v>
      </c>
      <c r="E57" s="17"/>
      <c r="F57" s="17"/>
      <c r="G57" s="17"/>
      <c r="H57" s="17"/>
      <c r="I57" s="17"/>
      <c r="J57" s="17"/>
      <c r="K57" s="17"/>
      <c r="L57" s="119">
        <f t="shared" si="7"/>
        <v>0</v>
      </c>
      <c r="M57" s="119">
        <f t="shared" si="8"/>
        <v>173252695.94745985</v>
      </c>
      <c r="N57" s="3"/>
      <c r="O57" s="114"/>
      <c r="P57" s="114"/>
      <c r="Q57" s="114"/>
      <c r="R57" s="114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" customHeight="1">
      <c r="A58" s="6">
        <f t="shared" si="5"/>
        <v>46</v>
      </c>
      <c r="B58" s="5" t="s">
        <v>54</v>
      </c>
      <c r="D58" s="24">
        <f>'SEF-3 p4 ERF Summary'!G59</f>
        <v>-103729671.521424</v>
      </c>
      <c r="E58" s="17"/>
      <c r="F58" s="17"/>
      <c r="G58" s="17"/>
      <c r="H58" s="17"/>
      <c r="I58" s="17"/>
      <c r="J58" s="17"/>
      <c r="K58" s="17"/>
      <c r="L58" s="119">
        <f t="shared" si="7"/>
        <v>0</v>
      </c>
      <c r="M58" s="119">
        <f t="shared" si="8"/>
        <v>-103729671.521424</v>
      </c>
      <c r="N58" s="3"/>
      <c r="O58" s="114"/>
      <c r="P58" s="114"/>
      <c r="Q58" s="114"/>
      <c r="R58" s="114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" customHeight="1" thickBot="1">
      <c r="A59" s="6">
        <f t="shared" si="5"/>
        <v>47</v>
      </c>
      <c r="B59" s="5" t="s">
        <v>56</v>
      </c>
      <c r="D59" s="84">
        <f t="shared" ref="D59:K59" si="9">SUM(D53:D58)</f>
        <v>3152320963.093257</v>
      </c>
      <c r="E59" s="84">
        <f t="shared" si="9"/>
        <v>0</v>
      </c>
      <c r="F59" s="84">
        <f>SUM(F53:F58)</f>
        <v>-7026486.9306534659</v>
      </c>
      <c r="G59" s="84">
        <f t="shared" si="9"/>
        <v>0</v>
      </c>
      <c r="H59" s="84">
        <f t="shared" si="9"/>
        <v>0</v>
      </c>
      <c r="I59" s="84">
        <f t="shared" si="9"/>
        <v>0</v>
      </c>
      <c r="J59" s="84">
        <f t="shared" si="9"/>
        <v>0</v>
      </c>
      <c r="K59" s="84">
        <f t="shared" si="9"/>
        <v>0</v>
      </c>
      <c r="L59" s="84">
        <f t="shared" si="7"/>
        <v>-7026486.9306534659</v>
      </c>
      <c r="M59" s="84">
        <f>SUM(M53:M58)</f>
        <v>3145294476.1626039</v>
      </c>
      <c r="N59" s="3"/>
      <c r="O59" s="114"/>
      <c r="P59" s="114"/>
      <c r="Q59" s="114"/>
      <c r="R59" s="114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customFormat="1" ht="20.25" customHeight="1" thickTop="1"/>
    <row r="61" spans="1:29" customFormat="1"/>
    <row r="62" spans="1:29" customFormat="1"/>
    <row r="63" spans="1:29" customFormat="1"/>
    <row r="64" spans="1:29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s="47" customFormat="1"/>
    <row r="84" s="47" customFormat="1"/>
    <row r="85" s="47" customFormat="1"/>
    <row r="86" s="47" customFormat="1"/>
    <row r="87" s="47" customFormat="1"/>
    <row r="88" s="47" customFormat="1"/>
  </sheetData>
  <pageMargins left="0.2" right="0.23" top="1" bottom="0.83" header="0.24" footer="0.31"/>
  <pageSetup scale="63" fitToHeight="0" orientation="landscape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zoomScale="90" zoomScaleNormal="90" workbookViewId="0">
      <selection activeCell="A3" sqref="A3"/>
    </sheetView>
  </sheetViews>
  <sheetFormatPr defaultRowHeight="12.75"/>
  <cols>
    <col min="1" max="1" width="5.42578125" style="78" bestFit="1" customWidth="1"/>
    <col min="2" max="2" width="85.85546875" style="78" customWidth="1"/>
    <col min="3" max="3" width="15.85546875" style="78" customWidth="1"/>
    <col min="4" max="4" width="16.28515625" style="78" customWidth="1"/>
    <col min="5" max="5" width="16" style="78" bestFit="1" customWidth="1"/>
    <col min="6" max="6" width="6" style="5" bestFit="1" customWidth="1"/>
    <col min="7" max="7" width="84" style="5" customWidth="1"/>
    <col min="8" max="8" width="16.7109375" style="5" customWidth="1"/>
    <col min="9" max="9" width="17.7109375" style="5" customWidth="1"/>
    <col min="10" max="10" width="16.7109375" style="5" customWidth="1"/>
    <col min="11" max="11" width="5.85546875" style="78" customWidth="1"/>
    <col min="12" max="12" width="87.28515625" style="78" customWidth="1"/>
    <col min="13" max="13" width="1.140625" style="78" customWidth="1"/>
    <col min="14" max="14" width="15.42578125" style="78" customWidth="1"/>
    <col min="15" max="15" width="5.42578125" style="5" bestFit="1" customWidth="1"/>
    <col min="16" max="16" width="71.28515625" style="5" customWidth="1"/>
    <col min="17" max="17" width="20" style="5" customWidth="1"/>
    <col min="18" max="18" width="15" style="5" customWidth="1"/>
    <col min="19" max="19" width="6.85546875" style="5" customWidth="1"/>
    <col min="20" max="20" width="80.85546875" style="5" customWidth="1"/>
    <col min="21" max="21" width="9.85546875" style="5" customWidth="1"/>
    <col min="22" max="22" width="15.5703125" style="5" bestFit="1" customWidth="1"/>
    <col min="23" max="23" width="18.5703125" style="5" bestFit="1" customWidth="1"/>
    <col min="24" max="24" width="6.5703125" style="78" bestFit="1" customWidth="1"/>
    <col min="25" max="25" width="65.42578125" style="78" customWidth="1"/>
    <col min="26" max="26" width="15.5703125" style="78" customWidth="1"/>
    <col min="27" max="27" width="15.7109375" style="78" customWidth="1"/>
    <col min="28" max="28" width="16.28515625" style="78" bestFit="1" customWidth="1"/>
    <col min="29" max="29" width="6.85546875" style="5" customWidth="1"/>
    <col min="30" max="30" width="62.85546875" style="5" customWidth="1"/>
    <col min="31" max="31" width="20" style="5" bestFit="1" customWidth="1"/>
    <col min="32" max="32" width="19.28515625" style="5" bestFit="1" customWidth="1"/>
    <col min="33" max="33" width="17.5703125" style="5" bestFit="1" customWidth="1"/>
    <col min="34" max="16384" width="9.140625" style="78"/>
  </cols>
  <sheetData>
    <row r="1" spans="1:34" ht="15.75">
      <c r="E1" s="324" t="str">
        <f>k_ExhNo</f>
        <v>Exh. SEF-3</v>
      </c>
      <c r="F1" s="224"/>
      <c r="G1" s="224"/>
      <c r="H1" s="224"/>
      <c r="I1" s="78"/>
      <c r="J1" s="324" t="str">
        <f>k_ExhNo</f>
        <v>Exh. SEF-3</v>
      </c>
      <c r="K1" s="224"/>
      <c r="L1" s="224"/>
      <c r="M1" s="224"/>
      <c r="N1" s="324" t="str">
        <f>k_ExhNo</f>
        <v>Exh. SEF-3</v>
      </c>
      <c r="O1" s="78"/>
      <c r="P1" s="78"/>
      <c r="Q1" s="78"/>
      <c r="R1" s="324" t="str">
        <f>k_ExhNo</f>
        <v>Exh. SEF-3</v>
      </c>
      <c r="S1" s="78"/>
      <c r="T1" s="224"/>
      <c r="U1" s="224"/>
      <c r="V1" s="224"/>
      <c r="W1" s="324" t="str">
        <f>k_ExhNo</f>
        <v>Exh. SEF-3</v>
      </c>
      <c r="AB1" s="324" t="str">
        <f>k_ExhNo</f>
        <v>Exh. SEF-3</v>
      </c>
      <c r="AC1" s="78"/>
      <c r="AD1" s="78"/>
      <c r="AE1" s="78"/>
      <c r="AF1" s="78"/>
      <c r="AG1" s="324" t="str">
        <f>k_ExhNo</f>
        <v>Exh. SEF-3</v>
      </c>
    </row>
    <row r="2" spans="1:34" ht="15.75">
      <c r="A2" s="28"/>
      <c r="B2" s="5"/>
      <c r="C2" s="5"/>
      <c r="D2" s="5"/>
      <c r="E2" s="324" t="s">
        <v>251</v>
      </c>
      <c r="F2" s="28"/>
      <c r="G2" s="156"/>
      <c r="H2" s="156"/>
      <c r="I2" s="78"/>
      <c r="J2" s="324" t="s">
        <v>252</v>
      </c>
      <c r="K2" s="5"/>
      <c r="L2" s="5"/>
      <c r="M2" s="5"/>
      <c r="N2" s="324" t="s">
        <v>253</v>
      </c>
      <c r="O2" s="88"/>
      <c r="P2" s="88"/>
      <c r="Q2" s="88"/>
      <c r="R2" s="324" t="s">
        <v>254</v>
      </c>
      <c r="S2" s="78"/>
      <c r="T2" s="28"/>
      <c r="U2" s="193"/>
      <c r="V2" s="193"/>
      <c r="W2" s="324" t="s">
        <v>255</v>
      </c>
      <c r="AB2" s="324" t="s">
        <v>256</v>
      </c>
      <c r="AC2" s="78"/>
      <c r="AD2" s="78"/>
      <c r="AE2" s="78"/>
      <c r="AF2" s="78"/>
      <c r="AG2" s="324" t="s">
        <v>257</v>
      </c>
    </row>
    <row r="3" spans="1:34" ht="14.25" customHeight="1" thickBot="1">
      <c r="A3"/>
      <c r="B3" s="5"/>
      <c r="C3" s="5"/>
      <c r="D3" s="5"/>
      <c r="E3" s="1"/>
      <c r="G3" s="152"/>
      <c r="H3" s="152"/>
      <c r="I3" s="152"/>
      <c r="J3" s="1"/>
      <c r="K3" s="5"/>
      <c r="L3" s="5"/>
      <c r="M3" s="5"/>
      <c r="N3" s="1"/>
      <c r="R3" s="1"/>
      <c r="W3" s="1"/>
      <c r="X3" s="5"/>
      <c r="Y3" s="5"/>
      <c r="Z3" s="5"/>
      <c r="AA3" s="29"/>
      <c r="AB3" s="1"/>
      <c r="AC3" s="1"/>
      <c r="AD3" s="1"/>
      <c r="AE3" s="1"/>
      <c r="AF3" s="1"/>
      <c r="AG3" s="1"/>
    </row>
    <row r="4" spans="1:34" s="183" customFormat="1" ht="18" customHeight="1" thickBot="1">
      <c r="A4"/>
      <c r="B4" s="112"/>
      <c r="C4" s="112"/>
      <c r="D4" s="112"/>
      <c r="E4" s="184" t="str">
        <f>+'SEF-3 p6 ERF Adj Summary'!E11</f>
        <v>Ref 3.05</v>
      </c>
      <c r="F4" s="85"/>
      <c r="G4" s="85"/>
      <c r="H4" s="85"/>
      <c r="I4" s="85"/>
      <c r="J4" s="184" t="str">
        <f>+'SEF-3 p6 ERF Adj Summary'!F11</f>
        <v>Ref 3.06</v>
      </c>
      <c r="K4" s="85"/>
      <c r="L4" s="85"/>
      <c r="M4" s="85"/>
      <c r="N4" s="184" t="str">
        <f>+'SEF-3 p6 ERF Adj Summary'!G11</f>
        <v>Ref 3.07</v>
      </c>
      <c r="O4" s="85"/>
      <c r="P4" s="85"/>
      <c r="Q4" s="85"/>
      <c r="R4" s="184" t="str">
        <f>+'SEF-3 p6 ERF Adj Summary'!H11</f>
        <v>Ref 3.08</v>
      </c>
      <c r="S4" s="85"/>
      <c r="T4" s="85"/>
      <c r="U4" s="85"/>
      <c r="V4" s="85"/>
      <c r="W4" s="184" t="str">
        <f>+'SEF-3 p6 ERF Adj Summary'!I11</f>
        <v>Ref 3.09</v>
      </c>
      <c r="X4" s="6"/>
      <c r="Y4" s="6"/>
      <c r="Z4" s="6"/>
      <c r="AB4" s="184" t="str">
        <f>+'SEF-3 p6 ERF Adj Summary'!J11</f>
        <v>Ref 3.10</v>
      </c>
      <c r="AC4" s="192"/>
      <c r="AD4" s="192"/>
      <c r="AE4" s="192"/>
      <c r="AF4" s="192"/>
      <c r="AG4" s="184" t="str">
        <f>+'SEF-3 p6 ERF Adj Summary'!K11</f>
        <v>Ref 3.11</v>
      </c>
    </row>
    <row r="5" spans="1:34" s="29" customFormat="1" ht="17.25" customHeight="1">
      <c r="A5"/>
      <c r="B5" s="94" t="s">
        <v>131</v>
      </c>
      <c r="C5" s="11"/>
      <c r="D5" s="11"/>
      <c r="E5" s="11"/>
      <c r="F5" s="94" t="s">
        <v>131</v>
      </c>
      <c r="G5" s="11"/>
      <c r="H5" s="11"/>
      <c r="I5" s="11"/>
      <c r="J5" s="20"/>
      <c r="K5" s="94" t="s">
        <v>131</v>
      </c>
      <c r="L5" s="11"/>
      <c r="M5" s="11"/>
      <c r="N5" s="180"/>
      <c r="O5" s="94" t="s">
        <v>131</v>
      </c>
      <c r="P5" s="11"/>
      <c r="Q5" s="11"/>
      <c r="R5" s="11"/>
      <c r="S5" s="94" t="s">
        <v>131</v>
      </c>
      <c r="T5" s="11"/>
      <c r="U5" s="11"/>
      <c r="V5" s="11"/>
      <c r="W5" s="11"/>
      <c r="X5" s="94" t="s">
        <v>131</v>
      </c>
      <c r="Y5" s="11"/>
      <c r="Z5" s="11"/>
      <c r="AA5" s="11"/>
      <c r="AB5" s="20"/>
      <c r="AC5" s="94" t="s">
        <v>57</v>
      </c>
      <c r="AD5" s="11"/>
      <c r="AE5" s="11"/>
      <c r="AF5" s="11"/>
      <c r="AG5" s="11"/>
    </row>
    <row r="6" spans="1:34" s="29" customFormat="1" ht="15.75" customHeight="1">
      <c r="B6" s="182" t="s">
        <v>130</v>
      </c>
      <c r="C6" s="95"/>
      <c r="D6" s="95"/>
      <c r="E6" s="95"/>
      <c r="F6" s="182" t="s">
        <v>129</v>
      </c>
      <c r="G6" s="11"/>
      <c r="H6" s="11"/>
      <c r="I6" s="11"/>
      <c r="J6" s="95"/>
      <c r="K6" s="182" t="s">
        <v>206</v>
      </c>
      <c r="L6" s="11"/>
      <c r="M6" s="11"/>
      <c r="N6" s="180"/>
      <c r="O6" s="182" t="s">
        <v>128</v>
      </c>
      <c r="P6" s="11"/>
      <c r="Q6" s="11"/>
      <c r="R6" s="11"/>
      <c r="S6" s="181" t="s">
        <v>127</v>
      </c>
      <c r="T6" s="11"/>
      <c r="U6" s="11"/>
      <c r="V6" s="11"/>
      <c r="W6" s="95"/>
      <c r="X6" s="181" t="s">
        <v>126</v>
      </c>
      <c r="Y6" s="11"/>
      <c r="Z6" s="11"/>
      <c r="AA6" s="11"/>
      <c r="AB6" s="11"/>
      <c r="AC6" s="181" t="s">
        <v>133</v>
      </c>
      <c r="AD6" s="11"/>
      <c r="AE6" s="11"/>
      <c r="AF6" s="11"/>
      <c r="AG6" s="11"/>
    </row>
    <row r="7" spans="1:34" ht="18" customHeight="1">
      <c r="B7" s="94" t="s">
        <v>135</v>
      </c>
      <c r="C7" s="11"/>
      <c r="D7" s="11"/>
      <c r="E7" s="12"/>
      <c r="F7" s="94" t="str">
        <f>B7</f>
        <v>FOR THE TWELVE MONTHS ENDED MARCH 31, 2018</v>
      </c>
      <c r="G7" s="11"/>
      <c r="H7" s="11"/>
      <c r="I7" s="11"/>
      <c r="J7" s="12"/>
      <c r="K7" s="94" t="str">
        <f>$B$7</f>
        <v>FOR THE TWELVE MONTHS ENDED MARCH 31, 2018</v>
      </c>
      <c r="L7" s="11"/>
      <c r="M7" s="11"/>
      <c r="N7" s="180"/>
      <c r="O7" s="94" t="str">
        <f>$B$7</f>
        <v>FOR THE TWELVE MONTHS ENDED MARCH 31, 2018</v>
      </c>
      <c r="P7" s="11"/>
      <c r="Q7" s="11"/>
      <c r="R7" s="11"/>
      <c r="S7" s="94" t="str">
        <f>$B$7</f>
        <v>FOR THE TWELVE MONTHS ENDED MARCH 31, 2018</v>
      </c>
      <c r="T7" s="11"/>
      <c r="U7" s="11"/>
      <c r="V7" s="11"/>
      <c r="W7" s="12"/>
      <c r="X7" s="345" t="s">
        <v>135</v>
      </c>
      <c r="Y7" s="345"/>
      <c r="Z7" s="345"/>
      <c r="AA7" s="345"/>
      <c r="AB7" s="345"/>
      <c r="AC7" s="94" t="str">
        <f>$B$7</f>
        <v>FOR THE TWELVE MONTHS ENDED MARCH 31, 2018</v>
      </c>
      <c r="AD7" s="11"/>
      <c r="AE7" s="11"/>
      <c r="AF7" s="11"/>
      <c r="AG7" s="11"/>
    </row>
    <row r="8" spans="1:34" ht="15.75">
      <c r="B8" s="94" t="s">
        <v>154</v>
      </c>
      <c r="C8" s="11"/>
      <c r="D8" s="11"/>
      <c r="E8" s="11"/>
      <c r="F8" s="94" t="str">
        <f>B8</f>
        <v>EXPEDITED RATE FILING</v>
      </c>
      <c r="G8" s="11"/>
      <c r="H8" s="11"/>
      <c r="I8" s="94"/>
      <c r="J8" s="12"/>
      <c r="K8" s="94" t="str">
        <f>$B$8</f>
        <v>EXPEDITED RATE FILING</v>
      </c>
      <c r="L8" s="11"/>
      <c r="M8" s="94"/>
      <c r="N8" s="179"/>
      <c r="O8" s="94" t="str">
        <f>$B$8</f>
        <v>EXPEDITED RATE FILING</v>
      </c>
      <c r="P8" s="11"/>
      <c r="Q8" s="11"/>
      <c r="R8" s="11"/>
      <c r="S8" s="94" t="str">
        <f>$B$8</f>
        <v>EXPEDITED RATE FILING</v>
      </c>
      <c r="T8" s="11"/>
      <c r="U8" s="11"/>
      <c r="V8" s="11"/>
      <c r="W8" s="11"/>
      <c r="X8" s="346" t="str">
        <f>+S8</f>
        <v>EXPEDITED RATE FILING</v>
      </c>
      <c r="Y8" s="346"/>
      <c r="Z8" s="346"/>
      <c r="AA8" s="346"/>
      <c r="AB8" s="346"/>
      <c r="AC8" s="94" t="str">
        <f>$B$8</f>
        <v>EXPEDITED RATE FILING</v>
      </c>
      <c r="AD8" s="11"/>
      <c r="AE8" s="11"/>
      <c r="AF8" s="11"/>
      <c r="AG8" s="11"/>
    </row>
    <row r="9" spans="1:34" ht="13.5" customHeight="1">
      <c r="A9" s="28"/>
      <c r="B9" s="28"/>
      <c r="C9" s="28"/>
      <c r="D9" s="28"/>
      <c r="E9" s="28"/>
      <c r="F9" s="28"/>
      <c r="G9" s="177"/>
      <c r="H9" s="177"/>
      <c r="I9" s="174"/>
      <c r="J9" s="174"/>
      <c r="K9" s="28"/>
      <c r="L9" s="179"/>
      <c r="M9" s="96"/>
      <c r="N9" s="178"/>
      <c r="O9" s="28"/>
      <c r="P9" s="28"/>
      <c r="Q9" s="28"/>
      <c r="R9" s="28"/>
      <c r="S9" s="176"/>
      <c r="T9" s="96"/>
      <c r="U9" s="96"/>
      <c r="V9" s="28"/>
      <c r="W9" s="28"/>
      <c r="X9" s="5"/>
      <c r="Y9" s="5"/>
      <c r="Z9" s="5"/>
      <c r="AA9" s="5"/>
      <c r="AB9" s="5"/>
      <c r="AC9" s="28"/>
      <c r="AD9" s="96"/>
      <c r="AE9" s="96"/>
      <c r="AF9" s="96"/>
      <c r="AG9" s="28"/>
    </row>
    <row r="10" spans="1:34" ht="13.5">
      <c r="A10" s="225" t="s">
        <v>32</v>
      </c>
      <c r="B10" s="172"/>
      <c r="C10" s="172"/>
      <c r="D10" s="172"/>
      <c r="E10" s="172"/>
      <c r="F10" s="126" t="s">
        <v>32</v>
      </c>
      <c r="G10" s="174"/>
      <c r="H10" s="126"/>
      <c r="I10" s="174"/>
      <c r="J10" s="174"/>
      <c r="K10" s="85" t="s">
        <v>32</v>
      </c>
      <c r="L10" s="28"/>
      <c r="M10" s="5"/>
      <c r="N10" s="175"/>
      <c r="O10" s="79" t="s">
        <v>32</v>
      </c>
      <c r="P10" s="96"/>
      <c r="Q10" s="96"/>
      <c r="R10" s="28"/>
      <c r="S10" s="126" t="s">
        <v>32</v>
      </c>
      <c r="T10" s="28"/>
      <c r="U10" s="28"/>
      <c r="V10" s="28"/>
      <c r="W10" s="173"/>
      <c r="X10" s="28" t="s">
        <v>32</v>
      </c>
      <c r="Y10" s="28"/>
      <c r="Z10" s="28"/>
      <c r="AA10" s="28"/>
      <c r="AB10" s="28"/>
      <c r="AC10" s="79" t="s">
        <v>32</v>
      </c>
      <c r="AD10" s="96"/>
      <c r="AE10" s="96"/>
      <c r="AF10" s="96"/>
      <c r="AG10" s="126"/>
    </row>
    <row r="11" spans="1:34" ht="15" customHeight="1">
      <c r="A11" s="226" t="s">
        <v>34</v>
      </c>
      <c r="B11" s="227" t="s">
        <v>35</v>
      </c>
      <c r="C11" s="228" t="s">
        <v>89</v>
      </c>
      <c r="D11" s="228" t="s">
        <v>36</v>
      </c>
      <c r="E11" s="228" t="s">
        <v>37</v>
      </c>
      <c r="F11" s="164" t="s">
        <v>34</v>
      </c>
      <c r="G11" s="167" t="s">
        <v>35</v>
      </c>
      <c r="H11" s="164" t="s">
        <v>89</v>
      </c>
      <c r="I11" s="164" t="s">
        <v>36</v>
      </c>
      <c r="J11" s="169" t="s">
        <v>37</v>
      </c>
      <c r="K11" s="164" t="s">
        <v>34</v>
      </c>
      <c r="L11" s="168" t="s">
        <v>35</v>
      </c>
      <c r="M11" s="143"/>
      <c r="N11" s="170" t="s">
        <v>87</v>
      </c>
      <c r="O11" s="166" t="s">
        <v>34</v>
      </c>
      <c r="P11" s="163" t="s">
        <v>35</v>
      </c>
      <c r="Q11" s="163"/>
      <c r="R11" s="164" t="s">
        <v>87</v>
      </c>
      <c r="S11" s="164" t="s">
        <v>34</v>
      </c>
      <c r="T11" s="163" t="s">
        <v>35</v>
      </c>
      <c r="U11" s="163"/>
      <c r="V11" s="164"/>
      <c r="W11" s="165" t="s">
        <v>87</v>
      </c>
      <c r="X11" s="163" t="s">
        <v>34</v>
      </c>
      <c r="Y11" s="163" t="s">
        <v>35</v>
      </c>
      <c r="Z11" s="164" t="s">
        <v>89</v>
      </c>
      <c r="AA11" s="164" t="s">
        <v>36</v>
      </c>
      <c r="AB11" s="164" t="s">
        <v>37</v>
      </c>
      <c r="AC11" s="166" t="s">
        <v>34</v>
      </c>
      <c r="AD11" s="163" t="s">
        <v>35</v>
      </c>
      <c r="AE11" s="164" t="s">
        <v>123</v>
      </c>
      <c r="AF11" s="164" t="s">
        <v>120</v>
      </c>
      <c r="AG11" s="164" t="s">
        <v>87</v>
      </c>
    </row>
    <row r="12" spans="1:34" s="89" customFormat="1" ht="17.100000000000001" customHeight="1">
      <c r="A12" s="229"/>
      <c r="B12" s="229"/>
      <c r="C12" s="229"/>
      <c r="D12" s="229"/>
      <c r="E12" s="229"/>
      <c r="F12" s="9"/>
      <c r="G12" s="7"/>
      <c r="H12" s="13"/>
      <c r="I12" s="13"/>
      <c r="J12" s="13"/>
      <c r="K12" s="9"/>
      <c r="L12" s="5"/>
      <c r="M12" s="97"/>
      <c r="N12" s="152"/>
      <c r="O12" s="5"/>
      <c r="P12" s="5"/>
      <c r="Q12" s="5"/>
      <c r="R12" s="5"/>
      <c r="S12" s="5"/>
      <c r="T12" s="5"/>
      <c r="U12" s="5"/>
      <c r="V12" s="14"/>
      <c r="W12" s="14"/>
      <c r="X12" s="118"/>
      <c r="Y12" s="128"/>
      <c r="Z12" s="118"/>
      <c r="AA12" s="118"/>
      <c r="AB12" s="118"/>
      <c r="AC12" s="191"/>
      <c r="AD12" s="198"/>
      <c r="AE12" s="198"/>
      <c r="AF12" s="190"/>
      <c r="AG12" s="190"/>
    </row>
    <row r="13" spans="1:34" s="89" customFormat="1" ht="17.100000000000001" customHeight="1">
      <c r="A13" s="230">
        <v>1</v>
      </c>
      <c r="B13" s="171" t="s">
        <v>184</v>
      </c>
      <c r="C13" s="135"/>
      <c r="D13" s="135"/>
      <c r="E13" s="135"/>
      <c r="F13" s="6">
        <v>1</v>
      </c>
      <c r="G13" s="5" t="s">
        <v>125</v>
      </c>
      <c r="H13" s="160">
        <v>118884921.15000002</v>
      </c>
      <c r="I13" s="160">
        <v>129070689.27310807</v>
      </c>
      <c r="J13" s="160">
        <f>I13-H13</f>
        <v>10185768.123108044</v>
      </c>
      <c r="K13" s="6">
        <v>1</v>
      </c>
      <c r="L13" s="97" t="s">
        <v>231</v>
      </c>
      <c r="M13" s="97"/>
      <c r="N13" s="18">
        <f>SUM('SEF-3 p6 ERF Adj Summary'!D46:F46,'SEF-3 p6 ERF Adj Summary'!H46:K46)</f>
        <v>179136369.61256045</v>
      </c>
      <c r="O13" s="129" t="s">
        <v>45</v>
      </c>
      <c r="P13" s="273" t="s">
        <v>209</v>
      </c>
      <c r="Q13" s="135"/>
      <c r="R13" s="140">
        <v>-2266166.8500000029</v>
      </c>
      <c r="S13" s="6">
        <v>1</v>
      </c>
      <c r="T13" s="319" t="s">
        <v>180</v>
      </c>
      <c r="U13" s="5"/>
      <c r="V13" s="161"/>
      <c r="W13" s="161"/>
      <c r="X13" s="14">
        <v>1</v>
      </c>
      <c r="Y13" s="19" t="s">
        <v>119</v>
      </c>
      <c r="Z13" s="245"/>
      <c r="AA13" s="245"/>
      <c r="AB13" s="245"/>
      <c r="AC13" s="6">
        <v>1</v>
      </c>
      <c r="AD13" s="242" t="s">
        <v>258</v>
      </c>
      <c r="AE13" s="155"/>
      <c r="AF13" s="188"/>
      <c r="AG13" s="188"/>
    </row>
    <row r="14" spans="1:34" s="89" customFormat="1" ht="17.100000000000001" customHeight="1">
      <c r="A14" s="230">
        <v>2</v>
      </c>
      <c r="B14" s="323" t="s">
        <v>243</v>
      </c>
      <c r="C14" s="314">
        <v>0</v>
      </c>
      <c r="D14" s="314">
        <v>8377053.4500000002</v>
      </c>
      <c r="E14" s="315">
        <f>D14-C14</f>
        <v>8377053.4500000002</v>
      </c>
      <c r="F14" s="6">
        <f t="shared" ref="F14:F28" si="0">F13+1</f>
        <v>2</v>
      </c>
      <c r="G14" s="7" t="s">
        <v>124</v>
      </c>
      <c r="H14" s="116">
        <v>12442844.496207999</v>
      </c>
      <c r="I14" s="116">
        <v>11151363.627091683</v>
      </c>
      <c r="J14" s="116">
        <f>+I14-H14</f>
        <v>-1291480.8691163156</v>
      </c>
      <c r="K14" s="6">
        <f t="shared" ref="K14:K29" si="1">K13+1</f>
        <v>2</v>
      </c>
      <c r="L14" s="15" t="s">
        <v>160</v>
      </c>
      <c r="M14" s="139"/>
      <c r="N14" s="35"/>
      <c r="O14" s="129">
        <f t="shared" ref="O14:O26" si="2">1+O13</f>
        <v>2</v>
      </c>
      <c r="P14" s="273" t="s">
        <v>210</v>
      </c>
      <c r="Q14" s="135"/>
      <c r="R14" s="127">
        <v>-25063.219999999623</v>
      </c>
      <c r="S14" s="6">
        <f t="shared" ref="S14:S32" si="3">S13+1</f>
        <v>2</v>
      </c>
      <c r="T14" s="249" t="s">
        <v>236</v>
      </c>
      <c r="U14" s="7"/>
      <c r="V14" s="33"/>
      <c r="W14" s="3"/>
      <c r="X14" s="14">
        <f>X13+1</f>
        <v>2</v>
      </c>
      <c r="Y14" s="21" t="s">
        <v>177</v>
      </c>
      <c r="Z14" s="162">
        <v>525877.11903616134</v>
      </c>
      <c r="AA14" s="162">
        <v>2472628.4382958785</v>
      </c>
      <c r="AB14" s="162">
        <f>+AA14-Z14</f>
        <v>1946751.3192597171</v>
      </c>
      <c r="AC14" s="6">
        <f t="shared" ref="AC14:AC36" si="4">AC13+1</f>
        <v>2</v>
      </c>
      <c r="AD14" s="249" t="s">
        <v>236</v>
      </c>
      <c r="AE14" s="10"/>
      <c r="AF14" s="10"/>
      <c r="AG14" s="10"/>
      <c r="AH14" s="128"/>
    </row>
    <row r="15" spans="1:34" s="89" customFormat="1" ht="17.100000000000001" customHeight="1">
      <c r="A15" s="230">
        <v>3</v>
      </c>
      <c r="B15" s="323" t="s">
        <v>185</v>
      </c>
      <c r="C15" s="127">
        <v>831092493.46497273</v>
      </c>
      <c r="D15" s="127">
        <v>726073399.54999995</v>
      </c>
      <c r="E15" s="98">
        <f>D15-C15</f>
        <v>-105019093.91497278</v>
      </c>
      <c r="F15" s="6">
        <f t="shared" si="0"/>
        <v>3</v>
      </c>
      <c r="G15" s="7"/>
      <c r="H15" s="116"/>
      <c r="I15" s="116"/>
      <c r="J15" s="116"/>
      <c r="K15" s="6">
        <f t="shared" si="1"/>
        <v>3</v>
      </c>
      <c r="L15" s="139" t="s">
        <v>161</v>
      </c>
      <c r="M15" s="93" t="s">
        <v>30</v>
      </c>
      <c r="N15" s="24">
        <f>SUM('SEF-3 p6 ERF Adj Summary'!D42:F42,'SEF-3 p6 ERF Adj Summary'!H42:K42)</f>
        <v>-10441436.641098209</v>
      </c>
      <c r="O15" s="129">
        <f t="shared" si="2"/>
        <v>3</v>
      </c>
      <c r="P15" s="273" t="s">
        <v>234</v>
      </c>
      <c r="Q15" s="5"/>
      <c r="R15" s="133">
        <f>SUM(R13:R14)</f>
        <v>-2291230.0700000026</v>
      </c>
      <c r="S15" s="6">
        <f t="shared" si="3"/>
        <v>3</v>
      </c>
      <c r="T15" s="224" t="s">
        <v>235</v>
      </c>
      <c r="U15" s="7"/>
      <c r="V15" s="44">
        <v>9689352.1799999997</v>
      </c>
      <c r="W15" s="127"/>
      <c r="X15" s="14">
        <f t="shared" ref="X15:X23" si="5">X14+1</f>
        <v>3</v>
      </c>
      <c r="Y15" s="21" t="s">
        <v>238</v>
      </c>
      <c r="Z15" s="246">
        <v>236127</v>
      </c>
      <c r="AA15" s="246">
        <v>828677.01230520185</v>
      </c>
      <c r="AB15" s="248">
        <f>+AA15-Z15</f>
        <v>592550.01230520185</v>
      </c>
      <c r="AC15" s="6">
        <f t="shared" si="4"/>
        <v>3</v>
      </c>
      <c r="AD15" s="154"/>
      <c r="AE15" s="189"/>
      <c r="AF15" s="128"/>
      <c r="AG15" s="128"/>
    </row>
    <row r="16" spans="1:34" s="89" customFormat="1" ht="17.100000000000001" customHeight="1">
      <c r="A16" s="230">
        <v>4</v>
      </c>
      <c r="B16" s="135" t="s">
        <v>155</v>
      </c>
      <c r="C16" s="133">
        <f>SUM(C14:C15)</f>
        <v>831092493.46497273</v>
      </c>
      <c r="D16" s="133">
        <f>SUM(D14:D15)</f>
        <v>734450453</v>
      </c>
      <c r="E16" s="133">
        <f>SUM(E14:E15)</f>
        <v>-96642040.464972779</v>
      </c>
      <c r="F16" s="6">
        <f t="shared" si="0"/>
        <v>4</v>
      </c>
      <c r="G16" s="7"/>
      <c r="H16" s="116"/>
      <c r="I16" s="116"/>
      <c r="J16" s="159"/>
      <c r="K16" s="6">
        <f t="shared" si="1"/>
        <v>4</v>
      </c>
      <c r="L16" s="139" t="s">
        <v>162</v>
      </c>
      <c r="M16" s="224"/>
      <c r="N16" s="24">
        <f>SUM('SEF-3 p6 ERF Adj Summary'!D43:F43,'SEF-3 p6 ERF Adj Summary'!H43:K43)</f>
        <v>64170813.645080276</v>
      </c>
      <c r="O16" s="129">
        <f t="shared" si="2"/>
        <v>4</v>
      </c>
      <c r="P16" s="5"/>
      <c r="Q16" s="5"/>
      <c r="R16" s="10"/>
      <c r="S16" s="6">
        <f t="shared" si="3"/>
        <v>4</v>
      </c>
      <c r="T16" s="135" t="s">
        <v>122</v>
      </c>
      <c r="U16" s="5"/>
      <c r="V16" s="33"/>
      <c r="W16" s="44">
        <f>V15/5</f>
        <v>1937870.436</v>
      </c>
      <c r="X16" s="14">
        <f t="shared" si="5"/>
        <v>4</v>
      </c>
      <c r="Y16" s="21"/>
      <c r="Z16" s="127"/>
      <c r="AA16" s="127"/>
      <c r="AB16" s="159"/>
      <c r="AC16" s="6">
        <f t="shared" si="4"/>
        <v>4</v>
      </c>
      <c r="AD16" s="154" t="s">
        <v>170</v>
      </c>
      <c r="AE16" s="321">
        <v>50185.88</v>
      </c>
      <c r="AF16" s="10"/>
      <c r="AG16" s="10"/>
    </row>
    <row r="17" spans="1:33" s="89" customFormat="1" ht="17.100000000000001" customHeight="1">
      <c r="A17" s="230">
        <v>5</v>
      </c>
      <c r="B17" s="154"/>
      <c r="C17" s="127"/>
      <c r="D17" s="127"/>
      <c r="E17" s="98"/>
      <c r="F17" s="6">
        <f t="shared" si="0"/>
        <v>5</v>
      </c>
      <c r="G17" s="7" t="s">
        <v>121</v>
      </c>
      <c r="H17" s="244">
        <f>SUM(H13:H16)</f>
        <v>131327765.64620802</v>
      </c>
      <c r="I17" s="244">
        <f>SUM(I13:I16)</f>
        <v>140222052.90019974</v>
      </c>
      <c r="J17" s="244">
        <f>SUM(J13:J16)</f>
        <v>8894287.2539917286</v>
      </c>
      <c r="K17" s="6">
        <f t="shared" si="1"/>
        <v>5</v>
      </c>
      <c r="L17" s="224" t="s">
        <v>163</v>
      </c>
      <c r="M17" s="224"/>
      <c r="N17" s="270">
        <f>SUM(N13:N16)</f>
        <v>232865746.61654252</v>
      </c>
      <c r="O17" s="129">
        <f t="shared" si="2"/>
        <v>5</v>
      </c>
      <c r="P17" s="26" t="s">
        <v>195</v>
      </c>
      <c r="Q17" s="10"/>
      <c r="R17" s="145">
        <f>R15/36*12</f>
        <v>-763743.3566666675</v>
      </c>
      <c r="S17" s="6">
        <f t="shared" si="3"/>
        <v>5</v>
      </c>
      <c r="T17" s="135"/>
      <c r="U17" s="5"/>
      <c r="V17" s="33"/>
      <c r="W17" s="10"/>
      <c r="X17" s="14">
        <f t="shared" si="5"/>
        <v>5</v>
      </c>
      <c r="Y17" s="21" t="s">
        <v>117</v>
      </c>
      <c r="Z17" s="68">
        <f>SUM(Z14:Z15)</f>
        <v>762004.11903616134</v>
      </c>
      <c r="AA17" s="68">
        <f>SUM(AA14:AA15)</f>
        <v>3301305.4506010804</v>
      </c>
      <c r="AB17" s="68">
        <f>SUM(AB14:AB15)</f>
        <v>2539301.3315649191</v>
      </c>
      <c r="AC17" s="6">
        <f t="shared" si="4"/>
        <v>5</v>
      </c>
      <c r="AD17" s="154" t="s">
        <v>171</v>
      </c>
      <c r="AE17" s="189">
        <v>18185672.66</v>
      </c>
      <c r="AF17" s="10"/>
      <c r="AG17" s="10"/>
    </row>
    <row r="18" spans="1:33" s="89" customFormat="1" ht="17.100000000000001" customHeight="1">
      <c r="A18" s="230">
        <v>6</v>
      </c>
      <c r="B18" s="171" t="s">
        <v>8</v>
      </c>
      <c r="C18" s="127"/>
      <c r="D18" s="127"/>
      <c r="E18" s="98"/>
      <c r="F18" s="6">
        <f t="shared" si="0"/>
        <v>6</v>
      </c>
      <c r="G18" s="7"/>
      <c r="H18" s="158"/>
      <c r="I18" s="158"/>
      <c r="J18" s="158"/>
      <c r="K18" s="6">
        <f t="shared" si="1"/>
        <v>6</v>
      </c>
      <c r="L18" s="224"/>
      <c r="M18" s="224"/>
      <c r="N18" s="224"/>
      <c r="O18" s="129">
        <f t="shared" si="2"/>
        <v>6</v>
      </c>
      <c r="P18" s="7"/>
      <c r="Q18" s="10"/>
      <c r="R18" s="127"/>
      <c r="S18" s="6">
        <f t="shared" si="3"/>
        <v>6</v>
      </c>
      <c r="T18" s="319" t="s">
        <v>181</v>
      </c>
      <c r="U18" s="37"/>
      <c r="V18" s="5"/>
      <c r="W18" s="10"/>
      <c r="X18" s="14">
        <f t="shared" si="5"/>
        <v>6</v>
      </c>
      <c r="Y18" s="21"/>
      <c r="Z18" s="26"/>
      <c r="AA18" s="26"/>
      <c r="AB18" s="26"/>
      <c r="AC18" s="6">
        <f>AC17+1</f>
        <v>6</v>
      </c>
      <c r="AD18" s="154" t="s">
        <v>172</v>
      </c>
      <c r="AE18" s="189">
        <v>24157767.119999997</v>
      </c>
      <c r="AF18" s="10"/>
      <c r="AG18" s="10"/>
    </row>
    <row r="19" spans="1:33" s="89" customFormat="1" ht="17.100000000000001" customHeight="1">
      <c r="A19" s="230">
        <v>7</v>
      </c>
      <c r="B19" s="323" t="s">
        <v>186</v>
      </c>
      <c r="C19" s="127">
        <v>8377053.4500000002</v>
      </c>
      <c r="D19" s="127"/>
      <c r="E19" s="98">
        <f>D19-C19</f>
        <v>-8377053.4500000002</v>
      </c>
      <c r="F19" s="6">
        <f t="shared" si="0"/>
        <v>7</v>
      </c>
      <c r="G19" s="33" t="s">
        <v>113</v>
      </c>
      <c r="H19" s="33"/>
      <c r="I19" s="33"/>
      <c r="J19" s="144">
        <f>J17</f>
        <v>8894287.2539917286</v>
      </c>
      <c r="K19" s="6">
        <f t="shared" si="1"/>
        <v>7</v>
      </c>
      <c r="L19" s="224" t="s">
        <v>164</v>
      </c>
      <c r="M19" s="50" t="s">
        <v>30</v>
      </c>
      <c r="N19" s="153">
        <f>'SEF-3 p2 ERF ROR'!E19*'SEF-3 p4 ERF Summary'!I60</f>
        <v>90584480.913482994</v>
      </c>
      <c r="O19" s="129">
        <f t="shared" si="2"/>
        <v>7</v>
      </c>
      <c r="P19" s="224" t="s">
        <v>208</v>
      </c>
      <c r="Q19" s="10"/>
      <c r="R19" s="130">
        <v>-575409.43999999994</v>
      </c>
      <c r="S19" s="6">
        <f t="shared" si="3"/>
        <v>7</v>
      </c>
      <c r="T19" s="249" t="s">
        <v>236</v>
      </c>
      <c r="U19" s="7"/>
      <c r="V19" s="138"/>
      <c r="W19" s="5"/>
      <c r="X19" s="14">
        <f t="shared" si="5"/>
        <v>7</v>
      </c>
      <c r="Y19" s="21" t="s">
        <v>178</v>
      </c>
      <c r="Z19" s="245"/>
      <c r="AA19" s="245"/>
      <c r="AB19" s="137">
        <f>AB17</f>
        <v>2539301.3315649191</v>
      </c>
      <c r="AC19" s="6">
        <f t="shared" si="4"/>
        <v>7</v>
      </c>
      <c r="AD19" s="154" t="s">
        <v>173</v>
      </c>
      <c r="AE19" s="189">
        <v>10437020.220000001</v>
      </c>
      <c r="AF19" s="10"/>
      <c r="AG19" s="10"/>
    </row>
    <row r="20" spans="1:33" s="89" customFormat="1" ht="17.100000000000001" customHeight="1">
      <c r="A20" s="230">
        <v>8</v>
      </c>
      <c r="B20" s="135" t="s">
        <v>187</v>
      </c>
      <c r="C20" s="127">
        <v>974923.22</v>
      </c>
      <c r="D20" s="127">
        <v>0</v>
      </c>
      <c r="E20" s="98">
        <f>D20-C20</f>
        <v>-974923.22</v>
      </c>
      <c r="F20" s="6">
        <f t="shared" si="0"/>
        <v>8</v>
      </c>
      <c r="G20" s="33"/>
      <c r="I20" s="33"/>
      <c r="K20" s="6">
        <f t="shared" si="1"/>
        <v>8</v>
      </c>
      <c r="L20" s="224" t="s">
        <v>165</v>
      </c>
      <c r="M20" s="50"/>
      <c r="N20" s="318">
        <f>N17-N19</f>
        <v>142281265.70305952</v>
      </c>
      <c r="O20" s="129">
        <f t="shared" si="2"/>
        <v>8</v>
      </c>
      <c r="P20" s="5"/>
      <c r="Q20" s="10"/>
      <c r="R20" s="127"/>
      <c r="S20" s="6">
        <f t="shared" si="3"/>
        <v>8</v>
      </c>
      <c r="T20" s="224" t="s">
        <v>179</v>
      </c>
      <c r="U20" s="5"/>
      <c r="V20" s="10">
        <v>-2570427.2394430283</v>
      </c>
      <c r="W20" s="10"/>
      <c r="X20" s="14">
        <f t="shared" si="5"/>
        <v>8</v>
      </c>
      <c r="Y20" s="21"/>
      <c r="Z20" s="245"/>
      <c r="AA20" s="245"/>
      <c r="AB20" s="137"/>
      <c r="AC20" s="6">
        <f t="shared" si="4"/>
        <v>8</v>
      </c>
      <c r="AD20" s="154" t="s">
        <v>174</v>
      </c>
      <c r="AE20" s="322">
        <v>12215518.98</v>
      </c>
      <c r="AF20" s="10"/>
      <c r="AG20" s="10"/>
    </row>
    <row r="21" spans="1:33" s="89" customFormat="1" ht="17.100000000000001" customHeight="1">
      <c r="A21" s="230">
        <v>9</v>
      </c>
      <c r="B21" s="154"/>
      <c r="C21" s="127"/>
      <c r="D21" s="127"/>
      <c r="E21" s="98"/>
      <c r="F21" s="6">
        <f t="shared" si="0"/>
        <v>9</v>
      </c>
      <c r="G21" s="35" t="s">
        <v>107</v>
      </c>
      <c r="H21" s="195"/>
      <c r="I21" s="195">
        <v>0.21</v>
      </c>
      <c r="J21" s="24">
        <f>-J19*I21</f>
        <v>-1867800.323338263</v>
      </c>
      <c r="K21" s="6">
        <f t="shared" si="1"/>
        <v>9</v>
      </c>
      <c r="L21" s="224"/>
      <c r="M21" s="50"/>
      <c r="N21" s="18"/>
      <c r="O21" s="129">
        <f t="shared" si="2"/>
        <v>9</v>
      </c>
      <c r="P21" s="224"/>
      <c r="Q21" s="99"/>
      <c r="R21" s="127"/>
      <c r="S21" s="6">
        <f t="shared" si="3"/>
        <v>9</v>
      </c>
      <c r="T21" s="109"/>
      <c r="U21" s="224"/>
      <c r="V21" s="99"/>
      <c r="W21" s="99"/>
      <c r="X21" s="14">
        <f t="shared" si="5"/>
        <v>9</v>
      </c>
      <c r="Y21" s="21" t="s">
        <v>153</v>
      </c>
      <c r="Z21" s="245"/>
      <c r="AA21" s="247">
        <v>0.21</v>
      </c>
      <c r="AB21" s="248">
        <f>-AB19*AA21</f>
        <v>-533253.27962863294</v>
      </c>
      <c r="AC21" s="6">
        <f t="shared" si="4"/>
        <v>9</v>
      </c>
      <c r="AD21" s="154"/>
      <c r="AE21" s="187"/>
      <c r="AF21" s="99"/>
      <c r="AG21" s="99"/>
    </row>
    <row r="22" spans="1:33" s="89" customFormat="1" ht="17.100000000000001" customHeight="1" thickBot="1">
      <c r="A22" s="230">
        <v>10</v>
      </c>
      <c r="B22" s="233" t="s">
        <v>169</v>
      </c>
      <c r="C22" s="127">
        <v>-18931683</v>
      </c>
      <c r="D22" s="137"/>
      <c r="E22" s="98">
        <f>D22-C22</f>
        <v>18931683</v>
      </c>
      <c r="F22" s="6">
        <f t="shared" si="0"/>
        <v>10</v>
      </c>
      <c r="G22" s="33" t="s">
        <v>88</v>
      </c>
      <c r="H22" s="33"/>
      <c r="I22" s="131"/>
      <c r="J22" s="136">
        <f>-J19-J21</f>
        <v>-7026486.9306534659</v>
      </c>
      <c r="K22" s="6">
        <f t="shared" si="1"/>
        <v>10</v>
      </c>
      <c r="L22" s="139" t="s">
        <v>232</v>
      </c>
      <c r="M22" s="37"/>
      <c r="N22" s="271">
        <v>0.1996</v>
      </c>
      <c r="O22" s="129">
        <f t="shared" si="2"/>
        <v>10</v>
      </c>
      <c r="P22" s="5" t="s">
        <v>196</v>
      </c>
      <c r="Q22" s="10"/>
      <c r="R22" s="10">
        <f>R17-R19</f>
        <v>-188333.91666666756</v>
      </c>
      <c r="S22" s="6">
        <f t="shared" si="3"/>
        <v>10</v>
      </c>
      <c r="T22" s="135" t="s">
        <v>118</v>
      </c>
      <c r="U22" s="5"/>
      <c r="V22" s="10"/>
      <c r="W22" s="250">
        <f>V20/5</f>
        <v>-514085.44788860565</v>
      </c>
      <c r="X22" s="14">
        <f t="shared" si="5"/>
        <v>10</v>
      </c>
      <c r="Y22" s="21"/>
      <c r="Z22" s="245"/>
      <c r="AA22" s="247"/>
      <c r="AB22" s="159"/>
      <c r="AC22" s="6">
        <f t="shared" si="4"/>
        <v>10</v>
      </c>
      <c r="AD22" s="135" t="s">
        <v>207</v>
      </c>
      <c r="AE22" s="127">
        <f>SUM(AE15:AE20)</f>
        <v>65046164.859999999</v>
      </c>
      <c r="AF22" s="10"/>
      <c r="AG22" s="10"/>
    </row>
    <row r="23" spans="1:33" s="89" customFormat="1" ht="17.100000000000001" customHeight="1" thickTop="1" thickBot="1">
      <c r="A23" s="230">
        <v>11</v>
      </c>
      <c r="B23" s="233"/>
      <c r="C23" s="133">
        <f>SUM(C19:C22)</f>
        <v>-9579706.3300000001</v>
      </c>
      <c r="D23" s="133">
        <f>SUM(D19:D22)</f>
        <v>0</v>
      </c>
      <c r="E23" s="133">
        <f>SUM(E19:E22)</f>
        <v>9579706.3300000001</v>
      </c>
      <c r="F23" s="6">
        <f t="shared" si="0"/>
        <v>11</v>
      </c>
      <c r="G23" s="147"/>
      <c r="H23" s="33"/>
      <c r="I23" s="33"/>
      <c r="J23" s="33"/>
      <c r="K23" s="6">
        <f t="shared" si="1"/>
        <v>11</v>
      </c>
      <c r="L23" s="224" t="s">
        <v>233</v>
      </c>
      <c r="M23" s="224"/>
      <c r="N23" s="270">
        <f>N20*N22</f>
        <v>28399340.634330682</v>
      </c>
      <c r="O23" s="129">
        <f t="shared" si="2"/>
        <v>11</v>
      </c>
      <c r="P23" s="5"/>
      <c r="Q23" s="10"/>
      <c r="R23" s="127"/>
      <c r="S23" s="6">
        <f t="shared" si="3"/>
        <v>11</v>
      </c>
      <c r="T23" s="154"/>
      <c r="U23" s="128"/>
      <c r="V23" s="5"/>
      <c r="W23" s="224"/>
      <c r="X23" s="14">
        <f t="shared" si="5"/>
        <v>11</v>
      </c>
      <c r="Y23" s="21" t="s">
        <v>88</v>
      </c>
      <c r="Z23" s="245"/>
      <c r="AA23" s="245"/>
      <c r="AB23" s="196">
        <f>-AB19-AB21</f>
        <v>-2006048.051936286</v>
      </c>
      <c r="AC23" s="6">
        <f t="shared" si="4"/>
        <v>11</v>
      </c>
      <c r="AD23" s="135" t="s">
        <v>239</v>
      </c>
      <c r="AE23" s="10"/>
      <c r="AF23" s="10">
        <f>(AE22/48)*12</f>
        <v>16261541.215</v>
      </c>
      <c r="AG23" s="127"/>
    </row>
    <row r="24" spans="1:33" s="89" customFormat="1" ht="17.100000000000001" customHeight="1" thickTop="1">
      <c r="A24" s="230">
        <v>12</v>
      </c>
      <c r="B24" s="233"/>
      <c r="C24" s="127"/>
      <c r="D24" s="137"/>
      <c r="E24" s="98"/>
      <c r="F24" s="6">
        <f t="shared" si="0"/>
        <v>12</v>
      </c>
      <c r="G24" s="33" t="s">
        <v>112</v>
      </c>
      <c r="H24" s="33"/>
      <c r="I24" s="33"/>
      <c r="J24" s="33"/>
      <c r="K24" s="6">
        <f t="shared" si="1"/>
        <v>12</v>
      </c>
      <c r="L24" s="139"/>
      <c r="M24" s="99" t="s">
        <v>30</v>
      </c>
      <c r="N24" s="127"/>
      <c r="O24" s="129">
        <f t="shared" si="2"/>
        <v>12</v>
      </c>
      <c r="P24" s="140" t="s">
        <v>107</v>
      </c>
      <c r="Q24" s="195">
        <v>0.21</v>
      </c>
      <c r="R24" s="153">
        <f>-R22*Q24</f>
        <v>39550.122500000187</v>
      </c>
      <c r="S24" s="6">
        <f t="shared" si="3"/>
        <v>12</v>
      </c>
      <c r="T24" s="135" t="s">
        <v>116</v>
      </c>
      <c r="U24" s="5"/>
      <c r="V24" s="5"/>
      <c r="W24" s="38">
        <f>SUM(W16:W22)</f>
        <v>1423784.9881113945</v>
      </c>
      <c r="X24" s="14"/>
      <c r="Y24" s="5"/>
      <c r="Z24" s="128"/>
      <c r="AA24" s="128"/>
      <c r="AB24" s="128"/>
      <c r="AC24" s="6">
        <f t="shared" si="4"/>
        <v>12</v>
      </c>
    </row>
    <row r="25" spans="1:33" s="89" customFormat="1" ht="17.100000000000001" customHeight="1">
      <c r="A25" s="230">
        <v>13</v>
      </c>
      <c r="B25" s="135" t="s">
        <v>188</v>
      </c>
      <c r="C25" s="133">
        <f>C16+C23</f>
        <v>821512787.13497269</v>
      </c>
      <c r="D25" s="133">
        <f>D16+D23</f>
        <v>734450453</v>
      </c>
      <c r="E25" s="133">
        <f>E16+E23</f>
        <v>-87062334.134972781</v>
      </c>
      <c r="F25" s="6">
        <f t="shared" si="0"/>
        <v>13</v>
      </c>
      <c r="G25" s="33" t="s">
        <v>197</v>
      </c>
      <c r="H25" s="138"/>
      <c r="I25" s="33"/>
      <c r="J25" s="144">
        <f>-J19</f>
        <v>-8894287.2539917286</v>
      </c>
      <c r="K25" s="6">
        <f t="shared" si="1"/>
        <v>13</v>
      </c>
      <c r="L25" s="139" t="s">
        <v>166</v>
      </c>
      <c r="M25" s="21"/>
      <c r="N25" s="153">
        <f>SUM(N15:N16)</f>
        <v>53729377.003982067</v>
      </c>
      <c r="O25" s="129">
        <f t="shared" si="2"/>
        <v>13</v>
      </c>
      <c r="P25" s="33"/>
      <c r="Q25" s="10"/>
      <c r="R25" s="127"/>
      <c r="S25" s="6">
        <f t="shared" si="3"/>
        <v>13</v>
      </c>
      <c r="T25" s="135"/>
      <c r="U25" s="224"/>
      <c r="V25" s="224"/>
      <c r="W25" s="119"/>
      <c r="X25" s="14"/>
      <c r="Y25" s="128"/>
      <c r="Z25" s="128"/>
      <c r="AA25" s="128"/>
      <c r="AB25" s="128"/>
      <c r="AC25" s="6">
        <f t="shared" si="4"/>
        <v>13</v>
      </c>
      <c r="AD25" s="242" t="s">
        <v>176</v>
      </c>
      <c r="AE25" s="187"/>
      <c r="AF25" s="99"/>
      <c r="AG25" s="127"/>
    </row>
    <row r="26" spans="1:33" s="89" customFormat="1" ht="17.100000000000001" customHeight="1" thickBot="1">
      <c r="A26" s="230">
        <v>14</v>
      </c>
      <c r="B26" s="135"/>
      <c r="C26" s="135"/>
      <c r="D26" s="224"/>
      <c r="E26" s="144"/>
      <c r="F26" s="6">
        <f t="shared" si="0"/>
        <v>14</v>
      </c>
      <c r="G26" s="139" t="s">
        <v>79</v>
      </c>
      <c r="H26" s="142"/>
      <c r="I26" s="141"/>
      <c r="J26" s="116">
        <v>1867800.3233382625</v>
      </c>
      <c r="K26" s="6">
        <f t="shared" si="1"/>
        <v>14</v>
      </c>
      <c r="L26" s="224"/>
      <c r="M26" s="224" t="s">
        <v>30</v>
      </c>
      <c r="N26" s="131"/>
      <c r="O26" s="129">
        <f t="shared" si="2"/>
        <v>14</v>
      </c>
      <c r="P26" s="33" t="s">
        <v>88</v>
      </c>
      <c r="Q26" s="51"/>
      <c r="R26" s="196">
        <f>-R22-R24</f>
        <v>148783.79416666739</v>
      </c>
      <c r="S26" s="6">
        <f t="shared" si="3"/>
        <v>14</v>
      </c>
      <c r="T26" s="224" t="s">
        <v>182</v>
      </c>
      <c r="U26" s="224"/>
      <c r="V26" s="224"/>
      <c r="W26" s="250">
        <v>405702.18000000011</v>
      </c>
      <c r="X26" s="14"/>
      <c r="Y26" s="320" t="s">
        <v>237</v>
      </c>
      <c r="Z26" s="128"/>
      <c r="AA26" s="128"/>
      <c r="AB26" s="128"/>
      <c r="AC26" s="6">
        <f t="shared" si="4"/>
        <v>14</v>
      </c>
      <c r="AD26" s="154" t="s">
        <v>175</v>
      </c>
      <c r="AE26" s="187">
        <v>54368273.069999993</v>
      </c>
      <c r="AF26" s="127"/>
      <c r="AG26" s="127"/>
    </row>
    <row r="27" spans="1:33" s="89" customFormat="1" ht="17.100000000000001" customHeight="1" thickTop="1">
      <c r="A27" s="230">
        <v>15</v>
      </c>
      <c r="B27" s="90" t="s">
        <v>110</v>
      </c>
      <c r="C27" s="231">
        <v>7.8759999999999993E-3</v>
      </c>
      <c r="D27" s="137">
        <f>E25*C27</f>
        <v>-685702.94364704553</v>
      </c>
      <c r="E27" s="99"/>
      <c r="F27" s="6">
        <f t="shared" si="0"/>
        <v>15</v>
      </c>
      <c r="G27" s="139"/>
      <c r="H27" s="138"/>
      <c r="I27" s="33"/>
      <c r="J27" s="10"/>
      <c r="K27" s="6">
        <f t="shared" si="1"/>
        <v>15</v>
      </c>
      <c r="L27" s="139" t="s">
        <v>107</v>
      </c>
      <c r="M27" s="139"/>
      <c r="N27" s="317">
        <f>N23-N25</f>
        <v>-25330036.369651385</v>
      </c>
      <c r="O27" s="129"/>
      <c r="P27" s="140"/>
      <c r="Q27" s="140"/>
      <c r="R27" s="140"/>
      <c r="S27" s="6">
        <f t="shared" si="3"/>
        <v>15</v>
      </c>
      <c r="T27" s="135"/>
      <c r="U27" s="224"/>
      <c r="V27" s="224"/>
      <c r="W27" s="119"/>
      <c r="X27" s="14"/>
      <c r="Z27" s="128"/>
      <c r="AA27" s="128"/>
      <c r="AB27" s="128"/>
      <c r="AC27" s="6">
        <f t="shared" si="4"/>
        <v>15</v>
      </c>
      <c r="AD27" s="135" t="s">
        <v>240</v>
      </c>
      <c r="AE27" s="127"/>
      <c r="AF27" s="130">
        <f>AE26/72*12</f>
        <v>9061378.8449999988</v>
      </c>
      <c r="AG27" s="127"/>
    </row>
    <row r="28" spans="1:33" s="89" customFormat="1" ht="17.100000000000001" customHeight="1" thickBot="1">
      <c r="A28" s="230">
        <v>16</v>
      </c>
      <c r="B28" s="90" t="s">
        <v>109</v>
      </c>
      <c r="C28" s="231">
        <v>2E-3</v>
      </c>
      <c r="D28" s="137">
        <f>E25*C28</f>
        <v>-174124.66826994557</v>
      </c>
      <c r="E28" s="99"/>
      <c r="F28" s="6">
        <f t="shared" si="0"/>
        <v>16</v>
      </c>
      <c r="G28" s="33" t="s">
        <v>111</v>
      </c>
      <c r="H28" s="33"/>
      <c r="I28" s="33"/>
      <c r="J28" s="136">
        <f>SUM(J25:J27)</f>
        <v>-7026486.9306534659</v>
      </c>
      <c r="K28" s="6">
        <f t="shared" si="1"/>
        <v>16</v>
      </c>
      <c r="L28" s="139" t="s">
        <v>167</v>
      </c>
      <c r="M28" s="93"/>
      <c r="N28" s="316">
        <v>0</v>
      </c>
      <c r="O28" s="129"/>
      <c r="P28" s="5"/>
      <c r="Q28" s="5"/>
      <c r="R28" s="5"/>
      <c r="S28" s="6">
        <f t="shared" si="3"/>
        <v>16</v>
      </c>
      <c r="T28" s="150" t="s">
        <v>183</v>
      </c>
      <c r="U28" s="224"/>
      <c r="V28" s="224"/>
      <c r="W28" s="121">
        <f>W24-W26</f>
        <v>1018082.8081113943</v>
      </c>
      <c r="X28" s="14"/>
      <c r="Y28" s="128"/>
      <c r="Z28" s="128"/>
      <c r="AA28" s="128"/>
      <c r="AB28" s="128"/>
      <c r="AC28" s="6">
        <f t="shared" si="4"/>
        <v>16</v>
      </c>
      <c r="AD28" s="154"/>
      <c r="AE28" s="187"/>
      <c r="AF28" s="99"/>
      <c r="AG28" s="127"/>
    </row>
    <row r="29" spans="1:33" s="89" customFormat="1" ht="17.100000000000001" customHeight="1" thickTop="1" thickBot="1">
      <c r="A29" s="230">
        <v>17</v>
      </c>
      <c r="B29" s="232" t="s">
        <v>113</v>
      </c>
      <c r="C29" s="134"/>
      <c r="D29" s="149"/>
      <c r="E29" s="127">
        <f>D27+D28</f>
        <v>-859827.61191699107</v>
      </c>
      <c r="F29" s="35"/>
      <c r="G29" s="33"/>
      <c r="H29" s="35"/>
      <c r="I29" s="35"/>
      <c r="J29" s="35"/>
      <c r="K29" s="6">
        <f t="shared" si="1"/>
        <v>17</v>
      </c>
      <c r="L29" s="139" t="s">
        <v>168</v>
      </c>
      <c r="M29" s="224"/>
      <c r="N29" s="272">
        <f>-SUM(N27:N28)</f>
        <v>25330036.369651385</v>
      </c>
      <c r="O29" s="5"/>
      <c r="P29" s="5"/>
      <c r="Q29" s="5"/>
      <c r="R29" s="5"/>
      <c r="S29" s="6">
        <f t="shared" si="3"/>
        <v>17</v>
      </c>
      <c r="T29" s="135"/>
      <c r="U29" s="7"/>
      <c r="V29" s="5"/>
      <c r="W29" s="128"/>
      <c r="X29" s="128"/>
      <c r="Y29" s="128"/>
      <c r="Z29" s="128"/>
      <c r="AA29" s="128"/>
      <c r="AB29" s="128"/>
      <c r="AC29" s="6">
        <f t="shared" si="4"/>
        <v>17</v>
      </c>
      <c r="AD29" s="135" t="s">
        <v>241</v>
      </c>
      <c r="AE29" s="99"/>
      <c r="AF29" s="127">
        <f>+AF23+AF27</f>
        <v>25322920.059999999</v>
      </c>
      <c r="AG29" s="128"/>
    </row>
    <row r="30" spans="1:33" s="89" customFormat="1" ht="17.100000000000001" customHeight="1" thickTop="1">
      <c r="A30" s="230">
        <v>18</v>
      </c>
      <c r="B30" s="90"/>
      <c r="C30" s="134"/>
      <c r="D30" s="131"/>
      <c r="E30" s="99"/>
      <c r="F30" s="35"/>
      <c r="G30" s="35"/>
      <c r="H30" s="35"/>
      <c r="I30" s="35"/>
      <c r="J30" s="35"/>
      <c r="K30" s="128"/>
      <c r="L30" s="128"/>
      <c r="M30" s="128"/>
      <c r="N30" s="128"/>
      <c r="O30" s="5"/>
      <c r="P30" s="5"/>
      <c r="Q30" s="5"/>
      <c r="R30" s="5"/>
      <c r="S30" s="6">
        <f t="shared" si="3"/>
        <v>18</v>
      </c>
      <c r="T30" s="148" t="s">
        <v>115</v>
      </c>
      <c r="U30" s="195">
        <v>0.21</v>
      </c>
      <c r="V30" s="5"/>
      <c r="W30" s="153">
        <f>ROUND(-W28*U30,0)</f>
        <v>-213797</v>
      </c>
      <c r="X30" s="128"/>
      <c r="Y30" s="128"/>
      <c r="Z30" s="128"/>
      <c r="AA30" s="128"/>
      <c r="AB30" s="128"/>
      <c r="AC30" s="6">
        <f t="shared" si="4"/>
        <v>18</v>
      </c>
      <c r="AD30" s="135" t="s">
        <v>132</v>
      </c>
      <c r="AE30" s="99"/>
      <c r="AF30" s="130">
        <v>18282839.16</v>
      </c>
      <c r="AG30" s="128"/>
    </row>
    <row r="31" spans="1:33" s="89" customFormat="1" ht="17.100000000000001" customHeight="1">
      <c r="A31" s="230">
        <v>19</v>
      </c>
      <c r="B31" s="90" t="s">
        <v>108</v>
      </c>
      <c r="C31" s="231">
        <v>3.8428999999999998E-2</v>
      </c>
      <c r="D31" s="68">
        <f>E25*C31</f>
        <v>-3345718.4384728689</v>
      </c>
      <c r="E31" s="99"/>
      <c r="F31" s="35"/>
      <c r="G31" s="35"/>
      <c r="H31" s="35"/>
      <c r="I31" s="35"/>
      <c r="J31" s="35"/>
      <c r="K31" s="128"/>
      <c r="L31" s="128"/>
      <c r="M31" s="128"/>
      <c r="N31" s="128"/>
      <c r="O31" s="5"/>
      <c r="P31" s="5"/>
      <c r="Q31" s="5"/>
      <c r="R31" s="5"/>
      <c r="S31" s="6">
        <f t="shared" si="3"/>
        <v>19</v>
      </c>
      <c r="T31" s="148"/>
      <c r="U31" s="5"/>
      <c r="V31" s="5"/>
      <c r="W31" s="127"/>
      <c r="X31" s="128"/>
      <c r="Y31" s="128"/>
      <c r="Z31" s="128"/>
      <c r="AA31" s="128"/>
      <c r="AB31" s="128"/>
      <c r="AC31" s="6">
        <f t="shared" si="4"/>
        <v>19</v>
      </c>
      <c r="AD31" s="135"/>
      <c r="AE31" s="99"/>
      <c r="AF31" s="99"/>
      <c r="AG31" s="127"/>
    </row>
    <row r="32" spans="1:33" s="89" customFormat="1" ht="17.100000000000001" customHeight="1" thickBot="1">
      <c r="A32" s="230">
        <v>20</v>
      </c>
      <c r="B32" s="232"/>
      <c r="C32" s="134"/>
      <c r="D32" s="133"/>
      <c r="E32" s="99"/>
      <c r="F32" s="35"/>
      <c r="G32" s="35"/>
      <c r="H32" s="35"/>
      <c r="I32" s="35"/>
      <c r="J32" s="35"/>
      <c r="K32" s="128"/>
      <c r="L32" s="128"/>
      <c r="M32" s="128"/>
      <c r="N32" s="128"/>
      <c r="O32" s="5"/>
      <c r="P32" s="5"/>
      <c r="Q32" s="5"/>
      <c r="R32" s="5"/>
      <c r="S32" s="6">
        <f t="shared" si="3"/>
        <v>20</v>
      </c>
      <c r="T32" s="148" t="s">
        <v>88</v>
      </c>
      <c r="U32" s="7"/>
      <c r="V32" s="5"/>
      <c r="W32" s="196">
        <f>-W28-W30</f>
        <v>-804285.80811139429</v>
      </c>
      <c r="X32" s="128"/>
      <c r="Y32" s="128"/>
      <c r="Z32" s="128"/>
      <c r="AA32" s="128"/>
      <c r="AB32" s="128"/>
      <c r="AC32" s="6">
        <f t="shared" si="4"/>
        <v>20</v>
      </c>
      <c r="AD32" s="150" t="s">
        <v>114</v>
      </c>
      <c r="AE32" s="186"/>
      <c r="AF32" s="99"/>
      <c r="AG32" s="127">
        <f>AF29-AF30</f>
        <v>7040080.8999999985</v>
      </c>
    </row>
    <row r="33" spans="1:33" s="89" customFormat="1" ht="17.100000000000001" customHeight="1" thickTop="1">
      <c r="A33" s="230">
        <v>21</v>
      </c>
      <c r="B33" s="232" t="s">
        <v>156</v>
      </c>
      <c r="C33" s="135"/>
      <c r="D33" s="131"/>
      <c r="E33" s="127">
        <f>E29+D31</f>
        <v>-4205546.0503898598</v>
      </c>
      <c r="F33" s="35"/>
      <c r="G33" s="35"/>
      <c r="H33" s="35"/>
      <c r="I33" s="35"/>
      <c r="J33" s="35"/>
      <c r="K33" s="128"/>
      <c r="L33" s="128"/>
      <c r="M33" s="128"/>
      <c r="N33" s="128"/>
      <c r="O33" s="5"/>
      <c r="P33" s="5"/>
      <c r="Q33" s="5"/>
      <c r="R33" s="5"/>
      <c r="S33" s="6"/>
      <c r="T33" s="5"/>
      <c r="U33" s="5"/>
      <c r="V33" s="5"/>
      <c r="W33" s="5"/>
      <c r="X33" s="128"/>
      <c r="Y33" s="128"/>
      <c r="Z33" s="128"/>
      <c r="AA33" s="128"/>
      <c r="AB33" s="128"/>
      <c r="AC33" s="6">
        <f t="shared" si="4"/>
        <v>21</v>
      </c>
      <c r="AD33" s="135"/>
      <c r="AE33" s="99"/>
      <c r="AF33" s="99"/>
      <c r="AG33" s="127"/>
    </row>
    <row r="34" spans="1:33" s="89" customFormat="1" ht="17.100000000000001" customHeight="1">
      <c r="A34" s="230">
        <v>22</v>
      </c>
      <c r="B34" s="90"/>
      <c r="C34" s="135"/>
      <c r="D34" s="135"/>
      <c r="E34" s="133"/>
      <c r="F34" s="6"/>
      <c r="G34" s="224"/>
      <c r="H34" s="127"/>
      <c r="I34" s="127"/>
      <c r="J34" s="68"/>
      <c r="K34" s="128"/>
      <c r="L34" s="128"/>
      <c r="M34" s="128"/>
      <c r="N34" s="128"/>
      <c r="O34" s="5"/>
      <c r="P34" s="5"/>
      <c r="Q34" s="5"/>
      <c r="R34" s="5"/>
      <c r="S34" s="6"/>
      <c r="T34" s="5"/>
      <c r="U34" s="5"/>
      <c r="V34" s="5"/>
      <c r="W34" s="5"/>
      <c r="X34" s="128"/>
      <c r="Y34" s="128"/>
      <c r="Z34" s="128"/>
      <c r="AA34" s="128"/>
      <c r="AB34" s="128"/>
      <c r="AC34" s="6">
        <f t="shared" si="4"/>
        <v>22</v>
      </c>
      <c r="AD34" s="148" t="s">
        <v>242</v>
      </c>
      <c r="AE34" s="157"/>
      <c r="AF34" s="142">
        <v>0.21</v>
      </c>
      <c r="AG34" s="121">
        <f>-AG32*AF34</f>
        <v>-1478416.9889999996</v>
      </c>
    </row>
    <row r="35" spans="1:33" s="89" customFormat="1" ht="17.100000000000001" customHeight="1">
      <c r="A35" s="230">
        <v>23</v>
      </c>
      <c r="B35" s="90" t="s">
        <v>157</v>
      </c>
      <c r="C35" s="135"/>
      <c r="D35" s="35"/>
      <c r="E35" s="127">
        <f>E25-E33</f>
        <v>-82856788.084582925</v>
      </c>
      <c r="F35" s="26"/>
      <c r="G35" s="34"/>
      <c r="H35" s="34"/>
      <c r="I35" s="34"/>
      <c r="J35" s="34"/>
      <c r="K35" s="128"/>
      <c r="L35" s="128"/>
      <c r="M35" s="128"/>
      <c r="N35" s="128"/>
      <c r="O35" s="5"/>
      <c r="P35" s="5"/>
      <c r="Q35" s="5"/>
      <c r="R35" s="5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6">
        <f t="shared" si="4"/>
        <v>23</v>
      </c>
      <c r="AD35" s="148"/>
      <c r="AE35" s="157"/>
      <c r="AF35" s="99"/>
      <c r="AG35" s="224"/>
    </row>
    <row r="36" spans="1:33" s="89" customFormat="1" ht="17.100000000000001" customHeight="1" thickBot="1">
      <c r="A36" s="230">
        <v>24</v>
      </c>
      <c r="B36" s="90" t="s">
        <v>153</v>
      </c>
      <c r="C36" s="132">
        <v>0.21</v>
      </c>
      <c r="D36" s="35"/>
      <c r="E36" s="127">
        <f>E35*C36</f>
        <v>-17399925.497762412</v>
      </c>
      <c r="F36" s="127"/>
      <c r="G36" s="26"/>
      <c r="H36" s="26"/>
      <c r="I36" s="26"/>
      <c r="J36" s="26"/>
      <c r="K36" s="128"/>
      <c r="L36" s="128"/>
      <c r="M36" s="128"/>
      <c r="N36" s="128"/>
      <c r="O36" s="5"/>
      <c r="P36" s="5"/>
      <c r="Q36" s="5"/>
      <c r="R36" s="5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6">
        <f t="shared" si="4"/>
        <v>24</v>
      </c>
      <c r="AD36" s="148" t="s">
        <v>88</v>
      </c>
      <c r="AE36" s="157"/>
      <c r="AF36" s="99"/>
      <c r="AG36" s="243">
        <f>-AG32-AG34</f>
        <v>-5561663.9109999985</v>
      </c>
    </row>
    <row r="37" spans="1:33" s="89" customFormat="1" ht="17.100000000000001" customHeight="1" thickTop="1" thickBot="1">
      <c r="A37" s="230">
        <v>25</v>
      </c>
      <c r="B37" s="90" t="s">
        <v>88</v>
      </c>
      <c r="C37" s="135"/>
      <c r="D37" s="35"/>
      <c r="E37" s="136">
        <f>E35-E36</f>
        <v>-65456862.586820513</v>
      </c>
      <c r="F37" s="127"/>
      <c r="G37" s="26"/>
      <c r="H37" s="26"/>
      <c r="I37" s="26"/>
      <c r="J37" s="26"/>
      <c r="K37" s="128"/>
      <c r="L37" s="128"/>
      <c r="M37" s="128"/>
      <c r="N37" s="128"/>
      <c r="O37" s="5"/>
      <c r="P37" s="5"/>
      <c r="Q37" s="5"/>
      <c r="R37" s="5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6"/>
    </row>
    <row r="38" spans="1:33" s="89" customFormat="1" ht="17.100000000000001" customHeight="1" thickTop="1">
      <c r="A38"/>
      <c r="B38"/>
      <c r="C38"/>
      <c r="D38"/>
      <c r="E38"/>
      <c r="F38" s="26"/>
      <c r="G38" s="26"/>
      <c r="H38" s="26"/>
      <c r="I38" s="26"/>
      <c r="J38" s="26"/>
      <c r="K38" s="128"/>
      <c r="L38" s="128"/>
      <c r="M38" s="128"/>
      <c r="N38" s="128"/>
      <c r="O38" s="5"/>
      <c r="P38" s="5"/>
      <c r="Q38" s="5"/>
      <c r="R38" s="5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6"/>
    </row>
    <row r="39" spans="1:33" s="89" customFormat="1" ht="17.100000000000001" customHeight="1">
      <c r="A39"/>
      <c r="B39"/>
      <c r="C39"/>
      <c r="D39"/>
      <c r="E39"/>
      <c r="F39" s="34"/>
      <c r="G39" s="127"/>
      <c r="H39" s="127"/>
      <c r="I39" s="127"/>
      <c r="J39" s="127"/>
      <c r="K39" s="128"/>
      <c r="L39" s="128"/>
      <c r="M39" s="128"/>
      <c r="N39" s="128"/>
      <c r="O39" s="5"/>
      <c r="P39" s="5"/>
      <c r="Q39" s="5"/>
      <c r="R39" s="5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6"/>
      <c r="AD39" s="150"/>
      <c r="AE39" s="186"/>
      <c r="AF39"/>
      <c r="AG39"/>
    </row>
    <row r="40" spans="1:33" s="89" customFormat="1" ht="17.100000000000001" customHeight="1">
      <c r="A40"/>
      <c r="B40"/>
      <c r="C40"/>
      <c r="D40"/>
      <c r="E40"/>
      <c r="F40" s="26"/>
      <c r="G40" s="127"/>
      <c r="H40" s="127"/>
      <c r="I40" s="127"/>
      <c r="J40" s="127"/>
      <c r="K40" s="128"/>
      <c r="L40" s="128"/>
      <c r="M40" s="128"/>
      <c r="N40" s="128"/>
      <c r="O40" s="5"/>
      <c r="P40" s="5"/>
      <c r="Q40" s="5"/>
      <c r="R40" s="5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</row>
    <row r="41" spans="1:33" s="89" customFormat="1" ht="17.100000000000001" customHeight="1">
      <c r="A41"/>
      <c r="B41"/>
      <c r="C41"/>
      <c r="D41"/>
      <c r="E41"/>
      <c r="F41" s="5"/>
      <c r="G41" s="26"/>
      <c r="H41" s="26"/>
      <c r="I41" s="26"/>
      <c r="J41" s="26"/>
      <c r="K41" s="128"/>
      <c r="L41" s="128"/>
      <c r="M41" s="128"/>
      <c r="N41" s="128"/>
      <c r="O41" s="5"/>
      <c r="P41" s="5"/>
      <c r="Q41" s="5"/>
      <c r="R41" s="5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</row>
    <row r="42" spans="1:33" s="89" customFormat="1" ht="17.100000000000001" customHeight="1">
      <c r="A42"/>
      <c r="B42"/>
      <c r="C42"/>
      <c r="D42"/>
      <c r="E42"/>
      <c r="F42" s="5"/>
      <c r="G42" s="34"/>
      <c r="H42" s="34"/>
      <c r="I42" s="34"/>
      <c r="J42" s="34"/>
      <c r="K42" s="128"/>
      <c r="L42" s="128"/>
      <c r="M42" s="128"/>
      <c r="N42" s="128"/>
      <c r="O42" s="5"/>
      <c r="P42" s="5"/>
      <c r="Q42" s="5"/>
      <c r="R42" s="5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</row>
    <row r="43" spans="1:33" s="89" customFormat="1" ht="17.100000000000001" customHeight="1">
      <c r="A43"/>
      <c r="B43"/>
      <c r="C43"/>
      <c r="D43"/>
      <c r="E43"/>
      <c r="F43" s="5"/>
      <c r="G43" s="26"/>
      <c r="H43" s="26"/>
      <c r="I43" s="26"/>
      <c r="J43" s="26"/>
      <c r="K43" s="128"/>
      <c r="L43" s="128"/>
      <c r="M43" s="128"/>
      <c r="N43" s="128"/>
      <c r="O43" s="5"/>
      <c r="P43" s="5"/>
      <c r="Q43" s="5"/>
      <c r="R43" s="5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</row>
    <row r="44" spans="1:33" s="89" customFormat="1" ht="17.100000000000001" customHeight="1">
      <c r="A44"/>
      <c r="B44"/>
      <c r="C44"/>
      <c r="D44"/>
      <c r="E44"/>
      <c r="F44" s="5"/>
      <c r="G44" s="5"/>
      <c r="H44" s="5"/>
      <c r="I44" s="5"/>
      <c r="J44" s="5"/>
      <c r="K44" s="128"/>
      <c r="L44" s="128"/>
      <c r="M44" s="128"/>
      <c r="N44" s="128"/>
      <c r="O44" s="5"/>
      <c r="P44" s="5"/>
      <c r="Q44" s="5"/>
      <c r="R44" s="5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</row>
    <row r="45" spans="1:33" s="89" customFormat="1" ht="17.100000000000001" customHeight="1">
      <c r="A45"/>
      <c r="B45"/>
      <c r="C45"/>
      <c r="D45"/>
      <c r="E45"/>
      <c r="F45" s="5"/>
      <c r="G45" s="5"/>
      <c r="H45" s="5"/>
      <c r="I45" s="5"/>
      <c r="J45" s="5"/>
      <c r="K45" s="128"/>
      <c r="L45" s="128"/>
      <c r="M45" s="128"/>
      <c r="N45" s="128"/>
      <c r="O45" s="5"/>
      <c r="P45" s="5"/>
      <c r="Q45" s="5"/>
      <c r="R45" s="5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</row>
    <row r="46" spans="1:33" s="89" customFormat="1" ht="17.100000000000001" customHeight="1">
      <c r="A46"/>
      <c r="B46"/>
      <c r="C46"/>
      <c r="D46"/>
      <c r="E46"/>
      <c r="F46" s="5"/>
      <c r="G46" s="5"/>
      <c r="H46" s="5"/>
      <c r="I46" s="5"/>
      <c r="J46" s="5"/>
      <c r="K46" s="128"/>
      <c r="L46" s="128"/>
      <c r="M46" s="128"/>
      <c r="N46" s="128"/>
      <c r="O46" s="5"/>
      <c r="P46" s="5"/>
      <c r="Q46" s="5"/>
      <c r="R46" s="5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</row>
    <row r="47" spans="1:33" s="89" customFormat="1" ht="17.100000000000001" customHeight="1">
      <c r="A47"/>
      <c r="B47"/>
      <c r="C47"/>
      <c r="D47"/>
      <c r="E47"/>
      <c r="F47" s="5"/>
      <c r="G47" s="5"/>
      <c r="H47" s="5"/>
      <c r="I47" s="5"/>
      <c r="J47" s="5"/>
      <c r="K47" s="128"/>
      <c r="L47" s="128"/>
      <c r="M47" s="128"/>
      <c r="N47" s="128"/>
      <c r="O47" s="5"/>
      <c r="P47" s="5"/>
      <c r="Q47" s="5"/>
      <c r="R47" s="5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</row>
    <row r="48" spans="1:33" s="89" customFormat="1" ht="17.100000000000001" customHeight="1">
      <c r="A48"/>
      <c r="B48"/>
      <c r="C48"/>
      <c r="D48"/>
      <c r="E48"/>
      <c r="F48" s="5"/>
      <c r="G48" s="5"/>
      <c r="H48" s="5"/>
      <c r="I48" s="5"/>
      <c r="J48" s="5"/>
      <c r="K48" s="128"/>
      <c r="L48" s="128"/>
      <c r="M48" s="128"/>
      <c r="N48" s="128"/>
      <c r="O48" s="5"/>
      <c r="P48" s="5"/>
      <c r="Q48" s="5"/>
      <c r="R48" s="5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</row>
    <row r="49" spans="1:33" s="89" customFormat="1" ht="17.100000000000001" customHeight="1">
      <c r="A49"/>
      <c r="B49"/>
      <c r="C49"/>
      <c r="D49"/>
      <c r="E49"/>
      <c r="F49" s="5"/>
      <c r="G49" s="5"/>
      <c r="H49" s="5"/>
      <c r="I49" s="5"/>
      <c r="J49" s="5"/>
      <c r="K49" s="128"/>
      <c r="L49" s="128"/>
      <c r="M49" s="128"/>
      <c r="N49" s="128"/>
      <c r="O49" s="5"/>
      <c r="P49" s="5"/>
      <c r="Q49" s="5"/>
      <c r="R49" s="5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</row>
    <row r="50" spans="1:33" s="89" customFormat="1" ht="17.100000000000001" customHeight="1">
      <c r="A50"/>
      <c r="B50"/>
      <c r="C50"/>
      <c r="D50"/>
      <c r="E50"/>
      <c r="F50" s="5"/>
      <c r="G50" s="5"/>
      <c r="H50" s="5"/>
      <c r="I50" s="5"/>
      <c r="J50" s="5"/>
      <c r="K50" s="128"/>
      <c r="L50" s="128"/>
      <c r="M50" s="128"/>
      <c r="N50" s="128"/>
      <c r="O50" s="5"/>
      <c r="P50" s="5"/>
      <c r="Q50" s="5"/>
      <c r="R50" s="5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</row>
    <row r="51" spans="1:33" s="89" customFormat="1" ht="17.100000000000001" customHeight="1">
      <c r="A51"/>
      <c r="B51"/>
      <c r="C51"/>
      <c r="D51"/>
      <c r="E51"/>
      <c r="F51" s="5"/>
      <c r="G51" s="5"/>
      <c r="H51" s="5"/>
      <c r="I51" s="5"/>
      <c r="J51" s="5"/>
      <c r="K51" s="128"/>
      <c r="L51" s="128"/>
      <c r="M51" s="128"/>
      <c r="N51" s="128"/>
      <c r="O51" s="5"/>
      <c r="P51" s="5"/>
      <c r="Q51" s="5"/>
      <c r="R51" s="5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</row>
    <row r="52" spans="1:33" s="89" customFormat="1" ht="17.100000000000001" customHeight="1">
      <c r="A52"/>
      <c r="B52"/>
      <c r="C52"/>
      <c r="D52"/>
      <c r="E52"/>
      <c r="F52" s="5"/>
      <c r="G52" s="5"/>
      <c r="H52" s="5"/>
      <c r="I52" s="5"/>
      <c r="J52" s="5"/>
      <c r="K52" s="128"/>
      <c r="L52" s="128"/>
      <c r="M52" s="128"/>
      <c r="N52" s="128"/>
      <c r="O52" s="5"/>
      <c r="P52" s="5"/>
      <c r="Q52" s="5"/>
      <c r="R52" s="5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</row>
    <row r="53" spans="1:33" s="89" customFormat="1" ht="17.100000000000001" customHeight="1">
      <c r="A53"/>
      <c r="B53"/>
      <c r="C53"/>
      <c r="D53"/>
      <c r="E53"/>
      <c r="F53" s="5"/>
      <c r="G53" s="5"/>
      <c r="H53" s="5"/>
      <c r="I53" s="5"/>
      <c r="J53" s="5"/>
      <c r="K53" s="128"/>
      <c r="L53" s="128"/>
      <c r="M53" s="128"/>
      <c r="N53" s="128"/>
      <c r="O53" s="5"/>
      <c r="P53" s="5"/>
      <c r="Q53" s="5"/>
      <c r="R53" s="5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</row>
    <row r="54" spans="1:33" s="89" customFormat="1" ht="17.100000000000001" customHeight="1">
      <c r="A54"/>
      <c r="B54"/>
      <c r="C54"/>
      <c r="D54"/>
      <c r="E54"/>
      <c r="F54" s="5"/>
      <c r="G54" s="5"/>
      <c r="H54" s="5"/>
      <c r="I54" s="5"/>
      <c r="J54" s="5"/>
      <c r="K54" s="128"/>
      <c r="L54" s="128"/>
      <c r="M54" s="128"/>
      <c r="N54" s="128"/>
      <c r="O54" s="5"/>
      <c r="P54" s="5"/>
      <c r="Q54" s="5"/>
      <c r="R54" s="5"/>
      <c r="S54" s="5"/>
      <c r="T54" s="5"/>
      <c r="U54" s="5"/>
      <c r="V54" s="5"/>
      <c r="W54" s="5"/>
      <c r="X54" s="128"/>
      <c r="Y54" s="128"/>
      <c r="Z54" s="128"/>
      <c r="AA54" s="128"/>
      <c r="AB54" s="128"/>
    </row>
    <row r="55" spans="1:33" s="89" customFormat="1" ht="17.100000000000001" customHeight="1">
      <c r="A55"/>
      <c r="B55"/>
      <c r="C55"/>
      <c r="D55"/>
      <c r="E55"/>
      <c r="F55" s="128"/>
      <c r="G55" s="5"/>
      <c r="H55" s="5"/>
      <c r="I55" s="5"/>
      <c r="J55" s="5"/>
      <c r="K55" s="128"/>
      <c r="L55" s="128"/>
      <c r="M55" s="128"/>
      <c r="N55" s="128"/>
      <c r="O55" s="5"/>
      <c r="P55" s="5"/>
      <c r="Q55" s="5"/>
      <c r="R55" s="5"/>
      <c r="S55" s="5"/>
      <c r="T55" s="5"/>
      <c r="U55" s="5"/>
      <c r="V55" s="5"/>
      <c r="W55" s="5"/>
      <c r="X55" s="128"/>
      <c r="Y55" s="128"/>
      <c r="Z55" s="128"/>
      <c r="AA55" s="128"/>
      <c r="AB55" s="128"/>
    </row>
    <row r="56" spans="1:33" s="89" customFormat="1" ht="17.100000000000001" customHeight="1">
      <c r="A56"/>
      <c r="B56"/>
      <c r="C56"/>
      <c r="D56"/>
      <c r="E56"/>
      <c r="F56" s="128"/>
      <c r="G56" s="5"/>
      <c r="H56" s="5"/>
      <c r="I56" s="5"/>
      <c r="J56" s="5"/>
      <c r="K56" s="128"/>
      <c r="L56" s="128"/>
      <c r="M56" s="128"/>
      <c r="N56" s="128"/>
      <c r="O56" s="5"/>
      <c r="P56" s="5"/>
      <c r="Q56" s="5"/>
      <c r="R56" s="5"/>
      <c r="S56" s="5"/>
      <c r="T56" s="5"/>
      <c r="U56" s="5"/>
      <c r="V56" s="5"/>
      <c r="W56" s="5"/>
      <c r="X56" s="128"/>
      <c r="Y56" s="128"/>
      <c r="Z56" s="128"/>
      <c r="AA56" s="128"/>
      <c r="AB56" s="128"/>
    </row>
    <row r="57" spans="1:33" s="89" customFormat="1" ht="17.100000000000001" customHeight="1">
      <c r="A57"/>
      <c r="B57"/>
      <c r="C57"/>
      <c r="D57"/>
      <c r="E57"/>
      <c r="F57" s="128"/>
      <c r="G57" s="5"/>
      <c r="H57" s="5"/>
      <c r="I57" s="5"/>
      <c r="J57" s="5"/>
      <c r="K57" s="128"/>
      <c r="L57" s="128"/>
      <c r="M57" s="128"/>
      <c r="N57" s="128"/>
      <c r="O57" s="5"/>
      <c r="P57" s="5"/>
      <c r="Q57" s="5"/>
      <c r="R57" s="5"/>
      <c r="S57" s="5"/>
      <c r="T57" s="5"/>
      <c r="U57" s="5"/>
      <c r="V57" s="5"/>
      <c r="W57" s="5"/>
      <c r="X57" s="128"/>
      <c r="Y57" s="128"/>
      <c r="Z57" s="128"/>
      <c r="AA57" s="128"/>
      <c r="AB57" s="128"/>
      <c r="AC57" s="6"/>
      <c r="AD57" s="135"/>
      <c r="AE57" s="10"/>
      <c r="AF57"/>
      <c r="AG57"/>
    </row>
    <row r="58" spans="1:33" s="89" customFormat="1" ht="17.100000000000001" customHeight="1">
      <c r="A58"/>
      <c r="B58"/>
      <c r="C58"/>
      <c r="D58"/>
      <c r="E58"/>
      <c r="F58" s="128"/>
      <c r="G58" s="128"/>
      <c r="H58" s="128"/>
      <c r="I58" s="128"/>
      <c r="J58" s="128"/>
      <c r="K58" s="128"/>
      <c r="L58" s="128"/>
      <c r="M58" s="128"/>
      <c r="N58" s="128"/>
      <c r="O58" s="5"/>
      <c r="P58" s="5"/>
      <c r="Q58" s="5"/>
      <c r="R58" s="5"/>
      <c r="S58" s="5"/>
      <c r="T58" s="5"/>
      <c r="U58" s="5"/>
      <c r="V58" s="5"/>
      <c r="W58" s="5"/>
      <c r="X58" s="128"/>
      <c r="AC58" s="6"/>
      <c r="AD58" s="90"/>
      <c r="AE58" s="151"/>
      <c r="AF58"/>
      <c r="AG58"/>
    </row>
    <row r="59" spans="1:33" s="89" customFormat="1" ht="17.100000000000001" customHeight="1">
      <c r="A59"/>
      <c r="B59"/>
      <c r="C59"/>
      <c r="D59"/>
      <c r="E59"/>
      <c r="F59" s="5"/>
      <c r="G59" s="5"/>
      <c r="H59" s="5"/>
      <c r="I59" s="5"/>
      <c r="J59" s="5"/>
      <c r="K59" s="128"/>
      <c r="L59" s="128"/>
      <c r="M59" s="128"/>
      <c r="N59" s="128"/>
      <c r="O59" s="5"/>
      <c r="P59" s="5"/>
      <c r="Q59" s="5"/>
      <c r="R59" s="5"/>
      <c r="S59" s="5"/>
      <c r="T59" s="5"/>
      <c r="U59" s="5"/>
      <c r="V59" s="5"/>
      <c r="W59" s="5"/>
      <c r="X59" s="128"/>
      <c r="AC59" s="6"/>
      <c r="AD59" s="148"/>
      <c r="AE59" s="157"/>
      <c r="AF59"/>
      <c r="AG59"/>
    </row>
    <row r="60" spans="1:33" s="89" customFormat="1" ht="17.100000000000001" customHeight="1">
      <c r="A60"/>
      <c r="B60"/>
      <c r="C60"/>
      <c r="D60"/>
      <c r="E60"/>
      <c r="F60" s="5"/>
      <c r="G60" s="5"/>
      <c r="H60" s="5"/>
      <c r="I60" s="5"/>
      <c r="J60" s="5"/>
      <c r="K60" s="128"/>
      <c r="L60" s="128"/>
      <c r="M60" s="128"/>
      <c r="N60" s="128"/>
      <c r="O60" s="5"/>
      <c r="P60" s="5"/>
      <c r="Q60" s="5"/>
      <c r="R60" s="5"/>
      <c r="S60" s="5"/>
      <c r="T60" s="5"/>
      <c r="U60" s="5"/>
      <c r="V60" s="5"/>
      <c r="W60" s="5"/>
      <c r="X60" s="128"/>
      <c r="AC60" s="6"/>
      <c r="AD60" s="148"/>
      <c r="AE60" s="157"/>
      <c r="AF60"/>
      <c r="AG60"/>
    </row>
    <row r="61" spans="1:33" s="89" customFormat="1" ht="17.100000000000001" customHeight="1">
      <c r="A61" s="129"/>
      <c r="B61" s="7"/>
      <c r="C61" s="194"/>
      <c r="D61" s="194"/>
      <c r="E61" s="197"/>
      <c r="F61" s="5"/>
      <c r="G61" s="5"/>
      <c r="H61" s="5"/>
      <c r="I61" s="5"/>
      <c r="J61" s="5"/>
      <c r="K61" s="128"/>
      <c r="L61" s="128"/>
      <c r="M61" s="128"/>
      <c r="N61" s="128"/>
      <c r="O61" s="5"/>
      <c r="P61" s="5"/>
      <c r="Q61" s="5"/>
      <c r="R61" s="5"/>
      <c r="S61" s="5"/>
      <c r="T61" s="5"/>
      <c r="U61" s="5"/>
      <c r="V61" s="5"/>
      <c r="W61" s="5"/>
      <c r="X61" s="128"/>
      <c r="AC61" s="6"/>
      <c r="AD61" s="148"/>
      <c r="AE61" s="157"/>
      <c r="AF61"/>
      <c r="AG61"/>
    </row>
    <row r="62" spans="1:33" s="89" customFormat="1" ht="17.100000000000001" customHeight="1">
      <c r="A62" s="129"/>
      <c r="C62" s="194"/>
      <c r="D62" s="194"/>
      <c r="E62" s="197"/>
      <c r="F62" s="128"/>
      <c r="G62" s="128"/>
      <c r="H62" s="128"/>
      <c r="I62" s="128"/>
      <c r="J62" s="128"/>
      <c r="K62" s="128"/>
      <c r="L62" s="128"/>
      <c r="M62" s="128"/>
      <c r="N62" s="128"/>
      <c r="O62" s="5"/>
      <c r="P62" s="5"/>
      <c r="Q62" s="5"/>
      <c r="R62" s="5"/>
      <c r="S62" s="5"/>
      <c r="T62" s="5"/>
      <c r="U62" s="5"/>
      <c r="V62" s="5"/>
      <c r="W62" s="5"/>
      <c r="X62" s="128"/>
      <c r="AC62" s="6"/>
      <c r="AD62" s="148"/>
      <c r="AE62" s="157"/>
      <c r="AF62"/>
      <c r="AG62"/>
    </row>
    <row r="63" spans="1:33" s="89" customFormat="1" ht="17.100000000000001" customHeight="1">
      <c r="A63" s="129"/>
      <c r="E63" s="128"/>
      <c r="F63" s="127"/>
      <c r="G63" s="34"/>
      <c r="H63" s="34"/>
      <c r="I63" s="34"/>
      <c r="J63" s="34"/>
      <c r="K63" s="128"/>
      <c r="L63" s="128"/>
      <c r="M63" s="128"/>
      <c r="N63" s="128"/>
      <c r="O63" s="5"/>
      <c r="P63" s="5"/>
      <c r="Q63" s="5"/>
      <c r="R63" s="5"/>
      <c r="S63" s="5"/>
      <c r="T63" s="5"/>
      <c r="U63" s="5"/>
      <c r="V63" s="5"/>
      <c r="W63" s="5"/>
      <c r="AC63" s="128"/>
      <c r="AD63" s="128"/>
      <c r="AE63" s="128"/>
      <c r="AF63"/>
      <c r="AG63"/>
    </row>
    <row r="64" spans="1:33" s="89" customFormat="1" ht="17.100000000000001" customHeight="1">
      <c r="A64" s="129"/>
      <c r="F64" s="127"/>
      <c r="G64" s="5"/>
      <c r="H64" s="5"/>
      <c r="I64" s="5"/>
      <c r="J64" s="5"/>
      <c r="K64" s="128"/>
      <c r="L64" s="128"/>
      <c r="M64" s="128"/>
      <c r="N64" s="128"/>
      <c r="O64" s="5"/>
      <c r="P64" s="5"/>
      <c r="Q64" s="5"/>
      <c r="R64" s="5"/>
      <c r="S64" s="5"/>
      <c r="T64" s="5"/>
      <c r="U64" s="5"/>
      <c r="V64" s="5"/>
      <c r="W64" s="5"/>
      <c r="AC64" s="128"/>
      <c r="AD64" s="128"/>
      <c r="AE64" s="128"/>
      <c r="AF64" s="128"/>
      <c r="AG64" s="128"/>
    </row>
    <row r="65" spans="1:33" s="89" customFormat="1" ht="17.100000000000001" customHeight="1">
      <c r="A65" s="90"/>
      <c r="D65" s="106"/>
      <c r="F65" s="34"/>
      <c r="G65" s="10"/>
      <c r="H65" s="10"/>
      <c r="I65" s="10"/>
      <c r="J65" s="3"/>
      <c r="K65" s="128"/>
      <c r="L65" s="128"/>
      <c r="M65" s="128"/>
      <c r="N65" s="128"/>
      <c r="O65" s="5"/>
      <c r="P65" s="5"/>
      <c r="Q65" s="5"/>
      <c r="R65" s="5"/>
      <c r="S65" s="5"/>
      <c r="T65" s="5"/>
      <c r="U65" s="5"/>
      <c r="V65" s="5"/>
      <c r="W65" s="5"/>
      <c r="AC65" s="128"/>
      <c r="AD65" s="128"/>
      <c r="AE65" s="128"/>
      <c r="AF65" s="128"/>
      <c r="AG65" s="128"/>
    </row>
    <row r="66" spans="1:33" s="89" customFormat="1" ht="17.100000000000001" customHeight="1">
      <c r="F66" s="26"/>
      <c r="G66" s="127"/>
      <c r="H66" s="127"/>
      <c r="I66" s="127"/>
      <c r="J66" s="127"/>
      <c r="K66" s="128"/>
      <c r="L66" s="128"/>
      <c r="M66" s="128"/>
      <c r="N66" s="128"/>
      <c r="O66" s="5"/>
      <c r="P66" s="5"/>
      <c r="Q66" s="5"/>
      <c r="R66" s="5"/>
      <c r="S66" s="5"/>
      <c r="T66" s="5"/>
      <c r="U66" s="5"/>
      <c r="V66" s="5"/>
      <c r="W66" s="5"/>
      <c r="AC66" s="128"/>
      <c r="AD66" s="128"/>
      <c r="AE66" s="128"/>
      <c r="AF66" s="128"/>
      <c r="AG66" s="128"/>
    </row>
    <row r="67" spans="1:33" s="89" customFormat="1" ht="17.100000000000001" customHeight="1">
      <c r="F67" s="26"/>
      <c r="G67" s="127"/>
      <c r="H67" s="127"/>
      <c r="I67" s="127"/>
      <c r="J67" s="127"/>
      <c r="K67" s="128"/>
      <c r="L67" s="128"/>
      <c r="M67" s="128"/>
      <c r="N67" s="128"/>
      <c r="O67" s="5"/>
      <c r="P67" s="5"/>
      <c r="Q67" s="5"/>
      <c r="R67" s="5"/>
      <c r="S67" s="5"/>
      <c r="T67" s="5"/>
      <c r="U67" s="5"/>
      <c r="V67" s="5"/>
      <c r="W67" s="5"/>
      <c r="AC67" s="128"/>
      <c r="AD67" s="128"/>
      <c r="AE67" s="128"/>
      <c r="AF67" s="128"/>
      <c r="AG67" s="128"/>
    </row>
    <row r="68" spans="1:33" s="89" customFormat="1" ht="17.100000000000001" customHeight="1">
      <c r="C68" s="106"/>
      <c r="F68" s="26"/>
      <c r="G68" s="34"/>
      <c r="H68" s="127"/>
      <c r="I68" s="127"/>
      <c r="J68" s="127"/>
      <c r="K68" s="128"/>
      <c r="L68" s="128"/>
      <c r="M68" s="128"/>
      <c r="N68" s="128"/>
      <c r="O68" s="5"/>
      <c r="P68" s="5"/>
      <c r="Q68" s="5"/>
      <c r="R68" s="5"/>
      <c r="S68" s="5"/>
      <c r="T68" s="5"/>
      <c r="U68" s="5"/>
      <c r="V68" s="5"/>
      <c r="W68" s="5"/>
      <c r="AC68" s="128"/>
      <c r="AD68" s="128"/>
      <c r="AE68" s="128"/>
      <c r="AF68" s="128"/>
      <c r="AG68" s="128"/>
    </row>
    <row r="69" spans="1:33" s="89" customFormat="1" ht="17.100000000000001" customHeight="1">
      <c r="F69" s="127"/>
      <c r="G69" s="26"/>
      <c r="H69" s="127"/>
      <c r="I69" s="127"/>
      <c r="J69" s="127"/>
      <c r="K69" s="128"/>
      <c r="L69" s="128"/>
      <c r="M69" s="128"/>
      <c r="N69" s="128"/>
      <c r="O69" s="5"/>
      <c r="P69" s="5"/>
      <c r="Q69" s="5"/>
      <c r="R69" s="5"/>
      <c r="S69" s="5"/>
      <c r="T69" s="5"/>
      <c r="U69" s="5"/>
      <c r="V69" s="5"/>
      <c r="W69" s="5"/>
      <c r="AC69" s="128"/>
      <c r="AD69" s="128"/>
      <c r="AE69" s="128"/>
      <c r="AF69" s="128"/>
      <c r="AG69" s="128"/>
    </row>
    <row r="70" spans="1:33" s="89" customFormat="1" ht="17.100000000000001" customHeight="1">
      <c r="F70" s="127"/>
      <c r="G70" s="26"/>
      <c r="H70" s="127"/>
      <c r="I70" s="127"/>
      <c r="J70" s="127"/>
      <c r="K70" s="128"/>
      <c r="L70" s="128"/>
      <c r="M70" s="128"/>
      <c r="N70" s="128"/>
      <c r="O70" s="5"/>
      <c r="P70" s="5"/>
      <c r="Q70" s="5"/>
      <c r="R70" s="5"/>
      <c r="S70" s="5"/>
      <c r="T70" s="5"/>
      <c r="U70" s="5"/>
      <c r="V70" s="5"/>
      <c r="W70" s="5"/>
      <c r="AC70" s="128"/>
      <c r="AD70" s="128"/>
      <c r="AE70" s="128"/>
      <c r="AF70" s="128"/>
      <c r="AG70" s="128"/>
    </row>
    <row r="71" spans="1:33" s="89" customFormat="1" ht="17.100000000000001" customHeight="1">
      <c r="F71" s="26"/>
      <c r="G71" s="26"/>
      <c r="H71" s="127"/>
      <c r="I71" s="127"/>
      <c r="J71" s="127"/>
      <c r="K71" s="128"/>
      <c r="L71" s="128"/>
      <c r="M71" s="128"/>
      <c r="N71" s="128"/>
      <c r="O71" s="5"/>
      <c r="P71" s="5"/>
      <c r="Q71" s="5"/>
      <c r="R71" s="5"/>
      <c r="S71" s="5"/>
      <c r="T71" s="5"/>
      <c r="U71" s="5"/>
      <c r="V71" s="5"/>
      <c r="W71" s="5"/>
      <c r="AC71" s="128"/>
      <c r="AD71" s="128"/>
      <c r="AE71" s="128"/>
      <c r="AF71" s="128"/>
      <c r="AG71" s="128"/>
    </row>
    <row r="72" spans="1:33" s="89" customFormat="1" ht="17.100000000000001" customHeight="1">
      <c r="F72" s="34"/>
      <c r="G72" s="127"/>
      <c r="H72" s="127"/>
      <c r="I72" s="127"/>
      <c r="J72" s="127"/>
      <c r="K72" s="128"/>
      <c r="L72" s="128"/>
      <c r="M72" s="128"/>
      <c r="N72" s="128"/>
      <c r="O72" s="241"/>
      <c r="P72" s="5"/>
      <c r="Q72" s="5"/>
      <c r="R72" s="5"/>
      <c r="S72" s="5"/>
      <c r="T72" s="5"/>
      <c r="U72" s="5"/>
      <c r="V72" s="5"/>
      <c r="W72" s="5"/>
      <c r="AC72" s="128"/>
      <c r="AD72" s="128"/>
      <c r="AE72" s="128"/>
      <c r="AF72" s="128"/>
      <c r="AG72" s="128"/>
    </row>
    <row r="73" spans="1:33" s="89" customFormat="1" ht="17.100000000000001" customHeight="1">
      <c r="F73" s="26"/>
      <c r="G73" s="127"/>
      <c r="H73" s="127"/>
      <c r="I73" s="127"/>
      <c r="J73" s="127"/>
      <c r="K73" s="128"/>
      <c r="L73" s="128"/>
      <c r="M73" s="128"/>
      <c r="N73" s="128"/>
      <c r="O73" s="5"/>
      <c r="P73" s="5"/>
      <c r="Q73" s="5"/>
      <c r="R73" s="5"/>
      <c r="S73" s="5"/>
      <c r="T73" s="5"/>
      <c r="U73" s="5"/>
      <c r="V73" s="5"/>
      <c r="W73" s="5"/>
      <c r="AC73" s="128"/>
      <c r="AD73" s="128"/>
      <c r="AE73" s="128"/>
      <c r="AF73" s="128"/>
      <c r="AG73" s="128"/>
    </row>
    <row r="74" spans="1:33" s="89" customFormat="1" ht="17.100000000000001" customHeight="1">
      <c r="F74" s="5"/>
      <c r="G74" s="26"/>
      <c r="H74" s="127"/>
      <c r="I74" s="127"/>
      <c r="J74" s="127"/>
      <c r="K74" s="128"/>
      <c r="L74" s="128"/>
      <c r="M74" s="128"/>
      <c r="N74" s="128"/>
      <c r="O74" s="240"/>
      <c r="P74" s="5"/>
      <c r="Q74" s="5"/>
      <c r="R74" s="5"/>
      <c r="S74" s="5"/>
      <c r="T74" s="5"/>
      <c r="U74" s="5"/>
      <c r="V74" s="5"/>
      <c r="W74" s="5"/>
      <c r="AC74" s="128"/>
      <c r="AD74" s="128"/>
      <c r="AE74" s="128"/>
      <c r="AF74" s="128"/>
      <c r="AG74" s="128"/>
    </row>
    <row r="75" spans="1:33" s="89" customFormat="1" ht="17.100000000000001" customHeight="1">
      <c r="F75" s="5"/>
      <c r="G75" s="34"/>
      <c r="H75" s="127"/>
      <c r="I75" s="127"/>
      <c r="J75" s="127"/>
      <c r="K75" s="128"/>
      <c r="L75" s="128"/>
      <c r="M75" s="128"/>
      <c r="N75" s="128"/>
      <c r="O75" s="5"/>
      <c r="P75" s="5"/>
      <c r="Q75" s="5"/>
      <c r="R75" s="5"/>
      <c r="S75" s="5"/>
      <c r="T75" s="5"/>
      <c r="U75" s="5"/>
      <c r="V75" s="5"/>
      <c r="W75" s="5"/>
      <c r="AC75" s="199"/>
      <c r="AD75" s="199"/>
      <c r="AE75" s="199"/>
      <c r="AF75" s="5"/>
      <c r="AG75" s="5"/>
    </row>
    <row r="76" spans="1:33" s="89" customFormat="1" ht="17.100000000000001" customHeight="1">
      <c r="F76" s="5"/>
      <c r="G76" s="26"/>
      <c r="H76" s="127"/>
      <c r="I76" s="127"/>
      <c r="J76" s="127"/>
      <c r="K76" s="128"/>
      <c r="L76" s="128"/>
      <c r="M76" s="128"/>
      <c r="N76" s="128"/>
      <c r="O76" s="5"/>
      <c r="P76" s="5"/>
      <c r="Q76" s="5"/>
      <c r="R76" s="5"/>
      <c r="S76" s="5"/>
      <c r="T76" s="5"/>
      <c r="U76" s="5"/>
      <c r="V76" s="5"/>
      <c r="W76" s="5"/>
      <c r="AC76" s="5"/>
      <c r="AD76" s="128"/>
      <c r="AE76" s="128"/>
      <c r="AF76" s="199"/>
      <c r="AG76" s="5"/>
    </row>
    <row r="77" spans="1:33" s="89" customFormat="1" ht="17.100000000000001" customHeight="1">
      <c r="F77" s="5"/>
      <c r="G77" s="5"/>
      <c r="H77" s="127"/>
      <c r="I77" s="127"/>
      <c r="J77" s="127"/>
      <c r="K77" s="128"/>
      <c r="L77" s="128"/>
      <c r="M77" s="128"/>
      <c r="N77" s="128"/>
      <c r="O77" s="5"/>
      <c r="P77" s="5"/>
      <c r="Q77" s="5"/>
      <c r="R77" s="5"/>
      <c r="S77" s="5"/>
      <c r="T77" s="5"/>
      <c r="U77" s="5"/>
      <c r="V77" s="5"/>
      <c r="W77" s="5"/>
      <c r="AC77" s="5"/>
      <c r="AD77" s="199"/>
      <c r="AE77" s="199"/>
      <c r="AF77" s="128"/>
      <c r="AG77" s="5"/>
    </row>
    <row r="78" spans="1:33" s="89" customFormat="1" ht="17.100000000000001" customHeight="1">
      <c r="F78" s="5"/>
      <c r="G78" s="5"/>
      <c r="H78" s="127"/>
      <c r="I78" s="127"/>
      <c r="J78" s="127"/>
      <c r="K78" s="128"/>
      <c r="L78" s="128"/>
      <c r="M78" s="128"/>
      <c r="N78" s="128"/>
      <c r="O78" s="10"/>
      <c r="P78" s="5"/>
      <c r="Q78" s="5"/>
      <c r="R78" s="5"/>
      <c r="S78" s="5"/>
      <c r="T78" s="5"/>
      <c r="U78" s="5"/>
      <c r="V78" s="5"/>
      <c r="W78" s="5"/>
      <c r="AC78" s="5"/>
      <c r="AD78" s="185"/>
      <c r="AE78" s="185"/>
      <c r="AF78" s="199"/>
      <c r="AG78" s="5"/>
    </row>
    <row r="79" spans="1:33" s="89" customFormat="1" ht="17.100000000000001" customHeight="1">
      <c r="F79" s="5"/>
      <c r="G79" s="5"/>
      <c r="H79" s="127"/>
      <c r="I79" s="127"/>
      <c r="J79" s="127"/>
      <c r="K79" s="128"/>
      <c r="L79" s="128"/>
      <c r="M79" s="128"/>
      <c r="N79" s="128"/>
      <c r="O79" s="5"/>
      <c r="P79" s="5"/>
      <c r="Q79" s="5"/>
      <c r="R79" s="5"/>
      <c r="S79" s="5"/>
      <c r="T79" s="5"/>
      <c r="U79" s="5"/>
      <c r="V79" s="5"/>
      <c r="W79" s="5"/>
      <c r="AC79" s="5"/>
      <c r="AD79" s="5"/>
      <c r="AE79" s="5"/>
      <c r="AF79" s="185"/>
      <c r="AG79" s="5"/>
    </row>
    <row r="80" spans="1:33" s="89" customFormat="1" ht="17.100000000000001" customHeight="1">
      <c r="F80" s="5"/>
      <c r="G80" s="5"/>
      <c r="H80" s="127"/>
      <c r="I80" s="127"/>
      <c r="J80" s="127"/>
      <c r="K80" s="128"/>
      <c r="L80" s="128"/>
      <c r="M80" s="128"/>
      <c r="N80" s="128"/>
      <c r="O80" s="5"/>
      <c r="P80" s="5"/>
      <c r="Q80" s="5"/>
      <c r="R80" s="5"/>
      <c r="S80" s="5"/>
      <c r="T80" s="5"/>
      <c r="U80" s="5"/>
      <c r="V80" s="5"/>
      <c r="W80" s="5"/>
      <c r="AC80" s="5"/>
      <c r="AD80" s="5"/>
      <c r="AE80" s="5"/>
      <c r="AF80" s="5"/>
      <c r="AG80" s="5"/>
    </row>
    <row r="81" spans="6:33" s="89" customFormat="1" ht="17.100000000000001" customHeight="1">
      <c r="F81" s="5"/>
      <c r="G81" s="5"/>
      <c r="H81" s="127"/>
      <c r="I81" s="127"/>
      <c r="J81" s="127"/>
      <c r="K81" s="128"/>
      <c r="L81" s="128"/>
      <c r="M81" s="128"/>
      <c r="N81" s="128"/>
      <c r="O81" s="5"/>
      <c r="P81" s="5"/>
      <c r="Q81" s="5"/>
      <c r="R81" s="5"/>
      <c r="S81" s="5"/>
      <c r="T81" s="5"/>
      <c r="U81" s="5"/>
      <c r="V81" s="5"/>
      <c r="W81" s="5"/>
      <c r="AC81" s="5"/>
      <c r="AD81" s="5"/>
      <c r="AE81" s="5"/>
      <c r="AF81" s="5"/>
      <c r="AG81" s="5"/>
    </row>
    <row r="82" spans="6:33" s="89" customFormat="1" ht="17.100000000000001" customHeight="1">
      <c r="F82" s="5"/>
      <c r="G82" s="5"/>
      <c r="H82" s="127"/>
      <c r="I82" s="127"/>
      <c r="J82" s="127"/>
      <c r="K82" s="128"/>
      <c r="L82" s="128"/>
      <c r="M82" s="128"/>
      <c r="N82" s="128"/>
      <c r="O82" s="5"/>
      <c r="P82" s="5"/>
      <c r="Q82" s="5"/>
      <c r="R82" s="5"/>
      <c r="S82" s="5"/>
      <c r="T82" s="5"/>
      <c r="U82" s="5"/>
      <c r="V82" s="5"/>
      <c r="W82" s="5"/>
      <c r="AC82" s="5"/>
      <c r="AD82" s="5"/>
      <c r="AE82" s="5"/>
      <c r="AF82" s="5"/>
      <c r="AG82" s="5"/>
    </row>
    <row r="83" spans="6:33" s="89" customFormat="1" ht="17.100000000000001" customHeight="1">
      <c r="F83" s="5"/>
      <c r="G83" s="5"/>
      <c r="H83" s="127"/>
      <c r="I83" s="127"/>
      <c r="J83" s="127"/>
      <c r="K83" s="128"/>
      <c r="L83" s="128"/>
      <c r="M83" s="128"/>
      <c r="N83" s="128"/>
      <c r="O83" s="5"/>
      <c r="P83" s="5"/>
      <c r="Q83" s="5"/>
      <c r="R83" s="5"/>
      <c r="S83" s="5"/>
      <c r="T83" s="5"/>
      <c r="U83" s="5"/>
      <c r="V83" s="5"/>
      <c r="W83" s="5"/>
      <c r="AC83" s="5"/>
      <c r="AD83" s="5"/>
      <c r="AE83" s="5"/>
      <c r="AF83" s="5"/>
      <c r="AG83" s="5"/>
    </row>
    <row r="84" spans="6:33" s="89" customFormat="1" ht="17.100000000000001" customHeight="1">
      <c r="F84" s="5"/>
      <c r="G84" s="5"/>
      <c r="H84" s="127"/>
      <c r="I84" s="127"/>
      <c r="J84" s="127"/>
      <c r="K84" s="128"/>
      <c r="L84" s="128"/>
      <c r="M84" s="128"/>
      <c r="N84" s="128"/>
      <c r="O84" s="5"/>
      <c r="P84" s="5"/>
      <c r="Q84" s="5"/>
      <c r="R84" s="5"/>
      <c r="S84" s="5"/>
      <c r="T84" s="5"/>
      <c r="U84" s="5"/>
      <c r="V84" s="5"/>
      <c r="W84" s="5"/>
      <c r="AC84" s="5"/>
      <c r="AD84" s="5"/>
      <c r="AE84" s="5"/>
      <c r="AF84" s="5"/>
      <c r="AG84" s="5"/>
    </row>
    <row r="85" spans="6:33" s="89" customFormat="1" ht="17.100000000000001" customHeight="1">
      <c r="F85" s="5"/>
      <c r="G85" s="5"/>
      <c r="H85" s="127"/>
      <c r="I85" s="127"/>
      <c r="J85" s="127"/>
      <c r="K85" s="128"/>
      <c r="L85" s="128"/>
      <c r="M85" s="128"/>
      <c r="N85" s="128"/>
      <c r="O85" s="5"/>
      <c r="P85" s="5"/>
      <c r="Q85" s="5"/>
      <c r="R85" s="5"/>
      <c r="S85" s="5"/>
      <c r="T85" s="5"/>
      <c r="U85" s="5"/>
      <c r="V85" s="5"/>
      <c r="W85" s="5"/>
      <c r="AC85" s="5"/>
      <c r="AD85" s="5"/>
      <c r="AE85" s="5"/>
      <c r="AF85" s="5"/>
      <c r="AG85" s="5"/>
    </row>
    <row r="86" spans="6:33" s="89" customFormat="1" ht="17.100000000000001" customHeight="1">
      <c r="F86" s="5"/>
      <c r="G86" s="5"/>
      <c r="H86" s="127"/>
      <c r="I86" s="127"/>
      <c r="J86" s="127"/>
      <c r="K86" s="128"/>
      <c r="L86" s="128"/>
      <c r="M86" s="128"/>
      <c r="N86" s="128"/>
      <c r="O86" s="5"/>
      <c r="P86" s="5"/>
      <c r="Q86" s="5"/>
      <c r="R86" s="5"/>
      <c r="S86" s="5"/>
      <c r="T86" s="5"/>
      <c r="U86" s="5"/>
      <c r="V86" s="5"/>
      <c r="W86" s="5"/>
      <c r="AC86" s="5"/>
      <c r="AD86" s="5"/>
      <c r="AE86" s="5"/>
      <c r="AF86" s="5"/>
      <c r="AG86" s="5"/>
    </row>
    <row r="87" spans="6:33" s="89" customFormat="1" ht="17.100000000000001" customHeight="1">
      <c r="F87" s="5"/>
      <c r="G87" s="5"/>
      <c r="H87" s="127"/>
      <c r="I87" s="127"/>
      <c r="J87" s="127"/>
      <c r="K87" s="128"/>
      <c r="L87" s="128"/>
      <c r="M87" s="128"/>
      <c r="N87" s="128"/>
      <c r="O87" s="5"/>
      <c r="P87" s="5"/>
      <c r="Q87" s="5"/>
      <c r="R87" s="5"/>
      <c r="S87" s="5"/>
      <c r="T87" s="5"/>
      <c r="U87" s="5"/>
      <c r="V87" s="5"/>
      <c r="W87" s="5"/>
      <c r="AC87" s="5"/>
      <c r="AD87" s="5"/>
      <c r="AE87" s="5"/>
      <c r="AF87" s="5"/>
      <c r="AG87" s="5"/>
    </row>
    <row r="88" spans="6:33" s="89" customFormat="1" ht="17.100000000000001" customHeight="1">
      <c r="F88" s="128"/>
      <c r="G88" s="5"/>
      <c r="H88" s="127"/>
      <c r="I88" s="127"/>
      <c r="J88" s="127"/>
      <c r="K88" s="128"/>
      <c r="L88" s="128"/>
      <c r="M88" s="128"/>
      <c r="N88" s="128"/>
      <c r="O88" s="5"/>
      <c r="P88" s="5"/>
      <c r="Q88" s="5"/>
      <c r="R88" s="5"/>
      <c r="S88" s="5"/>
      <c r="T88" s="5"/>
      <c r="U88" s="5"/>
      <c r="V88" s="5"/>
      <c r="W88" s="5"/>
      <c r="AC88" s="5"/>
      <c r="AD88" s="5"/>
      <c r="AE88" s="5"/>
      <c r="AF88" s="5"/>
      <c r="AG88" s="5"/>
    </row>
    <row r="89" spans="6:33" s="89" customFormat="1" ht="17.100000000000001" customHeight="1">
      <c r="F89" s="128"/>
      <c r="G89" s="5"/>
      <c r="H89" s="127"/>
      <c r="I89" s="127"/>
      <c r="J89" s="127"/>
      <c r="K89" s="128"/>
      <c r="L89" s="128"/>
      <c r="M89" s="128"/>
      <c r="N89" s="128"/>
      <c r="O89" s="5"/>
      <c r="P89" s="5"/>
      <c r="Q89" s="5"/>
      <c r="R89" s="5"/>
      <c r="S89" s="5"/>
      <c r="T89" s="5"/>
      <c r="U89" s="5"/>
      <c r="V89" s="5"/>
      <c r="W89" s="5"/>
      <c r="AC89" s="5"/>
      <c r="AD89" s="5"/>
      <c r="AE89" s="5"/>
      <c r="AF89" s="5"/>
      <c r="AG89" s="5"/>
    </row>
    <row r="90" spans="6:33" s="89" customFormat="1" ht="17.100000000000001" customHeight="1">
      <c r="F90" s="128"/>
      <c r="G90" s="5"/>
      <c r="H90" s="127"/>
      <c r="I90" s="127"/>
      <c r="J90" s="127"/>
      <c r="K90" s="128"/>
      <c r="L90" s="128"/>
      <c r="M90" s="128"/>
      <c r="N90" s="128"/>
      <c r="O90" s="5"/>
      <c r="P90" s="5"/>
      <c r="Q90" s="5"/>
      <c r="R90" s="5"/>
      <c r="S90" s="5"/>
      <c r="T90" s="5"/>
      <c r="U90" s="5"/>
      <c r="V90" s="5"/>
      <c r="W90" s="5"/>
      <c r="AC90" s="5"/>
      <c r="AD90" s="5"/>
      <c r="AE90" s="5"/>
      <c r="AF90" s="5"/>
      <c r="AG90" s="5"/>
    </row>
    <row r="91" spans="6:33" s="89" customFormat="1" ht="17.100000000000001" customHeight="1">
      <c r="F91" s="128"/>
      <c r="G91" s="128"/>
      <c r="H91" s="127"/>
      <c r="I91" s="127"/>
      <c r="J91" s="127"/>
      <c r="K91" s="128"/>
      <c r="L91" s="128"/>
      <c r="M91" s="128"/>
      <c r="N91" s="128"/>
      <c r="O91" s="5"/>
      <c r="P91" s="5"/>
      <c r="Q91" s="5"/>
      <c r="R91" s="5"/>
      <c r="S91" s="5"/>
      <c r="T91" s="5"/>
      <c r="U91" s="5"/>
      <c r="V91" s="5"/>
      <c r="W91" s="5"/>
      <c r="AC91" s="5"/>
      <c r="AD91" s="5"/>
      <c r="AE91" s="5"/>
      <c r="AF91" s="5"/>
      <c r="AG91" s="5"/>
    </row>
    <row r="92" spans="6:33" s="89" customFormat="1" ht="17.100000000000001" customHeight="1">
      <c r="F92" s="5"/>
      <c r="G92" s="5"/>
      <c r="H92" s="127"/>
      <c r="I92" s="127"/>
      <c r="J92" s="127"/>
      <c r="K92" s="128"/>
      <c r="L92" s="128"/>
      <c r="M92" s="128"/>
      <c r="N92" s="128"/>
      <c r="O92" s="5"/>
      <c r="P92" s="5"/>
      <c r="Q92" s="5"/>
      <c r="R92" s="5"/>
      <c r="S92" s="5"/>
      <c r="T92" s="5"/>
      <c r="U92" s="5"/>
      <c r="V92" s="5"/>
      <c r="W92" s="5"/>
      <c r="AC92" s="5"/>
      <c r="AD92" s="5"/>
      <c r="AE92" s="5"/>
      <c r="AF92" s="5"/>
      <c r="AG92" s="5"/>
    </row>
    <row r="93" spans="6:33" s="89" customFormat="1" ht="17.100000000000001" customHeight="1">
      <c r="F93" s="5"/>
      <c r="G93" s="5"/>
      <c r="H93" s="127"/>
      <c r="I93" s="127"/>
      <c r="J93" s="127"/>
      <c r="K93" s="128"/>
      <c r="L93" s="128"/>
      <c r="M93" s="128"/>
      <c r="N93" s="128"/>
      <c r="O93" s="5"/>
      <c r="P93" s="5"/>
      <c r="Q93" s="5"/>
      <c r="R93" s="5"/>
      <c r="S93" s="5"/>
      <c r="T93" s="5"/>
      <c r="U93" s="5"/>
      <c r="V93" s="5"/>
      <c r="W93" s="5"/>
      <c r="AC93" s="5"/>
      <c r="AD93" s="5"/>
      <c r="AE93" s="5"/>
      <c r="AF93" s="5"/>
      <c r="AG93" s="5"/>
    </row>
    <row r="94" spans="6:33" s="89" customFormat="1" ht="17.100000000000001" customHeight="1">
      <c r="F94" s="5"/>
      <c r="G94" s="5"/>
      <c r="H94" s="127"/>
      <c r="I94" s="127"/>
      <c r="J94" s="127"/>
      <c r="K94" s="128"/>
      <c r="L94" s="128"/>
      <c r="M94" s="128"/>
      <c r="N94" s="128"/>
      <c r="O94" s="5"/>
      <c r="P94" s="5"/>
      <c r="Q94" s="5"/>
      <c r="R94" s="5"/>
      <c r="S94" s="5"/>
      <c r="T94" s="5"/>
      <c r="U94" s="5"/>
      <c r="V94" s="5"/>
      <c r="W94" s="5"/>
      <c r="AC94" s="5"/>
      <c r="AD94" s="5"/>
      <c r="AE94" s="5"/>
      <c r="AF94" s="5"/>
      <c r="AG94" s="5"/>
    </row>
    <row r="95" spans="6:33" s="89" customFormat="1" ht="17.100000000000001" customHeight="1">
      <c r="F95" s="5"/>
      <c r="G95" s="5"/>
      <c r="H95" s="5"/>
      <c r="I95" s="5"/>
      <c r="J95" s="5"/>
      <c r="K95" s="128"/>
      <c r="L95" s="128"/>
      <c r="M95" s="128"/>
      <c r="N95" s="128"/>
      <c r="O95" s="5"/>
      <c r="P95" s="5"/>
      <c r="Q95" s="5"/>
      <c r="R95" s="5"/>
      <c r="S95" s="5"/>
      <c r="T95" s="5"/>
      <c r="U95" s="5"/>
      <c r="V95" s="5"/>
      <c r="W95" s="5"/>
      <c r="AC95" s="5"/>
      <c r="AD95" s="5"/>
      <c r="AE95" s="5"/>
      <c r="AF95" s="5"/>
      <c r="AG95" s="5"/>
    </row>
    <row r="96" spans="6:33" s="89" customFormat="1" ht="17.100000000000001" customHeight="1">
      <c r="F96" s="5"/>
      <c r="G96" s="5"/>
      <c r="H96" s="5"/>
      <c r="I96" s="5"/>
      <c r="J96" s="5"/>
      <c r="K96" s="128"/>
      <c r="L96" s="128"/>
      <c r="M96" s="128"/>
      <c r="N96" s="128"/>
      <c r="O96" s="5"/>
      <c r="P96" s="5"/>
      <c r="Q96" s="5"/>
      <c r="R96" s="5"/>
      <c r="S96" s="5"/>
      <c r="T96" s="5"/>
      <c r="U96" s="5"/>
      <c r="V96" s="5"/>
      <c r="W96" s="5"/>
      <c r="AC96" s="5"/>
      <c r="AD96" s="5"/>
      <c r="AE96" s="5"/>
      <c r="AF96" s="5"/>
      <c r="AG96" s="5"/>
    </row>
    <row r="97" spans="6:33" s="89" customFormat="1" ht="17.100000000000001" customHeight="1">
      <c r="F97" s="5"/>
      <c r="G97" s="5"/>
      <c r="H97" s="5"/>
      <c r="I97" s="5"/>
      <c r="J97" s="5"/>
      <c r="K97" s="128"/>
      <c r="L97" s="128"/>
      <c r="M97" s="128"/>
      <c r="N97" s="128"/>
      <c r="O97" s="5"/>
      <c r="P97" s="5"/>
      <c r="Q97" s="5"/>
      <c r="R97" s="5"/>
      <c r="S97" s="5"/>
      <c r="T97" s="5"/>
      <c r="U97" s="5"/>
      <c r="V97" s="5"/>
      <c r="W97" s="5"/>
      <c r="AC97" s="5"/>
      <c r="AD97" s="5"/>
      <c r="AE97" s="5"/>
      <c r="AF97" s="5"/>
      <c r="AG97" s="5"/>
    </row>
    <row r="98" spans="6:33" s="89" customFormat="1" ht="17.100000000000001" customHeight="1">
      <c r="F98" s="5"/>
      <c r="G98" s="5"/>
      <c r="H98" s="5"/>
      <c r="I98" s="5"/>
      <c r="J98" s="5"/>
      <c r="K98" s="128"/>
      <c r="L98" s="128"/>
      <c r="M98" s="128"/>
      <c r="N98" s="128"/>
      <c r="O98" s="5"/>
      <c r="P98" s="5"/>
      <c r="Q98" s="5"/>
      <c r="R98" s="5"/>
      <c r="S98" s="5"/>
      <c r="T98" s="5"/>
      <c r="U98" s="5"/>
      <c r="V98" s="5"/>
      <c r="W98" s="5"/>
      <c r="AC98" s="5"/>
      <c r="AD98" s="5"/>
      <c r="AE98" s="5"/>
      <c r="AF98" s="5"/>
      <c r="AG98" s="5"/>
    </row>
    <row r="99" spans="6:33" s="89" customFormat="1" ht="17.100000000000001" customHeight="1">
      <c r="F99" s="5"/>
      <c r="G99" s="5"/>
      <c r="H99" s="5"/>
      <c r="I99" s="5"/>
      <c r="J99" s="5"/>
      <c r="K99" s="128"/>
      <c r="L99" s="128"/>
      <c r="M99" s="128"/>
      <c r="N99" s="128"/>
      <c r="O99" s="5"/>
      <c r="P99" s="5"/>
      <c r="Q99" s="5"/>
      <c r="R99" s="5"/>
      <c r="S99" s="5"/>
      <c r="T99" s="5"/>
      <c r="U99" s="5"/>
      <c r="V99" s="5"/>
      <c r="W99" s="5"/>
      <c r="AC99" s="5"/>
      <c r="AD99" s="5"/>
      <c r="AE99" s="5"/>
      <c r="AF99" s="5"/>
      <c r="AG99" s="5"/>
    </row>
    <row r="100" spans="6:33" s="89" customFormat="1" ht="17.100000000000001" customHeight="1">
      <c r="F100" s="5"/>
      <c r="G100" s="5"/>
      <c r="H100" s="5"/>
      <c r="I100" s="5"/>
      <c r="J100" s="5"/>
      <c r="K100" s="128"/>
      <c r="L100" s="128"/>
      <c r="M100" s="128"/>
      <c r="N100" s="128"/>
      <c r="O100" s="5"/>
      <c r="P100" s="5"/>
      <c r="Q100" s="5"/>
      <c r="R100" s="5"/>
      <c r="S100" s="5"/>
      <c r="T100" s="5"/>
      <c r="U100" s="5"/>
      <c r="V100" s="5"/>
      <c r="W100" s="5"/>
      <c r="AC100" s="5"/>
      <c r="AD100" s="5"/>
      <c r="AE100" s="5"/>
      <c r="AF100" s="5"/>
      <c r="AG100" s="5"/>
    </row>
    <row r="101" spans="6:33" s="89" customFormat="1" ht="17.100000000000001" customHeight="1">
      <c r="F101" s="5"/>
      <c r="G101" s="5"/>
      <c r="H101" s="5"/>
      <c r="I101" s="5"/>
      <c r="J101" s="5"/>
      <c r="K101" s="128"/>
      <c r="L101" s="128"/>
      <c r="M101" s="128"/>
      <c r="N101" s="128"/>
      <c r="O101" s="5"/>
      <c r="P101" s="5"/>
      <c r="Q101" s="5"/>
      <c r="R101" s="5"/>
      <c r="S101" s="5"/>
      <c r="T101" s="5"/>
      <c r="U101" s="5"/>
      <c r="V101" s="5"/>
      <c r="W101" s="5"/>
      <c r="AC101" s="5"/>
      <c r="AD101" s="5"/>
      <c r="AE101" s="5"/>
      <c r="AF101" s="5"/>
      <c r="AG101" s="5"/>
    </row>
    <row r="102" spans="6:33" s="89" customFormat="1" ht="17.100000000000001" customHeight="1">
      <c r="F102" s="5"/>
      <c r="G102" s="5"/>
      <c r="H102" s="5"/>
      <c r="I102" s="5"/>
      <c r="J102" s="5"/>
      <c r="K102" s="128"/>
      <c r="L102" s="128"/>
      <c r="M102" s="128"/>
      <c r="N102" s="128"/>
      <c r="O102" s="5"/>
      <c r="P102" s="5"/>
      <c r="Q102" s="5"/>
      <c r="R102" s="5"/>
      <c r="S102" s="5"/>
      <c r="T102" s="5"/>
      <c r="U102" s="5"/>
      <c r="V102" s="5"/>
      <c r="W102" s="5"/>
      <c r="AC102" s="5"/>
      <c r="AD102" s="5"/>
      <c r="AE102" s="5"/>
      <c r="AF102" s="5"/>
      <c r="AG102" s="5"/>
    </row>
    <row r="103" spans="6:33" s="89" customFormat="1" ht="17.100000000000001" customHeight="1">
      <c r="F103" s="5"/>
      <c r="G103" s="5"/>
      <c r="H103" s="5"/>
      <c r="I103" s="5"/>
      <c r="J103" s="5"/>
      <c r="K103" s="128"/>
      <c r="L103" s="128"/>
      <c r="M103" s="128"/>
      <c r="N103" s="128"/>
      <c r="O103" s="5"/>
      <c r="P103" s="5"/>
      <c r="Q103" s="5"/>
      <c r="R103" s="5"/>
      <c r="S103" s="5"/>
      <c r="T103" s="5"/>
      <c r="U103" s="5"/>
      <c r="V103" s="5"/>
      <c r="W103" s="5"/>
      <c r="AC103" s="5"/>
      <c r="AD103" s="5"/>
      <c r="AE103" s="5"/>
      <c r="AF103" s="5"/>
      <c r="AG103" s="5"/>
    </row>
    <row r="104" spans="6:33" s="89" customFormat="1" ht="17.100000000000001" customHeight="1">
      <c r="F104" s="5"/>
      <c r="G104" s="5"/>
      <c r="H104" s="5"/>
      <c r="I104" s="5"/>
      <c r="J104" s="5"/>
      <c r="K104" s="128"/>
      <c r="L104" s="128"/>
      <c r="M104" s="128"/>
      <c r="N104" s="128"/>
      <c r="O104" s="5"/>
      <c r="P104" s="5"/>
      <c r="Q104" s="5"/>
      <c r="R104" s="5"/>
      <c r="S104" s="5"/>
      <c r="T104" s="5"/>
      <c r="U104" s="5"/>
      <c r="V104" s="5"/>
      <c r="W104" s="5"/>
      <c r="AC104" s="5"/>
      <c r="AD104" s="5"/>
      <c r="AE104" s="5"/>
      <c r="AF104" s="5"/>
      <c r="AG104" s="5"/>
    </row>
    <row r="105" spans="6:33" s="89" customFormat="1" ht="17.100000000000001" customHeight="1">
      <c r="F105" s="5"/>
      <c r="G105" s="5"/>
      <c r="H105" s="5"/>
      <c r="I105" s="5"/>
      <c r="J105" s="5"/>
      <c r="K105" s="128"/>
      <c r="L105" s="128"/>
      <c r="M105" s="128"/>
      <c r="N105" s="128"/>
      <c r="O105" s="5"/>
      <c r="P105" s="5"/>
      <c r="Q105" s="5"/>
      <c r="R105" s="5"/>
      <c r="S105" s="5"/>
      <c r="T105" s="5"/>
      <c r="U105" s="5"/>
      <c r="V105" s="5"/>
      <c r="W105" s="5"/>
      <c r="AC105" s="5"/>
      <c r="AD105" s="5"/>
      <c r="AE105" s="5"/>
      <c r="AF105" s="5"/>
      <c r="AG105" s="5"/>
    </row>
    <row r="106" spans="6:33" s="89" customFormat="1" ht="17.100000000000001" customHeight="1">
      <c r="F106" s="5"/>
      <c r="G106" s="5"/>
      <c r="H106" s="5"/>
      <c r="I106" s="5"/>
      <c r="J106" s="5"/>
      <c r="K106" s="128"/>
      <c r="L106" s="128"/>
      <c r="M106" s="128"/>
      <c r="N106" s="128"/>
      <c r="O106" s="5"/>
      <c r="P106" s="5"/>
      <c r="Q106" s="5"/>
      <c r="R106" s="5"/>
      <c r="S106" s="5"/>
      <c r="T106" s="5"/>
      <c r="U106" s="5"/>
      <c r="V106" s="5"/>
      <c r="W106" s="5"/>
      <c r="AC106" s="5"/>
      <c r="AD106" s="5"/>
      <c r="AE106" s="5"/>
      <c r="AF106" s="5"/>
      <c r="AG106" s="199">
        <v>-8389017.6852083318</v>
      </c>
    </row>
    <row r="107" spans="6:33" s="89" customFormat="1" ht="17.100000000000001" customHeight="1">
      <c r="F107" s="5"/>
      <c r="G107" s="5"/>
      <c r="H107" s="5"/>
      <c r="I107" s="5"/>
      <c r="J107" s="5"/>
      <c r="K107" s="128"/>
      <c r="L107" s="128"/>
      <c r="M107" s="128"/>
      <c r="N107" s="128"/>
      <c r="O107" s="5"/>
      <c r="P107" s="5"/>
      <c r="Q107" s="5"/>
      <c r="R107" s="5"/>
      <c r="S107" s="5"/>
      <c r="T107" s="5"/>
      <c r="U107" s="5"/>
      <c r="V107" s="5"/>
      <c r="W107" s="5"/>
      <c r="AC107" s="5"/>
      <c r="AD107" s="5"/>
      <c r="AE107" s="5"/>
      <c r="AF107" s="5"/>
      <c r="AG107" s="128"/>
    </row>
    <row r="108" spans="6:33" s="89" customFormat="1" ht="17.100000000000001" customHeight="1">
      <c r="F108" s="5"/>
      <c r="G108" s="5"/>
      <c r="H108" s="5"/>
      <c r="I108" s="5"/>
      <c r="J108" s="5"/>
      <c r="K108" s="128"/>
      <c r="L108" s="128"/>
      <c r="M108" s="128"/>
      <c r="N108" s="128"/>
      <c r="O108" s="5"/>
      <c r="P108" s="5"/>
      <c r="Q108" s="5"/>
      <c r="R108" s="5"/>
      <c r="S108" s="5"/>
      <c r="T108" s="5"/>
      <c r="U108" s="5"/>
      <c r="V108" s="5"/>
      <c r="W108" s="5"/>
      <c r="AC108" s="5"/>
      <c r="AD108" s="5"/>
      <c r="AE108" s="5"/>
      <c r="AF108" s="5"/>
      <c r="AG108" s="199">
        <f>AG71-AG106</f>
        <v>8389017.6852083318</v>
      </c>
    </row>
    <row r="109" spans="6:33" s="89" customFormat="1" ht="17.100000000000001" customHeight="1">
      <c r="F109" s="5"/>
      <c r="G109" s="5"/>
      <c r="H109" s="5"/>
      <c r="I109" s="5"/>
      <c r="J109" s="5"/>
      <c r="K109" s="128"/>
      <c r="L109" s="128"/>
      <c r="M109" s="128"/>
      <c r="N109" s="128"/>
      <c r="O109" s="5"/>
      <c r="P109" s="5"/>
      <c r="Q109" s="5"/>
      <c r="R109" s="5"/>
      <c r="S109" s="5"/>
      <c r="T109" s="5"/>
      <c r="U109" s="5"/>
      <c r="V109" s="5"/>
      <c r="W109" s="5"/>
      <c r="AC109" s="5"/>
      <c r="AD109" s="5"/>
      <c r="AE109" s="5"/>
      <c r="AF109" s="5"/>
      <c r="AG109" s="199"/>
    </row>
    <row r="110" spans="6:33" s="89" customFormat="1" ht="17.100000000000001" customHeight="1">
      <c r="F110" s="5"/>
      <c r="G110" s="5"/>
      <c r="H110" s="5"/>
      <c r="I110" s="5"/>
      <c r="J110" s="5"/>
      <c r="K110" s="128"/>
      <c r="L110" s="128"/>
      <c r="M110" s="128"/>
      <c r="N110" s="128"/>
      <c r="O110" s="5"/>
      <c r="P110" s="5"/>
      <c r="Q110" s="5"/>
      <c r="R110" s="5"/>
      <c r="S110" s="5"/>
      <c r="T110" s="5"/>
      <c r="U110" s="5"/>
      <c r="V110" s="5"/>
      <c r="W110" s="5"/>
      <c r="AC110" s="5"/>
      <c r="AD110" s="5"/>
      <c r="AE110" s="5"/>
      <c r="AF110" s="5"/>
      <c r="AG110" s="199">
        <v>0</v>
      </c>
    </row>
    <row r="111" spans="6:33" s="89" customFormat="1" ht="17.100000000000001" customHeight="1">
      <c r="F111" s="5"/>
      <c r="G111" s="5"/>
      <c r="H111" s="5"/>
      <c r="I111" s="5"/>
      <c r="J111" s="5"/>
      <c r="K111" s="128"/>
      <c r="L111" s="128"/>
      <c r="M111" s="128"/>
      <c r="N111" s="128"/>
      <c r="O111" s="5"/>
      <c r="P111" s="5"/>
      <c r="Q111" s="5"/>
      <c r="R111" s="5"/>
      <c r="S111" s="5"/>
      <c r="T111" s="5"/>
      <c r="U111" s="5"/>
      <c r="V111" s="5"/>
      <c r="W111" s="5"/>
      <c r="AC111" s="5"/>
      <c r="AD111" s="5"/>
      <c r="AE111" s="5"/>
      <c r="AF111" s="5"/>
      <c r="AG111" s="128"/>
    </row>
    <row r="112" spans="6:33" s="89" customFormat="1" ht="17.100000000000001" customHeight="1">
      <c r="F112" s="5"/>
      <c r="G112" s="5"/>
      <c r="H112" s="5"/>
      <c r="I112" s="5"/>
      <c r="J112" s="5"/>
      <c r="K112" s="128"/>
      <c r="L112" s="128"/>
      <c r="M112" s="128"/>
      <c r="N112" s="128"/>
      <c r="O112" s="5"/>
      <c r="P112" s="5"/>
      <c r="Q112" s="5"/>
      <c r="R112" s="5"/>
      <c r="S112" s="5"/>
      <c r="T112" s="5"/>
      <c r="U112" s="5"/>
      <c r="V112" s="5"/>
      <c r="W112" s="5"/>
      <c r="AC112" s="5"/>
      <c r="AD112" s="5"/>
      <c r="AE112" s="5"/>
      <c r="AF112" s="5"/>
      <c r="AG112" s="199">
        <v>0</v>
      </c>
    </row>
    <row r="113" spans="1:33" s="89" customFormat="1" ht="17.100000000000001" customHeight="1">
      <c r="F113" s="5"/>
      <c r="G113" s="5"/>
      <c r="H113" s="5"/>
      <c r="I113" s="5"/>
      <c r="J113" s="5"/>
      <c r="K113" s="128"/>
      <c r="L113" s="128"/>
      <c r="M113" s="128"/>
      <c r="N113" s="128"/>
      <c r="O113" s="5"/>
      <c r="P113" s="5"/>
      <c r="Q113" s="5"/>
      <c r="R113" s="5"/>
      <c r="S113" s="5"/>
      <c r="T113" s="5"/>
      <c r="U113" s="5"/>
      <c r="V113" s="5"/>
      <c r="W113" s="5"/>
      <c r="AC113" s="5"/>
      <c r="AD113" s="5"/>
      <c r="AE113" s="5"/>
      <c r="AF113" s="5"/>
      <c r="AG113" s="5"/>
    </row>
    <row r="114" spans="1:33" s="89" customFormat="1" ht="17.100000000000001" customHeight="1">
      <c r="F114" s="5"/>
      <c r="G114" s="5"/>
      <c r="H114" s="5"/>
      <c r="I114" s="5"/>
      <c r="J114" s="5"/>
      <c r="K114" s="128"/>
      <c r="L114" s="128"/>
      <c r="M114" s="128"/>
      <c r="N114" s="128"/>
      <c r="O114" s="5"/>
      <c r="P114" s="5"/>
      <c r="Q114" s="5"/>
      <c r="R114" s="5"/>
      <c r="S114" s="5"/>
      <c r="T114" s="5"/>
      <c r="U114" s="5"/>
      <c r="V114" s="5"/>
      <c r="W114" s="5"/>
      <c r="AC114" s="5"/>
      <c r="AD114" s="5"/>
      <c r="AE114" s="5"/>
      <c r="AF114" s="5"/>
      <c r="AG114" s="5"/>
    </row>
    <row r="115" spans="1:33" s="89" customFormat="1" ht="17.100000000000001" customHeight="1">
      <c r="F115" s="5"/>
      <c r="G115" s="5"/>
      <c r="H115" s="5"/>
      <c r="I115" s="5"/>
      <c r="J115" s="5"/>
      <c r="K115" s="128"/>
      <c r="L115" s="128"/>
      <c r="M115" s="128"/>
      <c r="N115" s="128"/>
      <c r="O115" s="5"/>
      <c r="P115" s="5"/>
      <c r="Q115" s="5"/>
      <c r="R115" s="5"/>
      <c r="S115" s="5"/>
      <c r="T115" s="5"/>
      <c r="U115" s="5"/>
      <c r="V115" s="5"/>
      <c r="W115" s="5"/>
      <c r="AC115" s="5"/>
      <c r="AD115" s="5"/>
      <c r="AE115" s="5"/>
      <c r="AF115" s="5"/>
      <c r="AG115" s="5"/>
    </row>
    <row r="116" spans="1:33" s="89" customFormat="1" ht="17.100000000000001" customHeight="1">
      <c r="F116" s="5"/>
      <c r="G116" s="5"/>
      <c r="H116" s="5"/>
      <c r="I116" s="5"/>
      <c r="J116" s="5"/>
      <c r="K116" s="128"/>
      <c r="L116" s="128"/>
      <c r="M116" s="128"/>
      <c r="N116" s="128"/>
      <c r="O116" s="5"/>
      <c r="P116" s="5"/>
      <c r="Q116" s="5"/>
      <c r="R116" s="5"/>
      <c r="S116" s="5"/>
      <c r="T116" s="5"/>
      <c r="U116" s="5"/>
      <c r="V116" s="5"/>
      <c r="W116" s="5"/>
      <c r="Y116" s="78"/>
      <c r="Z116" s="78"/>
      <c r="AA116" s="78"/>
      <c r="AB116" s="78"/>
      <c r="AC116" s="5"/>
      <c r="AD116" s="5"/>
      <c r="AE116" s="5"/>
      <c r="AF116" s="5"/>
      <c r="AG116" s="5"/>
    </row>
    <row r="117" spans="1:33" s="89" customFormat="1" ht="17.100000000000001" customHeight="1">
      <c r="F117" s="5"/>
      <c r="G117" s="5"/>
      <c r="H117" s="5"/>
      <c r="I117" s="5"/>
      <c r="J117" s="5"/>
      <c r="K117" s="128"/>
      <c r="L117" s="128"/>
      <c r="M117" s="128"/>
      <c r="N117" s="128"/>
      <c r="O117" s="5"/>
      <c r="P117" s="5"/>
      <c r="Q117" s="5"/>
      <c r="R117" s="5"/>
      <c r="S117" s="5"/>
      <c r="T117" s="5"/>
      <c r="U117" s="5"/>
      <c r="V117" s="5"/>
      <c r="W117" s="5"/>
      <c r="Y117" s="78"/>
      <c r="Z117" s="78"/>
      <c r="AA117" s="78"/>
      <c r="AB117" s="78"/>
      <c r="AC117" s="5"/>
      <c r="AD117" s="5"/>
      <c r="AE117" s="5"/>
      <c r="AF117" s="5"/>
      <c r="AG117" s="5"/>
    </row>
    <row r="118" spans="1:33" s="89" customFormat="1" ht="17.100000000000001" customHeight="1">
      <c r="F118" s="5"/>
      <c r="G118" s="5"/>
      <c r="H118" s="5"/>
      <c r="I118" s="5"/>
      <c r="J118" s="5"/>
      <c r="K118" s="128"/>
      <c r="L118" s="128"/>
      <c r="M118" s="128"/>
      <c r="N118" s="128"/>
      <c r="O118" s="5"/>
      <c r="P118" s="5"/>
      <c r="Q118" s="5"/>
      <c r="R118" s="5"/>
      <c r="S118" s="5"/>
      <c r="T118" s="5"/>
      <c r="U118" s="5"/>
      <c r="V118" s="5"/>
      <c r="W118" s="5"/>
      <c r="Y118" s="78"/>
      <c r="Z118" s="78"/>
      <c r="AA118" s="78"/>
      <c r="AB118" s="78"/>
      <c r="AC118" s="5"/>
      <c r="AD118" s="5"/>
      <c r="AE118" s="5"/>
      <c r="AF118" s="5"/>
      <c r="AG118" s="5"/>
    </row>
    <row r="119" spans="1:33" s="89" customFormat="1" ht="17.100000000000001" customHeight="1">
      <c r="F119" s="5"/>
      <c r="G119" s="5"/>
      <c r="H119" s="5"/>
      <c r="I119" s="5"/>
      <c r="J119" s="5"/>
      <c r="K119" s="128"/>
      <c r="L119" s="128"/>
      <c r="M119" s="128"/>
      <c r="N119" s="128"/>
      <c r="O119" s="5"/>
      <c r="P119" s="5"/>
      <c r="Q119" s="5"/>
      <c r="R119" s="5"/>
      <c r="S119" s="5"/>
      <c r="T119" s="5"/>
      <c r="U119" s="5"/>
      <c r="V119" s="5"/>
      <c r="W119" s="5"/>
      <c r="Y119" s="78"/>
      <c r="Z119" s="78"/>
      <c r="AA119" s="78"/>
      <c r="AB119" s="78"/>
      <c r="AC119" s="5"/>
      <c r="AD119" s="5"/>
      <c r="AE119" s="5"/>
      <c r="AF119" s="5"/>
      <c r="AG119" s="5"/>
    </row>
    <row r="120" spans="1:33" s="89" customFormat="1" ht="17.100000000000001" customHeight="1">
      <c r="F120" s="5"/>
      <c r="G120" s="5"/>
      <c r="H120" s="5"/>
      <c r="I120" s="5"/>
      <c r="J120" s="5"/>
      <c r="K120" s="128"/>
      <c r="L120" s="128"/>
      <c r="M120" s="128"/>
      <c r="N120" s="128"/>
      <c r="O120" s="5"/>
      <c r="P120" s="5"/>
      <c r="Q120" s="5"/>
      <c r="R120" s="5"/>
      <c r="S120" s="5"/>
      <c r="T120" s="5"/>
      <c r="U120" s="5"/>
      <c r="V120" s="5"/>
      <c r="W120" s="5"/>
      <c r="Y120" s="78"/>
      <c r="Z120" s="78"/>
      <c r="AA120" s="78"/>
      <c r="AB120" s="78"/>
      <c r="AC120" s="5"/>
      <c r="AD120" s="5"/>
      <c r="AE120" s="5"/>
      <c r="AF120" s="5"/>
      <c r="AG120" s="5"/>
    </row>
    <row r="121" spans="1:33" ht="17.100000000000001" customHeight="1">
      <c r="A121" s="89"/>
      <c r="B121" s="89"/>
      <c r="C121" s="89"/>
      <c r="D121" s="89"/>
      <c r="E121" s="89"/>
      <c r="K121" s="128"/>
      <c r="L121" s="128"/>
      <c r="M121" s="128"/>
      <c r="N121" s="128"/>
    </row>
    <row r="122" spans="1:33">
      <c r="A122" s="89"/>
      <c r="B122" s="89"/>
      <c r="C122" s="89"/>
      <c r="D122" s="89"/>
      <c r="E122" s="89"/>
      <c r="K122" s="128"/>
      <c r="L122" s="128"/>
      <c r="M122" s="128"/>
      <c r="N122" s="128"/>
    </row>
    <row r="123" spans="1:33">
      <c r="A123" s="89"/>
      <c r="B123" s="89"/>
      <c r="C123" s="89"/>
      <c r="D123" s="89"/>
      <c r="E123" s="89"/>
      <c r="K123" s="128"/>
      <c r="L123" s="128"/>
      <c r="M123" s="128"/>
      <c r="N123" s="128"/>
    </row>
    <row r="124" spans="1:33">
      <c r="A124" s="89"/>
      <c r="B124" s="89"/>
      <c r="C124" s="89"/>
      <c r="D124" s="89"/>
      <c r="E124" s="89"/>
      <c r="K124" s="128"/>
      <c r="L124" s="128"/>
      <c r="M124" s="128"/>
      <c r="N124" s="128"/>
    </row>
    <row r="125" spans="1:33">
      <c r="A125" s="89"/>
      <c r="B125" s="89"/>
      <c r="C125" s="89"/>
      <c r="D125" s="89"/>
      <c r="E125" s="89"/>
      <c r="K125" s="128"/>
      <c r="L125" s="128"/>
      <c r="M125" s="128"/>
      <c r="N125" s="128"/>
    </row>
    <row r="126" spans="1:33">
      <c r="A126" s="89"/>
      <c r="B126" s="89"/>
      <c r="C126" s="89"/>
      <c r="D126" s="89"/>
      <c r="E126" s="89"/>
    </row>
    <row r="127" spans="1:33">
      <c r="A127" s="89"/>
      <c r="B127" s="89"/>
      <c r="C127" s="89"/>
      <c r="D127" s="89"/>
      <c r="E127" s="89"/>
    </row>
    <row r="128" spans="1:33">
      <c r="A128" s="89"/>
      <c r="B128" s="89"/>
      <c r="C128" s="89"/>
      <c r="D128" s="89"/>
      <c r="E128" s="89"/>
    </row>
    <row r="129" spans="1:5">
      <c r="A129" s="89"/>
      <c r="B129" s="89"/>
      <c r="C129" s="89"/>
      <c r="D129" s="89"/>
      <c r="E129" s="89"/>
    </row>
  </sheetData>
  <mergeCells count="2">
    <mergeCell ref="X7:AB7"/>
    <mergeCell ref="X8:AB8"/>
  </mergeCells>
  <pageMargins left="0.7" right="0.7" top="0.75" bottom="1" header="0.3" footer="0.3"/>
  <pageSetup scal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56471BA6D84F43B085AE7C42F17763" ma:contentTypeVersion="76" ma:contentTypeDescription="" ma:contentTypeScope="" ma:versionID="2b263e6efe83dc7724e44eff3cf102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DE48AF-3CAA-4B0A-AD65-F394AE209A2F}"/>
</file>

<file path=customXml/itemProps2.xml><?xml version="1.0" encoding="utf-8"?>
<ds:datastoreItem xmlns:ds="http://schemas.openxmlformats.org/officeDocument/2006/customXml" ds:itemID="{B9FA0883-9256-456A-84E0-A406A617D2B3}"/>
</file>

<file path=customXml/itemProps3.xml><?xml version="1.0" encoding="utf-8"?>
<ds:datastoreItem xmlns:ds="http://schemas.openxmlformats.org/officeDocument/2006/customXml" ds:itemID="{8D3DF45C-6C4E-4427-8FF7-4575D98697D6}"/>
</file>

<file path=customXml/itemProps4.xml><?xml version="1.0" encoding="utf-8"?>
<ds:datastoreItem xmlns:ds="http://schemas.openxmlformats.org/officeDocument/2006/customXml" ds:itemID="{0C54A221-CE34-437D-9D2B-5A9DB7C36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SEF-3 p1 Deficiency</vt:lpstr>
      <vt:lpstr>SEF-3 p2 ERF ROR</vt:lpstr>
      <vt:lpstr>SEF-3 p3 ERF Conv Factr</vt:lpstr>
      <vt:lpstr>SEF-3 p4 ERF Summary</vt:lpstr>
      <vt:lpstr>SEF-3 p5 Remove Non-ERF</vt:lpstr>
      <vt:lpstr>SEF-3 p6 ERF Adj Summary</vt:lpstr>
      <vt:lpstr>SEF-3 p7+ ERF Adj Pages</vt:lpstr>
      <vt:lpstr>_3.01_ConvFact</vt:lpstr>
      <vt:lpstr>_3.01_Deficiency</vt:lpstr>
      <vt:lpstr>_3.01_ERF_ROR</vt:lpstr>
      <vt:lpstr>_3.02_ERF_Summ</vt:lpstr>
      <vt:lpstr>_3.03_RemoveNonERF</vt:lpstr>
      <vt:lpstr>_3.04_AdjSumm</vt:lpstr>
      <vt:lpstr>_3.05_RevExp</vt:lpstr>
      <vt:lpstr>_3.06_Depr</vt:lpstr>
      <vt:lpstr>_3.07_FIT</vt:lpstr>
      <vt:lpstr>_3.08_DefGainsLoses</vt:lpstr>
      <vt:lpstr>_3.09_EnvironmRem</vt:lpstr>
      <vt:lpstr>_3.10_PaymentProc</vt:lpstr>
      <vt:lpstr>_3.11_Storm</vt:lpstr>
      <vt:lpstr>_RemoveERF</vt:lpstr>
      <vt:lpstr>'SEF-3 p2 ERF ROR'!k_3.02_COC</vt:lpstr>
      <vt:lpstr>k_ExhNo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SFree</cp:lastModifiedBy>
  <cp:lastPrinted>2018-06-14T00:51:19Z</cp:lastPrinted>
  <dcterms:created xsi:type="dcterms:W3CDTF">1997-10-13T22:59:17Z</dcterms:created>
  <dcterms:modified xsi:type="dcterms:W3CDTF">2018-06-14T22:51:40Z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0x0101006E56B4D1795A2E4DB2F0B01679ED314A009656471BA6D84F43B085AE7C42F17763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