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his Week\1. Monday\TG-180046\"/>
    </mc:Choice>
  </mc:AlternateContent>
  <bookViews>
    <workbookView xWindow="0" yWindow="0" windowWidth="28800" windowHeight="12210" activeTab="2"/>
  </bookViews>
  <sheets>
    <sheet name="References" sheetId="4" r:id="rId1"/>
    <sheet name="Calculations" sheetId="7" r:id="rId2"/>
    <sheet name="Staff Calculation" sheetId="8" r:id="rId3"/>
  </sheets>
  <externalReferences>
    <externalReference r:id="rId4"/>
  </externalReferences>
  <definedNames>
    <definedName name="_xlnm._FilterDatabase" localSheetId="1" hidden="1">Calculations!$A$1:$Q$112</definedName>
    <definedName name="_xlnm.Print_Area" localSheetId="1">Calculations!$A$2:$Q$121</definedName>
    <definedName name="_xlnm.Print_Titles" localSheetId="1">Calculations!$1:$1</definedName>
  </definedNames>
  <calcPr calcId="152511"/>
</workbook>
</file>

<file path=xl/calcChain.xml><?xml version="1.0" encoding="utf-8"?>
<calcChain xmlns="http://schemas.openxmlformats.org/spreadsheetml/2006/main">
  <c r="N102" i="8" l="1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01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86" i="8"/>
  <c r="N71" i="8"/>
  <c r="L102" i="8" l="1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01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86" i="8"/>
  <c r="L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86" i="8"/>
  <c r="K71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86" i="8"/>
  <c r="J71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86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2" i="8"/>
  <c r="G103" i="8"/>
  <c r="G101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01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86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01" i="8"/>
  <c r="E95" i="8"/>
  <c r="E96" i="8"/>
  <c r="E97" i="8"/>
  <c r="E94" i="8"/>
  <c r="E99" i="8"/>
  <c r="E93" i="8"/>
  <c r="E92" i="8"/>
  <c r="E98" i="8"/>
  <c r="E87" i="8"/>
  <c r="E88" i="8"/>
  <c r="E89" i="8"/>
  <c r="E90" i="8"/>
  <c r="E91" i="8"/>
  <c r="E86" i="8"/>
  <c r="O73" i="8"/>
  <c r="Q20" i="8"/>
  <c r="Q25" i="8"/>
  <c r="Q28" i="8"/>
  <c r="Q31" i="8"/>
  <c r="Q35" i="8"/>
  <c r="Q40" i="8"/>
  <c r="Q45" i="8"/>
  <c r="Q49" i="8"/>
  <c r="Q54" i="8"/>
  <c r="Q57" i="8"/>
  <c r="P20" i="8"/>
  <c r="P25" i="8"/>
  <c r="P28" i="8"/>
  <c r="P31" i="8"/>
  <c r="P35" i="8"/>
  <c r="P40" i="8"/>
  <c r="P45" i="8"/>
  <c r="P49" i="8"/>
  <c r="P54" i="8"/>
  <c r="P57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16" i="8"/>
  <c r="O6" i="8"/>
  <c r="O7" i="8"/>
  <c r="O8" i="8"/>
  <c r="O9" i="8"/>
  <c r="O10" i="8"/>
  <c r="O12" i="8"/>
  <c r="O13" i="8"/>
  <c r="B78" i="4"/>
  <c r="B79" i="4" s="1"/>
  <c r="B77" i="4"/>
  <c r="B53" i="4"/>
  <c r="B76" i="4"/>
  <c r="B73" i="4"/>
  <c r="C72" i="4"/>
  <c r="C71" i="4"/>
  <c r="G76" i="4"/>
  <c r="G74" i="4"/>
  <c r="F73" i="8"/>
  <c r="D80" i="8"/>
  <c r="H41" i="8"/>
  <c r="H42" i="8"/>
  <c r="H43" i="8"/>
  <c r="H44" i="8"/>
  <c r="H55" i="8"/>
  <c r="H56" i="8"/>
  <c r="G71" i="8"/>
  <c r="H71" i="8" s="1"/>
  <c r="G70" i="8"/>
  <c r="H70" i="8" s="1"/>
  <c r="G69" i="8"/>
  <c r="H69" i="8" s="1"/>
  <c r="G68" i="8"/>
  <c r="H68" i="8" s="1"/>
  <c r="G67" i="8"/>
  <c r="H67" i="8" s="1"/>
  <c r="G66" i="8"/>
  <c r="H66" i="8" s="1"/>
  <c r="G65" i="8"/>
  <c r="H65" i="8" s="1"/>
  <c r="G64" i="8"/>
  <c r="H64" i="8" s="1"/>
  <c r="G63" i="8"/>
  <c r="H63" i="8" s="1"/>
  <c r="G62" i="8"/>
  <c r="H62" i="8" s="1"/>
  <c r="G61" i="8"/>
  <c r="H61" i="8" s="1"/>
  <c r="G60" i="8"/>
  <c r="H60" i="8" s="1"/>
  <c r="G59" i="8"/>
  <c r="H59" i="8" s="1"/>
  <c r="G58" i="8"/>
  <c r="H58" i="8" s="1"/>
  <c r="G51" i="8"/>
  <c r="H51" i="8" s="1"/>
  <c r="G52" i="8"/>
  <c r="H52" i="8" s="1"/>
  <c r="G53" i="8"/>
  <c r="H53" i="8" s="1"/>
  <c r="G50" i="8"/>
  <c r="H50" i="8" s="1"/>
  <c r="G47" i="8"/>
  <c r="H47" i="8" s="1"/>
  <c r="G48" i="8"/>
  <c r="H48" i="8" s="1"/>
  <c r="G46" i="8"/>
  <c r="H46" i="8" s="1"/>
  <c r="G37" i="8"/>
  <c r="H37" i="8" s="1"/>
  <c r="G38" i="8"/>
  <c r="H38" i="8" s="1"/>
  <c r="G39" i="8"/>
  <c r="H39" i="8" s="1"/>
  <c r="G36" i="8"/>
  <c r="H36" i="8" s="1"/>
  <c r="G33" i="8"/>
  <c r="H33" i="8" s="1"/>
  <c r="G34" i="8"/>
  <c r="H34" i="8" s="1"/>
  <c r="G32" i="8"/>
  <c r="H32" i="8" s="1"/>
  <c r="G30" i="8"/>
  <c r="H30" i="8" s="1"/>
  <c r="G29" i="8"/>
  <c r="H29" i="8" s="1"/>
  <c r="G27" i="8"/>
  <c r="H27" i="8" s="1"/>
  <c r="G26" i="8"/>
  <c r="H26" i="8" s="1"/>
  <c r="G22" i="8"/>
  <c r="H22" i="8" s="1"/>
  <c r="G23" i="8"/>
  <c r="H23" i="8" s="1"/>
  <c r="G24" i="8"/>
  <c r="H24" i="8" s="1"/>
  <c r="G19" i="8"/>
  <c r="H19" i="8" s="1"/>
  <c r="G21" i="8"/>
  <c r="H21" i="8" s="1"/>
  <c r="G16" i="8"/>
  <c r="H16" i="8" s="1"/>
  <c r="G18" i="8"/>
  <c r="H18" i="8" s="1"/>
  <c r="G10" i="8"/>
  <c r="G9" i="8"/>
  <c r="G17" i="8"/>
  <c r="H17" i="8" s="1"/>
  <c r="G13" i="8"/>
  <c r="G12" i="8"/>
  <c r="G8" i="8"/>
  <c r="G7" i="8"/>
  <c r="G6" i="8"/>
  <c r="E13" i="8"/>
  <c r="F13" i="8" s="1"/>
  <c r="E12" i="8"/>
  <c r="F12" i="8" s="1"/>
  <c r="E10" i="8"/>
  <c r="F10" i="8" s="1"/>
  <c r="E9" i="8"/>
  <c r="F9" i="8" s="1"/>
  <c r="E8" i="8"/>
  <c r="F8" i="8" s="1"/>
  <c r="E7" i="8"/>
  <c r="F7" i="8" s="1"/>
  <c r="E6" i="8"/>
  <c r="F6" i="8" s="1"/>
  <c r="H10" i="8" l="1"/>
  <c r="O15" i="8"/>
  <c r="H7" i="8"/>
  <c r="H8" i="8"/>
  <c r="H9" i="8"/>
  <c r="H13" i="8"/>
  <c r="H12" i="8"/>
  <c r="F15" i="8"/>
  <c r="D81" i="8" s="1"/>
  <c r="H6" i="8"/>
  <c r="H73" i="8"/>
  <c r="C73" i="4"/>
  <c r="G20" i="7"/>
  <c r="H20" i="7" s="1"/>
  <c r="I20" i="7" s="1"/>
  <c r="J20" i="7" s="1"/>
  <c r="K20" i="7" s="1"/>
  <c r="H15" i="8" l="1"/>
  <c r="H74" i="8" s="1"/>
  <c r="D82" i="8" s="1"/>
  <c r="D47" i="4"/>
  <c r="I62" i="8" l="1"/>
  <c r="J62" i="8" s="1"/>
  <c r="K62" i="8" s="1"/>
  <c r="L62" i="8" s="1"/>
  <c r="N62" i="8" s="1"/>
  <c r="P62" i="8" s="1"/>
  <c r="Q62" i="8" s="1"/>
  <c r="I52" i="8"/>
  <c r="J52" i="8" s="1"/>
  <c r="K52" i="8" s="1"/>
  <c r="L52" i="8" s="1"/>
  <c r="N52" i="8" s="1"/>
  <c r="P52" i="8" s="1"/>
  <c r="Q52" i="8" s="1"/>
  <c r="I22" i="8"/>
  <c r="J22" i="8" s="1"/>
  <c r="K22" i="8" s="1"/>
  <c r="L22" i="8" s="1"/>
  <c r="N22" i="8" s="1"/>
  <c r="P22" i="8" s="1"/>
  <c r="Q22" i="8" s="1"/>
  <c r="I19" i="8"/>
  <c r="J19" i="8" s="1"/>
  <c r="K19" i="8" s="1"/>
  <c r="L19" i="8" s="1"/>
  <c r="N19" i="8" s="1"/>
  <c r="P19" i="8" s="1"/>
  <c r="Q19" i="8" s="1"/>
  <c r="I7" i="8"/>
  <c r="J7" i="8" s="1"/>
  <c r="K7" i="8" s="1"/>
  <c r="L7" i="8" s="1"/>
  <c r="N7" i="8" s="1"/>
  <c r="P7" i="8" s="1"/>
  <c r="Q7" i="8" s="1"/>
  <c r="I63" i="8"/>
  <c r="J63" i="8" s="1"/>
  <c r="K63" i="8" s="1"/>
  <c r="L63" i="8" s="1"/>
  <c r="N63" i="8" s="1"/>
  <c r="P63" i="8" s="1"/>
  <c r="Q63" i="8" s="1"/>
  <c r="I65" i="8"/>
  <c r="J65" i="8" s="1"/>
  <c r="K65" i="8" s="1"/>
  <c r="L65" i="8" s="1"/>
  <c r="N65" i="8" s="1"/>
  <c r="P65" i="8" s="1"/>
  <c r="Q65" i="8" s="1"/>
  <c r="I47" i="8"/>
  <c r="J47" i="8" s="1"/>
  <c r="K47" i="8" s="1"/>
  <c r="L47" i="8" s="1"/>
  <c r="N47" i="8" s="1"/>
  <c r="P47" i="8" s="1"/>
  <c r="Q47" i="8" s="1"/>
  <c r="I34" i="8"/>
  <c r="J34" i="8" s="1"/>
  <c r="K34" i="8" s="1"/>
  <c r="L34" i="8" s="1"/>
  <c r="N34" i="8" s="1"/>
  <c r="P34" i="8" s="1"/>
  <c r="Q34" i="8" s="1"/>
  <c r="I68" i="8"/>
  <c r="J68" i="8" s="1"/>
  <c r="K68" i="8" s="1"/>
  <c r="L68" i="8" s="1"/>
  <c r="N68" i="8" s="1"/>
  <c r="P68" i="8" s="1"/>
  <c r="Q68" i="8" s="1"/>
  <c r="I12" i="8"/>
  <c r="J12" i="8" s="1"/>
  <c r="K12" i="8" s="1"/>
  <c r="L12" i="8" s="1"/>
  <c r="N12" i="8" s="1"/>
  <c r="P12" i="8" s="1"/>
  <c r="Q12" i="8" s="1"/>
  <c r="I46" i="8"/>
  <c r="J46" i="8" s="1"/>
  <c r="K46" i="8" s="1"/>
  <c r="L46" i="8" s="1"/>
  <c r="N46" i="8" s="1"/>
  <c r="P46" i="8" s="1"/>
  <c r="Q46" i="8" s="1"/>
  <c r="I36" i="8"/>
  <c r="J36" i="8" s="1"/>
  <c r="K36" i="8" s="1"/>
  <c r="L36" i="8" s="1"/>
  <c r="N36" i="8" s="1"/>
  <c r="P36" i="8" s="1"/>
  <c r="Q36" i="8" s="1"/>
  <c r="I26" i="8"/>
  <c r="J26" i="8" s="1"/>
  <c r="K26" i="8" s="1"/>
  <c r="L26" i="8" s="1"/>
  <c r="N26" i="8" s="1"/>
  <c r="P26" i="8" s="1"/>
  <c r="Q26" i="8" s="1"/>
  <c r="I48" i="8"/>
  <c r="J48" i="8" s="1"/>
  <c r="K48" i="8" s="1"/>
  <c r="L48" i="8" s="1"/>
  <c r="N48" i="8" s="1"/>
  <c r="P48" i="8" s="1"/>
  <c r="Q48" i="8" s="1"/>
  <c r="I23" i="8"/>
  <c r="J23" i="8" s="1"/>
  <c r="K23" i="8" s="1"/>
  <c r="L23" i="8" s="1"/>
  <c r="N23" i="8" s="1"/>
  <c r="P23" i="8" s="1"/>
  <c r="Q23" i="8" s="1"/>
  <c r="I18" i="8"/>
  <c r="J18" i="8" s="1"/>
  <c r="K18" i="8" s="1"/>
  <c r="L18" i="8" s="1"/>
  <c r="N18" i="8" s="1"/>
  <c r="P18" i="8" s="1"/>
  <c r="Q18" i="8" s="1"/>
  <c r="I13" i="8"/>
  <c r="J13" i="8" s="1"/>
  <c r="K13" i="8" s="1"/>
  <c r="L13" i="8" s="1"/>
  <c r="N13" i="8" s="1"/>
  <c r="P13" i="8" s="1"/>
  <c r="Q13" i="8" s="1"/>
  <c r="I60" i="8"/>
  <c r="J60" i="8" s="1"/>
  <c r="K60" i="8" s="1"/>
  <c r="L60" i="8" s="1"/>
  <c r="N60" i="8" s="1"/>
  <c r="P60" i="8" s="1"/>
  <c r="Q60" i="8" s="1"/>
  <c r="I39" i="8"/>
  <c r="J39" i="8" s="1"/>
  <c r="K39" i="8" s="1"/>
  <c r="L39" i="8" s="1"/>
  <c r="N39" i="8" s="1"/>
  <c r="P39" i="8" s="1"/>
  <c r="Q39" i="8" s="1"/>
  <c r="I64" i="8"/>
  <c r="J64" i="8" s="1"/>
  <c r="K64" i="8" s="1"/>
  <c r="L64" i="8" s="1"/>
  <c r="N64" i="8" s="1"/>
  <c r="P64" i="8" s="1"/>
  <c r="Q64" i="8" s="1"/>
  <c r="I6" i="8"/>
  <c r="J6" i="8" s="1"/>
  <c r="I27" i="8"/>
  <c r="J27" i="8" s="1"/>
  <c r="K27" i="8" s="1"/>
  <c r="L27" i="8" s="1"/>
  <c r="N27" i="8" s="1"/>
  <c r="P27" i="8" s="1"/>
  <c r="Q27" i="8" s="1"/>
  <c r="I44" i="8"/>
  <c r="J44" i="8" s="1"/>
  <c r="K44" i="8" s="1"/>
  <c r="L44" i="8" s="1"/>
  <c r="N44" i="8" s="1"/>
  <c r="P44" i="8" s="1"/>
  <c r="Q44" i="8" s="1"/>
  <c r="I33" i="8"/>
  <c r="J33" i="8" s="1"/>
  <c r="K33" i="8" s="1"/>
  <c r="L33" i="8" s="1"/>
  <c r="N33" i="8" s="1"/>
  <c r="P33" i="8" s="1"/>
  <c r="Q33" i="8" s="1"/>
  <c r="I55" i="8"/>
  <c r="J55" i="8" s="1"/>
  <c r="K55" i="8" s="1"/>
  <c r="L55" i="8" s="1"/>
  <c r="N55" i="8" s="1"/>
  <c r="P55" i="8" s="1"/>
  <c r="Q55" i="8" s="1"/>
  <c r="I53" i="8"/>
  <c r="J53" i="8" s="1"/>
  <c r="K53" i="8" s="1"/>
  <c r="L53" i="8" s="1"/>
  <c r="N53" i="8" s="1"/>
  <c r="P53" i="8" s="1"/>
  <c r="Q53" i="8" s="1"/>
  <c r="I24" i="8"/>
  <c r="J24" i="8" s="1"/>
  <c r="K24" i="8" s="1"/>
  <c r="L24" i="8" s="1"/>
  <c r="N24" i="8" s="1"/>
  <c r="P24" i="8" s="1"/>
  <c r="Q24" i="8" s="1"/>
  <c r="I71" i="8"/>
  <c r="L71" i="8" s="1"/>
  <c r="P71" i="8" s="1"/>
  <c r="Q71" i="8" s="1"/>
  <c r="I70" i="8"/>
  <c r="J70" i="8" s="1"/>
  <c r="K70" i="8" s="1"/>
  <c r="L70" i="8" s="1"/>
  <c r="N70" i="8" s="1"/>
  <c r="P70" i="8" s="1"/>
  <c r="Q70" i="8" s="1"/>
  <c r="I59" i="8"/>
  <c r="J59" i="8" s="1"/>
  <c r="K59" i="8" s="1"/>
  <c r="L59" i="8" s="1"/>
  <c r="N59" i="8" s="1"/>
  <c r="P59" i="8" s="1"/>
  <c r="Q59" i="8" s="1"/>
  <c r="I58" i="8"/>
  <c r="J58" i="8" s="1"/>
  <c r="K58" i="8" s="1"/>
  <c r="L58" i="8" s="1"/>
  <c r="N58" i="8" s="1"/>
  <c r="P58" i="8" s="1"/>
  <c r="Q58" i="8" s="1"/>
  <c r="I37" i="8"/>
  <c r="J37" i="8" s="1"/>
  <c r="K37" i="8" s="1"/>
  <c r="L37" i="8" s="1"/>
  <c r="N37" i="8" s="1"/>
  <c r="P37" i="8" s="1"/>
  <c r="Q37" i="8" s="1"/>
  <c r="I50" i="8"/>
  <c r="J50" i="8" s="1"/>
  <c r="K50" i="8" s="1"/>
  <c r="L50" i="8" s="1"/>
  <c r="N50" i="8" s="1"/>
  <c r="P50" i="8" s="1"/>
  <c r="Q50" i="8" s="1"/>
  <c r="I56" i="8"/>
  <c r="J56" i="8" s="1"/>
  <c r="K56" i="8" s="1"/>
  <c r="L56" i="8" s="1"/>
  <c r="N56" i="8" s="1"/>
  <c r="P56" i="8" s="1"/>
  <c r="Q56" i="8" s="1"/>
  <c r="I66" i="8"/>
  <c r="J66" i="8" s="1"/>
  <c r="K66" i="8" s="1"/>
  <c r="L66" i="8" s="1"/>
  <c r="N66" i="8" s="1"/>
  <c r="P66" i="8" s="1"/>
  <c r="Q66" i="8" s="1"/>
  <c r="I30" i="8"/>
  <c r="J30" i="8" s="1"/>
  <c r="K30" i="8" s="1"/>
  <c r="L30" i="8" s="1"/>
  <c r="N30" i="8" s="1"/>
  <c r="P30" i="8" s="1"/>
  <c r="Q30" i="8" s="1"/>
  <c r="I43" i="8"/>
  <c r="J43" i="8" s="1"/>
  <c r="K43" i="8" s="1"/>
  <c r="L43" i="8" s="1"/>
  <c r="N43" i="8" s="1"/>
  <c r="P43" i="8" s="1"/>
  <c r="Q43" i="8" s="1"/>
  <c r="I61" i="8"/>
  <c r="J61" i="8" s="1"/>
  <c r="K61" i="8" s="1"/>
  <c r="L61" i="8" s="1"/>
  <c r="N61" i="8" s="1"/>
  <c r="P61" i="8" s="1"/>
  <c r="Q61" i="8" s="1"/>
  <c r="I38" i="8"/>
  <c r="J38" i="8" s="1"/>
  <c r="K38" i="8" s="1"/>
  <c r="L38" i="8" s="1"/>
  <c r="N38" i="8" s="1"/>
  <c r="P38" i="8" s="1"/>
  <c r="Q38" i="8" s="1"/>
  <c r="I51" i="8"/>
  <c r="J51" i="8" s="1"/>
  <c r="K51" i="8" s="1"/>
  <c r="L51" i="8" s="1"/>
  <c r="N51" i="8" s="1"/>
  <c r="P51" i="8" s="1"/>
  <c r="Q51" i="8" s="1"/>
  <c r="I69" i="8"/>
  <c r="J69" i="8" s="1"/>
  <c r="K69" i="8" s="1"/>
  <c r="L69" i="8" s="1"/>
  <c r="N69" i="8" s="1"/>
  <c r="P69" i="8" s="1"/>
  <c r="Q69" i="8" s="1"/>
  <c r="I42" i="8"/>
  <c r="J42" i="8" s="1"/>
  <c r="K42" i="8" s="1"/>
  <c r="L42" i="8" s="1"/>
  <c r="N42" i="8" s="1"/>
  <c r="P42" i="8" s="1"/>
  <c r="Q42" i="8" s="1"/>
  <c r="I17" i="8"/>
  <c r="J17" i="8" s="1"/>
  <c r="K17" i="8" s="1"/>
  <c r="L17" i="8" s="1"/>
  <c r="N17" i="8" s="1"/>
  <c r="P17" i="8" s="1"/>
  <c r="Q17" i="8" s="1"/>
  <c r="I29" i="8"/>
  <c r="J29" i="8" s="1"/>
  <c r="K29" i="8" s="1"/>
  <c r="L29" i="8" s="1"/>
  <c r="N29" i="8" s="1"/>
  <c r="P29" i="8" s="1"/>
  <c r="Q29" i="8" s="1"/>
  <c r="I41" i="8"/>
  <c r="J41" i="8" s="1"/>
  <c r="K41" i="8" s="1"/>
  <c r="L41" i="8" s="1"/>
  <c r="N41" i="8" s="1"/>
  <c r="P41" i="8" s="1"/>
  <c r="Q41" i="8" s="1"/>
  <c r="I67" i="8"/>
  <c r="J67" i="8" s="1"/>
  <c r="K67" i="8" s="1"/>
  <c r="L67" i="8" s="1"/>
  <c r="N67" i="8" s="1"/>
  <c r="P67" i="8" s="1"/>
  <c r="Q67" i="8" s="1"/>
  <c r="I10" i="8"/>
  <c r="J10" i="8" s="1"/>
  <c r="K10" i="8" s="1"/>
  <c r="L10" i="8" s="1"/>
  <c r="N10" i="8" s="1"/>
  <c r="P10" i="8" s="1"/>
  <c r="Q10" i="8" s="1"/>
  <c r="I21" i="8"/>
  <c r="J21" i="8" s="1"/>
  <c r="K21" i="8" s="1"/>
  <c r="L21" i="8" s="1"/>
  <c r="N21" i="8" s="1"/>
  <c r="P21" i="8" s="1"/>
  <c r="Q21" i="8" s="1"/>
  <c r="I9" i="8"/>
  <c r="J9" i="8" s="1"/>
  <c r="K9" i="8" s="1"/>
  <c r="L9" i="8" s="1"/>
  <c r="N9" i="8" s="1"/>
  <c r="P9" i="8" s="1"/>
  <c r="Q9" i="8" s="1"/>
  <c r="I32" i="8"/>
  <c r="J32" i="8" s="1"/>
  <c r="K32" i="8" s="1"/>
  <c r="L32" i="8" s="1"/>
  <c r="N32" i="8" s="1"/>
  <c r="P32" i="8" s="1"/>
  <c r="Q32" i="8" s="1"/>
  <c r="I8" i="8"/>
  <c r="J8" i="8" s="1"/>
  <c r="K8" i="8" s="1"/>
  <c r="L8" i="8" s="1"/>
  <c r="N8" i="8" s="1"/>
  <c r="P8" i="8" s="1"/>
  <c r="Q8" i="8" s="1"/>
  <c r="I16" i="8"/>
  <c r="J16" i="8" s="1"/>
  <c r="K16" i="8" s="1"/>
  <c r="K6" i="8"/>
  <c r="N6" i="8" s="1"/>
  <c r="P6" i="8" s="1"/>
  <c r="O28" i="7"/>
  <c r="G10" i="7"/>
  <c r="O8" i="7"/>
  <c r="O7" i="7"/>
  <c r="G6" i="7"/>
  <c r="G3" i="7"/>
  <c r="G7" i="7"/>
  <c r="H7" i="7" s="1"/>
  <c r="B54" i="4"/>
  <c r="O6" i="7"/>
  <c r="G2" i="7"/>
  <c r="O2" i="7"/>
  <c r="G4" i="7"/>
  <c r="O4" i="7"/>
  <c r="G8" i="7"/>
  <c r="H8" i="7" s="1"/>
  <c r="K15" i="8" l="1"/>
  <c r="K73" i="8"/>
  <c r="K74" i="8" s="1"/>
  <c r="P15" i="8"/>
  <c r="Q6" i="8"/>
  <c r="Q15" i="8" s="1"/>
  <c r="J73" i="8"/>
  <c r="J15" i="8"/>
  <c r="L16" i="8"/>
  <c r="N16" i="8" s="1"/>
  <c r="P16" i="8" s="1"/>
  <c r="G111" i="7"/>
  <c r="G110" i="7"/>
  <c r="G109" i="7"/>
  <c r="H91" i="7"/>
  <c r="J74" i="8" l="1"/>
  <c r="P73" i="8"/>
  <c r="Q16" i="8"/>
  <c r="Q73" i="8" s="1"/>
  <c r="Q74" i="8" s="1"/>
  <c r="F78" i="7"/>
  <c r="O10" i="7"/>
  <c r="G43" i="7"/>
  <c r="H43" i="7" s="1"/>
  <c r="O43" i="7"/>
  <c r="O32" i="7"/>
  <c r="G32" i="7"/>
  <c r="H32" i="7" s="1"/>
  <c r="F23" i="7"/>
  <c r="F22" i="7"/>
  <c r="G45" i="7"/>
  <c r="G46" i="7"/>
  <c r="G47" i="7"/>
  <c r="G88" i="7"/>
  <c r="G41" i="7"/>
  <c r="G42" i="7"/>
  <c r="G87" i="7"/>
  <c r="G34" i="7"/>
  <c r="G30" i="7"/>
  <c r="G26" i="7"/>
  <c r="G22" i="7"/>
  <c r="O45" i="7" l="1"/>
  <c r="H45" i="7"/>
  <c r="O41" i="7"/>
  <c r="H41" i="7"/>
  <c r="O38" i="7"/>
  <c r="H38" i="7"/>
  <c r="O34" i="7"/>
  <c r="H34" i="7"/>
  <c r="O30" i="7"/>
  <c r="H30" i="7"/>
  <c r="O26" i="7"/>
  <c r="H26" i="7"/>
  <c r="O22" i="7"/>
  <c r="H22" i="7"/>
  <c r="G5" i="7" l="1"/>
  <c r="G64" i="7"/>
  <c r="G65" i="7"/>
  <c r="G79" i="7"/>
  <c r="H79" i="7" s="1"/>
  <c r="G13" i="7"/>
  <c r="H13" i="7" s="1"/>
  <c r="G14" i="7"/>
  <c r="H14" i="7" s="1"/>
  <c r="G15" i="7"/>
  <c r="H15" i="7" s="1"/>
  <c r="G17" i="7"/>
  <c r="H17" i="7" s="1"/>
  <c r="G18" i="7"/>
  <c r="H18" i="7" s="1"/>
  <c r="G19" i="7"/>
  <c r="H19" i="7" s="1"/>
  <c r="G82" i="7"/>
  <c r="G23" i="7"/>
  <c r="H23" i="7" s="1"/>
  <c r="G27" i="7"/>
  <c r="H27" i="7" s="1"/>
  <c r="G31" i="7"/>
  <c r="G83" i="7"/>
  <c r="G35" i="7"/>
  <c r="H35" i="7" s="1"/>
  <c r="G36" i="7"/>
  <c r="H36" i="7" s="1"/>
  <c r="G84" i="7"/>
  <c r="H42" i="7"/>
  <c r="H46" i="7"/>
  <c r="H47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N44" i="7"/>
  <c r="N40" i="7"/>
  <c r="N37" i="7"/>
  <c r="N33" i="7"/>
  <c r="N29" i="7"/>
  <c r="N25" i="7"/>
  <c r="N21" i="7"/>
  <c r="N16" i="7"/>
  <c r="Q9" i="7"/>
  <c r="G48" i="4"/>
  <c r="H39" i="7"/>
  <c r="H92" i="7"/>
  <c r="H93" i="7"/>
  <c r="C47" i="4"/>
  <c r="C48" i="4"/>
  <c r="G61" i="7"/>
  <c r="G78" i="7"/>
  <c r="G77" i="7"/>
  <c r="G28" i="7"/>
  <c r="G76" i="7"/>
  <c r="G24" i="7"/>
  <c r="G69" i="7"/>
  <c r="H90" i="7"/>
  <c r="G56" i="7"/>
  <c r="G57" i="7"/>
  <c r="G58" i="7"/>
  <c r="G59" i="7"/>
  <c r="G60" i="7"/>
  <c r="G62" i="7"/>
  <c r="G63" i="7"/>
  <c r="G66" i="7"/>
  <c r="G67" i="7"/>
  <c r="G68" i="7"/>
  <c r="D12" i="7"/>
  <c r="O46" i="7"/>
  <c r="O47" i="7"/>
  <c r="G81" i="7"/>
  <c r="G80" i="7"/>
  <c r="G75" i="7"/>
  <c r="G74" i="7"/>
  <c r="G73" i="7"/>
  <c r="O42" i="7"/>
  <c r="O3" i="7"/>
  <c r="E51" i="7"/>
  <c r="D51" i="7"/>
  <c r="O15" i="7"/>
  <c r="O14" i="7"/>
  <c r="O17" i="7"/>
  <c r="O18" i="7"/>
  <c r="O13" i="7"/>
  <c r="O19" i="7"/>
  <c r="O23" i="7"/>
  <c r="O27" i="7"/>
  <c r="O31" i="7"/>
  <c r="O35" i="7"/>
  <c r="O36" i="7"/>
  <c r="O39" i="7"/>
  <c r="O5" i="7"/>
  <c r="B3" i="4"/>
  <c r="F3" i="4" s="1"/>
  <c r="B4" i="4"/>
  <c r="H4" i="4" s="1"/>
  <c r="B5" i="4"/>
  <c r="D5" i="4" s="1"/>
  <c r="B6" i="4"/>
  <c r="C6" i="4" s="1"/>
  <c r="G47" i="4"/>
  <c r="B49" i="4"/>
  <c r="B52" i="4" s="1"/>
  <c r="B9" i="4"/>
  <c r="B8" i="4"/>
  <c r="G8" i="4" s="1"/>
  <c r="B7" i="4"/>
  <c r="H9" i="4"/>
  <c r="G9" i="4"/>
  <c r="F9" i="4"/>
  <c r="E6" i="7" l="1"/>
  <c r="F6" i="7" s="1"/>
  <c r="H6" i="7" s="1"/>
  <c r="E2" i="7"/>
  <c r="F2" i="7" s="1"/>
  <c r="H2" i="7" s="1"/>
  <c r="E10" i="7"/>
  <c r="F10" i="7" s="1"/>
  <c r="H10" i="7" s="1"/>
  <c r="E61" i="7"/>
  <c r="E67" i="7"/>
  <c r="F67" i="7" s="1"/>
  <c r="H67" i="7" s="1"/>
  <c r="E68" i="7"/>
  <c r="F68" i="7" s="1"/>
  <c r="H68" i="7" s="1"/>
  <c r="E66" i="7"/>
  <c r="F66" i="7" s="1"/>
  <c r="H66" i="7" s="1"/>
  <c r="E57" i="7"/>
  <c r="F57" i="7" s="1"/>
  <c r="H57" i="7" s="1"/>
  <c r="E58" i="7"/>
  <c r="E59" i="7"/>
  <c r="E60" i="7"/>
  <c r="E56" i="7"/>
  <c r="E69" i="7"/>
  <c r="F69" i="7" s="1"/>
  <c r="H69" i="7" s="1"/>
  <c r="E4" i="7"/>
  <c r="F4" i="7" s="1"/>
  <c r="H4" i="7" s="1"/>
  <c r="E109" i="7"/>
  <c r="F109" i="7" s="1"/>
  <c r="H109" i="7" s="1"/>
  <c r="E91" i="7"/>
  <c r="E112" i="7"/>
  <c r="F112" i="7" s="1"/>
  <c r="H112" i="7" s="1"/>
  <c r="E111" i="7"/>
  <c r="F111" i="7" s="1"/>
  <c r="H111" i="7" s="1"/>
  <c r="E110" i="7"/>
  <c r="F110" i="7" s="1"/>
  <c r="H110" i="7" s="1"/>
  <c r="E108" i="7"/>
  <c r="F108" i="7" s="1"/>
  <c r="H108" i="7" s="1"/>
  <c r="E100" i="7"/>
  <c r="F100" i="7" s="1"/>
  <c r="H100" i="7" s="1"/>
  <c r="E84" i="7"/>
  <c r="F84" i="7" s="1"/>
  <c r="H84" i="7" s="1"/>
  <c r="E77" i="7"/>
  <c r="E106" i="7"/>
  <c r="F106" i="7" s="1"/>
  <c r="E98" i="7"/>
  <c r="F98" i="7" s="1"/>
  <c r="E97" i="7"/>
  <c r="F97" i="7" s="1"/>
  <c r="H97" i="7" s="1"/>
  <c r="E73" i="7"/>
  <c r="F73" i="7" s="1"/>
  <c r="H73" i="7" s="1"/>
  <c r="E104" i="7"/>
  <c r="F104" i="7" s="1"/>
  <c r="H104" i="7" s="1"/>
  <c r="E74" i="7"/>
  <c r="F74" i="7" s="1"/>
  <c r="H74" i="7" s="1"/>
  <c r="E102" i="7"/>
  <c r="F102" i="7" s="1"/>
  <c r="H102" i="7" s="1"/>
  <c r="E107" i="7"/>
  <c r="F107" i="7" s="1"/>
  <c r="E99" i="7"/>
  <c r="F99" i="7" s="1"/>
  <c r="E85" i="7"/>
  <c r="F85" i="7" s="1"/>
  <c r="H85" i="7" s="1"/>
  <c r="E80" i="7"/>
  <c r="F80" i="7" s="1"/>
  <c r="H80" i="7" s="1"/>
  <c r="E62" i="7"/>
  <c r="F62" i="7" s="1"/>
  <c r="H62" i="7" s="1"/>
  <c r="E86" i="7"/>
  <c r="F86" i="7" s="1"/>
  <c r="H86" i="7" s="1"/>
  <c r="E81" i="7"/>
  <c r="F81" i="7" s="1"/>
  <c r="H81" i="7" s="1"/>
  <c r="E105" i="7"/>
  <c r="F105" i="7" s="1"/>
  <c r="H105" i="7" s="1"/>
  <c r="E87" i="7"/>
  <c r="F87" i="7" s="1"/>
  <c r="H87" i="7" s="1"/>
  <c r="E96" i="7"/>
  <c r="F96" i="7" s="1"/>
  <c r="H96" i="7" s="1"/>
  <c r="E88" i="7"/>
  <c r="F88" i="7" s="1"/>
  <c r="H88" i="7" s="1"/>
  <c r="E95" i="7"/>
  <c r="F95" i="7" s="1"/>
  <c r="H95" i="7" s="1"/>
  <c r="E75" i="7"/>
  <c r="F75" i="7" s="1"/>
  <c r="H75" i="7" s="1"/>
  <c r="E82" i="7"/>
  <c r="F82" i="7" s="1"/>
  <c r="H82" i="7" s="1"/>
  <c r="E90" i="7"/>
  <c r="E83" i="7"/>
  <c r="F83" i="7" s="1"/>
  <c r="H83" i="7" s="1"/>
  <c r="E103" i="7"/>
  <c r="F103" i="7" s="1"/>
  <c r="H103" i="7" s="1"/>
  <c r="E101" i="7"/>
  <c r="F101" i="7" s="1"/>
  <c r="H101" i="7" s="1"/>
  <c r="E76" i="7"/>
  <c r="F76" i="7" s="1"/>
  <c r="H7" i="4"/>
  <c r="H107" i="7"/>
  <c r="H99" i="7"/>
  <c r="D8" i="4"/>
  <c r="H98" i="7"/>
  <c r="E8" i="4"/>
  <c r="D4" i="4"/>
  <c r="D7" i="4"/>
  <c r="G50" i="4"/>
  <c r="G52" i="4" s="1"/>
  <c r="H106" i="7"/>
  <c r="F8" i="4"/>
  <c r="O24" i="7"/>
  <c r="O51" i="7" s="1"/>
  <c r="H24" i="7"/>
  <c r="D52" i="7"/>
  <c r="C5" i="4"/>
  <c r="H3" i="4"/>
  <c r="F5" i="4"/>
  <c r="G3" i="4"/>
  <c r="G4" i="4"/>
  <c r="H5" i="4"/>
  <c r="E4" i="4"/>
  <c r="F58" i="7"/>
  <c r="H58" i="7" s="1"/>
  <c r="E7" i="4"/>
  <c r="G5" i="4"/>
  <c r="C4" i="4"/>
  <c r="G7" i="4"/>
  <c r="E5" i="4"/>
  <c r="F4" i="4"/>
  <c r="O12" i="7"/>
  <c r="H6" i="4"/>
  <c r="H76" i="7"/>
  <c r="G6" i="4"/>
  <c r="H31" i="7"/>
  <c r="G51" i="7"/>
  <c r="F6" i="4"/>
  <c r="E6" i="4"/>
  <c r="D6" i="4"/>
  <c r="H8" i="4"/>
  <c r="E65" i="7"/>
  <c r="H65" i="7" s="1"/>
  <c r="C9" i="4"/>
  <c r="E5" i="7"/>
  <c r="F5" i="7" s="1"/>
  <c r="H5" i="7" s="1"/>
  <c r="H28" i="7"/>
  <c r="F77" i="7"/>
  <c r="H77" i="7" s="1"/>
  <c r="H78" i="7"/>
  <c r="E9" i="4"/>
  <c r="C49" i="4"/>
  <c r="E3" i="4"/>
  <c r="C3" i="4"/>
  <c r="D3" i="4"/>
  <c r="D9" i="4"/>
  <c r="C8" i="4"/>
  <c r="C7" i="4"/>
  <c r="F59" i="7"/>
  <c r="H59" i="7" s="1"/>
  <c r="F56" i="7"/>
  <c r="H56" i="7" s="1"/>
  <c r="E64" i="7"/>
  <c r="H64" i="7" s="1"/>
  <c r="E3" i="7"/>
  <c r="F3" i="7" s="1"/>
  <c r="H3" i="7" s="1"/>
  <c r="F7" i="4"/>
  <c r="F60" i="7"/>
  <c r="H60" i="7" s="1"/>
  <c r="F61" i="7"/>
  <c r="H61" i="7" s="1"/>
  <c r="E63" i="7" l="1"/>
  <c r="F63" i="7" s="1"/>
  <c r="H63" i="7" s="1"/>
  <c r="F51" i="7"/>
  <c r="H51" i="7"/>
  <c r="O52" i="7"/>
  <c r="H12" i="7"/>
  <c r="F12" i="7"/>
  <c r="D120" i="7" l="1"/>
  <c r="H52" i="7"/>
  <c r="F52" i="7"/>
  <c r="D119" i="7" l="1"/>
  <c r="B55" i="4"/>
  <c r="D121" i="7" l="1"/>
  <c r="I10" i="7" s="1"/>
  <c r="J10" i="7" s="1"/>
  <c r="K10" i="7" s="1"/>
  <c r="L10" i="7" s="1"/>
  <c r="N89" i="7"/>
  <c r="I7" i="7" l="1"/>
  <c r="J7" i="7" s="1"/>
  <c r="K7" i="7" s="1"/>
  <c r="L7" i="7" s="1"/>
  <c r="N7" i="7" s="1"/>
  <c r="I8" i="7"/>
  <c r="J8" i="7" s="1"/>
  <c r="K8" i="7" s="1"/>
  <c r="L8" i="7" s="1"/>
  <c r="N8" i="7" s="1"/>
  <c r="I6" i="7"/>
  <c r="J6" i="7" s="1"/>
  <c r="K6" i="7" s="1"/>
  <c r="I4" i="7"/>
  <c r="J4" i="7" s="1"/>
  <c r="K4" i="7" s="1"/>
  <c r="I2" i="7"/>
  <c r="J2" i="7" s="1"/>
  <c r="K2" i="7" s="1"/>
  <c r="I112" i="7"/>
  <c r="J112" i="7" s="1"/>
  <c r="K112" i="7" s="1"/>
  <c r="L112" i="7" s="1"/>
  <c r="N112" i="7" s="1"/>
  <c r="I14" i="7"/>
  <c r="J14" i="7" s="1"/>
  <c r="K14" i="7" s="1"/>
  <c r="I92" i="7"/>
  <c r="J92" i="7" s="1"/>
  <c r="K92" i="7" s="1"/>
  <c r="L92" i="7" s="1"/>
  <c r="N92" i="7" s="1"/>
  <c r="I22" i="7"/>
  <c r="J22" i="7" s="1"/>
  <c r="K22" i="7" s="1"/>
  <c r="I96" i="7"/>
  <c r="J96" i="7" s="1"/>
  <c r="K96" i="7" s="1"/>
  <c r="L96" i="7" s="1"/>
  <c r="N96" i="7" s="1"/>
  <c r="I17" i="7"/>
  <c r="J17" i="7" s="1"/>
  <c r="K17" i="7" s="1"/>
  <c r="I107" i="7"/>
  <c r="J107" i="7" s="1"/>
  <c r="K107" i="7" s="1"/>
  <c r="L107" i="7" s="1"/>
  <c r="N107" i="7" s="1"/>
  <c r="I34" i="7"/>
  <c r="J34" i="7" s="1"/>
  <c r="K34" i="7" s="1"/>
  <c r="I105" i="7"/>
  <c r="J105" i="7" s="1"/>
  <c r="K105" i="7" s="1"/>
  <c r="L105" i="7" s="1"/>
  <c r="N105" i="7" s="1"/>
  <c r="I88" i="7"/>
  <c r="J88" i="7" s="1"/>
  <c r="K88" i="7" s="1"/>
  <c r="L88" i="7" s="1"/>
  <c r="N88" i="7" s="1"/>
  <c r="I27" i="7"/>
  <c r="J27" i="7" s="1"/>
  <c r="K27" i="7" s="1"/>
  <c r="I46" i="7"/>
  <c r="J46" i="7" s="1"/>
  <c r="K46" i="7" s="1"/>
  <c r="I67" i="7"/>
  <c r="J67" i="7" s="1"/>
  <c r="K67" i="7" s="1"/>
  <c r="L67" i="7" s="1"/>
  <c r="N67" i="7" s="1"/>
  <c r="I58" i="7"/>
  <c r="J58" i="7" s="1"/>
  <c r="K58" i="7" s="1"/>
  <c r="L58" i="7" s="1"/>
  <c r="N58" i="7" s="1"/>
  <c r="I80" i="7"/>
  <c r="J80" i="7" s="1"/>
  <c r="K80" i="7" s="1"/>
  <c r="L80" i="7" s="1"/>
  <c r="N80" i="7" s="1"/>
  <c r="I18" i="7"/>
  <c r="J18" i="7" s="1"/>
  <c r="K18" i="7" s="1"/>
  <c r="I42" i="7"/>
  <c r="J42" i="7" s="1"/>
  <c r="K42" i="7" s="1"/>
  <c r="I98" i="7"/>
  <c r="J98" i="7" s="1"/>
  <c r="K98" i="7" s="1"/>
  <c r="L98" i="7" s="1"/>
  <c r="N98" i="7" s="1"/>
  <c r="I103" i="7"/>
  <c r="J103" i="7" s="1"/>
  <c r="K103" i="7" s="1"/>
  <c r="L103" i="7" s="1"/>
  <c r="N103" i="7" s="1"/>
  <c r="I23" i="7"/>
  <c r="J23" i="7" s="1"/>
  <c r="K23" i="7" s="1"/>
  <c r="I99" i="7"/>
  <c r="J99" i="7" s="1"/>
  <c r="K99" i="7" s="1"/>
  <c r="L99" i="7" s="1"/>
  <c r="N99" i="7" s="1"/>
  <c r="I56" i="7"/>
  <c r="J56" i="7" s="1"/>
  <c r="K56" i="7" s="1"/>
  <c r="L56" i="7" s="1"/>
  <c r="N56" i="7" s="1"/>
  <c r="I74" i="7"/>
  <c r="J74" i="7" s="1"/>
  <c r="K74" i="7" s="1"/>
  <c r="L74" i="7" s="1"/>
  <c r="N74" i="7" s="1"/>
  <c r="I69" i="7"/>
  <c r="J69" i="7" s="1"/>
  <c r="K69" i="7" s="1"/>
  <c r="L69" i="7" s="1"/>
  <c r="N69" i="7" s="1"/>
  <c r="I36" i="7"/>
  <c r="J36" i="7" s="1"/>
  <c r="K36" i="7" s="1"/>
  <c r="I15" i="7"/>
  <c r="J15" i="7" s="1"/>
  <c r="K15" i="7" s="1"/>
  <c r="I5" i="7"/>
  <c r="J5" i="7" s="1"/>
  <c r="K5" i="7" s="1"/>
  <c r="I35" i="7"/>
  <c r="J35" i="7" s="1"/>
  <c r="K35" i="7" s="1"/>
  <c r="I85" i="7"/>
  <c r="J85" i="7" s="1"/>
  <c r="K85" i="7" s="1"/>
  <c r="L85" i="7" s="1"/>
  <c r="N85" i="7" s="1"/>
  <c r="I106" i="7"/>
  <c r="J106" i="7" s="1"/>
  <c r="K106" i="7" s="1"/>
  <c r="L106" i="7" s="1"/>
  <c r="N106" i="7" s="1"/>
  <c r="I78" i="7"/>
  <c r="J78" i="7" s="1"/>
  <c r="K78" i="7" s="1"/>
  <c r="L78" i="7" s="1"/>
  <c r="N78" i="7" s="1"/>
  <c r="I28" i="7"/>
  <c r="J28" i="7" s="1"/>
  <c r="K28" i="7" s="1"/>
  <c r="I97" i="7"/>
  <c r="J97" i="7" s="1"/>
  <c r="K97" i="7" s="1"/>
  <c r="L97" i="7" s="1"/>
  <c r="N97" i="7" s="1"/>
  <c r="I62" i="7"/>
  <c r="J62" i="7" s="1"/>
  <c r="K62" i="7" s="1"/>
  <c r="L62" i="7" s="1"/>
  <c r="N62" i="7" s="1"/>
  <c r="I86" i="7"/>
  <c r="J86" i="7" s="1"/>
  <c r="K86" i="7" s="1"/>
  <c r="L86" i="7" s="1"/>
  <c r="N86" i="7" s="1"/>
  <c r="I47" i="7"/>
  <c r="J47" i="7" s="1"/>
  <c r="K47" i="7" s="1"/>
  <c r="I77" i="7"/>
  <c r="J77" i="7" s="1"/>
  <c r="K77" i="7" s="1"/>
  <c r="L77" i="7" s="1"/>
  <c r="N77" i="7" s="1"/>
  <c r="I39" i="7"/>
  <c r="J39" i="7" s="1"/>
  <c r="K39" i="7" s="1"/>
  <c r="I75" i="7"/>
  <c r="J75" i="7" s="1"/>
  <c r="K75" i="7" s="1"/>
  <c r="L75" i="7" s="1"/>
  <c r="N75" i="7" s="1"/>
  <c r="I24" i="7"/>
  <c r="J24" i="7" s="1"/>
  <c r="K24" i="7" s="1"/>
  <c r="I104" i="7"/>
  <c r="J104" i="7" s="1"/>
  <c r="K104" i="7" s="1"/>
  <c r="L104" i="7" s="1"/>
  <c r="N104" i="7" s="1"/>
  <c r="I59" i="7"/>
  <c r="J59" i="7" s="1"/>
  <c r="K59" i="7" s="1"/>
  <c r="L59" i="7" s="1"/>
  <c r="N59" i="7" s="1"/>
  <c r="I66" i="7"/>
  <c r="J66" i="7" s="1"/>
  <c r="K66" i="7" s="1"/>
  <c r="L66" i="7" s="1"/>
  <c r="N66" i="7" s="1"/>
  <c r="I79" i="7"/>
  <c r="J79" i="7" s="1"/>
  <c r="K79" i="7" s="1"/>
  <c r="I61" i="7"/>
  <c r="J61" i="7" s="1"/>
  <c r="K61" i="7" s="1"/>
  <c r="L61" i="7" s="1"/>
  <c r="N61" i="7" s="1"/>
  <c r="I64" i="7"/>
  <c r="J64" i="7" s="1"/>
  <c r="K64" i="7" s="1"/>
  <c r="L64" i="7" s="1"/>
  <c r="N64" i="7" s="1"/>
  <c r="I90" i="7"/>
  <c r="J90" i="7" s="1"/>
  <c r="K90" i="7" s="1"/>
  <c r="L90" i="7" s="1"/>
  <c r="N90" i="7" s="1"/>
  <c r="I87" i="7"/>
  <c r="J87" i="7" s="1"/>
  <c r="K87" i="7" s="1"/>
  <c r="L87" i="7" s="1"/>
  <c r="N87" i="7" s="1"/>
  <c r="I68" i="7"/>
  <c r="J68" i="7" s="1"/>
  <c r="K68" i="7" s="1"/>
  <c r="L68" i="7" s="1"/>
  <c r="N68" i="7" s="1"/>
  <c r="I57" i="7"/>
  <c r="J57" i="7" s="1"/>
  <c r="K57" i="7" s="1"/>
  <c r="L57" i="7" s="1"/>
  <c r="N57" i="7" s="1"/>
  <c r="I41" i="7"/>
  <c r="J41" i="7" s="1"/>
  <c r="K41" i="7" s="1"/>
  <c r="I109" i="7"/>
  <c r="J109" i="7" s="1"/>
  <c r="K109" i="7" s="1"/>
  <c r="L109" i="7" s="1"/>
  <c r="N109" i="7" s="1"/>
  <c r="I3" i="7"/>
  <c r="J3" i="7" s="1"/>
  <c r="K3" i="7" s="1"/>
  <c r="I13" i="7"/>
  <c r="J13" i="7" s="1"/>
  <c r="K13" i="7" s="1"/>
  <c r="I31" i="7"/>
  <c r="J31" i="7" s="1"/>
  <c r="K31" i="7" s="1"/>
  <c r="I73" i="7"/>
  <c r="J73" i="7" s="1"/>
  <c r="K73" i="7" s="1"/>
  <c r="L73" i="7" s="1"/>
  <c r="N73" i="7" s="1"/>
  <c r="I60" i="7"/>
  <c r="J60" i="7" s="1"/>
  <c r="K60" i="7" s="1"/>
  <c r="L60" i="7" s="1"/>
  <c r="N60" i="7" s="1"/>
  <c r="I102" i="7"/>
  <c r="J102" i="7" s="1"/>
  <c r="K102" i="7" s="1"/>
  <c r="L102" i="7" s="1"/>
  <c r="N102" i="7" s="1"/>
  <c r="I32" i="7"/>
  <c r="J32" i="7" s="1"/>
  <c r="K32" i="7" s="1"/>
  <c r="I111" i="7"/>
  <c r="J111" i="7" s="1"/>
  <c r="K111" i="7" s="1"/>
  <c r="L111" i="7" s="1"/>
  <c r="N111" i="7" s="1"/>
  <c r="I101" i="7"/>
  <c r="J101" i="7" s="1"/>
  <c r="K101" i="7" s="1"/>
  <c r="L101" i="7" s="1"/>
  <c r="N101" i="7" s="1"/>
  <c r="I84" i="7"/>
  <c r="J84" i="7" s="1"/>
  <c r="K84" i="7" s="1"/>
  <c r="L84" i="7" s="1"/>
  <c r="N84" i="7" s="1"/>
  <c r="I19" i="7"/>
  <c r="J19" i="7" s="1"/>
  <c r="K19" i="7" s="1"/>
  <c r="I82" i="7"/>
  <c r="J82" i="7" s="1"/>
  <c r="K82" i="7" s="1"/>
  <c r="L82" i="7" s="1"/>
  <c r="N82" i="7" s="1"/>
  <c r="I43" i="7"/>
  <c r="J43" i="7" s="1"/>
  <c r="K43" i="7" s="1"/>
  <c r="I76" i="7"/>
  <c r="J76" i="7" s="1"/>
  <c r="K76" i="7" s="1"/>
  <c r="L76" i="7" s="1"/>
  <c r="N76" i="7" s="1"/>
  <c r="I108" i="7"/>
  <c r="J108" i="7" s="1"/>
  <c r="K108" i="7" s="1"/>
  <c r="L108" i="7" s="1"/>
  <c r="N108" i="7" s="1"/>
  <c r="I83" i="7"/>
  <c r="J83" i="7" s="1"/>
  <c r="K83" i="7" s="1"/>
  <c r="L83" i="7" s="1"/>
  <c r="N83" i="7" s="1"/>
  <c r="I91" i="7"/>
  <c r="J91" i="7" s="1"/>
  <c r="K91" i="7" s="1"/>
  <c r="L91" i="7" s="1"/>
  <c r="N91" i="7" s="1"/>
  <c r="I95" i="7"/>
  <c r="J95" i="7" s="1"/>
  <c r="K95" i="7" s="1"/>
  <c r="L95" i="7" s="1"/>
  <c r="N95" i="7" s="1"/>
  <c r="I65" i="7"/>
  <c r="J65" i="7" s="1"/>
  <c r="K65" i="7" s="1"/>
  <c r="L65" i="7" s="1"/>
  <c r="N65" i="7" s="1"/>
  <c r="I45" i="7"/>
  <c r="J45" i="7" s="1"/>
  <c r="K45" i="7" s="1"/>
  <c r="N10" i="7"/>
  <c r="P10" i="7" s="1"/>
  <c r="Q10" i="7" s="1"/>
  <c r="I26" i="7"/>
  <c r="J26" i="7" s="1"/>
  <c r="K26" i="7" s="1"/>
  <c r="I93" i="7"/>
  <c r="J93" i="7" s="1"/>
  <c r="K93" i="7" s="1"/>
  <c r="L93" i="7" s="1"/>
  <c r="N93" i="7" s="1"/>
  <c r="I100" i="7"/>
  <c r="J100" i="7" s="1"/>
  <c r="K100" i="7" s="1"/>
  <c r="L100" i="7" s="1"/>
  <c r="N100" i="7" s="1"/>
  <c r="I30" i="7"/>
  <c r="J30" i="7" s="1"/>
  <c r="K30" i="7" s="1"/>
  <c r="I110" i="7"/>
  <c r="J110" i="7" s="1"/>
  <c r="K110" i="7" s="1"/>
  <c r="L110" i="7" s="1"/>
  <c r="N110" i="7" s="1"/>
  <c r="I63" i="7"/>
  <c r="J63" i="7" s="1"/>
  <c r="K63" i="7" s="1"/>
  <c r="L63" i="7" s="1"/>
  <c r="N63" i="7" s="1"/>
  <c r="I81" i="7"/>
  <c r="J81" i="7" s="1"/>
  <c r="K81" i="7" s="1"/>
  <c r="L81" i="7" s="1"/>
  <c r="N81" i="7" s="1"/>
  <c r="I38" i="7"/>
  <c r="J38" i="7" s="1"/>
  <c r="K38" i="7" s="1"/>
  <c r="L47" i="7" l="1"/>
  <c r="N47" i="7" s="1"/>
  <c r="P47" i="7" s="1"/>
  <c r="Q47" i="7" s="1"/>
  <c r="L38" i="7"/>
  <c r="N38" i="7" s="1"/>
  <c r="L26" i="7"/>
  <c r="N26" i="7" s="1"/>
  <c r="L5" i="7"/>
  <c r="N5" i="7" s="1"/>
  <c r="P5" i="7" s="1"/>
  <c r="Q5" i="7" s="1"/>
  <c r="L17" i="7"/>
  <c r="N17" i="7" s="1"/>
  <c r="L2" i="7"/>
  <c r="N2" i="7" s="1"/>
  <c r="P2" i="7" s="1"/>
  <c r="Q2" i="7" s="1"/>
  <c r="L43" i="7"/>
  <c r="N43" i="7" s="1"/>
  <c r="P43" i="7" s="1"/>
  <c r="Q43" i="7" s="1"/>
  <c r="L15" i="7"/>
  <c r="N15" i="7" s="1"/>
  <c r="P15" i="7" s="1"/>
  <c r="Q15" i="7" s="1"/>
  <c r="L23" i="7"/>
  <c r="N23" i="7" s="1"/>
  <c r="P23" i="7" s="1"/>
  <c r="Q23" i="7" s="1"/>
  <c r="L4" i="7"/>
  <c r="N4" i="7" s="1"/>
  <c r="P4" i="7" s="1"/>
  <c r="Q4" i="7" s="1"/>
  <c r="L30" i="7"/>
  <c r="N30" i="7" s="1"/>
  <c r="L3" i="7"/>
  <c r="N3" i="7" s="1"/>
  <c r="P3" i="7" s="1"/>
  <c r="Q3" i="7" s="1"/>
  <c r="L39" i="7"/>
  <c r="N39" i="7" s="1"/>
  <c r="P39" i="7" s="1"/>
  <c r="Q39" i="7" s="1"/>
  <c r="L18" i="7"/>
  <c r="N18" i="7" s="1"/>
  <c r="P18" i="7" s="1"/>
  <c r="Q18" i="7" s="1"/>
  <c r="L41" i="7"/>
  <c r="N41" i="7" s="1"/>
  <c r="L45" i="7"/>
  <c r="N45" i="7" s="1"/>
  <c r="L36" i="7"/>
  <c r="N36" i="7" s="1"/>
  <c r="P36" i="7" s="1"/>
  <c r="Q36" i="7" s="1"/>
  <c r="L46" i="7"/>
  <c r="N46" i="7" s="1"/>
  <c r="P46" i="7" s="1"/>
  <c r="Q46" i="7" s="1"/>
  <c r="L22" i="7"/>
  <c r="N22" i="7" s="1"/>
  <c r="L6" i="7"/>
  <c r="N6" i="7" s="1"/>
  <c r="P6" i="7" s="1"/>
  <c r="Q6" i="7" s="1"/>
  <c r="L19" i="7"/>
  <c r="N19" i="7" s="1"/>
  <c r="P19" i="7" s="1"/>
  <c r="Q19" i="7" s="1"/>
  <c r="L31" i="7"/>
  <c r="N31" i="7" s="1"/>
  <c r="P31" i="7" s="1"/>
  <c r="Q31" i="7" s="1"/>
  <c r="L24" i="7"/>
  <c r="N24" i="7" s="1"/>
  <c r="P24" i="7" s="1"/>
  <c r="Q24" i="7" s="1"/>
  <c r="L28" i="7"/>
  <c r="N28" i="7" s="1"/>
  <c r="P28" i="7" s="1"/>
  <c r="Q28" i="7" s="1"/>
  <c r="L27" i="7"/>
  <c r="N27" i="7" s="1"/>
  <c r="P27" i="7" s="1"/>
  <c r="Q27" i="7" s="1"/>
  <c r="L34" i="7"/>
  <c r="N34" i="7" s="1"/>
  <c r="L32" i="7"/>
  <c r="N32" i="7" s="1"/>
  <c r="P32" i="7" s="1"/>
  <c r="Q32" i="7" s="1"/>
  <c r="L35" i="7"/>
  <c r="N35" i="7" s="1"/>
  <c r="P35" i="7" s="1"/>
  <c r="Q35" i="7" s="1"/>
  <c r="L13" i="7"/>
  <c r="N13" i="7" s="1"/>
  <c r="P13" i="7" s="1"/>
  <c r="Q13" i="7" s="1"/>
  <c r="L42" i="7"/>
  <c r="N42" i="7" s="1"/>
  <c r="P42" i="7" s="1"/>
  <c r="Q42" i="7" s="1"/>
  <c r="L14" i="7"/>
  <c r="N14" i="7" s="1"/>
  <c r="P14" i="7" s="1"/>
  <c r="Q14" i="7" s="1"/>
  <c r="P8" i="7"/>
  <c r="Q8" i="7" s="1"/>
  <c r="P7" i="7"/>
  <c r="Q7" i="7" s="1"/>
  <c r="I12" i="7"/>
  <c r="I51" i="7"/>
  <c r="L79" i="7"/>
  <c r="N79" i="7" s="1"/>
  <c r="P30" i="7" l="1"/>
  <c r="Q30" i="7" s="1"/>
  <c r="P26" i="7"/>
  <c r="Q26" i="7" s="1"/>
  <c r="P41" i="7"/>
  <c r="Q41" i="7" s="1"/>
  <c r="P34" i="7"/>
  <c r="Q34" i="7" s="1"/>
  <c r="P38" i="7"/>
  <c r="Q38" i="7" s="1"/>
  <c r="P45" i="7"/>
  <c r="Q45" i="7" s="1"/>
  <c r="P17" i="7"/>
  <c r="Q17" i="7" s="1"/>
  <c r="P22" i="7"/>
  <c r="Q22" i="7" s="1"/>
  <c r="Q12" i="7"/>
  <c r="I52" i="7"/>
  <c r="P12" i="7"/>
  <c r="Q51" i="7" l="1"/>
  <c r="Q52" i="7" s="1"/>
  <c r="P51" i="7"/>
  <c r="P52" i="7" s="1"/>
  <c r="B64" i="4" l="1"/>
  <c r="B65" i="4" s="1"/>
  <c r="B60" i="4"/>
  <c r="B61" i="4" s="1"/>
  <c r="C65" i="4" l="1"/>
</calcChain>
</file>

<file path=xl/sharedStrings.xml><?xml version="1.0" encoding="utf-8"?>
<sst xmlns="http://schemas.openxmlformats.org/spreadsheetml/2006/main" count="418" uniqueCount="218">
  <si>
    <t>Monthly Frequency</t>
  </si>
  <si>
    <t>Annual PU's</t>
  </si>
  <si>
    <t>Gross Up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</si>
  <si>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</si>
  <si>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</si>
  <si>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</si>
  <si>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</si>
  <si>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</si>
  <si>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</si>
  <si>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</si>
  <si>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</si>
  <si>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</si>
  <si>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</si>
  <si>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</si>
  <si>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</si>
  <si>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</si>
  <si>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</si>
  <si>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</si>
  <si>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</si>
  <si>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</si>
  <si>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</si>
  <si>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</si>
  <si>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</si>
  <si>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</si>
  <si>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</si>
  <si>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</si>
  <si>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</si>
  <si>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</si>
  <si>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</si>
  <si>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</si>
  <si>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</si>
  <si>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</si>
  <si>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</si>
  <si>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</si>
  <si>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</si>
  <si>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</si>
  <si>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Current Revenue</t>
  </si>
  <si>
    <t>Monthly Customers</t>
  </si>
  <si>
    <t>Tariff Rate Increase</t>
  </si>
  <si>
    <t>Revised Revenue Increase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</si>
  <si>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</si>
  <si>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</si>
  <si>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</si>
  <si>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</si>
  <si>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</si>
  <si>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</si>
  <si>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</si>
  <si>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</si>
  <si>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</si>
  <si>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</si>
  <si>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</si>
  <si>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</si>
  <si>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</si>
  <si>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</si>
  <si>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</si>
  <si>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</si>
  <si>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</si>
  <si>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</si>
  <si>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</si>
  <si>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</si>
  <si>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</si>
  <si>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</si>
  <si>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</si>
  <si>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</si>
  <si>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</si>
  <si>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</si>
  <si>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</si>
  <si>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</si>
  <si>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</si>
  <si>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</si>
  <si>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</si>
  <si>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</si>
  <si>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</si>
  <si>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</si>
  <si>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</si>
  <si>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</si>
  <si>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</si>
  <si>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</si>
  <si>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</si>
  <si>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</si>
  <si>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</si>
  <si>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</si>
  <si>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</si>
  <si>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</si>
  <si>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</si>
  <si>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</si>
  <si>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</si>
  <si>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</si>
  <si>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</si>
  <si>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</si>
  <si>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</si>
  <si>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</si>
  <si>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* not on meeks - calculated by staff</t>
  </si>
  <si>
    <t>Transfer Station</t>
  </si>
  <si>
    <t>Comments</t>
  </si>
  <si>
    <t>Differ from Company</t>
  </si>
  <si>
    <t>35 gallon Can</t>
  </si>
  <si>
    <t>Calculated Annual PUs based on freq</t>
  </si>
  <si>
    <t>na - multiple pickups not on tariff</t>
  </si>
  <si>
    <t>64 gal cart weekly</t>
  </si>
  <si>
    <t>32 Gal weekly</t>
  </si>
  <si>
    <t>64 gal cart monthly</t>
  </si>
  <si>
    <t>96 gal cart 1x per month</t>
  </si>
  <si>
    <t>96 gal cart weekly</t>
  </si>
  <si>
    <t>20A</t>
  </si>
  <si>
    <t>32 gal can week</t>
  </si>
  <si>
    <t>64 gal can week</t>
  </si>
  <si>
    <t>96 gal can weekly</t>
  </si>
  <si>
    <t>Res_Extra_bag/Box</t>
  </si>
  <si>
    <t>Extra_Yards</t>
  </si>
  <si>
    <t>Not on Meeks, Co provided weight</t>
  </si>
  <si>
    <t>1 Can 1/MG</t>
  </si>
  <si>
    <t>1 Can 2/MG</t>
  </si>
  <si>
    <t>1 Can WG</t>
  </si>
  <si>
    <t>2 Cans WG</t>
  </si>
  <si>
    <t>3 Cans WG</t>
  </si>
  <si>
    <t>4 Cans WG</t>
  </si>
  <si>
    <t>5 Cans WG</t>
  </si>
  <si>
    <t>6 Cans WG</t>
  </si>
  <si>
    <t>64 gal cart 1/MG</t>
  </si>
  <si>
    <t>Add'l yards (cust load)</t>
  </si>
  <si>
    <t>1-4 yards (comp load)</t>
  </si>
  <si>
    <t>Add'l yards (comp load)</t>
  </si>
  <si>
    <t>96 gal cart 1/MG</t>
  </si>
  <si>
    <t>Customer Owned</t>
  </si>
  <si>
    <t>300 Gal MG</t>
  </si>
  <si>
    <t>1 Yard - 1st Pickup</t>
  </si>
  <si>
    <t>1 Yard - Additional Pickup</t>
  </si>
  <si>
    <t>1 Yard - Special</t>
  </si>
  <si>
    <t>1 Yard - Temporary</t>
  </si>
  <si>
    <t>1.5 - Additional Pickup</t>
  </si>
  <si>
    <t>1.5 - Special</t>
  </si>
  <si>
    <t>1.5 - Temporary</t>
  </si>
  <si>
    <t>2 Yard - Additional Pickup</t>
  </si>
  <si>
    <t>2 Yard - Special</t>
  </si>
  <si>
    <t>2 Yard - Temporary</t>
  </si>
  <si>
    <t>3 Yard - Additional Pickup</t>
  </si>
  <si>
    <t>3 Yard - Special</t>
  </si>
  <si>
    <t xml:space="preserve">3 Yard - Temporary </t>
  </si>
  <si>
    <t>4 Yard - Additional Pickup</t>
  </si>
  <si>
    <t>4 Yard - Special</t>
  </si>
  <si>
    <t>4 Yard - Temporary</t>
  </si>
  <si>
    <t>5 Yard - Additional Pickup</t>
  </si>
  <si>
    <t>5 Yard - Special</t>
  </si>
  <si>
    <t>5 Yard - Temporary</t>
  </si>
  <si>
    <t>6 Yard - Additional Pickup</t>
  </si>
  <si>
    <t>6 Yard - Special</t>
  </si>
  <si>
    <t>8 Yard - Additional Pickup</t>
  </si>
  <si>
    <t>8 Yard - Special</t>
  </si>
  <si>
    <t xml:space="preserve">8 Yard - Temporary </t>
  </si>
  <si>
    <t>10 Yard - 1st Pickup</t>
  </si>
  <si>
    <t xml:space="preserve">10 Yard - Special </t>
  </si>
  <si>
    <t xml:space="preserve">10 Yard - Temporary </t>
  </si>
  <si>
    <t>Customer Owned Containers</t>
  </si>
  <si>
    <t>32 gal can week-Scheduled</t>
  </si>
  <si>
    <t>32 gal can week-Special</t>
  </si>
  <si>
    <t>64 gal can week-Scheduled</t>
  </si>
  <si>
    <t>64 gal can week-Special</t>
  </si>
  <si>
    <t>96 gal can week-Scheduled</t>
  </si>
  <si>
    <t>96 gal can week-Special</t>
  </si>
  <si>
    <t>1 Yard-Scheduled</t>
  </si>
  <si>
    <t>1 Yard-Special</t>
  </si>
  <si>
    <t>1.5 Yard-Scheduled</t>
  </si>
  <si>
    <t>1.5 Yard-Special</t>
  </si>
  <si>
    <t>2 Yard-Scheduled</t>
  </si>
  <si>
    <t>2 Yard-Special</t>
  </si>
  <si>
    <t>1.5 Yard Rent</t>
  </si>
  <si>
    <t>2 Yard Rent</t>
  </si>
  <si>
    <t>3 Yard Rent</t>
  </si>
  <si>
    <t>4 Yard Rent</t>
  </si>
  <si>
    <t>5 Yard Rent</t>
  </si>
  <si>
    <t>6 Yard Rent</t>
  </si>
  <si>
    <t>8 Yard Rent</t>
  </si>
  <si>
    <t>10 Yard Rent</t>
  </si>
  <si>
    <t>1 Yard Rent</t>
  </si>
  <si>
    <t>32 gal cart WG (cust owned)</t>
  </si>
  <si>
    <t>96 gal cart WG (cust owned)</t>
  </si>
  <si>
    <t>Mini can WG (coll provided)</t>
  </si>
  <si>
    <t>32 gal cart MG (coll provided)</t>
  </si>
  <si>
    <t>28B</t>
  </si>
  <si>
    <t>Company        Calculated Rate</t>
  </si>
  <si>
    <t>Company    Current Tariff</t>
  </si>
  <si>
    <t>Company Calculated Revenue</t>
  </si>
  <si>
    <t>Walla Walla County</t>
  </si>
  <si>
    <t>Denotes keyed entry (non formula)</t>
  </si>
  <si>
    <t>64 gal can Monthly-Special</t>
  </si>
  <si>
    <t>64 gal can Mnthly-Scheduled</t>
  </si>
  <si>
    <t>28A</t>
  </si>
  <si>
    <t>1.5 Yard - 1st Pickup</t>
  </si>
  <si>
    <t>2 Yard - 1st Pickup</t>
  </si>
  <si>
    <t>3 Yard - 1st Pickup</t>
  </si>
  <si>
    <t>4 Yard - 1st Pickup</t>
  </si>
  <si>
    <t>5 Yard - 1st Pickup</t>
  </si>
  <si>
    <t>6 Yard - 1st Pickup</t>
  </si>
  <si>
    <t>8 Yard - 1st Pickup</t>
  </si>
  <si>
    <t>6 Yard - Temporary</t>
  </si>
  <si>
    <t>11 Yard - Additional Pickup</t>
  </si>
  <si>
    <t>29A</t>
  </si>
  <si>
    <t>4 Yard-Scheduled</t>
  </si>
  <si>
    <t>6 Yard-Scheduled</t>
  </si>
  <si>
    <t>8 Yard-Scheduled</t>
  </si>
  <si>
    <t>10 Yard-Scheduled</t>
  </si>
  <si>
    <t>1 Yard - Temporary See Row 76</t>
  </si>
  <si>
    <t>Staff Current Revenue</t>
  </si>
  <si>
    <t>Staff Calculated Revenue</t>
  </si>
  <si>
    <t>These figures are from the last Disposal fee (TG-161228) and the 2009 GRC</t>
  </si>
  <si>
    <t>Staff Calculated Rate</t>
  </si>
  <si>
    <t>Company Current Tariff</t>
  </si>
  <si>
    <t>TG-180046</t>
  </si>
  <si>
    <t>Basin Disposal of Washington DBA BDI Walla Walla</t>
  </si>
  <si>
    <t>Prepared by Scott Sevall</t>
  </si>
  <si>
    <t>Reference Note: all the customer and tonnage information in Staff calculations comes from the last rate case from 2009 and were used in TG-161228</t>
  </si>
  <si>
    <t>28, 28A</t>
  </si>
  <si>
    <t>29, 29A</t>
  </si>
  <si>
    <t>4 Yard</t>
  </si>
  <si>
    <t>6 Yard</t>
  </si>
  <si>
    <t>8 Yard</t>
  </si>
  <si>
    <t>10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</si>
</sst>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gray0625">
        <bgColor theme="8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0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4" fillId="21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4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32" fillId="26" borderId="1" applyNumberFormat="0" applyAlignment="0" applyProtection="0"/>
    <xf numFmtId="0" fontId="47" fillId="26" borderId="1" applyNumberFormat="0" applyAlignment="0" applyProtection="0"/>
    <xf numFmtId="0" fontId="16" fillId="26" borderId="1" applyNumberFormat="0" applyAlignment="0" applyProtection="0"/>
    <xf numFmtId="0" fontId="47" fillId="4" borderId="1" applyNumberFormat="0" applyAlignment="0" applyProtection="0"/>
    <xf numFmtId="0" fontId="17" fillId="28" borderId="3" applyNumberFormat="0" applyAlignment="0" applyProtection="0"/>
    <xf numFmtId="0" fontId="17" fillId="27" borderId="2" applyNumberFormat="0" applyAlignment="0" applyProtection="0"/>
    <xf numFmtId="0" fontId="2" fillId="29" borderId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30" borderId="4" applyAlignment="0">
      <alignment horizontal="right"/>
      <protection locked="0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31" borderId="0">
      <alignment horizontal="right"/>
      <protection locked="0"/>
    </xf>
    <xf numFmtId="14" fontId="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31" borderId="0">
      <alignment horizontal="right"/>
      <protection locked="0"/>
    </xf>
    <xf numFmtId="1" fontId="2" fillId="0" borderId="0">
      <alignment horizontal="center"/>
    </xf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36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8" applyNumberFormat="0" applyFill="0" applyAlignment="0" applyProtection="0"/>
    <xf numFmtId="0" fontId="49" fillId="0" borderId="5" applyNumberFormat="0" applyFill="0" applyAlignment="0" applyProtection="0"/>
    <xf numFmtId="0" fontId="37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10" applyNumberFormat="0" applyFill="0" applyAlignment="0" applyProtection="0"/>
    <xf numFmtId="0" fontId="50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51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1" fillId="13" borderId="1" applyNumberFormat="0" applyAlignment="0" applyProtection="0"/>
    <xf numFmtId="0" fontId="25" fillId="13" borderId="1" applyNumberFormat="0" applyAlignment="0" applyProtection="0"/>
    <xf numFmtId="3" fontId="10" fillId="32" borderId="0">
      <protection locked="0"/>
    </xf>
    <xf numFmtId="4" fontId="10" fillId="32" borderId="0">
      <protection locked="0"/>
    </xf>
    <xf numFmtId="0" fontId="42" fillId="0" borderId="16" applyNumberFormat="0" applyFill="0" applyAlignment="0" applyProtection="0"/>
    <xf numFmtId="0" fontId="52" fillId="0" borderId="15" applyNumberFormat="0" applyFill="0" applyAlignment="0" applyProtection="0"/>
    <xf numFmtId="0" fontId="26" fillId="0" borderId="17" applyNumberFormat="0" applyFill="0" applyAlignment="0" applyProtection="0"/>
    <xf numFmtId="0" fontId="43" fillId="13" borderId="0" applyNumberFormat="0" applyBorder="0" applyAlignment="0" applyProtection="0"/>
    <xf numFmtId="0" fontId="53" fillId="13" borderId="0" applyNumberFormat="0" applyBorder="0" applyAlignment="0" applyProtection="0"/>
    <xf numFmtId="0" fontId="27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5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9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9" borderId="18" applyNumberFormat="0" applyFont="0" applyAlignment="0" applyProtection="0"/>
    <xf numFmtId="0" fontId="8" fillId="9" borderId="18" applyNumberFormat="0" applyFont="0" applyAlignment="0" applyProtection="0"/>
    <xf numFmtId="0" fontId="28" fillId="9" borderId="18" applyNumberFormat="0" applyFont="0" applyAlignment="0" applyProtection="0"/>
    <xf numFmtId="0" fontId="48" fillId="9" borderId="18" applyNumberFormat="0" applyFont="0" applyAlignment="0" applyProtection="0"/>
    <xf numFmtId="171" fontId="44" fillId="0" borderId="0" applyNumberFormat="0"/>
    <xf numFmtId="0" fontId="24" fillId="26" borderId="20" applyNumberFormat="0" applyAlignment="0" applyProtection="0"/>
    <xf numFmtId="0" fontId="29" fillId="26" borderId="1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1">
      <alignment horizontal="center"/>
    </xf>
    <xf numFmtId="3" fontId="6" fillId="0" borderId="0" applyFont="0" applyFill="0" applyBorder="0" applyAlignment="0" applyProtection="0"/>
    <xf numFmtId="0" fontId="6" fillId="33" borderId="0" applyNumberFormat="0" applyFon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37" fontId="55" fillId="0" borderId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4" applyNumberFormat="0" applyFill="0" applyAlignment="0" applyProtection="0"/>
    <xf numFmtId="0" fontId="31" fillId="0" borderId="25" applyNumberFormat="0" applyFill="0" applyAlignment="0" applyProtection="0"/>
    <xf numFmtId="0" fontId="31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34" borderId="0" applyFont="0" applyFill="0" applyBorder="0" applyAlignment="0" applyProtection="0">
      <alignment wrapText="1"/>
    </xf>
  </cellStyleXfs>
  <cellXfs count="209">
    <xf numFmtId="0" fontId="0" fillId="0" borderId="0" xfId="0"/>
    <xf numFmtId="43" fontId="0" fillId="0" borderId="0" xfId="82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5" fontId="0" fillId="35" borderId="0" xfId="126" applyNumberFormat="1" applyFont="1" applyFill="1"/>
    <xf numFmtId="44" fontId="0" fillId="35" borderId="0" xfId="126" applyFont="1" applyFill="1"/>
    <xf numFmtId="44" fontId="0" fillId="35" borderId="4" xfId="126" applyFont="1" applyFill="1" applyBorder="1"/>
    <xf numFmtId="165" fontId="0" fillId="35" borderId="4" xfId="126" applyNumberFormat="1" applyFont="1" applyFill="1" applyBorder="1"/>
    <xf numFmtId="167" fontId="0" fillId="0" borderId="0" xfId="82" applyNumberFormat="1" applyFont="1"/>
    <xf numFmtId="167" fontId="0" fillId="0" borderId="0" xfId="82" applyNumberFormat="1" applyFont="1" applyBorder="1"/>
    <xf numFmtId="167" fontId="0" fillId="0" borderId="4" xfId="82" applyNumberFormat="1" applyFont="1" applyBorder="1"/>
    <xf numFmtId="169" fontId="0" fillId="35" borderId="0" xfId="126" applyNumberFormat="1" applyFont="1" applyFill="1"/>
    <xf numFmtId="166" fontId="0" fillId="0" borderId="0" xfId="82" applyNumberFormat="1" applyFont="1"/>
    <xf numFmtId="166" fontId="0" fillId="0" borderId="4" xfId="82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3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36" borderId="4" xfId="0" applyFont="1" applyFill="1" applyBorder="1" applyAlignment="1">
      <alignment horizontal="center"/>
    </xf>
    <xf numFmtId="0" fontId="0" fillId="36" borderId="4" xfId="0" applyFont="1" applyFill="1" applyBorder="1"/>
    <xf numFmtId="0" fontId="3" fillId="36" borderId="4" xfId="0" applyFont="1" applyFill="1" applyBorder="1"/>
    <xf numFmtId="43" fontId="0" fillId="0" borderId="0" xfId="82" applyFont="1" applyAlignment="1">
      <alignment horizontal="center"/>
    </xf>
    <xf numFmtId="164" fontId="0" fillId="0" borderId="0" xfId="126" applyNumberFormat="1" applyFont="1" applyBorder="1"/>
    <xf numFmtId="43" fontId="0" fillId="0" borderId="0" xfId="82" applyFont="1" applyBorder="1"/>
    <xf numFmtId="165" fontId="0" fillId="0" borderId="0" xfId="126" applyNumberFormat="1" applyFont="1" applyBorder="1"/>
    <xf numFmtId="44" fontId="0" fillId="0" borderId="0" xfId="126" applyFont="1" applyBorder="1" applyAlignment="1">
      <alignment horizontal="right"/>
    </xf>
    <xf numFmtId="10" fontId="0" fillId="0" borderId="0" xfId="338" applyNumberFormat="1" applyFont="1" applyBorder="1" applyAlignment="1">
      <alignment horizontal="right"/>
    </xf>
    <xf numFmtId="166" fontId="0" fillId="0" borderId="0" xfId="82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330" applyFont="1" applyFill="1" applyBorder="1" applyAlignment="1">
      <alignment horizontal="left"/>
    </xf>
    <xf numFmtId="166" fontId="11" fillId="0" borderId="0" xfId="82" applyNumberFormat="1" applyFont="1" applyFill="1" applyBorder="1" applyAlignment="1">
      <alignment horizontal="left"/>
    </xf>
    <xf numFmtId="166" fontId="0" fillId="0" borderId="0" xfId="82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vertical="center" textRotation="90"/>
    </xf>
    <xf numFmtId="0" fontId="12" fillId="36" borderId="4" xfId="330" applyFont="1" applyFill="1" applyBorder="1" applyAlignment="1">
      <alignment horizontal="left"/>
    </xf>
    <xf numFmtId="3" fontId="3" fillId="36" borderId="4" xfId="0" applyNumberFormat="1" applyFont="1" applyFill="1" applyBorder="1" applyAlignment="1">
      <alignment horizontal="right"/>
    </xf>
    <xf numFmtId="43" fontId="0" fillId="36" borderId="4" xfId="82" applyFont="1" applyFill="1" applyBorder="1"/>
    <xf numFmtId="166" fontId="3" fillId="36" borderId="4" xfId="0" applyNumberFormat="1" applyFont="1" applyFill="1" applyBorder="1"/>
    <xf numFmtId="43" fontId="0" fillId="36" borderId="4" xfId="0" applyNumberFormat="1" applyFont="1" applyFill="1" applyBorder="1"/>
    <xf numFmtId="166" fontId="3" fillId="36" borderId="4" xfId="82" applyNumberFormat="1" applyFont="1" applyFill="1" applyBorder="1"/>
    <xf numFmtId="166" fontId="3" fillId="0" borderId="4" xfId="82" applyNumberFormat="1" applyFont="1" applyBorder="1" applyAlignment="1">
      <alignment horizontal="center"/>
    </xf>
    <xf numFmtId="44" fontId="0" fillId="0" borderId="0" xfId="82" applyNumberFormat="1" applyFont="1" applyFill="1" applyBorder="1"/>
    <xf numFmtId="166" fontId="0" fillId="0" borderId="0" xfId="82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330" applyFont="1" applyFill="1" applyBorder="1" applyAlignment="1">
      <alignment horizontal="left"/>
    </xf>
    <xf numFmtId="166" fontId="3" fillId="0" borderId="0" xfId="82" applyNumberFormat="1" applyFont="1" applyBorder="1" applyAlignment="1">
      <alignment horizontal="right"/>
    </xf>
    <xf numFmtId="0" fontId="9" fillId="0" borderId="0" xfId="319" applyFont="1" applyBorder="1" applyAlignment="1">
      <alignment horizontal="left"/>
    </xf>
    <xf numFmtId="166" fontId="0" fillId="35" borderId="0" xfId="82" applyNumberFormat="1" applyFont="1" applyFill="1" applyBorder="1" applyAlignment="1">
      <alignment horizontal="right"/>
    </xf>
    <xf numFmtId="44" fontId="0" fillId="0" borderId="0" xfId="126" applyFont="1" applyFill="1" applyBorder="1"/>
    <xf numFmtId="166" fontId="0" fillId="0" borderId="0" xfId="82" applyNumberFormat="1" applyFont="1" applyFill="1" applyBorder="1"/>
    <xf numFmtId="43" fontId="0" fillId="0" borderId="0" xfId="82" applyNumberFormat="1" applyFont="1" applyFill="1" applyBorder="1"/>
    <xf numFmtId="166" fontId="0" fillId="0" borderId="26" xfId="82" applyNumberFormat="1" applyFont="1" applyFill="1" applyBorder="1"/>
    <xf numFmtId="44" fontId="0" fillId="32" borderId="0" xfId="126" applyFont="1" applyFill="1" applyBorder="1"/>
    <xf numFmtId="44" fontId="0" fillId="0" borderId="26" xfId="126" applyFont="1" applyFill="1" applyBorder="1"/>
    <xf numFmtId="44" fontId="3" fillId="36" borderId="4" xfId="126" applyFont="1" applyFill="1" applyBorder="1"/>
    <xf numFmtId="44" fontId="0" fillId="36" borderId="4" xfId="126" applyFont="1" applyFill="1" applyBorder="1"/>
    <xf numFmtId="44" fontId="3" fillId="0" borderId="0" xfId="126" applyFont="1" applyBorder="1" applyAlignment="1">
      <alignment horizontal="right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0" fillId="36" borderId="0" xfId="0" applyFont="1" applyFill="1" applyBorder="1" applyAlignment="1">
      <alignment horizontal="right"/>
    </xf>
    <xf numFmtId="166" fontId="0" fillId="36" borderId="0" xfId="82" applyNumberFormat="1" applyFont="1" applyFill="1" applyBorder="1"/>
    <xf numFmtId="44" fontId="0" fillId="36" borderId="0" xfId="82" applyNumberFormat="1" applyFont="1" applyFill="1" applyBorder="1"/>
    <xf numFmtId="0" fontId="3" fillId="36" borderId="0" xfId="0" applyFont="1" applyFill="1" applyBorder="1"/>
    <xf numFmtId="166" fontId="0" fillId="0" borderId="4" xfId="82" applyNumberFormat="1" applyFont="1" applyFill="1" applyBorder="1"/>
    <xf numFmtId="0" fontId="3" fillId="36" borderId="4" xfId="0" applyFont="1" applyFill="1" applyBorder="1" applyAlignment="1">
      <alignment horizontal="center" wrapText="1"/>
    </xf>
    <xf numFmtId="0" fontId="3" fillId="36" borderId="4" xfId="0" applyFont="1" applyFill="1" applyBorder="1" applyAlignment="1">
      <alignment horizontal="center" vertical="center"/>
    </xf>
    <xf numFmtId="0" fontId="0" fillId="36" borderId="4" xfId="0" applyFont="1" applyFill="1" applyBorder="1" applyAlignment="1">
      <alignment horizontal="center" vertical="center"/>
    </xf>
    <xf numFmtId="3" fontId="3" fillId="36" borderId="4" xfId="0" applyNumberFormat="1" applyFont="1" applyFill="1" applyBorder="1"/>
    <xf numFmtId="0" fontId="0" fillId="0" borderId="0" xfId="0" applyFont="1" applyFill="1" applyBorder="1" applyAlignment="1"/>
    <xf numFmtId="0" fontId="0" fillId="35" borderId="0" xfId="0" applyFont="1" applyFill="1" applyBorder="1" applyAlignment="1">
      <alignment horizontal="left"/>
    </xf>
    <xf numFmtId="0" fontId="9" fillId="0" borderId="0" xfId="330" applyFont="1" applyFill="1" applyBorder="1" applyAlignment="1">
      <alignment horizontal="left"/>
    </xf>
    <xf numFmtId="0" fontId="0" fillId="37" borderId="0" xfId="0" applyFont="1" applyFill="1" applyBorder="1" applyAlignment="1">
      <alignment horizontal="left"/>
    </xf>
    <xf numFmtId="44" fontId="0" fillId="0" borderId="4" xfId="126" applyFont="1" applyFill="1" applyBorder="1"/>
    <xf numFmtId="44" fontId="0" fillId="0" borderId="0" xfId="126" applyFont="1" applyBorder="1"/>
    <xf numFmtId="0" fontId="3" fillId="0" borderId="27" xfId="0" applyFont="1" applyBorder="1"/>
    <xf numFmtId="0" fontId="0" fillId="36" borderId="28" xfId="0" applyFont="1" applyFill="1" applyBorder="1" applyAlignment="1">
      <alignment horizontal="center"/>
    </xf>
    <xf numFmtId="0" fontId="0" fillId="0" borderId="29" xfId="0" applyFont="1" applyBorder="1"/>
    <xf numFmtId="44" fontId="0" fillId="0" borderId="30" xfId="126" applyFont="1" applyBorder="1"/>
    <xf numFmtId="0" fontId="0" fillId="0" borderId="30" xfId="0" applyFont="1" applyBorder="1"/>
    <xf numFmtId="0" fontId="3" fillId="0" borderId="29" xfId="0" applyFont="1" applyBorder="1"/>
    <xf numFmtId="0" fontId="0" fillId="36" borderId="31" xfId="0" applyFont="1" applyFill="1" applyBorder="1" applyAlignment="1">
      <alignment horizontal="center"/>
    </xf>
    <xf numFmtId="44" fontId="1" fillId="0" borderId="30" xfId="126" applyFont="1" applyBorder="1"/>
    <xf numFmtId="0" fontId="0" fillId="0" borderId="32" xfId="0" applyFont="1" applyBorder="1" applyAlignment="1">
      <alignment horizontal="left"/>
    </xf>
    <xf numFmtId="44" fontId="0" fillId="0" borderId="33" xfId="126" applyFont="1" applyBorder="1"/>
    <xf numFmtId="164" fontId="0" fillId="0" borderId="0" xfId="0" applyNumberFormat="1" applyFont="1" applyFill="1" applyBorder="1"/>
    <xf numFmtId="43" fontId="3" fillId="0" borderId="0" xfId="82" applyNumberFormat="1" applyFont="1" applyBorder="1" applyAlignment="1">
      <alignment horizontal="right"/>
    </xf>
    <xf numFmtId="0" fontId="11" fillId="0" borderId="0" xfId="329" applyFont="1" applyBorder="1"/>
    <xf numFmtId="166" fontId="11" fillId="0" borderId="0" xfId="82" applyNumberFormat="1" applyFont="1" applyFill="1" applyBorder="1"/>
    <xf numFmtId="0" fontId="11" fillId="0" borderId="4" xfId="329" applyFont="1" applyBorder="1"/>
    <xf numFmtId="0" fontId="3" fillId="36" borderId="4" xfId="0" applyFont="1" applyFill="1" applyBorder="1" applyAlignment="1">
      <alignment wrapText="1"/>
    </xf>
    <xf numFmtId="166" fontId="0" fillId="0" borderId="26" xfId="82" applyNumberFormat="1" applyFont="1" applyFill="1" applyBorder="1" applyAlignment="1">
      <alignment horizontal="center" wrapText="1"/>
    </xf>
    <xf numFmtId="166" fontId="3" fillId="36" borderId="4" xfId="82" applyNumberFormat="1" applyFont="1" applyFill="1" applyBorder="1" applyAlignment="1">
      <alignment horizontal="center" wrapText="1"/>
    </xf>
    <xf numFmtId="0" fontId="56" fillId="0" borderId="0" xfId="82" applyNumberFormat="1" applyFont="1" applyBorder="1" applyAlignment="1">
      <alignment horizontal="left"/>
    </xf>
    <xf numFmtId="0" fontId="0" fillId="0" borderId="0" xfId="82" applyNumberFormat="1" applyFont="1" applyBorder="1"/>
    <xf numFmtId="43" fontId="9" fillId="0" borderId="0" xfId="82" applyNumberFormat="1" applyFont="1" applyFill="1" applyBorder="1"/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3" fontId="11" fillId="0" borderId="0" xfId="83" applyFont="1"/>
    <xf numFmtId="44" fontId="11" fillId="0" borderId="0" xfId="129" applyFont="1"/>
    <xf numFmtId="3" fontId="11" fillId="0" borderId="0" xfId="200" applyNumberFormat="1" applyFont="1" applyBorder="1"/>
    <xf numFmtId="166" fontId="11" fillId="0" borderId="0" xfId="322" applyNumberFormat="1" applyFont="1" applyBorder="1"/>
    <xf numFmtId="3" fontId="11" fillId="0" borderId="0" xfId="200" applyNumberFormat="1" applyFont="1"/>
    <xf numFmtId="166" fontId="11" fillId="0" borderId="0" xfId="82" applyNumberFormat="1" applyFont="1"/>
    <xf numFmtId="166" fontId="11" fillId="0" borderId="0" xfId="82" applyNumberFormat="1" applyFont="1" applyFill="1"/>
    <xf numFmtId="10" fontId="0" fillId="0" borderId="0" xfId="338" applyNumberFormat="1" applyFont="1" applyFill="1" applyBorder="1"/>
    <xf numFmtId="166" fontId="0" fillId="35" borderId="0" xfId="82" applyNumberFormat="1" applyFont="1" applyFill="1" applyBorder="1"/>
    <xf numFmtId="0" fontId="0" fillId="0" borderId="34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center" vertical="center"/>
    </xf>
    <xf numFmtId="166" fontId="0" fillId="0" borderId="34" xfId="82" applyNumberFormat="1" applyFont="1" applyBorder="1"/>
    <xf numFmtId="43" fontId="0" fillId="0" borderId="34" xfId="82" applyNumberFormat="1" applyFont="1" applyFill="1" applyBorder="1"/>
    <xf numFmtId="166" fontId="0" fillId="0" borderId="34" xfId="82" applyNumberFormat="1" applyFont="1" applyFill="1" applyBorder="1"/>
    <xf numFmtId="166" fontId="0" fillId="0" borderId="34" xfId="82" applyNumberFormat="1" applyFont="1" applyFill="1" applyBorder="1" applyAlignment="1">
      <alignment horizontal="center" wrapText="1"/>
    </xf>
    <xf numFmtId="44" fontId="0" fillId="0" borderId="34" xfId="126" applyFont="1" applyFill="1" applyBorder="1"/>
    <xf numFmtId="44" fontId="0" fillId="0" borderId="34" xfId="126" applyFont="1" applyBorder="1"/>
    <xf numFmtId="0" fontId="0" fillId="0" borderId="0" xfId="0" applyFont="1" applyFill="1" applyBorder="1" applyAlignment="1">
      <alignment horizontal="center" vertical="center" textRotation="90"/>
    </xf>
    <xf numFmtId="44" fontId="3" fillId="36" borderId="4" xfId="126" applyFont="1" applyFill="1" applyBorder="1" applyAlignment="1">
      <alignment horizontal="right"/>
    </xf>
    <xf numFmtId="3" fontId="12" fillId="0" borderId="0" xfId="200" applyNumberFormat="1" applyFont="1"/>
    <xf numFmtId="0" fontId="0" fillId="0" borderId="0" xfId="0" applyFont="1" applyFill="1"/>
    <xf numFmtId="3" fontId="11" fillId="38" borderId="0" xfId="200" applyNumberFormat="1" applyFont="1" applyFill="1"/>
    <xf numFmtId="4" fontId="0" fillId="38" borderId="0" xfId="0" applyNumberFormat="1" applyFont="1" applyFill="1" applyBorder="1"/>
    <xf numFmtId="43" fontId="0" fillId="38" borderId="0" xfId="82" applyNumberFormat="1" applyFont="1" applyFill="1" applyBorder="1"/>
    <xf numFmtId="166" fontId="0" fillId="38" borderId="0" xfId="82" applyNumberFormat="1" applyFont="1" applyFill="1" applyBorder="1"/>
    <xf numFmtId="166" fontId="0" fillId="38" borderId="0" xfId="82" applyNumberFormat="1" applyFont="1" applyFill="1" applyBorder="1" applyAlignment="1">
      <alignment horizontal="center" wrapText="1"/>
    </xf>
    <xf numFmtId="44" fontId="0" fillId="38" borderId="0" xfId="126" applyFont="1" applyFill="1" applyBorder="1"/>
    <xf numFmtId="166" fontId="11" fillId="38" borderId="0" xfId="82" applyNumberFormat="1" applyFont="1" applyFill="1" applyBorder="1"/>
    <xf numFmtId="166" fontId="11" fillId="0" borderId="0" xfId="83" applyNumberFormat="1" applyFont="1"/>
    <xf numFmtId="166" fontId="9" fillId="0" borderId="0" xfId="83" applyNumberFormat="1" applyFont="1"/>
    <xf numFmtId="166" fontId="11" fillId="35" borderId="0" xfId="83" applyNumberFormat="1" applyFont="1" applyFill="1"/>
    <xf numFmtId="166" fontId="11" fillId="38" borderId="0" xfId="83" applyNumberFormat="1" applyFont="1" applyFill="1"/>
    <xf numFmtId="166" fontId="11" fillId="0" borderId="0" xfId="83" applyNumberFormat="1" applyFont="1" applyFill="1"/>
    <xf numFmtId="166" fontId="3" fillId="36" borderId="4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166" fontId="0" fillId="36" borderId="0" xfId="0" applyNumberFormat="1" applyFont="1" applyFill="1" applyBorder="1"/>
    <xf numFmtId="3" fontId="11" fillId="0" borderId="0" xfId="200" applyNumberFormat="1" applyFont="1" applyFill="1"/>
    <xf numFmtId="0" fontId="11" fillId="0" borderId="0" xfId="329" applyFont="1" applyBorder="1" applyAlignment="1">
      <alignment horizontal="left"/>
    </xf>
    <xf numFmtId="44" fontId="0" fillId="39" borderId="26" xfId="126" applyFont="1" applyFill="1" applyBorder="1"/>
    <xf numFmtId="44" fontId="0" fillId="39" borderId="0" xfId="126" applyFont="1" applyFill="1" applyBorder="1"/>
    <xf numFmtId="44" fontId="0" fillId="40" borderId="0" xfId="126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3" fontId="0" fillId="41" borderId="0" xfId="0" applyNumberFormat="1" applyFont="1" applyFill="1" applyBorder="1"/>
    <xf numFmtId="166" fontId="11" fillId="41" borderId="0" xfId="82" applyNumberFormat="1" applyFont="1" applyFill="1"/>
    <xf numFmtId="166" fontId="11" fillId="42" borderId="0" xfId="82" applyNumberFormat="1" applyFont="1" applyFill="1"/>
    <xf numFmtId="44" fontId="11" fillId="41" borderId="0" xfId="129" applyFont="1" applyFill="1"/>
    <xf numFmtId="44" fontId="0" fillId="41" borderId="0" xfId="126" applyFont="1" applyFill="1" applyBorder="1"/>
    <xf numFmtId="44" fontId="11" fillId="41" borderId="0" xfId="126" applyFont="1" applyFill="1" applyBorder="1"/>
    <xf numFmtId="44" fontId="11" fillId="42" borderId="0" xfId="126" applyFont="1" applyFill="1" applyBorder="1"/>
    <xf numFmtId="10" fontId="0" fillId="41" borderId="0" xfId="338" applyNumberFormat="1" applyFont="1" applyFill="1" applyBorder="1"/>
    <xf numFmtId="0" fontId="0" fillId="0" borderId="4" xfId="0" applyFont="1" applyFill="1" applyBorder="1" applyAlignment="1">
      <alignment horizontal="center" vertical="center" textRotation="90"/>
    </xf>
    <xf numFmtId="0" fontId="11" fillId="0" borderId="4" xfId="319" applyFont="1" applyBorder="1" applyAlignment="1">
      <alignment horizontal="left"/>
    </xf>
    <xf numFmtId="43" fontId="0" fillId="0" borderId="4" xfId="82" applyFont="1" applyBorder="1" applyAlignment="1">
      <alignment horizontal="right"/>
    </xf>
    <xf numFmtId="43" fontId="0" fillId="0" borderId="4" xfId="82" applyFont="1" applyFill="1" applyBorder="1"/>
    <xf numFmtId="44" fontId="0" fillId="0" borderId="4" xfId="126" applyFont="1" applyBorder="1"/>
    <xf numFmtId="0" fontId="0" fillId="0" borderId="4" xfId="0" applyFont="1" applyBorder="1"/>
    <xf numFmtId="164" fontId="0" fillId="0" borderId="4" xfId="0" applyNumberFormat="1" applyFont="1" applyBorder="1"/>
    <xf numFmtId="171" fontId="0" fillId="0" borderId="0" xfId="338" applyNumberFormat="1" applyFont="1" applyFill="1" applyBorder="1"/>
    <xf numFmtId="10" fontId="0" fillId="0" borderId="0" xfId="338" applyNumberFormat="1" applyFont="1"/>
    <xf numFmtId="43" fontId="0" fillId="0" borderId="0" xfId="0" applyNumberFormat="1" applyFont="1" applyFill="1" applyBorder="1"/>
    <xf numFmtId="44" fontId="0" fillId="0" borderId="0" xfId="126" applyNumberFormat="1" applyFont="1" applyFill="1" applyBorder="1"/>
    <xf numFmtId="10" fontId="0" fillId="0" borderId="0" xfId="0" applyNumberFormat="1" applyFont="1"/>
    <xf numFmtId="44" fontId="0" fillId="0" borderId="0" xfId="0" applyNumberFormat="1" applyFont="1" applyFill="1" applyBorder="1"/>
    <xf numFmtId="0" fontId="0" fillId="44" borderId="0" xfId="0" applyFill="1"/>
    <xf numFmtId="0" fontId="60" fillId="44" borderId="0" xfId="0" applyFont="1" applyFill="1"/>
    <xf numFmtId="43" fontId="0" fillId="0" borderId="0" xfId="0" applyNumberFormat="1"/>
    <xf numFmtId="0" fontId="60" fillId="0" borderId="0" xfId="0" applyFont="1"/>
    <xf numFmtId="0" fontId="60" fillId="44" borderId="0" xfId="0" applyFont="1" applyFill="1" applyAlignment="1">
      <alignment horizontal="center" wrapText="1"/>
    </xf>
    <xf numFmtId="0" fontId="60" fillId="43" borderId="0" xfId="0" applyFont="1" applyFill="1" applyAlignment="1">
      <alignment horizontal="center" wrapText="1"/>
    </xf>
    <xf numFmtId="0" fontId="0" fillId="45" borderId="0" xfId="0" applyFill="1"/>
    <xf numFmtId="0" fontId="0" fillId="44" borderId="0" xfId="0" applyFill="1" applyAlignment="1">
      <alignment horizontal="center"/>
    </xf>
    <xf numFmtId="43" fontId="0" fillId="44" borderId="0" xfId="0" applyNumberFormat="1" applyFill="1"/>
    <xf numFmtId="44" fontId="0" fillId="0" borderId="0" xfId="126" applyFont="1"/>
    <xf numFmtId="0" fontId="0" fillId="43" borderId="0" xfId="0" applyFont="1" applyFill="1"/>
    <xf numFmtId="44" fontId="0" fillId="43" borderId="0" xfId="126" applyNumberFormat="1" applyFont="1" applyFill="1"/>
    <xf numFmtId="165" fontId="0" fillId="43" borderId="0" xfId="126" applyNumberFormat="1" applyFont="1" applyFill="1"/>
    <xf numFmtId="0" fontId="0" fillId="43" borderId="26" xfId="0" applyFont="1" applyFill="1" applyBorder="1"/>
    <xf numFmtId="44" fontId="0" fillId="43" borderId="26" xfId="126" applyNumberFormat="1" applyFont="1" applyFill="1" applyBorder="1"/>
    <xf numFmtId="165" fontId="0" fillId="43" borderId="26" xfId="126" applyNumberFormat="1" applyFont="1" applyFill="1" applyBorder="1"/>
    <xf numFmtId="44" fontId="0" fillId="43" borderId="0" xfId="0" applyNumberFormat="1" applyFont="1" applyFill="1"/>
    <xf numFmtId="44" fontId="0" fillId="0" borderId="0" xfId="0" applyNumberFormat="1"/>
    <xf numFmtId="44" fontId="0" fillId="44" borderId="0" xfId="126" applyFont="1" applyFill="1"/>
    <xf numFmtId="0" fontId="0" fillId="0" borderId="0" xfId="0" applyAlignment="1">
      <alignment horizontal="center"/>
    </xf>
    <xf numFmtId="0" fontId="0" fillId="36" borderId="0" xfId="0" applyFont="1" applyFill="1" applyAlignment="1">
      <alignment horizontal="center"/>
    </xf>
    <xf numFmtId="0" fontId="3" fillId="36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0" fillId="44" borderId="0" xfId="0" applyFont="1" applyFill="1" applyAlignment="1">
      <alignment horizontal="center"/>
    </xf>
    <xf numFmtId="0" fontId="0" fillId="3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textRotation="90"/>
    </xf>
    <xf numFmtId="0" fontId="0" fillId="44" borderId="0" xfId="0" applyFill="1" applyAlignment="1">
      <alignment horizontal="center"/>
    </xf>
  </cellXfs>
  <cellStyles count="390">
    <cellStyle name="20% - Accent1 2" xfId="1"/>
    <cellStyle name="20% - Accent1 2 2" xfId="2"/>
    <cellStyle name="20% - Accent1 3" xfId="3"/>
    <cellStyle name="20% - Accent1 3 2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2 2" xfId="10"/>
    <cellStyle name="20% - Accent4 3" xfId="11"/>
    <cellStyle name="20% - Accent4 3 2" xfId="12"/>
    <cellStyle name="20% - Accent5 2" xfId="13"/>
    <cellStyle name="20% - Accent5 3" xfId="14"/>
    <cellStyle name="20% - Accent6 2" xfId="15"/>
    <cellStyle name="20% - Accent6 3" xfId="16"/>
    <cellStyle name="40% - Accent1 2" xfId="17"/>
    <cellStyle name="40% - Accent1 3" xfId="18"/>
    <cellStyle name="40% - Accent1 3 2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4 3 2" xfId="26"/>
    <cellStyle name="40% - Accent5 2" xfId="27"/>
    <cellStyle name="40% - Accent5 3" xfId="28"/>
    <cellStyle name="40% - Accent6 2" xfId="29"/>
    <cellStyle name="40% - Accent6 3" xfId="30"/>
    <cellStyle name="40% - Accent6 3 2" xfId="31"/>
    <cellStyle name="60% - Accent1 2" xfId="32"/>
    <cellStyle name="60% - Accent1 2 2" xfId="33"/>
    <cellStyle name="60% - Accent1 3" xfId="34"/>
    <cellStyle name="60% - Accent1 3 2" xfId="35"/>
    <cellStyle name="60% - Accent2 2" xfId="36"/>
    <cellStyle name="60% - Accent2 3" xfId="37"/>
    <cellStyle name="60% - Accent3 2" xfId="38"/>
    <cellStyle name="60% - Accent3 3" xfId="39"/>
    <cellStyle name="60% - Accent3 3 2" xfId="40"/>
    <cellStyle name="60% - Accent4 2" xfId="41"/>
    <cellStyle name="60% - Accent4 3" xfId="42"/>
    <cellStyle name="60% - Accent4 3 2" xfId="43"/>
    <cellStyle name="60% - Accent5 2" xfId="44"/>
    <cellStyle name="60% - Accent5 2 2" xfId="45"/>
    <cellStyle name="60% - Accent5 3" xfId="46"/>
    <cellStyle name="60% - Accent6 2" xfId="47"/>
    <cellStyle name="60% - Accent6 3" xfId="48"/>
    <cellStyle name="Accent1 2" xfId="49"/>
    <cellStyle name="Accent1 2 2" xfId="50"/>
    <cellStyle name="Accent1 3" xfId="51"/>
    <cellStyle name="Accent1 3 2" xfId="52"/>
    <cellStyle name="Accent2 2" xfId="53"/>
    <cellStyle name="Accent2 3" xfId="54"/>
    <cellStyle name="Accent3 2" xfId="55"/>
    <cellStyle name="Accent3 2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2 2" xfId="63"/>
    <cellStyle name="Accent6 3" xfId="64"/>
    <cellStyle name="Accounting" xfId="65"/>
    <cellStyle name="Accounting 2" xfId="66"/>
    <cellStyle name="Accounting 3" xfId="67"/>
    <cellStyle name="Accounting_2011-11" xfId="68"/>
    <cellStyle name="Bad 2" xfId="69"/>
    <cellStyle name="Bad 3" xfId="70"/>
    <cellStyle name="Budget" xfId="71"/>
    <cellStyle name="Budget 2" xfId="72"/>
    <cellStyle name="Budget 3" xfId="73"/>
    <cellStyle name="Budget_2011-11" xfId="74"/>
    <cellStyle name="Calculation 2" xfId="75"/>
    <cellStyle name="Calculation 2 2" xfId="76"/>
    <cellStyle name="Calculation 3" xfId="77"/>
    <cellStyle name="Calculation 3 2" xfId="78"/>
    <cellStyle name="Check Cell 2" xfId="79"/>
    <cellStyle name="Check Cell 3" xfId="80"/>
    <cellStyle name="combo" xfId="81"/>
    <cellStyle name="Comma" xfId="82" builtinId="3"/>
    <cellStyle name="Comma 10" xfId="83"/>
    <cellStyle name="Comma 11" xfId="84"/>
    <cellStyle name="Comma 12" xfId="85"/>
    <cellStyle name="Comma 12 2" xfId="86"/>
    <cellStyle name="Comma 12 3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3" xfId="98"/>
    <cellStyle name="Comma 2 4" xfId="99"/>
    <cellStyle name="Comma 2 6" xfId="100"/>
    <cellStyle name="Comma 2 6 2" xfId="101"/>
    <cellStyle name="Comma 20" xfId="102"/>
    <cellStyle name="Comma 3" xfId="103"/>
    <cellStyle name="Comma 3 2" xfId="104"/>
    <cellStyle name="Comma 3 2 2" xfId="105"/>
    <cellStyle name="Comma 3 3" xfId="106"/>
    <cellStyle name="Comma 3 4" xfId="107"/>
    <cellStyle name="Comma 4" xfId="108"/>
    <cellStyle name="Comma 4 2" xfId="109"/>
    <cellStyle name="Comma 4 2 2" xfId="110"/>
    <cellStyle name="Comma 4 3" xfId="111"/>
    <cellStyle name="Comma 4 3 2" xfId="112"/>
    <cellStyle name="Comma 4 4" xfId="113"/>
    <cellStyle name="Comma 4 5" xfId="114"/>
    <cellStyle name="Comma 4 6" xfId="115"/>
    <cellStyle name="Comma 5" xfId="116"/>
    <cellStyle name="Comma 6" xfId="117"/>
    <cellStyle name="Comma 6 2" xfId="118"/>
    <cellStyle name="Comma 7" xfId="119"/>
    <cellStyle name="Comma 8" xfId="120"/>
    <cellStyle name="Comma 9" xfId="121"/>
    <cellStyle name="Comma(2)" xfId="122"/>
    <cellStyle name="Comma0 - Style2" xfId="123"/>
    <cellStyle name="Comma1 - Style1" xfId="124"/>
    <cellStyle name="Comments" xfId="125"/>
    <cellStyle name="Currency" xfId="126" builtinId="4"/>
    <cellStyle name="Currency 10" xfId="127"/>
    <cellStyle name="Currency 11" xfId="128"/>
    <cellStyle name="Currency 2" xfId="129"/>
    <cellStyle name="Currency 2 2" xfId="130"/>
    <cellStyle name="Currency 2 2 2" xfId="131"/>
    <cellStyle name="Currency 2 3" xfId="132"/>
    <cellStyle name="Currency 2 3 2" xfId="133"/>
    <cellStyle name="Currency 2 6" xfId="134"/>
    <cellStyle name="Currency 2 6 2" xfId="135"/>
    <cellStyle name="Currency 3" xfId="136"/>
    <cellStyle name="Currency 3 2" xfId="137"/>
    <cellStyle name="Currency 3 3" xfId="138"/>
    <cellStyle name="Currency 3 4" xfId="139"/>
    <cellStyle name="Currency 4" xfId="140"/>
    <cellStyle name="Currency 4 2" xfId="141"/>
    <cellStyle name="Currency 5" xfId="142"/>
    <cellStyle name="Currency 5 2" xfId="143"/>
    <cellStyle name="Currency 5 3" xfId="144"/>
    <cellStyle name="Currency 6" xfId="145"/>
    <cellStyle name="Currency 7" xfId="146"/>
    <cellStyle name="Currency 8" xfId="147"/>
    <cellStyle name="Currency 9" xfId="148"/>
    <cellStyle name="Data Enter" xfId="149"/>
    <cellStyle name="date" xfId="150"/>
    <cellStyle name="Explanatory Text 2" xfId="151"/>
    <cellStyle name="Explanatory Text 3" xfId="152"/>
    <cellStyle name="FactSheet" xfId="153"/>
    <cellStyle name="fish" xfId="154"/>
    <cellStyle name="Good 2" xfId="155"/>
    <cellStyle name="Good 3" xfId="156"/>
    <cellStyle name="Heading 1 2" xfId="157"/>
    <cellStyle name="Heading 1 2 2" xfId="158"/>
    <cellStyle name="Heading 1 3" xfId="159"/>
    <cellStyle name="Heading 1 3 2" xfId="160"/>
    <cellStyle name="Heading 2 2" xfId="161"/>
    <cellStyle name="Heading 2 2 2" xfId="162"/>
    <cellStyle name="Heading 2 3" xfId="163"/>
    <cellStyle name="Heading 2 3 2" xfId="164"/>
    <cellStyle name="Heading 3 2" xfId="165"/>
    <cellStyle name="Heading 3 2 2" xfId="166"/>
    <cellStyle name="Heading 3 3" xfId="167"/>
    <cellStyle name="Heading 3 3 2" xfId="168"/>
    <cellStyle name="Heading 4 2" xfId="169"/>
    <cellStyle name="Heading 4 3" xfId="170"/>
    <cellStyle name="Hyperlink 2" xfId="171"/>
    <cellStyle name="Hyperlink 3" xfId="172"/>
    <cellStyle name="Hyperlink 3 2" xfId="173"/>
    <cellStyle name="Input 2" xfId="174"/>
    <cellStyle name="Input 3" xfId="175"/>
    <cellStyle name="input(0)" xfId="176"/>
    <cellStyle name="Input(2)" xfId="177"/>
    <cellStyle name="Linked Cell 2" xfId="178"/>
    <cellStyle name="Linked Cell 2 2" xfId="179"/>
    <cellStyle name="Linked Cell 3" xfId="180"/>
    <cellStyle name="Neutral 2" xfId="181"/>
    <cellStyle name="Neutral 2 2" xfId="182"/>
    <cellStyle name="Neutral 3" xfId="183"/>
    <cellStyle name="New_normal" xfId="184"/>
    <cellStyle name="Normal" xfId="0" builtinId="0"/>
    <cellStyle name="Normal - Style1" xfId="185"/>
    <cellStyle name="Normal - Style2" xfId="186"/>
    <cellStyle name="Normal - Style3" xfId="187"/>
    <cellStyle name="Normal - Style4" xfId="188"/>
    <cellStyle name="Normal - Style5" xfId="189"/>
    <cellStyle name="Normal 10" xfId="190"/>
    <cellStyle name="Normal 10 2" xfId="191"/>
    <cellStyle name="Normal 10 2 2" xfId="192"/>
    <cellStyle name="Normal 10 2 3" xfId="193"/>
    <cellStyle name="Normal 10_2112 DF Schedule" xfId="194"/>
    <cellStyle name="Normal 100" xfId="195"/>
    <cellStyle name="Normal 101" xfId="196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08" xfId="203"/>
    <cellStyle name="Normal 11" xfId="204"/>
    <cellStyle name="Normal 12" xfId="205"/>
    <cellStyle name="Normal 12 2" xfId="206"/>
    <cellStyle name="Normal 13" xfId="207"/>
    <cellStyle name="Normal 13 2" xfId="208"/>
    <cellStyle name="Normal 14" xfId="209"/>
    <cellStyle name="Normal 14 2" xfId="210"/>
    <cellStyle name="Normal 15" xfId="211"/>
    <cellStyle name="Normal 15 2" xfId="212"/>
    <cellStyle name="Normal 16" xfId="213"/>
    <cellStyle name="Normal 16 2" xfId="214"/>
    <cellStyle name="Normal 17" xfId="215"/>
    <cellStyle name="Normal 17 2" xfId="216"/>
    <cellStyle name="Normal 18" xfId="217"/>
    <cellStyle name="Normal 18 2" xfId="218"/>
    <cellStyle name="Normal 19" xfId="219"/>
    <cellStyle name="Normal 19 2" xfId="220"/>
    <cellStyle name="Normal 2" xfId="221"/>
    <cellStyle name="Normal 2 2" xfId="222"/>
    <cellStyle name="Normal 2 2 2" xfId="223"/>
    <cellStyle name="Normal 2 2 3" xfId="224"/>
    <cellStyle name="Normal 2 2_Actual_Fuel" xfId="225"/>
    <cellStyle name="Normal 2 3" xfId="226"/>
    <cellStyle name="Normal 2 3 2" xfId="227"/>
    <cellStyle name="Normal 2 3 3" xfId="228"/>
    <cellStyle name="Normal 2 4" xfId="229"/>
    <cellStyle name="Normal 2 5" xfId="230"/>
    <cellStyle name="Normal 2_2012-10" xfId="231"/>
    <cellStyle name="Normal 20" xfId="232"/>
    <cellStyle name="Normal 21" xfId="233"/>
    <cellStyle name="Normal 22" xfId="234"/>
    <cellStyle name="Normal 23" xfId="235"/>
    <cellStyle name="Normal 24" xfId="236"/>
    <cellStyle name="Normal 25" xfId="237"/>
    <cellStyle name="Normal 26" xfId="238"/>
    <cellStyle name="Normal 27" xfId="239"/>
    <cellStyle name="Normal 28" xfId="240"/>
    <cellStyle name="Normal 29" xfId="241"/>
    <cellStyle name="Normal 3" xfId="242"/>
    <cellStyle name="Normal 3 2" xfId="243"/>
    <cellStyle name="Normal 3 3" xfId="244"/>
    <cellStyle name="Normal 3 4" xfId="245"/>
    <cellStyle name="Normal 3_2012 PR" xfId="246"/>
    <cellStyle name="Normal 30" xfId="247"/>
    <cellStyle name="Normal 31" xfId="248"/>
    <cellStyle name="Normal 32" xfId="249"/>
    <cellStyle name="Normal 33" xfId="250"/>
    <cellStyle name="Normal 34" xfId="251"/>
    <cellStyle name="Normal 35" xfId="252"/>
    <cellStyle name="Normal 36" xfId="253"/>
    <cellStyle name="Normal 37" xfId="254"/>
    <cellStyle name="Normal 38" xfId="255"/>
    <cellStyle name="Normal 39" xfId="256"/>
    <cellStyle name="Normal 4" xfId="257"/>
    <cellStyle name="Normal 4 2" xfId="258"/>
    <cellStyle name="Normal 40" xfId="259"/>
    <cellStyle name="Normal 41" xfId="260"/>
    <cellStyle name="Normal 42" xfId="261"/>
    <cellStyle name="Normal 43" xfId="262"/>
    <cellStyle name="Normal 44" xfId="263"/>
    <cellStyle name="Normal 45" xfId="264"/>
    <cellStyle name="Normal 46" xfId="265"/>
    <cellStyle name="Normal 47" xfId="266"/>
    <cellStyle name="Normal 48" xfId="267"/>
    <cellStyle name="Normal 49" xfId="268"/>
    <cellStyle name="Normal 5" xfId="269"/>
    <cellStyle name="Normal 5 2" xfId="270"/>
    <cellStyle name="Normal 5_2112 DF Schedule" xfId="271"/>
    <cellStyle name="Normal 50" xfId="272"/>
    <cellStyle name="Normal 51" xfId="273"/>
    <cellStyle name="Normal 52" xfId="274"/>
    <cellStyle name="Normal 53" xfId="275"/>
    <cellStyle name="Normal 54" xfId="276"/>
    <cellStyle name="Normal 55" xfId="277"/>
    <cellStyle name="Normal 56" xfId="278"/>
    <cellStyle name="Normal 57" xfId="279"/>
    <cellStyle name="Normal 58" xfId="280"/>
    <cellStyle name="Normal 59" xfId="281"/>
    <cellStyle name="Normal 6" xfId="282"/>
    <cellStyle name="Normal 6 2" xfId="283"/>
    <cellStyle name="Normal 60" xfId="284"/>
    <cellStyle name="Normal 61" xfId="285"/>
    <cellStyle name="Normal 62" xfId="286"/>
    <cellStyle name="Normal 63" xfId="287"/>
    <cellStyle name="Normal 64" xfId="288"/>
    <cellStyle name="Normal 65" xfId="289"/>
    <cellStyle name="Normal 66" xfId="290"/>
    <cellStyle name="Normal 67" xfId="291"/>
    <cellStyle name="Normal 68" xfId="292"/>
    <cellStyle name="Normal 69" xfId="293"/>
    <cellStyle name="Normal 7" xfId="294"/>
    <cellStyle name="Normal 70" xfId="295"/>
    <cellStyle name="Normal 71" xfId="296"/>
    <cellStyle name="Normal 72" xfId="297"/>
    <cellStyle name="Normal 73" xfId="298"/>
    <cellStyle name="Normal 74" xfId="299"/>
    <cellStyle name="Normal 75" xfId="300"/>
    <cellStyle name="Normal 76" xfId="301"/>
    <cellStyle name="Normal 77" xfId="302"/>
    <cellStyle name="Normal 78" xfId="303"/>
    <cellStyle name="Normal 79" xfId="304"/>
    <cellStyle name="Normal 8" xfId="305"/>
    <cellStyle name="Normal 80" xfId="306"/>
    <cellStyle name="Normal 81" xfId="307"/>
    <cellStyle name="Normal 82" xfId="308"/>
    <cellStyle name="Normal 83" xfId="309"/>
    <cellStyle name="Normal 84" xfId="310"/>
    <cellStyle name="Normal 84 2" xfId="311"/>
    <cellStyle name="Normal 84 3" xfId="312"/>
    <cellStyle name="Normal 85" xfId="313"/>
    <cellStyle name="Normal 86" xfId="314"/>
    <cellStyle name="Normal 87" xfId="315"/>
    <cellStyle name="Normal 88" xfId="316"/>
    <cellStyle name="Normal 89" xfId="317"/>
    <cellStyle name="Normal 9" xfId="318"/>
    <cellStyle name="Normal 90" xfId="319"/>
    <cellStyle name="Normal 91" xfId="320"/>
    <cellStyle name="Normal 92" xfId="321"/>
    <cellStyle name="Normal 93" xfId="322"/>
    <cellStyle name="Normal 94" xfId="323"/>
    <cellStyle name="Normal 95" xfId="324"/>
    <cellStyle name="Normal 96" xfId="325"/>
    <cellStyle name="Normal 97" xfId="326"/>
    <cellStyle name="Normal 98" xfId="327"/>
    <cellStyle name="Normal 99" xfId="328"/>
    <cellStyle name="Normal_Murrey's Jan-Dec 2012" xfId="329"/>
    <cellStyle name="Normal_Price out" xfId="330"/>
    <cellStyle name="Note 2" xfId="331"/>
    <cellStyle name="Note 2 2" xfId="332"/>
    <cellStyle name="Note 3" xfId="333"/>
    <cellStyle name="Note 3 2" xfId="334"/>
    <cellStyle name="Notes" xfId="335"/>
    <cellStyle name="Output 2" xfId="336"/>
    <cellStyle name="Output 3" xfId="337"/>
    <cellStyle name="Percent" xfId="338" builtinId="5"/>
    <cellStyle name="Percent 2" xfId="339"/>
    <cellStyle name="Percent 2 2" xfId="340"/>
    <cellStyle name="Percent 2 2 2" xfId="341"/>
    <cellStyle name="Percent 2 3" xfId="342"/>
    <cellStyle name="Percent 2 6" xfId="343"/>
    <cellStyle name="Percent 3" xfId="344"/>
    <cellStyle name="Percent 3 2" xfId="345"/>
    <cellStyle name="Percent 4" xfId="346"/>
    <cellStyle name="Percent 4 2" xfId="347"/>
    <cellStyle name="Percent 4 3" xfId="348"/>
    <cellStyle name="Percent 5" xfId="349"/>
    <cellStyle name="Percent 6" xfId="350"/>
    <cellStyle name="Percent 7" xfId="351"/>
    <cellStyle name="Percent 7 2" xfId="352"/>
    <cellStyle name="Percent 7 3" xfId="353"/>
    <cellStyle name="Percent 8" xfId="354"/>
    <cellStyle name="Percent 9" xfId="355"/>
    <cellStyle name="Percent(1)" xfId="356"/>
    <cellStyle name="Percent(2)" xfId="357"/>
    <cellStyle name="PRM" xfId="358"/>
    <cellStyle name="PRM 2" xfId="359"/>
    <cellStyle name="PRM 3" xfId="360"/>
    <cellStyle name="PRM_2011-11" xfId="361"/>
    <cellStyle name="PS_Comma" xfId="362"/>
    <cellStyle name="PSChar" xfId="363"/>
    <cellStyle name="PSDate" xfId="364"/>
    <cellStyle name="PSDec" xfId="365"/>
    <cellStyle name="PSHeading" xfId="366"/>
    <cellStyle name="PSInt" xfId="367"/>
    <cellStyle name="PSSpacer" xfId="368"/>
    <cellStyle name="STYL0 - Style1" xfId="369"/>
    <cellStyle name="STYL1 - Style2" xfId="370"/>
    <cellStyle name="STYL2 - Style3" xfId="371"/>
    <cellStyle name="STYL3 - Style4" xfId="372"/>
    <cellStyle name="STYL4 - Style5" xfId="373"/>
    <cellStyle name="STYL5 - Style6" xfId="374"/>
    <cellStyle name="STYL6 - Style7" xfId="375"/>
    <cellStyle name="STYL7 - Style8" xfId="376"/>
    <cellStyle name="Style 1" xfId="377"/>
    <cellStyle name="Style 1 2" xfId="378"/>
    <cellStyle name="STYLE1" xfId="379"/>
    <cellStyle name="sub heading" xfId="380"/>
    <cellStyle name="Title 2" xfId="381"/>
    <cellStyle name="Title 3" xfId="382"/>
    <cellStyle name="Total 2" xfId="383"/>
    <cellStyle name="Total 2 2" xfId="384"/>
    <cellStyle name="Total 3" xfId="385"/>
    <cellStyle name="Total 3 2" xfId="386"/>
    <cellStyle name="Warning Text 2" xfId="387"/>
    <cellStyle name="Warning Text 3" xfId="388"/>
    <cellStyle name="WM_STANDARD" xfId="3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sin%20Disposal%20of%20Walla%20Walla/11-15-16%20WUTC%20Rate%20Filing/Items%20sent%20to%20UTC%2011-18-16/Basin%20of%20Walla%20Walla-Rate%20Calculations%2011-18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Calculations"/>
    </sheetNames>
    <sheetDataSet>
      <sheetData sheetId="0">
        <row r="27">
          <cell r="B27">
            <v>175</v>
          </cell>
        </row>
        <row r="49">
          <cell r="C49">
            <v>1.2500000000000011E-3</v>
          </cell>
        </row>
        <row r="52">
          <cell r="G52">
            <v>0.98099999999999998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79"/>
  <sheetViews>
    <sheetView topLeftCell="A55" workbookViewId="0">
      <selection activeCell="K73" sqref="K73"/>
    </sheetView>
  </sheetViews>
  <sheetFormatPr defaultRowHeight="15"/>
  <cols>
    <col min="1" max="1" width="36.28515625" style="3" bestFit="1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200" t="s">
        <v>18</v>
      </c>
      <c r="B1" s="200"/>
      <c r="C1" s="200"/>
      <c r="D1" s="200"/>
      <c r="E1" s="200"/>
      <c r="F1" s="200"/>
      <c r="G1" s="200"/>
      <c r="H1" s="200"/>
    </row>
    <row r="2" spans="1:8">
      <c r="A2" s="3" t="s">
        <v>54</v>
      </c>
      <c r="B2" s="17" t="s">
        <v>40</v>
      </c>
      <c r="C2" s="17" t="s">
        <v>41</v>
      </c>
      <c r="D2" s="17" t="s">
        <v>42</v>
      </c>
      <c r="E2" s="18" t="s">
        <v>45</v>
      </c>
      <c r="F2" s="18" t="s">
        <v>46</v>
      </c>
      <c r="G2" s="18" t="s">
        <v>47</v>
      </c>
      <c r="H2" s="17" t="s">
        <v>50</v>
      </c>
    </row>
    <row r="3" spans="1:8">
      <c r="A3" s="3" t="s">
        <v>51</v>
      </c>
      <c r="B3" s="1">
        <f>52*5/12</f>
        <v>21.666666666666668</v>
      </c>
      <c r="C3" s="19">
        <f>$B$3*2</f>
        <v>43.333333333333336</v>
      </c>
      <c r="D3" s="19">
        <f>$B$3*3</f>
        <v>65</v>
      </c>
      <c r="E3" s="19">
        <f>$B$3*4</f>
        <v>86.666666666666671</v>
      </c>
      <c r="F3" s="19">
        <f>$B$3*5</f>
        <v>108.33333333333334</v>
      </c>
      <c r="G3" s="19">
        <f>$B$3*6</f>
        <v>130</v>
      </c>
      <c r="H3" s="19">
        <f>$B$3*7</f>
        <v>151.66666666666669</v>
      </c>
    </row>
    <row r="4" spans="1:8">
      <c r="A4" s="3" t="s">
        <v>87</v>
      </c>
      <c r="B4" s="1">
        <f>52*4/12</f>
        <v>17.333333333333332</v>
      </c>
      <c r="C4" s="19">
        <f>$B$4*2</f>
        <v>34.666666666666664</v>
      </c>
      <c r="D4" s="19">
        <f>$B$4*3</f>
        <v>52</v>
      </c>
      <c r="E4" s="19">
        <f>$B$4*4</f>
        <v>69.333333333333329</v>
      </c>
      <c r="F4" s="19">
        <f>$B$4*5</f>
        <v>86.666666666666657</v>
      </c>
      <c r="G4" s="19">
        <f>$B$4*6</f>
        <v>104</v>
      </c>
      <c r="H4" s="19">
        <f>$B$4*7</f>
        <v>121.33333333333333</v>
      </c>
    </row>
    <row r="5" spans="1:8">
      <c r="A5" s="3" t="s">
        <v>52</v>
      </c>
      <c r="B5" s="1">
        <f>52*3/12</f>
        <v>13</v>
      </c>
      <c r="C5" s="19">
        <f>$B$5*2</f>
        <v>26</v>
      </c>
      <c r="D5" s="19">
        <f>$B$5*3</f>
        <v>39</v>
      </c>
      <c r="E5" s="19">
        <f>$B$5*4</f>
        <v>52</v>
      </c>
      <c r="F5" s="19">
        <f>$B$5*5</f>
        <v>65</v>
      </c>
      <c r="G5" s="19">
        <f>$B$5*6</f>
        <v>78</v>
      </c>
      <c r="H5" s="19">
        <f>$B$5*7</f>
        <v>91</v>
      </c>
    </row>
    <row r="6" spans="1:8">
      <c r="A6" s="3" t="s">
        <v>53</v>
      </c>
      <c r="B6" s="1">
        <f>52*2/12</f>
        <v>8.6666666666666661</v>
      </c>
      <c r="C6" s="20">
        <f>$B$6*2</f>
        <v>17.333333333333332</v>
      </c>
      <c r="D6" s="20">
        <f>$B$6*3</f>
        <v>26</v>
      </c>
      <c r="E6" s="20">
        <f>$B$6*4</f>
        <v>34.666666666666664</v>
      </c>
      <c r="F6" s="20">
        <f>$B$6*5</f>
        <v>43.333333333333329</v>
      </c>
      <c r="G6" s="20">
        <f>$B$6*6</f>
        <v>52</v>
      </c>
      <c r="H6" s="20">
        <f>$B$6*7</f>
        <v>60.666666666666664</v>
      </c>
    </row>
    <row r="7" spans="1:8">
      <c r="A7" s="3" t="s">
        <v>21</v>
      </c>
      <c r="B7" s="1">
        <f>52/12</f>
        <v>4.333333333333333</v>
      </c>
      <c r="C7" s="20">
        <f>$B$7*2</f>
        <v>8.6666666666666661</v>
      </c>
      <c r="D7" s="20">
        <f>$B$7*3</f>
        <v>13</v>
      </c>
      <c r="E7" s="20">
        <f>$B$7*4</f>
        <v>17.333333333333332</v>
      </c>
      <c r="F7" s="20">
        <f>$B$7*5</f>
        <v>21.666666666666664</v>
      </c>
      <c r="G7" s="20">
        <f>$B$7*6</f>
        <v>26</v>
      </c>
      <c r="H7" s="20">
        <f>$B$7*7</f>
        <v>30.333333333333332</v>
      </c>
    </row>
    <row r="8" spans="1:8">
      <c r="A8" s="3" t="s">
        <v>23</v>
      </c>
      <c r="B8" s="1">
        <f>26/12</f>
        <v>2.1666666666666665</v>
      </c>
      <c r="C8" s="20">
        <f>$B$8*2</f>
        <v>4.333333333333333</v>
      </c>
      <c r="D8" s="20">
        <f>$B$8*3</f>
        <v>6.5</v>
      </c>
      <c r="E8" s="20">
        <f>$B$8*4</f>
        <v>8.6666666666666661</v>
      </c>
      <c r="F8" s="20">
        <f>$B$8*5</f>
        <v>10.833333333333332</v>
      </c>
      <c r="G8" s="20">
        <f>$B$8*6</f>
        <v>13</v>
      </c>
      <c r="H8" s="20">
        <f>$B$8*7</f>
        <v>15.166666666666666</v>
      </c>
    </row>
    <row r="9" spans="1:8">
      <c r="A9" s="3" t="s">
        <v>22</v>
      </c>
      <c r="B9" s="1">
        <f>12/12</f>
        <v>1</v>
      </c>
      <c r="C9" s="20">
        <f>$B$9*2</f>
        <v>2</v>
      </c>
      <c r="D9" s="20">
        <f>$B$9*3</f>
        <v>3</v>
      </c>
      <c r="E9" s="20">
        <f>$B$9*4</f>
        <v>4</v>
      </c>
      <c r="F9" s="20">
        <f>$B$9*5</f>
        <v>5</v>
      </c>
      <c r="G9" s="20">
        <f>$B$9*6</f>
        <v>6</v>
      </c>
      <c r="H9" s="20">
        <f>$B$9*7</f>
        <v>7</v>
      </c>
    </row>
    <row r="10" spans="1:8">
      <c r="B10" s="1"/>
      <c r="C10" s="20"/>
      <c r="D10" s="20"/>
      <c r="E10" s="20"/>
      <c r="F10" s="20"/>
      <c r="G10" s="20"/>
      <c r="H10" s="20"/>
    </row>
    <row r="11" spans="1:8">
      <c r="A11" s="200" t="s">
        <v>10</v>
      </c>
      <c r="B11" s="200"/>
      <c r="C11" s="20"/>
      <c r="D11" s="20"/>
      <c r="E11" s="20"/>
      <c r="F11" s="20"/>
      <c r="G11" s="20"/>
      <c r="H11" s="20"/>
    </row>
    <row r="12" spans="1:8">
      <c r="A12" s="2" t="s">
        <v>49</v>
      </c>
      <c r="B12" s="30" t="s">
        <v>79</v>
      </c>
      <c r="C12" s="20"/>
      <c r="D12" s="20"/>
      <c r="E12" s="20"/>
      <c r="F12" s="20"/>
      <c r="G12" s="20"/>
      <c r="H12" s="20"/>
    </row>
    <row r="13" spans="1:8">
      <c r="A13" s="21" t="s">
        <v>80</v>
      </c>
      <c r="B13" s="13">
        <v>20</v>
      </c>
      <c r="C13" s="20"/>
      <c r="D13" s="20"/>
      <c r="E13" s="20"/>
      <c r="F13" s="20"/>
      <c r="G13" s="20"/>
      <c r="H13" s="20"/>
    </row>
    <row r="14" spans="1:8">
      <c r="A14" s="21" t="s">
        <v>55</v>
      </c>
      <c r="B14" s="13">
        <v>34</v>
      </c>
      <c r="C14" s="20"/>
      <c r="D14" s="20"/>
      <c r="E14" s="20"/>
      <c r="F14" s="20"/>
      <c r="G14" s="20"/>
      <c r="H14" s="20"/>
    </row>
    <row r="15" spans="1:8">
      <c r="A15" s="21" t="s">
        <v>56</v>
      </c>
      <c r="B15" s="13">
        <v>51</v>
      </c>
      <c r="C15" s="20"/>
      <c r="D15" s="20"/>
      <c r="E15" s="20"/>
      <c r="F15" s="20"/>
      <c r="G15" s="20"/>
      <c r="H15" s="20"/>
    </row>
    <row r="16" spans="1:8">
      <c r="A16" s="21" t="s">
        <v>57</v>
      </c>
      <c r="B16" s="13">
        <v>77</v>
      </c>
      <c r="C16" s="20"/>
      <c r="D16" s="20"/>
      <c r="E16" s="20"/>
      <c r="F16" s="3" t="s">
        <v>19</v>
      </c>
      <c r="G16" s="13">
        <v>2000</v>
      </c>
      <c r="H16" s="20"/>
    </row>
    <row r="17" spans="1:8">
      <c r="A17" s="21" t="s">
        <v>58</v>
      </c>
      <c r="B17" s="13">
        <v>97</v>
      </c>
      <c r="C17" s="20"/>
      <c r="D17" s="20"/>
      <c r="E17" s="20"/>
      <c r="F17" s="3" t="s">
        <v>20</v>
      </c>
      <c r="G17" s="22" t="s">
        <v>43</v>
      </c>
      <c r="H17" s="20"/>
    </row>
    <row r="18" spans="1:8">
      <c r="A18" s="21" t="s">
        <v>59</v>
      </c>
      <c r="B18" s="13">
        <v>117</v>
      </c>
      <c r="C18" s="20"/>
      <c r="D18" s="20"/>
      <c r="E18" s="20"/>
      <c r="H18" s="20"/>
    </row>
    <row r="19" spans="1:8">
      <c r="A19" s="21" t="s">
        <v>60</v>
      </c>
      <c r="B19" s="13">
        <v>157</v>
      </c>
      <c r="C19" s="20"/>
      <c r="D19" s="20"/>
      <c r="E19" s="20"/>
      <c r="F19" s="15"/>
      <c r="G19" s="16"/>
      <c r="H19" s="20"/>
    </row>
    <row r="20" spans="1:8">
      <c r="A20" s="21" t="s">
        <v>96</v>
      </c>
      <c r="B20" s="13">
        <v>37</v>
      </c>
      <c r="C20" s="20" t="s">
        <v>81</v>
      </c>
      <c r="D20" s="20"/>
      <c r="E20" s="20"/>
      <c r="F20" s="15"/>
      <c r="G20" s="16"/>
      <c r="H20" s="20"/>
    </row>
    <row r="21" spans="1:8">
      <c r="A21" s="21" t="s">
        <v>61</v>
      </c>
      <c r="B21" s="13">
        <v>47</v>
      </c>
      <c r="C21" s="20"/>
      <c r="D21" s="20"/>
      <c r="E21" s="20"/>
      <c r="F21" s="20"/>
      <c r="G21" s="20"/>
      <c r="H21" s="20"/>
    </row>
    <row r="22" spans="1:8">
      <c r="A22" s="21" t="s">
        <v>62</v>
      </c>
      <c r="B22" s="13">
        <v>68</v>
      </c>
      <c r="C22" s="20"/>
      <c r="D22" s="20"/>
      <c r="E22" s="20"/>
      <c r="F22" s="20"/>
      <c r="G22" s="20"/>
      <c r="H22" s="20"/>
    </row>
    <row r="23" spans="1:8">
      <c r="A23" s="21" t="s">
        <v>63</v>
      </c>
      <c r="B23" s="13">
        <v>34</v>
      </c>
      <c r="C23" s="20"/>
      <c r="D23" s="20"/>
      <c r="E23" s="20"/>
      <c r="F23" s="20"/>
      <c r="G23" s="20"/>
      <c r="H23" s="20"/>
    </row>
    <row r="24" spans="1:8">
      <c r="A24" s="21" t="s">
        <v>31</v>
      </c>
      <c r="B24" s="13">
        <v>34</v>
      </c>
      <c r="C24" s="20"/>
      <c r="D24" s="20"/>
      <c r="E24" s="20"/>
      <c r="F24" s="20"/>
      <c r="G24" s="20"/>
      <c r="H24" s="20"/>
    </row>
    <row r="25" spans="1:8">
      <c r="A25" s="2" t="s">
        <v>64</v>
      </c>
      <c r="B25" s="13"/>
      <c r="C25" s="20"/>
      <c r="D25" s="20"/>
      <c r="E25" s="20"/>
      <c r="F25" s="20"/>
      <c r="G25" s="20"/>
      <c r="H25" s="20"/>
    </row>
    <row r="26" spans="1:8">
      <c r="A26" s="21" t="s">
        <v>65</v>
      </c>
      <c r="B26" s="13">
        <v>29</v>
      </c>
      <c r="C26" s="20"/>
      <c r="D26" s="20"/>
      <c r="E26" s="20"/>
      <c r="F26" s="20"/>
      <c r="G26" s="20"/>
      <c r="H26" s="20"/>
    </row>
    <row r="27" spans="1:8">
      <c r="A27" s="21" t="s">
        <v>66</v>
      </c>
      <c r="B27" s="13">
        <v>175</v>
      </c>
      <c r="C27" s="20"/>
      <c r="D27" s="20"/>
      <c r="E27" s="20"/>
      <c r="F27" s="20"/>
      <c r="G27" s="20"/>
      <c r="H27" s="20"/>
    </row>
    <row r="28" spans="1:8">
      <c r="A28" s="21" t="s">
        <v>67</v>
      </c>
      <c r="B28" s="13">
        <v>250</v>
      </c>
      <c r="C28" s="20"/>
      <c r="D28" s="20"/>
      <c r="E28" s="20"/>
      <c r="F28" s="20"/>
      <c r="G28" s="20"/>
      <c r="H28" s="20"/>
    </row>
    <row r="29" spans="1:8">
      <c r="A29" s="21" t="s">
        <v>68</v>
      </c>
      <c r="B29" s="13">
        <v>324</v>
      </c>
      <c r="C29" s="20"/>
      <c r="D29" s="20"/>
      <c r="E29" s="20"/>
      <c r="F29" s="20"/>
      <c r="G29" s="20"/>
      <c r="H29" s="20"/>
    </row>
    <row r="30" spans="1:8">
      <c r="A30" s="21" t="s">
        <v>69</v>
      </c>
      <c r="B30" s="13">
        <v>473</v>
      </c>
      <c r="C30" s="20"/>
      <c r="D30" s="20"/>
      <c r="E30" s="20"/>
      <c r="F30" s="20"/>
      <c r="G30" s="20"/>
      <c r="H30" s="20"/>
    </row>
    <row r="31" spans="1:8">
      <c r="A31" s="21" t="s">
        <v>70</v>
      </c>
      <c r="B31" s="13">
        <v>613</v>
      </c>
      <c r="C31" s="20"/>
      <c r="D31" s="20"/>
      <c r="E31" s="20"/>
      <c r="F31" s="20"/>
      <c r="G31" s="20"/>
      <c r="H31" s="20"/>
    </row>
    <row r="32" spans="1:8">
      <c r="A32" s="21" t="s">
        <v>71</v>
      </c>
      <c r="B32" s="13">
        <v>840</v>
      </c>
      <c r="C32" s="20"/>
      <c r="D32" s="20"/>
      <c r="E32" s="20"/>
      <c r="F32" s="20"/>
      <c r="G32" s="20"/>
      <c r="H32" s="20"/>
    </row>
    <row r="33" spans="1:8">
      <c r="A33" s="21" t="s">
        <v>72</v>
      </c>
      <c r="B33" s="13">
        <v>980</v>
      </c>
      <c r="C33" s="20"/>
      <c r="D33" s="20"/>
      <c r="E33" s="20"/>
      <c r="F33" s="20"/>
      <c r="G33" s="20"/>
      <c r="H33" s="20"/>
    </row>
    <row r="34" spans="1:8">
      <c r="A34" s="21" t="s">
        <v>88</v>
      </c>
      <c r="B34" s="13">
        <v>482</v>
      </c>
      <c r="C34" s="20" t="s">
        <v>81</v>
      </c>
      <c r="D34" s="20"/>
      <c r="E34" s="20"/>
      <c r="F34" s="20"/>
      <c r="G34" s="20"/>
      <c r="H34" s="20"/>
    </row>
    <row r="35" spans="1:8">
      <c r="A35" s="21" t="s">
        <v>89</v>
      </c>
      <c r="B35" s="13">
        <v>689</v>
      </c>
      <c r="C35" s="20" t="s">
        <v>81</v>
      </c>
      <c r="D35" s="20"/>
      <c r="E35" s="20"/>
      <c r="F35" s="20"/>
      <c r="G35" s="20"/>
      <c r="H35" s="20"/>
    </row>
    <row r="36" spans="1:8">
      <c r="A36" s="21" t="s">
        <v>74</v>
      </c>
      <c r="B36" s="13">
        <v>892</v>
      </c>
      <c r="C36" s="20" t="s">
        <v>81</v>
      </c>
      <c r="D36" s="20"/>
      <c r="E36" s="20"/>
      <c r="F36" s="20"/>
      <c r="G36" s="20"/>
      <c r="H36" s="20"/>
    </row>
    <row r="37" spans="1:8">
      <c r="A37" s="21" t="s">
        <v>73</v>
      </c>
      <c r="B37" s="13">
        <v>1301</v>
      </c>
      <c r="C37" s="20"/>
      <c r="D37" s="20"/>
      <c r="E37" s="20"/>
      <c r="F37" s="20"/>
      <c r="G37" s="20"/>
      <c r="H37" s="20"/>
    </row>
    <row r="38" spans="1:8">
      <c r="A38" s="21" t="s">
        <v>75</v>
      </c>
      <c r="B38" s="13">
        <v>1686</v>
      </c>
      <c r="C38" s="20"/>
      <c r="D38" s="20"/>
      <c r="E38" s="20"/>
      <c r="F38" s="20"/>
      <c r="G38" s="20"/>
      <c r="H38" s="20"/>
    </row>
    <row r="39" spans="1:8">
      <c r="A39" s="21" t="s">
        <v>76</v>
      </c>
      <c r="B39" s="13">
        <v>2046</v>
      </c>
      <c r="C39" s="20"/>
      <c r="D39" s="20"/>
      <c r="E39" s="20"/>
      <c r="F39" s="20"/>
      <c r="G39" s="20"/>
      <c r="H39" s="20"/>
    </row>
    <row r="40" spans="1:8">
      <c r="A40" s="21" t="s">
        <v>77</v>
      </c>
      <c r="B40" s="13">
        <v>2310</v>
      </c>
      <c r="C40" s="20"/>
      <c r="D40" s="20"/>
      <c r="E40" s="20"/>
      <c r="F40" s="20"/>
      <c r="G40" s="20"/>
      <c r="H40" s="20"/>
    </row>
    <row r="41" spans="1:8">
      <c r="A41" s="21" t="s">
        <v>90</v>
      </c>
      <c r="B41" s="13">
        <v>2800</v>
      </c>
      <c r="C41" s="20" t="s">
        <v>81</v>
      </c>
      <c r="D41" s="20"/>
      <c r="E41" s="20"/>
      <c r="F41" s="20"/>
      <c r="G41" s="20"/>
      <c r="H41" s="20"/>
    </row>
    <row r="42" spans="1:8">
      <c r="A42" s="21" t="s">
        <v>78</v>
      </c>
      <c r="B42" s="13">
        <v>125</v>
      </c>
      <c r="C42" s="20"/>
      <c r="D42" s="20"/>
      <c r="E42" s="20"/>
      <c r="F42" s="20"/>
      <c r="G42" s="20"/>
      <c r="H42" s="20"/>
    </row>
    <row r="43" spans="1:8">
      <c r="B43" s="202" t="s">
        <v>92</v>
      </c>
      <c r="C43" s="202"/>
    </row>
    <row r="46" spans="1:8">
      <c r="A46" s="29" t="s">
        <v>183</v>
      </c>
      <c r="B46" s="27" t="s">
        <v>5</v>
      </c>
      <c r="C46" s="27" t="s">
        <v>6</v>
      </c>
      <c r="F46" s="201" t="s">
        <v>26</v>
      </c>
      <c r="G46" s="201"/>
    </row>
    <row r="47" spans="1:8">
      <c r="A47" s="23" t="s">
        <v>7</v>
      </c>
      <c r="B47" s="6">
        <v>85.3</v>
      </c>
      <c r="C47" s="5">
        <f>B47/2000</f>
        <v>4.265E-2</v>
      </c>
      <c r="D47" s="178">
        <f>+B48/B47</f>
        <v>1.0527549824150058</v>
      </c>
      <c r="F47" s="3" t="s">
        <v>27</v>
      </c>
      <c r="G47" s="9">
        <f>0.015</f>
        <v>1.4999999999999999E-2</v>
      </c>
    </row>
    <row r="48" spans="1:8">
      <c r="A48" s="23" t="s">
        <v>8</v>
      </c>
      <c r="B48" s="7">
        <v>89.8</v>
      </c>
      <c r="C48" s="8">
        <f>B48/2000</f>
        <v>4.4899999999999995E-2</v>
      </c>
      <c r="F48" s="3" t="s">
        <v>28</v>
      </c>
      <c r="G48" s="10">
        <f>0.004</f>
        <v>4.0000000000000001E-3</v>
      </c>
    </row>
    <row r="49" spans="1:7">
      <c r="A49" s="21" t="s">
        <v>9</v>
      </c>
      <c r="B49" s="6">
        <f>B48-B47</f>
        <v>4.5</v>
      </c>
      <c r="C49" s="12">
        <f>C48-C47</f>
        <v>2.2499999999999951E-3</v>
      </c>
      <c r="F49" s="3" t="s">
        <v>48</v>
      </c>
      <c r="G49" s="11"/>
    </row>
    <row r="50" spans="1:7">
      <c r="F50" s="3" t="s">
        <v>16</v>
      </c>
      <c r="G50" s="24">
        <f>SUM(G47:G49)</f>
        <v>1.9E-2</v>
      </c>
    </row>
    <row r="51" spans="1:7">
      <c r="B51" s="28" t="s">
        <v>93</v>
      </c>
    </row>
    <row r="52" spans="1:7">
      <c r="A52" s="3" t="s">
        <v>3</v>
      </c>
      <c r="B52" s="25">
        <f>B49</f>
        <v>4.5</v>
      </c>
      <c r="F52" s="3" t="s">
        <v>29</v>
      </c>
      <c r="G52" s="26">
        <f>1-G50</f>
        <v>0.98099999999999998</v>
      </c>
    </row>
    <row r="53" spans="1:7">
      <c r="A53" s="3" t="s">
        <v>25</v>
      </c>
      <c r="B53" s="25">
        <f>B52/$G$52</f>
        <v>4.5871559633027523</v>
      </c>
      <c r="C53" s="175"/>
    </row>
    <row r="54" spans="1:7">
      <c r="A54" s="3" t="s">
        <v>24</v>
      </c>
      <c r="B54" s="14">
        <f>Calculations!D118</f>
        <v>7564</v>
      </c>
    </row>
    <row r="55" spans="1:7">
      <c r="A55" s="2" t="s">
        <v>30</v>
      </c>
      <c r="B55" s="4">
        <f>B53*B54</f>
        <v>34697.247706422022</v>
      </c>
    </row>
    <row r="58" spans="1:7" ht="15.75" thickBot="1"/>
    <row r="59" spans="1:7">
      <c r="A59" s="93" t="s">
        <v>84</v>
      </c>
      <c r="B59" s="94" t="s">
        <v>82</v>
      </c>
      <c r="D59" s="25"/>
    </row>
    <row r="60" spans="1:7">
      <c r="A60" s="95" t="s">
        <v>83</v>
      </c>
      <c r="B60" s="96">
        <f>+Calculations!Q52</f>
        <v>34697.247706421913</v>
      </c>
    </row>
    <row r="61" spans="1:7">
      <c r="A61" s="95" t="s">
        <v>12</v>
      </c>
      <c r="B61" s="96">
        <f>B60-B55</f>
        <v>-1.0913936421275139E-10</v>
      </c>
    </row>
    <row r="62" spans="1:7">
      <c r="A62" s="95"/>
      <c r="B62" s="97"/>
    </row>
    <row r="63" spans="1:7">
      <c r="A63" s="98" t="s">
        <v>85</v>
      </c>
      <c r="B63" s="99" t="s">
        <v>82</v>
      </c>
    </row>
    <row r="64" spans="1:7">
      <c r="A64" s="95" t="s">
        <v>44</v>
      </c>
      <c r="B64" s="100">
        <f>Calculations!Q52</f>
        <v>34697.247706421913</v>
      </c>
    </row>
    <row r="65" spans="1:7" ht="15.75" thickBot="1">
      <c r="A65" s="101" t="s">
        <v>12</v>
      </c>
      <c r="B65" s="102">
        <f>B64-B55</f>
        <v>-1.0913936421275139E-10</v>
      </c>
      <c r="C65" s="25">
        <f>B61-B65</f>
        <v>0</v>
      </c>
    </row>
    <row r="69" spans="1:7">
      <c r="A69" s="190" t="s">
        <v>205</v>
      </c>
      <c r="B69" s="190"/>
      <c r="C69" s="190"/>
      <c r="D69" s="190"/>
      <c r="E69" s="190"/>
      <c r="F69" s="190"/>
      <c r="G69" s="190"/>
    </row>
    <row r="70" spans="1:7">
      <c r="A70" s="181" t="s">
        <v>183</v>
      </c>
      <c r="B70" s="181" t="s">
        <v>5</v>
      </c>
      <c r="C70" s="181" t="s">
        <v>6</v>
      </c>
      <c r="D70" s="190"/>
      <c r="E70" s="190"/>
      <c r="F70" s="203" t="s">
        <v>26</v>
      </c>
      <c r="G70" s="203"/>
    </row>
    <row r="71" spans="1:7">
      <c r="A71" s="190" t="s">
        <v>7</v>
      </c>
      <c r="B71" s="191">
        <v>85.3</v>
      </c>
      <c r="C71" s="192">
        <f>B71/2000</f>
        <v>4.265E-2</v>
      </c>
      <c r="D71" s="190"/>
      <c r="E71" s="190"/>
      <c r="F71" s="190" t="s">
        <v>27</v>
      </c>
      <c r="G71" s="190">
        <v>1.4999999999999999E-2</v>
      </c>
    </row>
    <row r="72" spans="1:7">
      <c r="A72" s="190" t="s">
        <v>8</v>
      </c>
      <c r="B72" s="191">
        <v>89.8</v>
      </c>
      <c r="C72" s="192">
        <f>B72/2000</f>
        <v>4.4899999999999995E-2</v>
      </c>
      <c r="D72" s="190"/>
      <c r="E72" s="190"/>
      <c r="F72" s="190" t="s">
        <v>28</v>
      </c>
      <c r="G72" s="190">
        <v>5.1000000000000004E-3</v>
      </c>
    </row>
    <row r="73" spans="1:7">
      <c r="A73" s="193" t="s">
        <v>9</v>
      </c>
      <c r="B73" s="194">
        <f>B72-B71</f>
        <v>4.5</v>
      </c>
      <c r="C73" s="195">
        <f>C72-C71</f>
        <v>2.2499999999999951E-3</v>
      </c>
      <c r="D73" s="190"/>
      <c r="E73" s="190"/>
      <c r="F73" s="190" t="s">
        <v>48</v>
      </c>
      <c r="G73" s="190">
        <v>0</v>
      </c>
    </row>
    <row r="74" spans="1:7">
      <c r="A74" s="190"/>
      <c r="B74" s="190"/>
      <c r="C74" s="190"/>
      <c r="D74" s="190"/>
      <c r="E74" s="190"/>
      <c r="F74" s="193" t="s">
        <v>16</v>
      </c>
      <c r="G74" s="193">
        <f>SUM(G71:G73)</f>
        <v>2.01E-2</v>
      </c>
    </row>
    <row r="75" spans="1:7">
      <c r="A75" s="190"/>
      <c r="B75" s="190"/>
      <c r="C75" s="190"/>
      <c r="D75" s="190"/>
      <c r="E75" s="190"/>
      <c r="F75" s="190"/>
      <c r="G75" s="190"/>
    </row>
    <row r="76" spans="1:7">
      <c r="A76" s="190" t="s">
        <v>3</v>
      </c>
      <c r="B76" s="196">
        <f>B73</f>
        <v>4.5</v>
      </c>
      <c r="C76" s="190"/>
      <c r="D76" s="190"/>
      <c r="E76" s="190"/>
      <c r="F76" s="190" t="s">
        <v>29</v>
      </c>
      <c r="G76" s="190">
        <f>1-G74</f>
        <v>0.97989999999999999</v>
      </c>
    </row>
    <row r="77" spans="1:7">
      <c r="A77" s="190" t="s">
        <v>25</v>
      </c>
      <c r="B77" s="196">
        <f>B76/G76</f>
        <v>4.5923053372793143</v>
      </c>
      <c r="C77" s="190"/>
      <c r="D77" s="190"/>
      <c r="E77" s="190"/>
      <c r="F77" s="190"/>
      <c r="G77" s="190"/>
    </row>
    <row r="78" spans="1:7">
      <c r="A78" s="190" t="s">
        <v>24</v>
      </c>
      <c r="B78" s="190">
        <f>'Staff Calculation'!D79</f>
        <v>6618.43</v>
      </c>
      <c r="C78" s="190"/>
      <c r="D78" s="190"/>
      <c r="E78" s="190"/>
      <c r="F78" s="190"/>
      <c r="G78" s="190"/>
    </row>
    <row r="79" spans="1:7">
      <c r="A79" s="190" t="s">
        <v>30</v>
      </c>
      <c r="B79" s="196">
        <f>B78*B77</f>
        <v>30393.851413409535</v>
      </c>
      <c r="C79" s="190"/>
      <c r="D79" s="190"/>
      <c r="E79" s="190"/>
      <c r="F79" s="190"/>
      <c r="G79" s="190"/>
    </row>
  </sheetData>
  <mergeCells count="5">
    <mergeCell ref="A1:H1"/>
    <mergeCell ref="F46:G46"/>
    <mergeCell ref="A11:B11"/>
    <mergeCell ref="B43:C43"/>
    <mergeCell ref="F70:G70"/>
  </mergeCells>
  <phoneticPr fontId="0" type="noConversion"/>
  <pageMargins left="0.28000000000000003" right="0.52" top="0.75" bottom="0.75" header="0.3" footer="0.3"/>
  <pageSetup scale="72" orientation="portrait" r:id="rId1"/>
  <headerFooter>
    <oddHeader>&amp;C&amp;"-,Bold"&amp;12Basin Disposal of Walla Walla 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29"/>
  <sheetViews>
    <sheetView zoomScaleNormal="10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M6" sqref="M6"/>
    </sheetView>
  </sheetViews>
  <sheetFormatPr defaultColWidth="8.85546875" defaultRowHeight="15"/>
  <cols>
    <col min="1" max="1" width="4.5703125" style="57" customWidth="1"/>
    <col min="2" max="2" width="17.7109375" style="61" customWidth="1"/>
    <col min="3" max="3" width="35.5703125" style="57" bestFit="1" customWidth="1"/>
    <col min="4" max="4" width="18.85546875" style="58" bestFit="1" customWidth="1"/>
    <col min="5" max="5" width="10.42578125" style="57" bestFit="1" customWidth="1"/>
    <col min="6" max="6" width="15.85546875" style="57" customWidth="1"/>
    <col min="7" max="7" width="15.140625" style="57" customWidth="1"/>
    <col min="8" max="8" width="21.42578125" style="57" customWidth="1"/>
    <col min="9" max="9" width="16.28515625" style="56" customWidth="1"/>
    <col min="10" max="11" width="14.140625" style="57" customWidth="1"/>
    <col min="12" max="12" width="10.7109375" style="57" customWidth="1"/>
    <col min="13" max="13" width="16.5703125" style="57" customWidth="1"/>
    <col min="14" max="14" width="15.42578125" style="57" customWidth="1"/>
    <col min="15" max="17" width="19.28515625" style="57" customWidth="1"/>
    <col min="18" max="19" width="8.85546875" style="57"/>
    <col min="20" max="20" width="12" style="57" bestFit="1" customWidth="1"/>
    <col min="21" max="21" width="11.140625" style="57" bestFit="1" customWidth="1"/>
    <col min="22" max="16384" width="8.85546875" style="57"/>
  </cols>
  <sheetData>
    <row r="1" spans="1:21" ht="30">
      <c r="A1" s="29"/>
      <c r="B1" s="83" t="s">
        <v>15</v>
      </c>
      <c r="C1" s="84" t="s">
        <v>17</v>
      </c>
      <c r="D1" s="83" t="s">
        <v>37</v>
      </c>
      <c r="E1" s="83" t="s">
        <v>0</v>
      </c>
      <c r="F1" s="29" t="s">
        <v>1</v>
      </c>
      <c r="G1" s="83" t="s">
        <v>10</v>
      </c>
      <c r="H1" s="83" t="s">
        <v>34</v>
      </c>
      <c r="I1" s="110" t="s">
        <v>35</v>
      </c>
      <c r="J1" s="108" t="s">
        <v>9</v>
      </c>
      <c r="K1" s="83" t="s">
        <v>2</v>
      </c>
      <c r="L1" s="83" t="s">
        <v>38</v>
      </c>
      <c r="M1" s="83" t="s">
        <v>181</v>
      </c>
      <c r="N1" s="83" t="s">
        <v>180</v>
      </c>
      <c r="O1" s="83" t="s">
        <v>36</v>
      </c>
      <c r="P1" s="83" t="s">
        <v>182</v>
      </c>
      <c r="Q1" s="83" t="s">
        <v>39</v>
      </c>
      <c r="T1" s="42"/>
    </row>
    <row r="2" spans="1:21" s="59" customFormat="1" ht="15" customHeight="1">
      <c r="A2" s="206" t="s">
        <v>13</v>
      </c>
      <c r="B2" s="114">
        <v>20</v>
      </c>
      <c r="C2" s="43" t="s">
        <v>99</v>
      </c>
      <c r="D2" s="159">
        <v>1388</v>
      </c>
      <c r="E2" s="69">
        <f>References!$B$7</f>
        <v>4.333333333333333</v>
      </c>
      <c r="F2" s="68">
        <f>D2*E2*12</f>
        <v>72176</v>
      </c>
      <c r="G2" s="145">
        <f>References!B21</f>
        <v>47</v>
      </c>
      <c r="H2" s="70">
        <f>F2*G2</f>
        <v>3392272</v>
      </c>
      <c r="I2" s="109">
        <f t="shared" ref="I2:I8" si="0">$D$121*H2</f>
        <v>3204022.7443243922</v>
      </c>
      <c r="J2" s="72">
        <f>(References!$C$49*I2)</f>
        <v>7209.0511747298669</v>
      </c>
      <c r="K2" s="72">
        <f>J2/References!$G$52</f>
        <v>7348.676019092627</v>
      </c>
      <c r="L2" s="67">
        <f>IFERROR(K2/F2*E2,0)</f>
        <v>0.44120293102141128</v>
      </c>
      <c r="M2" s="162">
        <v>20.76</v>
      </c>
      <c r="N2" s="155">
        <f>L2+M2</f>
        <v>21.201202931021413</v>
      </c>
      <c r="O2" s="67">
        <f>D2*M2*12</f>
        <v>345778.56</v>
      </c>
      <c r="P2" s="67">
        <f>D2*N2*12</f>
        <v>353127.23601909267</v>
      </c>
      <c r="Q2" s="71">
        <f>+P2-O2</f>
        <v>7348.6760190926725</v>
      </c>
      <c r="S2" s="174"/>
    </row>
    <row r="3" spans="1:21" s="59" customFormat="1">
      <c r="A3" s="205"/>
      <c r="B3" s="114">
        <v>20</v>
      </c>
      <c r="C3" s="43" t="s">
        <v>100</v>
      </c>
      <c r="D3" s="159">
        <v>181</v>
      </c>
      <c r="E3" s="69">
        <f>References!$B$7</f>
        <v>4.333333333333333</v>
      </c>
      <c r="F3" s="68">
        <f t="shared" ref="F3:F6" si="1">D3*E3*12</f>
        <v>9412</v>
      </c>
      <c r="G3" s="145">
        <f>References!B14</f>
        <v>34</v>
      </c>
      <c r="H3" s="68">
        <f t="shared" ref="H3:H8" si="2">F3*G3</f>
        <v>320008</v>
      </c>
      <c r="I3" s="45">
        <f t="shared" si="0"/>
        <v>302249.61629425944</v>
      </c>
      <c r="J3" s="67">
        <f>(References!$C$49*I3)</f>
        <v>680.06163666208226</v>
      </c>
      <c r="K3" s="67">
        <f>J3/References!$G$52</f>
        <v>693.233064895089</v>
      </c>
      <c r="L3" s="67">
        <f t="shared" ref="L3:L6" si="3">IFERROR(K3/F3*E3,0)</f>
        <v>0.31916807776016987</v>
      </c>
      <c r="M3" s="162">
        <v>15.71</v>
      </c>
      <c r="N3" s="156">
        <f>L3+M3</f>
        <v>16.029168077760172</v>
      </c>
      <c r="O3" s="67">
        <f>D3*M3*12</f>
        <v>34122.120000000003</v>
      </c>
      <c r="P3" s="67">
        <f>D3*N3*12</f>
        <v>34815.353064895091</v>
      </c>
      <c r="Q3" s="71">
        <f t="shared" ref="Q3:Q9" si="4">+P3-O3</f>
        <v>693.23306489508832</v>
      </c>
      <c r="S3" s="174"/>
    </row>
    <row r="4" spans="1:21" s="59" customFormat="1">
      <c r="A4" s="205"/>
      <c r="B4" s="114">
        <v>20</v>
      </c>
      <c r="C4" s="43" t="s">
        <v>101</v>
      </c>
      <c r="D4" s="159">
        <v>9</v>
      </c>
      <c r="E4" s="69">
        <f>References!$B$9</f>
        <v>1</v>
      </c>
      <c r="F4" s="68">
        <f t="shared" si="1"/>
        <v>108</v>
      </c>
      <c r="G4" s="145">
        <f>References!B21</f>
        <v>47</v>
      </c>
      <c r="H4" s="68">
        <f t="shared" si="2"/>
        <v>5076</v>
      </c>
      <c r="I4" s="45">
        <f t="shared" si="0"/>
        <v>4794.3146806006762</v>
      </c>
      <c r="J4" s="67">
        <f>(References!$C$49*I4)</f>
        <v>10.787208031351497</v>
      </c>
      <c r="K4" s="67">
        <f>J4/References!$G$52</f>
        <v>10.996134588533636</v>
      </c>
      <c r="L4" s="67">
        <f t="shared" si="3"/>
        <v>0.10181606100494107</v>
      </c>
      <c r="M4" s="162">
        <v>5.96</v>
      </c>
      <c r="N4" s="156">
        <f t="shared" ref="N4:N39" si="5">L4+M4</f>
        <v>6.061816061004941</v>
      </c>
      <c r="O4" s="67">
        <f>D4*M4*12</f>
        <v>643.68000000000006</v>
      </c>
      <c r="P4" s="67">
        <f>D4*N4*12</f>
        <v>654.67613458853361</v>
      </c>
      <c r="Q4" s="71">
        <f t="shared" si="4"/>
        <v>10.99613458853355</v>
      </c>
      <c r="S4" s="174"/>
    </row>
    <row r="5" spans="1:21" s="59" customFormat="1">
      <c r="A5" s="205"/>
      <c r="B5" s="114">
        <v>20</v>
      </c>
      <c r="C5" s="43" t="s">
        <v>102</v>
      </c>
      <c r="D5" s="159">
        <v>28</v>
      </c>
      <c r="E5" s="69">
        <f>References!$B$9</f>
        <v>1</v>
      </c>
      <c r="F5" s="68">
        <f t="shared" si="1"/>
        <v>336</v>
      </c>
      <c r="G5" s="145">
        <f>References!B22</f>
        <v>68</v>
      </c>
      <c r="H5" s="68">
        <f t="shared" si="2"/>
        <v>22848</v>
      </c>
      <c r="I5" s="45">
        <f t="shared" si="0"/>
        <v>21580.083101332591</v>
      </c>
      <c r="J5" s="67">
        <f>(References!$C$49*I5)</f>
        <v>48.555186977998225</v>
      </c>
      <c r="K5" s="67">
        <f>J5/References!$G$52</f>
        <v>49.495603443423271</v>
      </c>
      <c r="L5" s="67">
        <f t="shared" si="3"/>
        <v>0.14730834358161687</v>
      </c>
      <c r="M5" s="162">
        <v>6.17</v>
      </c>
      <c r="N5" s="156">
        <f>L5+M5</f>
        <v>6.3173083435816171</v>
      </c>
      <c r="O5" s="67">
        <f>D5*M5*12</f>
        <v>2073.12</v>
      </c>
      <c r="P5" s="67">
        <f>D5*N5*12</f>
        <v>2122.6156034434234</v>
      </c>
      <c r="Q5" s="71">
        <f t="shared" si="4"/>
        <v>49.495603443423533</v>
      </c>
      <c r="S5" s="174"/>
    </row>
    <row r="6" spans="1:21" s="59" customFormat="1">
      <c r="A6" s="205"/>
      <c r="B6" s="114">
        <v>20</v>
      </c>
      <c r="C6" s="43" t="s">
        <v>103</v>
      </c>
      <c r="D6" s="159">
        <v>2725</v>
      </c>
      <c r="E6" s="69">
        <f>References!$B$7</f>
        <v>4.333333333333333</v>
      </c>
      <c r="F6" s="68">
        <f t="shared" si="1"/>
        <v>141700</v>
      </c>
      <c r="G6" s="145">
        <f>References!B22</f>
        <v>68</v>
      </c>
      <c r="H6" s="68">
        <f t="shared" si="2"/>
        <v>9635600</v>
      </c>
      <c r="I6" s="45">
        <f t="shared" si="0"/>
        <v>9100886.2364846077</v>
      </c>
      <c r="J6" s="67">
        <f>(References!$C$49*I6)</f>
        <v>20476.994032090322</v>
      </c>
      <c r="K6" s="67">
        <f>J6/References!$G$52</f>
        <v>20873.592285515111</v>
      </c>
      <c r="L6" s="67">
        <f t="shared" si="3"/>
        <v>0.63833615552033973</v>
      </c>
      <c r="M6" s="162">
        <v>26.11</v>
      </c>
      <c r="N6" s="156">
        <f t="shared" si="5"/>
        <v>26.748336155520338</v>
      </c>
      <c r="O6" s="67">
        <f>D6*M6*12</f>
        <v>853797</v>
      </c>
      <c r="P6" s="67">
        <f>D6*N6*12</f>
        <v>874670.59228551504</v>
      </c>
      <c r="Q6" s="71">
        <f t="shared" si="4"/>
        <v>20873.592285515042</v>
      </c>
      <c r="S6" s="174"/>
    </row>
    <row r="7" spans="1:21" s="59" customFormat="1">
      <c r="A7" s="205"/>
      <c r="B7" s="46" t="s">
        <v>104</v>
      </c>
      <c r="C7" s="137" t="s">
        <v>108</v>
      </c>
      <c r="D7" s="68"/>
      <c r="E7" s="69"/>
      <c r="F7" s="159">
        <v>1830</v>
      </c>
      <c r="G7" s="68">
        <f>References!B24</f>
        <v>34</v>
      </c>
      <c r="H7" s="106">
        <f t="shared" si="2"/>
        <v>62220</v>
      </c>
      <c r="I7" s="45">
        <f t="shared" si="0"/>
        <v>58767.190588450365</v>
      </c>
      <c r="J7" s="67">
        <f>(References!$C$49*I7)</f>
        <v>132.22617882401303</v>
      </c>
      <c r="K7" s="67">
        <f>J7/References!$G$52</f>
        <v>134.78713437717946</v>
      </c>
      <c r="L7" s="67">
        <f t="shared" ref="L7:L8" si="6">IFERROR(K7/F7,0)</f>
        <v>7.3654171790808451E-2</v>
      </c>
      <c r="M7" s="163">
        <v>2.4877901586875883</v>
      </c>
      <c r="N7" s="156">
        <f>L7+M7</f>
        <v>2.5614443304783969</v>
      </c>
      <c r="O7" s="67">
        <f>F7*M7</f>
        <v>4552.655990398287</v>
      </c>
      <c r="P7" s="67">
        <f>F7*N7</f>
        <v>4687.4431247754665</v>
      </c>
      <c r="Q7" s="71">
        <f t="shared" ref="Q7:Q8" si="7">+P7-O7</f>
        <v>134.78713437717943</v>
      </c>
      <c r="S7" s="174"/>
    </row>
    <row r="8" spans="1:21" s="59" customFormat="1">
      <c r="A8" s="205"/>
      <c r="B8" s="46">
        <v>21</v>
      </c>
      <c r="C8" s="59" t="s">
        <v>109</v>
      </c>
      <c r="D8" s="68"/>
      <c r="E8" s="69"/>
      <c r="F8" s="159">
        <v>76</v>
      </c>
      <c r="G8" s="68">
        <f>References!B42</f>
        <v>125</v>
      </c>
      <c r="H8" s="106">
        <f t="shared" si="2"/>
        <v>9500</v>
      </c>
      <c r="I8" s="45">
        <f t="shared" si="0"/>
        <v>8972.8111634567413</v>
      </c>
      <c r="J8" s="67">
        <f>(References!$C$49*I8)</f>
        <v>20.188825117777622</v>
      </c>
      <c r="K8" s="67">
        <f>J8/References!$G$52</f>
        <v>20.579842118020004</v>
      </c>
      <c r="L8" s="67">
        <f t="shared" si="6"/>
        <v>0.27078739628973691</v>
      </c>
      <c r="M8" s="163">
        <v>9.8921697010573091</v>
      </c>
      <c r="N8" s="156">
        <f>L8+M8</f>
        <v>10.162957097347046</v>
      </c>
      <c r="O8" s="67">
        <f>F8*M8</f>
        <v>751.80489728035548</v>
      </c>
      <c r="P8" s="67">
        <f>F8*N8</f>
        <v>772.38473939837559</v>
      </c>
      <c r="Q8" s="71">
        <f t="shared" si="7"/>
        <v>20.57984211802011</v>
      </c>
      <c r="S8" s="174"/>
      <c r="U8" s="176"/>
    </row>
    <row r="9" spans="1:21" s="59" customFormat="1">
      <c r="A9" s="205"/>
      <c r="B9" s="114"/>
      <c r="C9" s="63" t="s">
        <v>124</v>
      </c>
      <c r="D9" s="115"/>
      <c r="E9" s="69"/>
      <c r="F9" s="68"/>
      <c r="G9" s="145"/>
      <c r="H9" s="68"/>
      <c r="I9" s="45"/>
      <c r="J9" s="67"/>
      <c r="K9" s="67"/>
      <c r="L9" s="67"/>
      <c r="M9" s="118"/>
      <c r="N9" s="118"/>
      <c r="O9" s="67"/>
      <c r="P9" s="67"/>
      <c r="Q9" s="71">
        <f t="shared" si="4"/>
        <v>0</v>
      </c>
      <c r="S9" s="174"/>
    </row>
    <row r="10" spans="1:21" s="59" customFormat="1">
      <c r="A10" s="205"/>
      <c r="B10" s="114">
        <v>20</v>
      </c>
      <c r="C10" s="105" t="s">
        <v>176</v>
      </c>
      <c r="D10" s="159">
        <v>1</v>
      </c>
      <c r="E10" s="69">
        <f>References!$B$7</f>
        <v>4.333333333333333</v>
      </c>
      <c r="F10" s="68">
        <f t="shared" ref="F10" si="8">E10*12</f>
        <v>52</v>
      </c>
      <c r="G10" s="145">
        <f>References!B22</f>
        <v>68</v>
      </c>
      <c r="H10" s="68">
        <f t="shared" ref="H10" si="9">F10*G10</f>
        <v>3536</v>
      </c>
      <c r="I10" s="45">
        <f>$D$121*H10</f>
        <v>3339.7747656824249</v>
      </c>
      <c r="J10" s="67">
        <f>(References!$C$49*I10)</f>
        <v>7.5144932227854397</v>
      </c>
      <c r="K10" s="67">
        <f>J10/References!$G$52</f>
        <v>7.6600338662440777</v>
      </c>
      <c r="L10" s="67">
        <f t="shared" ref="L10" si="10">IFERROR(K10/F10*E10,0)</f>
        <v>0.63833615552033973</v>
      </c>
      <c r="M10" s="163">
        <v>21.890848041959099</v>
      </c>
      <c r="N10" s="156">
        <f t="shared" si="5"/>
        <v>22.529184197479438</v>
      </c>
      <c r="O10" s="67">
        <f>D10*M10*12</f>
        <v>262.69017650350918</v>
      </c>
      <c r="P10" s="67">
        <f>D10*N10*12</f>
        <v>270.35021036975326</v>
      </c>
      <c r="Q10" s="71">
        <f t="shared" ref="Q10" si="11">+P10-O10</f>
        <v>7.6600338662440777</v>
      </c>
      <c r="S10" s="174"/>
    </row>
    <row r="11" spans="1:21" s="59" customFormat="1">
      <c r="A11" s="205"/>
      <c r="B11" s="46"/>
      <c r="C11" s="119"/>
      <c r="D11" s="120"/>
      <c r="E11" s="113"/>
      <c r="F11" s="68"/>
      <c r="G11" s="117"/>
      <c r="H11" s="68"/>
      <c r="I11" s="45"/>
      <c r="J11" s="67"/>
      <c r="K11" s="67"/>
      <c r="L11" s="67"/>
      <c r="M11" s="118"/>
      <c r="N11" s="118"/>
      <c r="O11" s="67"/>
      <c r="P11" s="67"/>
      <c r="Q11" s="71"/>
      <c r="S11" s="174"/>
    </row>
    <row r="12" spans="1:21" s="59" customFormat="1">
      <c r="A12" s="47"/>
      <c r="B12" s="85"/>
      <c r="C12" s="48" t="s">
        <v>16</v>
      </c>
      <c r="D12" s="49">
        <f>SUM(D2:D11)</f>
        <v>4332</v>
      </c>
      <c r="E12" s="50"/>
      <c r="F12" s="51">
        <f>SUM(F2:F11)</f>
        <v>225690</v>
      </c>
      <c r="G12" s="52"/>
      <c r="H12" s="86">
        <f>SUM(H2:H11)</f>
        <v>13451060</v>
      </c>
      <c r="I12" s="53">
        <f>SUM(I2:I11)</f>
        <v>12704612.771402784</v>
      </c>
      <c r="J12" s="74"/>
      <c r="K12" s="74"/>
      <c r="L12" s="74"/>
      <c r="M12" s="74"/>
      <c r="N12" s="74"/>
      <c r="O12" s="73">
        <f>SUM(O2:O11)</f>
        <v>1241981.6310641821</v>
      </c>
      <c r="P12" s="73">
        <f>SUM(P2:P11)</f>
        <v>1271120.6511820785</v>
      </c>
      <c r="Q12" s="73">
        <f>SUM(Q2:Q11)</f>
        <v>29139.020117896202</v>
      </c>
      <c r="S12" s="174"/>
    </row>
    <row r="13" spans="1:21" s="59" customFormat="1">
      <c r="A13" s="205"/>
      <c r="B13" s="46" t="s">
        <v>187</v>
      </c>
      <c r="C13" s="121" t="s">
        <v>106</v>
      </c>
      <c r="D13" s="56"/>
      <c r="E13" s="69"/>
      <c r="F13" s="160">
        <v>224</v>
      </c>
      <c r="G13" s="145">
        <f>References!B21</f>
        <v>47</v>
      </c>
      <c r="H13" s="106">
        <f t="shared" ref="H13:H35" si="12">F13*G13</f>
        <v>10528</v>
      </c>
      <c r="I13" s="45">
        <f>$D$121*H13</f>
        <v>9943.7637819865868</v>
      </c>
      <c r="J13" s="67">
        <f>(References!$C$49*I13)</f>
        <v>22.37346850946977</v>
      </c>
      <c r="K13" s="67">
        <f>J13/References!$G$52</f>
        <v>22.806797665106799</v>
      </c>
      <c r="L13" s="67">
        <f t="shared" ref="L13:L47" si="13">IFERROR(K13/F13,0)</f>
        <v>0.10181606100494107</v>
      </c>
      <c r="M13" s="163">
        <v>4.4800000000000004</v>
      </c>
      <c r="N13" s="156">
        <f t="shared" si="5"/>
        <v>4.5818160610049414</v>
      </c>
      <c r="O13" s="67">
        <f t="shared" ref="O13:O39" si="14">F13*M13</f>
        <v>1003.5200000000001</v>
      </c>
      <c r="P13" s="67">
        <f t="shared" ref="P13:P39" si="15">F13*N13</f>
        <v>1026.3267976651068</v>
      </c>
      <c r="Q13" s="71">
        <f t="shared" ref="Q13:Q47" si="16">+P13-O13</f>
        <v>22.806797665106728</v>
      </c>
      <c r="S13" s="174"/>
    </row>
    <row r="14" spans="1:21" s="59" customFormat="1">
      <c r="A14" s="205"/>
      <c r="B14" s="46" t="s">
        <v>187</v>
      </c>
      <c r="C14" s="121" t="s">
        <v>107</v>
      </c>
      <c r="D14" s="116"/>
      <c r="E14" s="69"/>
      <c r="F14" s="160">
        <v>1819</v>
      </c>
      <c r="G14" s="145">
        <f>References!B22</f>
        <v>68</v>
      </c>
      <c r="H14" s="106">
        <f t="shared" si="12"/>
        <v>123692</v>
      </c>
      <c r="I14" s="45">
        <f>$D$121*H14</f>
        <v>116827.89036108329</v>
      </c>
      <c r="J14" s="67">
        <f>(References!$C$49*I14)</f>
        <v>262.86275331243684</v>
      </c>
      <c r="K14" s="67">
        <f>J14/References!$G$52</f>
        <v>267.95387697496108</v>
      </c>
      <c r="L14" s="67">
        <f t="shared" si="13"/>
        <v>0.14730834358161687</v>
      </c>
      <c r="M14" s="163">
        <v>5.66</v>
      </c>
      <c r="N14" s="156">
        <f t="shared" si="5"/>
        <v>5.8073083435816173</v>
      </c>
      <c r="O14" s="67">
        <f t="shared" si="14"/>
        <v>10295.540000000001</v>
      </c>
      <c r="P14" s="67">
        <f t="shared" si="15"/>
        <v>10563.493876974962</v>
      </c>
      <c r="Q14" s="71">
        <f t="shared" si="16"/>
        <v>267.95387697496153</v>
      </c>
      <c r="S14" s="174"/>
    </row>
    <row r="15" spans="1:21" s="59" customFormat="1">
      <c r="A15" s="205"/>
      <c r="B15" s="46" t="s">
        <v>179</v>
      </c>
      <c r="C15" s="121" t="s">
        <v>125</v>
      </c>
      <c r="D15" s="116"/>
      <c r="E15" s="69"/>
      <c r="F15" s="160">
        <v>2060</v>
      </c>
      <c r="G15" s="147">
        <f>References!B28</f>
        <v>250</v>
      </c>
      <c r="H15" s="68">
        <f>F15*G15</f>
        <v>515000</v>
      </c>
      <c r="I15" s="45">
        <f>$D$121*H15</f>
        <v>486420.81570318126</v>
      </c>
      <c r="J15" s="67">
        <f>(References!$C$49*I15)</f>
        <v>1094.4468353321554</v>
      </c>
      <c r="K15" s="67">
        <f>J15/References!$G$52</f>
        <v>1115.644072713716</v>
      </c>
      <c r="L15" s="177">
        <f t="shared" si="13"/>
        <v>0.54157479257947383</v>
      </c>
      <c r="M15" s="164">
        <v>42.36</v>
      </c>
      <c r="N15" s="156">
        <f>L15+M15</f>
        <v>42.901574792579474</v>
      </c>
      <c r="O15" s="67">
        <f>F15*M15</f>
        <v>87261.6</v>
      </c>
      <c r="P15" s="67">
        <f>F15*N15</f>
        <v>88377.244072713715</v>
      </c>
      <c r="Q15" s="71">
        <f t="shared" si="16"/>
        <v>1115.6440727137087</v>
      </c>
      <c r="S15" s="174"/>
    </row>
    <row r="16" spans="1:21" s="59" customFormat="1">
      <c r="A16" s="205"/>
      <c r="B16" s="46">
        <v>28</v>
      </c>
      <c r="C16" s="138" t="s">
        <v>174</v>
      </c>
      <c r="D16" s="139"/>
      <c r="E16" s="140"/>
      <c r="F16" s="161"/>
      <c r="G16" s="148"/>
      <c r="H16" s="141"/>
      <c r="I16" s="142"/>
      <c r="J16" s="143"/>
      <c r="K16" s="143"/>
      <c r="L16" s="143"/>
      <c r="M16" s="165">
        <v>11.38</v>
      </c>
      <c r="N16" s="157">
        <f>L16+M16</f>
        <v>11.38</v>
      </c>
      <c r="O16" s="143"/>
      <c r="P16" s="143"/>
      <c r="Q16" s="71"/>
      <c r="S16" s="174"/>
    </row>
    <row r="17" spans="1:19" s="59" customFormat="1">
      <c r="A17" s="205"/>
      <c r="B17" s="46">
        <v>28</v>
      </c>
      <c r="C17" s="121" t="s">
        <v>126</v>
      </c>
      <c r="D17" s="116"/>
      <c r="E17" s="69"/>
      <c r="F17" s="160">
        <v>96</v>
      </c>
      <c r="G17" s="149">
        <f>References!B27</f>
        <v>175</v>
      </c>
      <c r="H17" s="68">
        <f>F17*G17</f>
        <v>16800</v>
      </c>
      <c r="I17" s="45">
        <f>$D$121*H17</f>
        <v>15867.708162744553</v>
      </c>
      <c r="J17" s="67">
        <f>(References!$C$49*I17)</f>
        <v>35.702343366175164</v>
      </c>
      <c r="K17" s="67">
        <f>J17/References!$G$52</f>
        <v>36.39382606134064</v>
      </c>
      <c r="L17" s="67">
        <f t="shared" si="13"/>
        <v>0.37910235480563165</v>
      </c>
      <c r="M17" s="165">
        <v>14.31</v>
      </c>
      <c r="N17" s="156">
        <f>L17+M17</f>
        <v>14.689102354805632</v>
      </c>
      <c r="O17" s="67">
        <f>F17*M17</f>
        <v>1373.76</v>
      </c>
      <c r="P17" s="67">
        <f>F17*N17</f>
        <v>1410.1538260613406</v>
      </c>
      <c r="Q17" s="71">
        <f t="shared" si="16"/>
        <v>36.393826061340633</v>
      </c>
      <c r="R17" s="179"/>
      <c r="S17" s="174"/>
    </row>
    <row r="18" spans="1:19" s="59" customFormat="1">
      <c r="A18" s="205"/>
      <c r="B18" s="46">
        <v>28</v>
      </c>
      <c r="C18" s="121" t="s">
        <v>127</v>
      </c>
      <c r="D18" s="116"/>
      <c r="E18" s="69"/>
      <c r="F18" s="160">
        <v>216</v>
      </c>
      <c r="G18" s="149">
        <f>References!B27</f>
        <v>175</v>
      </c>
      <c r="H18" s="68">
        <f>F18*G18</f>
        <v>37800</v>
      </c>
      <c r="I18" s="45">
        <f>$D$121*H18</f>
        <v>35702.343366175242</v>
      </c>
      <c r="J18" s="67">
        <f>(References!$C$49*I18)</f>
        <v>80.330272573894121</v>
      </c>
      <c r="K18" s="67">
        <f>J18/References!$G$52</f>
        <v>81.886108638016438</v>
      </c>
      <c r="L18" s="67">
        <f t="shared" si="13"/>
        <v>0.37910235480563165</v>
      </c>
      <c r="M18" s="165">
        <v>14.31</v>
      </c>
      <c r="N18" s="156">
        <f>L18+M18</f>
        <v>14.689102354805632</v>
      </c>
      <c r="O18" s="67">
        <f>F18*M18</f>
        <v>3090.96</v>
      </c>
      <c r="P18" s="67">
        <f>F18*N18</f>
        <v>3172.8461086380166</v>
      </c>
      <c r="Q18" s="71">
        <f t="shared" si="16"/>
        <v>81.886108638016594</v>
      </c>
      <c r="S18" s="174"/>
    </row>
    <row r="19" spans="1:19" s="59" customFormat="1">
      <c r="A19" s="205"/>
      <c r="B19" s="46">
        <v>28</v>
      </c>
      <c r="C19" s="121" t="s">
        <v>128</v>
      </c>
      <c r="D19" s="56"/>
      <c r="E19" s="69"/>
      <c r="F19" s="160">
        <v>1</v>
      </c>
      <c r="G19" s="149">
        <f>References!B27</f>
        <v>175</v>
      </c>
      <c r="H19" s="68">
        <f t="shared" si="12"/>
        <v>175</v>
      </c>
      <c r="I19" s="45">
        <f>$D$121*H19</f>
        <v>165.28862669525577</v>
      </c>
      <c r="J19" s="67">
        <f>(References!$C$49*I19)</f>
        <v>0.37189941006432464</v>
      </c>
      <c r="K19" s="67">
        <f>J19/References!$G$52</f>
        <v>0.37910235480563165</v>
      </c>
      <c r="L19" s="67">
        <f t="shared" si="13"/>
        <v>0.37910235480563165</v>
      </c>
      <c r="M19" s="165">
        <v>17.71</v>
      </c>
      <c r="N19" s="156">
        <f t="shared" si="5"/>
        <v>18.089102354805632</v>
      </c>
      <c r="O19" s="67">
        <f t="shared" si="14"/>
        <v>17.71</v>
      </c>
      <c r="P19" s="67">
        <f t="shared" si="15"/>
        <v>18.089102354805632</v>
      </c>
      <c r="Q19" s="71">
        <f t="shared" si="16"/>
        <v>0.37910235480563159</v>
      </c>
      <c r="S19" s="174"/>
    </row>
    <row r="20" spans="1:19" s="59" customFormat="1">
      <c r="A20" s="205"/>
      <c r="B20" s="46"/>
      <c r="C20" s="121" t="s">
        <v>202</v>
      </c>
      <c r="D20" s="56"/>
      <c r="E20" s="69"/>
      <c r="F20" s="160"/>
      <c r="G20" s="145">
        <f>[1]References!B27</f>
        <v>175</v>
      </c>
      <c r="H20" s="68">
        <f t="shared" si="12"/>
        <v>0</v>
      </c>
      <c r="I20" s="45">
        <f>$D$119*H20</f>
        <v>0</v>
      </c>
      <c r="J20" s="67">
        <f>([1]References!$C$49*I20)</f>
        <v>0</v>
      </c>
      <c r="K20" s="67">
        <f>J20/[1]References!$G$52</f>
        <v>0</v>
      </c>
      <c r="L20" s="67"/>
      <c r="M20" s="165"/>
      <c r="N20" s="156"/>
      <c r="O20" s="67"/>
      <c r="P20" s="67"/>
      <c r="Q20" s="71"/>
      <c r="S20" s="174"/>
    </row>
    <row r="21" spans="1:19" s="59" customFormat="1">
      <c r="A21" s="205"/>
      <c r="B21" s="46">
        <v>28</v>
      </c>
      <c r="C21" s="138" t="s">
        <v>166</v>
      </c>
      <c r="D21" s="141"/>
      <c r="E21" s="140"/>
      <c r="F21" s="161"/>
      <c r="G21" s="148"/>
      <c r="H21" s="141"/>
      <c r="I21" s="142"/>
      <c r="J21" s="143"/>
      <c r="K21" s="143"/>
      <c r="L21" s="143"/>
      <c r="M21" s="165">
        <v>11.93</v>
      </c>
      <c r="N21" s="157">
        <f>L21+M21</f>
        <v>11.93</v>
      </c>
      <c r="O21" s="143"/>
      <c r="P21" s="143"/>
      <c r="Q21" s="71"/>
      <c r="S21" s="174"/>
    </row>
    <row r="22" spans="1:19" s="59" customFormat="1">
      <c r="A22" s="205"/>
      <c r="B22" s="46">
        <v>28</v>
      </c>
      <c r="C22" s="121" t="s">
        <v>188</v>
      </c>
      <c r="D22" s="116"/>
      <c r="E22" s="69"/>
      <c r="F22" s="160">
        <f>42+13</f>
        <v>55</v>
      </c>
      <c r="G22" s="145">
        <f>References!$B$28</f>
        <v>250</v>
      </c>
      <c r="H22" s="68">
        <f>F22*G22</f>
        <v>13750</v>
      </c>
      <c r="I22" s="45">
        <f>$D$121*H22</f>
        <v>12986.96352605581</v>
      </c>
      <c r="J22" s="67">
        <f>(References!$C$49*I22)</f>
        <v>29.220667933625506</v>
      </c>
      <c r="K22" s="67">
        <f>J22/References!$G$52</f>
        <v>29.786613591871056</v>
      </c>
      <c r="L22" s="67">
        <f t="shared" si="13"/>
        <v>0.54157479257947372</v>
      </c>
      <c r="M22" s="165">
        <v>22.38</v>
      </c>
      <c r="N22" s="156">
        <f>L22+M22</f>
        <v>22.921574792579474</v>
      </c>
      <c r="O22" s="67">
        <f>F22*M22</f>
        <v>1230.8999999999999</v>
      </c>
      <c r="P22" s="67">
        <f>F22*N22</f>
        <v>1260.686613591871</v>
      </c>
      <c r="Q22" s="71">
        <f t="shared" ref="Q22" si="17">+P22-O22</f>
        <v>29.786613591871173</v>
      </c>
      <c r="R22" s="179"/>
      <c r="S22" s="174"/>
    </row>
    <row r="23" spans="1:19" s="59" customFormat="1">
      <c r="A23" s="205"/>
      <c r="B23" s="46">
        <v>28</v>
      </c>
      <c r="C23" s="121" t="s">
        <v>130</v>
      </c>
      <c r="D23" s="56"/>
      <c r="E23" s="69"/>
      <c r="F23" s="160">
        <f>141+100</f>
        <v>241</v>
      </c>
      <c r="G23" s="145">
        <f>References!$B$28</f>
        <v>250</v>
      </c>
      <c r="H23" s="68">
        <f t="shared" si="12"/>
        <v>60250</v>
      </c>
      <c r="I23" s="45">
        <f>$D$121*H23</f>
        <v>56906.512905080912</v>
      </c>
      <c r="J23" s="67">
        <f>(References!$C$49*I23)</f>
        <v>128.03965403643178</v>
      </c>
      <c r="K23" s="67">
        <f>J23/References!$G$52</f>
        <v>130.5195250116532</v>
      </c>
      <c r="L23" s="67">
        <f t="shared" si="13"/>
        <v>0.54157479257947383</v>
      </c>
      <c r="M23" s="165">
        <v>22.38</v>
      </c>
      <c r="N23" s="156">
        <f t="shared" si="5"/>
        <v>22.921574792579474</v>
      </c>
      <c r="O23" s="67">
        <f t="shared" si="14"/>
        <v>5393.58</v>
      </c>
      <c r="P23" s="67">
        <f t="shared" si="15"/>
        <v>5524.099525011653</v>
      </c>
      <c r="Q23" s="71">
        <f t="shared" si="16"/>
        <v>130.51952501165306</v>
      </c>
      <c r="S23" s="174"/>
    </row>
    <row r="24" spans="1:19" s="59" customFormat="1">
      <c r="A24" s="205"/>
      <c r="B24" s="46">
        <v>28</v>
      </c>
      <c r="C24" s="154" t="s">
        <v>131</v>
      </c>
      <c r="D24" s="56">
        <v>0</v>
      </c>
      <c r="E24" s="69"/>
      <c r="F24" s="160">
        <v>1</v>
      </c>
      <c r="G24" s="68">
        <f>References!B28</f>
        <v>250</v>
      </c>
      <c r="H24" s="106">
        <f>F24*G24</f>
        <v>250</v>
      </c>
      <c r="I24" s="45">
        <f>$D$121*H24</f>
        <v>236.12660956465109</v>
      </c>
      <c r="J24" s="67">
        <f>(References!$C$49*I24)</f>
        <v>0.53128487152046378</v>
      </c>
      <c r="K24" s="67">
        <f>J24/References!$G$52</f>
        <v>0.54157479257947383</v>
      </c>
      <c r="L24" s="67">
        <f t="shared" si="13"/>
        <v>0.54157479257947383</v>
      </c>
      <c r="M24" s="165">
        <v>23.18</v>
      </c>
      <c r="N24" s="156">
        <f>L24+M24</f>
        <v>23.721574792579474</v>
      </c>
      <c r="O24" s="67">
        <f t="shared" ref="O24" si="18">F24*M24</f>
        <v>23.18</v>
      </c>
      <c r="P24" s="67">
        <f t="shared" ref="P24" si="19">F24*N24</f>
        <v>23.721574792579474</v>
      </c>
      <c r="Q24" s="71">
        <f t="shared" ref="Q24" si="20">+P24-O24</f>
        <v>0.54157479257947472</v>
      </c>
      <c r="S24" s="174"/>
    </row>
    <row r="25" spans="1:19" s="59" customFormat="1">
      <c r="A25" s="205"/>
      <c r="B25" s="46">
        <v>28</v>
      </c>
      <c r="C25" s="138" t="s">
        <v>167</v>
      </c>
      <c r="D25" s="141"/>
      <c r="E25" s="140"/>
      <c r="F25" s="161"/>
      <c r="G25" s="148"/>
      <c r="H25" s="141"/>
      <c r="I25" s="142"/>
      <c r="J25" s="143"/>
      <c r="K25" s="143"/>
      <c r="L25" s="143"/>
      <c r="M25" s="165">
        <v>14.91</v>
      </c>
      <c r="N25" s="157">
        <f>L25+M25</f>
        <v>14.91</v>
      </c>
      <c r="O25" s="143"/>
      <c r="P25" s="143"/>
      <c r="Q25" s="71"/>
      <c r="S25" s="174"/>
    </row>
    <row r="26" spans="1:19" s="59" customFormat="1">
      <c r="A26" s="205"/>
      <c r="B26" s="46">
        <v>28</v>
      </c>
      <c r="C26" s="121" t="s">
        <v>189</v>
      </c>
      <c r="D26" s="116"/>
      <c r="E26" s="69"/>
      <c r="F26" s="160">
        <v>169</v>
      </c>
      <c r="G26" s="145">
        <f>References!$B$29</f>
        <v>324</v>
      </c>
      <c r="H26" s="68">
        <f>F26*G26</f>
        <v>54756</v>
      </c>
      <c r="I26" s="45">
        <f>$D$121*H26</f>
        <v>51717.394533288141</v>
      </c>
      <c r="J26" s="67">
        <f>(References!$C$49*I26)</f>
        <v>116.36413769989807</v>
      </c>
      <c r="K26" s="67">
        <f>J26/References!$G$52</f>
        <v>118.61787736992667</v>
      </c>
      <c r="L26" s="67">
        <f t="shared" si="13"/>
        <v>0.7018809311829981</v>
      </c>
      <c r="M26" s="165">
        <v>25.95</v>
      </c>
      <c r="N26" s="156">
        <f>L26+M26</f>
        <v>26.651880931182998</v>
      </c>
      <c r="O26" s="67">
        <f>F26*M26</f>
        <v>4385.55</v>
      </c>
      <c r="P26" s="67">
        <f>F26*N26</f>
        <v>4504.1678773699268</v>
      </c>
      <c r="Q26" s="71">
        <f t="shared" ref="Q26" si="21">+P26-O26</f>
        <v>118.61787736992665</v>
      </c>
      <c r="R26" s="179"/>
      <c r="S26" s="174"/>
    </row>
    <row r="27" spans="1:19" s="59" customFormat="1">
      <c r="A27" s="205"/>
      <c r="B27" s="46">
        <v>28</v>
      </c>
      <c r="C27" s="121" t="s">
        <v>133</v>
      </c>
      <c r="D27" s="56"/>
      <c r="E27" s="69"/>
      <c r="F27" s="160">
        <v>435</v>
      </c>
      <c r="G27" s="145">
        <f>References!$B$29</f>
        <v>324</v>
      </c>
      <c r="H27" s="68">
        <f t="shared" si="12"/>
        <v>140940</v>
      </c>
      <c r="I27" s="45">
        <f>$D$121*H27</f>
        <v>133118.73740816771</v>
      </c>
      <c r="J27" s="67">
        <f>(References!$C$49*I27)</f>
        <v>299.51715916837668</v>
      </c>
      <c r="K27" s="67">
        <f>J27/References!$G$52</f>
        <v>305.31820506460417</v>
      </c>
      <c r="L27" s="67">
        <f t="shared" si="13"/>
        <v>0.7018809311829981</v>
      </c>
      <c r="M27" s="165">
        <v>25.95</v>
      </c>
      <c r="N27" s="156">
        <f t="shared" si="5"/>
        <v>26.651880931182998</v>
      </c>
      <c r="O27" s="67">
        <f t="shared" si="14"/>
        <v>11288.25</v>
      </c>
      <c r="P27" s="67">
        <f t="shared" si="15"/>
        <v>11593.568205064605</v>
      </c>
      <c r="Q27" s="71">
        <f t="shared" si="16"/>
        <v>305.31820506460463</v>
      </c>
      <c r="S27" s="174"/>
    </row>
    <row r="28" spans="1:19" s="59" customFormat="1">
      <c r="A28" s="205"/>
      <c r="B28" s="46">
        <v>28</v>
      </c>
      <c r="C28" s="43" t="s">
        <v>134</v>
      </c>
      <c r="D28" s="56">
        <v>0</v>
      </c>
      <c r="E28" s="69"/>
      <c r="F28" s="160">
        <v>4</v>
      </c>
      <c r="G28" s="68">
        <f>References!B29</f>
        <v>324</v>
      </c>
      <c r="H28" s="106">
        <f>F28*G28</f>
        <v>1296</v>
      </c>
      <c r="I28" s="45">
        <f>$D$121*H28</f>
        <v>1224.0803439831514</v>
      </c>
      <c r="J28" s="67">
        <f>(References!$C$49*I28)</f>
        <v>2.7541807739620845</v>
      </c>
      <c r="K28" s="67">
        <f>J28/References!$G$52</f>
        <v>2.8075237247319924</v>
      </c>
      <c r="L28" s="67">
        <f t="shared" si="13"/>
        <v>0.7018809311829981</v>
      </c>
      <c r="M28" s="165">
        <v>30.4</v>
      </c>
      <c r="N28" s="156">
        <f>L28+M28</f>
        <v>31.101880931182997</v>
      </c>
      <c r="O28" s="67">
        <f t="shared" ref="O28" si="22">F28*M28</f>
        <v>121.6</v>
      </c>
      <c r="P28" s="67">
        <f t="shared" ref="P28" si="23">F28*N28</f>
        <v>124.40752372473199</v>
      </c>
      <c r="Q28" s="71">
        <f t="shared" si="16"/>
        <v>2.8075237247319933</v>
      </c>
      <c r="S28" s="174"/>
    </row>
    <row r="29" spans="1:19" s="59" customFormat="1">
      <c r="A29" s="205"/>
      <c r="B29" s="46">
        <v>28</v>
      </c>
      <c r="C29" s="138" t="s">
        <v>168</v>
      </c>
      <c r="D29" s="141"/>
      <c r="E29" s="140"/>
      <c r="F29" s="161"/>
      <c r="G29" s="148"/>
      <c r="H29" s="141"/>
      <c r="I29" s="142"/>
      <c r="J29" s="143"/>
      <c r="K29" s="143"/>
      <c r="L29" s="143"/>
      <c r="M29" s="165">
        <v>16.96</v>
      </c>
      <c r="N29" s="157">
        <f>L29+M29</f>
        <v>16.96</v>
      </c>
      <c r="O29" s="143"/>
      <c r="P29" s="143"/>
      <c r="Q29" s="71"/>
      <c r="S29" s="174"/>
    </row>
    <row r="30" spans="1:19" s="59" customFormat="1">
      <c r="A30" s="205"/>
      <c r="B30" s="46">
        <v>28</v>
      </c>
      <c r="C30" s="121" t="s">
        <v>190</v>
      </c>
      <c r="D30" s="116"/>
      <c r="E30" s="69"/>
      <c r="F30" s="160">
        <v>140</v>
      </c>
      <c r="G30" s="145">
        <f>References!$B$30</f>
        <v>473</v>
      </c>
      <c r="H30" s="68">
        <f>F30*G30</f>
        <v>66220</v>
      </c>
      <c r="I30" s="45">
        <f>$D$121*H30</f>
        <v>62545.216341484782</v>
      </c>
      <c r="J30" s="67">
        <f>(References!$C$49*I30)</f>
        <v>140.72673676834046</v>
      </c>
      <c r="K30" s="67">
        <f>J30/References!$G$52</f>
        <v>143.45233105845102</v>
      </c>
      <c r="L30" s="67">
        <f t="shared" si="13"/>
        <v>1.0246595075603644</v>
      </c>
      <c r="M30" s="165">
        <v>38.31</v>
      </c>
      <c r="N30" s="156">
        <f>L30+M30</f>
        <v>39.334659507560367</v>
      </c>
      <c r="O30" s="67">
        <f>F30*M30</f>
        <v>5363.4000000000005</v>
      </c>
      <c r="P30" s="67">
        <f>F30*N30</f>
        <v>5506.8523310584515</v>
      </c>
      <c r="Q30" s="71">
        <f t="shared" ref="Q30" si="24">+P30-O30</f>
        <v>143.45233105845091</v>
      </c>
      <c r="R30" s="179"/>
      <c r="S30" s="174"/>
    </row>
    <row r="31" spans="1:19" s="59" customFormat="1">
      <c r="A31" s="205"/>
      <c r="B31" s="46">
        <v>28</v>
      </c>
      <c r="C31" s="121" t="s">
        <v>136</v>
      </c>
      <c r="D31" s="56"/>
      <c r="E31" s="69"/>
      <c r="F31" s="160">
        <v>469</v>
      </c>
      <c r="G31" s="145">
        <f>References!$B$30</f>
        <v>473</v>
      </c>
      <c r="H31" s="68">
        <f t="shared" si="12"/>
        <v>221837</v>
      </c>
      <c r="I31" s="45">
        <f>$D$121*H31</f>
        <v>209526.47474397402</v>
      </c>
      <c r="J31" s="67">
        <f>(References!$C$49*I31)</f>
        <v>471.43456817394048</v>
      </c>
      <c r="K31" s="67">
        <f>J31/References!$G$52</f>
        <v>480.56530904581086</v>
      </c>
      <c r="L31" s="67">
        <f t="shared" si="13"/>
        <v>1.0246595075603644</v>
      </c>
      <c r="M31" s="165">
        <v>38.31</v>
      </c>
      <c r="N31" s="156">
        <f t="shared" si="5"/>
        <v>39.334659507560367</v>
      </c>
      <c r="O31" s="67">
        <f t="shared" si="14"/>
        <v>17967.39</v>
      </c>
      <c r="P31" s="67">
        <f t="shared" si="15"/>
        <v>18447.955309045814</v>
      </c>
      <c r="Q31" s="71">
        <f t="shared" si="16"/>
        <v>480.5653090458145</v>
      </c>
      <c r="S31" s="174"/>
    </row>
    <row r="32" spans="1:19" s="59" customFormat="1">
      <c r="A32" s="205"/>
      <c r="B32" s="46">
        <v>28</v>
      </c>
      <c r="C32" s="154" t="s">
        <v>137</v>
      </c>
      <c r="D32" s="56">
        <v>0</v>
      </c>
      <c r="E32" s="69"/>
      <c r="F32" s="160">
        <v>3</v>
      </c>
      <c r="G32" s="145">
        <f>References!$B$30</f>
        <v>473</v>
      </c>
      <c r="H32" s="106">
        <f t="shared" si="12"/>
        <v>1419</v>
      </c>
      <c r="I32" s="45">
        <f>$D$121*H32</f>
        <v>1340.2546358889597</v>
      </c>
      <c r="J32" s="67">
        <f>(References!$C$49*I32)</f>
        <v>3.0155729307501526</v>
      </c>
      <c r="K32" s="67">
        <f>J32/References!$G$52</f>
        <v>3.0739785226810934</v>
      </c>
      <c r="L32" s="67">
        <f t="shared" si="13"/>
        <v>1.0246595075603644</v>
      </c>
      <c r="M32" s="165">
        <v>40.299999999999997</v>
      </c>
      <c r="N32" s="156">
        <f t="shared" si="5"/>
        <v>41.324659507560362</v>
      </c>
      <c r="O32" s="67">
        <f t="shared" si="14"/>
        <v>120.89999999999999</v>
      </c>
      <c r="P32" s="67">
        <f t="shared" si="15"/>
        <v>123.97397852268108</v>
      </c>
      <c r="Q32" s="71">
        <f t="shared" si="16"/>
        <v>3.0739785226810881</v>
      </c>
      <c r="S32" s="174"/>
    </row>
    <row r="33" spans="1:19" s="59" customFormat="1">
      <c r="A33" s="205"/>
      <c r="B33" s="46">
        <v>28</v>
      </c>
      <c r="C33" s="138" t="s">
        <v>169</v>
      </c>
      <c r="D33" s="141"/>
      <c r="E33" s="140"/>
      <c r="F33" s="161"/>
      <c r="G33" s="148"/>
      <c r="H33" s="141"/>
      <c r="I33" s="142"/>
      <c r="J33" s="143"/>
      <c r="K33" s="143"/>
      <c r="L33" s="143"/>
      <c r="M33" s="165">
        <v>18.5</v>
      </c>
      <c r="N33" s="157">
        <f>L33+M33</f>
        <v>18.5</v>
      </c>
      <c r="O33" s="143"/>
      <c r="P33" s="143"/>
      <c r="Q33" s="71"/>
      <c r="S33" s="174"/>
    </row>
    <row r="34" spans="1:19" s="59" customFormat="1">
      <c r="A34" s="205"/>
      <c r="B34" s="46">
        <v>28</v>
      </c>
      <c r="C34" s="121" t="s">
        <v>191</v>
      </c>
      <c r="D34" s="116"/>
      <c r="E34" s="69"/>
      <c r="F34" s="160">
        <v>97</v>
      </c>
      <c r="G34" s="149">
        <f>References!$B$31</f>
        <v>613</v>
      </c>
      <c r="H34" s="68">
        <f>F34*G34</f>
        <v>59461</v>
      </c>
      <c r="I34" s="45">
        <f>$D$121*H34</f>
        <v>56161.297325294872</v>
      </c>
      <c r="J34" s="67">
        <f>(References!$C$49*I34)</f>
        <v>126.36291898191318</v>
      </c>
      <c r="K34" s="67">
        <f>J34/References!$G$52</f>
        <v>128.81031496627236</v>
      </c>
      <c r="L34" s="67">
        <f t="shared" si="13"/>
        <v>1.3279413914048697</v>
      </c>
      <c r="M34" s="165">
        <v>50.59</v>
      </c>
      <c r="N34" s="156">
        <f>L34+M34</f>
        <v>51.917941391404874</v>
      </c>
      <c r="O34" s="67">
        <f>F34*M34</f>
        <v>4907.2300000000005</v>
      </c>
      <c r="P34" s="67">
        <f>F34*N34</f>
        <v>5036.0403149662725</v>
      </c>
      <c r="Q34" s="71">
        <f t="shared" ref="Q34" si="25">+P34-O34</f>
        <v>128.81031496627202</v>
      </c>
      <c r="R34" s="179"/>
      <c r="S34" s="174"/>
    </row>
    <row r="35" spans="1:19" s="59" customFormat="1">
      <c r="A35" s="205"/>
      <c r="B35" s="46">
        <v>28</v>
      </c>
      <c r="C35" s="121" t="s">
        <v>139</v>
      </c>
      <c r="D35" s="56"/>
      <c r="E35" s="69"/>
      <c r="F35" s="160">
        <v>477</v>
      </c>
      <c r="G35" s="149">
        <f>References!$B$31</f>
        <v>613</v>
      </c>
      <c r="H35" s="68">
        <f t="shared" si="12"/>
        <v>292401</v>
      </c>
      <c r="I35" s="45">
        <f>$D$121*H35</f>
        <v>276174.62705325417</v>
      </c>
      <c r="J35" s="67">
        <f>(References!$C$49*I35)</f>
        <v>621.39291086982053</v>
      </c>
      <c r="K35" s="67">
        <f>J35/References!$G$52</f>
        <v>633.42804370012288</v>
      </c>
      <c r="L35" s="67">
        <f t="shared" si="13"/>
        <v>1.3279413914048699</v>
      </c>
      <c r="M35" s="165">
        <v>50.59</v>
      </c>
      <c r="N35" s="156">
        <f t="shared" si="5"/>
        <v>51.917941391404874</v>
      </c>
      <c r="O35" s="67">
        <f t="shared" si="14"/>
        <v>24131.43</v>
      </c>
      <c r="P35" s="67">
        <f t="shared" si="15"/>
        <v>24764.858043700126</v>
      </c>
      <c r="Q35" s="71">
        <f t="shared" si="16"/>
        <v>633.42804370012527</v>
      </c>
      <c r="S35" s="174"/>
    </row>
    <row r="36" spans="1:19" s="59" customFormat="1">
      <c r="A36" s="205"/>
      <c r="B36" s="46">
        <v>28</v>
      </c>
      <c r="C36" s="121" t="s">
        <v>140</v>
      </c>
      <c r="D36" s="56"/>
      <c r="E36" s="69"/>
      <c r="F36" s="160">
        <v>2</v>
      </c>
      <c r="G36" s="149">
        <f>References!$B$31</f>
        <v>613</v>
      </c>
      <c r="H36" s="68">
        <f t="shared" ref="H36:H39" si="26">F36*G36</f>
        <v>1226</v>
      </c>
      <c r="I36" s="45">
        <f>$D$121*H36</f>
        <v>1157.9648933050489</v>
      </c>
      <c r="J36" s="67">
        <f>(References!$C$49*I36)</f>
        <v>2.6054210099363542</v>
      </c>
      <c r="K36" s="67">
        <f>J36/References!$G$52</f>
        <v>2.6558827828097393</v>
      </c>
      <c r="L36" s="67">
        <f t="shared" si="13"/>
        <v>1.3279413914048697</v>
      </c>
      <c r="M36" s="165">
        <v>53.5</v>
      </c>
      <c r="N36" s="156">
        <f t="shared" si="5"/>
        <v>54.82794139140487</v>
      </c>
      <c r="O36" s="67">
        <f t="shared" si="14"/>
        <v>107</v>
      </c>
      <c r="P36" s="67">
        <f t="shared" si="15"/>
        <v>109.65588278280974</v>
      </c>
      <c r="Q36" s="71">
        <f t="shared" si="16"/>
        <v>2.6558827828097407</v>
      </c>
      <c r="S36" s="174"/>
    </row>
    <row r="37" spans="1:19" s="59" customFormat="1">
      <c r="A37" s="205"/>
      <c r="B37" s="46">
        <v>28</v>
      </c>
      <c r="C37" s="138" t="s">
        <v>170</v>
      </c>
      <c r="D37" s="141"/>
      <c r="E37" s="140"/>
      <c r="F37" s="161"/>
      <c r="G37" s="148"/>
      <c r="H37" s="141"/>
      <c r="I37" s="142"/>
      <c r="J37" s="143"/>
      <c r="K37" s="143"/>
      <c r="L37" s="143"/>
      <c r="M37" s="165">
        <v>18.750000000000007</v>
      </c>
      <c r="N37" s="157">
        <f>L37+M37</f>
        <v>18.750000000000007</v>
      </c>
      <c r="O37" s="143"/>
      <c r="P37" s="143"/>
      <c r="Q37" s="71"/>
      <c r="S37" s="174"/>
    </row>
    <row r="38" spans="1:19" s="59" customFormat="1">
      <c r="A38" s="205"/>
      <c r="B38" s="46">
        <v>28</v>
      </c>
      <c r="C38" s="121" t="s">
        <v>192</v>
      </c>
      <c r="D38" s="116"/>
      <c r="E38" s="69"/>
      <c r="F38" s="160">
        <v>24</v>
      </c>
      <c r="G38" s="147">
        <v>766.25</v>
      </c>
      <c r="H38" s="68">
        <f>F38*G38</f>
        <v>18390</v>
      </c>
      <c r="I38" s="45">
        <f>$D$121*H38</f>
        <v>17369.473399575734</v>
      </c>
      <c r="J38" s="67">
        <f>(References!$C$49*I38)</f>
        <v>39.081315149045317</v>
      </c>
      <c r="K38" s="67">
        <f>J38/References!$G$52</f>
        <v>39.838241742146096</v>
      </c>
      <c r="L38" s="67">
        <f t="shared" si="13"/>
        <v>1.6599267392560872</v>
      </c>
      <c r="M38" s="165">
        <v>60.78</v>
      </c>
      <c r="N38" s="156">
        <f>L38+M38</f>
        <v>62.439926739256087</v>
      </c>
      <c r="O38" s="67">
        <f>F38*M38</f>
        <v>1458.72</v>
      </c>
      <c r="P38" s="67">
        <f>F38*N38</f>
        <v>1498.558241742146</v>
      </c>
      <c r="Q38" s="71">
        <f t="shared" ref="Q38" si="27">+P38-O38</f>
        <v>39.83824174214601</v>
      </c>
      <c r="R38" s="179"/>
      <c r="S38" s="174"/>
    </row>
    <row r="39" spans="1:19" s="59" customFormat="1">
      <c r="A39" s="205"/>
      <c r="B39" s="46">
        <v>28</v>
      </c>
      <c r="C39" s="121" t="s">
        <v>142</v>
      </c>
      <c r="D39" s="56"/>
      <c r="E39" s="69"/>
      <c r="F39" s="160">
        <v>80</v>
      </c>
      <c r="G39" s="147">
        <v>766.25</v>
      </c>
      <c r="H39" s="106">
        <f t="shared" si="26"/>
        <v>61300</v>
      </c>
      <c r="I39" s="45">
        <f>$D$121*H39</f>
        <v>57898.244665252445</v>
      </c>
      <c r="J39" s="67">
        <f>(References!$C$49*I39)</f>
        <v>130.27105049681771</v>
      </c>
      <c r="K39" s="67">
        <f>J39/References!$G$52</f>
        <v>132.79413914048698</v>
      </c>
      <c r="L39" s="67">
        <f t="shared" si="13"/>
        <v>1.6599267392560872</v>
      </c>
      <c r="M39" s="165">
        <v>60.79</v>
      </c>
      <c r="N39" s="156">
        <f t="shared" si="5"/>
        <v>62.449926739256085</v>
      </c>
      <c r="O39" s="67">
        <f t="shared" si="14"/>
        <v>4863.2</v>
      </c>
      <c r="P39" s="67">
        <f t="shared" si="15"/>
        <v>4995.9941391404864</v>
      </c>
      <c r="Q39" s="71">
        <f t="shared" si="16"/>
        <v>132.79413914048655</v>
      </c>
      <c r="S39" s="174"/>
    </row>
    <row r="40" spans="1:19" s="59" customFormat="1">
      <c r="A40" s="205"/>
      <c r="B40" s="46" t="s">
        <v>187</v>
      </c>
      <c r="C40" s="138" t="s">
        <v>171</v>
      </c>
      <c r="D40" s="141"/>
      <c r="E40" s="140"/>
      <c r="F40" s="161"/>
      <c r="G40" s="148"/>
      <c r="H40" s="144"/>
      <c r="I40" s="142"/>
      <c r="J40" s="143"/>
      <c r="K40" s="143"/>
      <c r="L40" s="143"/>
      <c r="M40" s="165">
        <v>18.720000000000013</v>
      </c>
      <c r="N40" s="157">
        <f>L40+M40</f>
        <v>18.720000000000013</v>
      </c>
      <c r="O40" s="143"/>
      <c r="P40" s="143"/>
      <c r="Q40" s="71"/>
      <c r="S40" s="174"/>
    </row>
    <row r="41" spans="1:19" s="59" customFormat="1">
      <c r="A41" s="205"/>
      <c r="B41" s="46" t="s">
        <v>187</v>
      </c>
      <c r="C41" s="121" t="s">
        <v>193</v>
      </c>
      <c r="D41" s="116"/>
      <c r="E41" s="69"/>
      <c r="F41" s="160">
        <v>96</v>
      </c>
      <c r="G41" s="145">
        <f>References!$B$32</f>
        <v>840</v>
      </c>
      <c r="H41" s="68">
        <f>F41*G41</f>
        <v>80640</v>
      </c>
      <c r="I41" s="45">
        <f>$D$121*H41</f>
        <v>76164.999181173858</v>
      </c>
      <c r="J41" s="67">
        <f>(References!$C$49*I41)</f>
        <v>171.37124815764079</v>
      </c>
      <c r="K41" s="67">
        <f>J41/References!$G$52</f>
        <v>174.69036509443507</v>
      </c>
      <c r="L41" s="67">
        <f t="shared" si="13"/>
        <v>1.8196913030670319</v>
      </c>
      <c r="M41" s="165">
        <v>70.319999999999993</v>
      </c>
      <c r="N41" s="156">
        <f>L41+M41</f>
        <v>72.139691303067025</v>
      </c>
      <c r="O41" s="67">
        <f>F41*M41</f>
        <v>6750.7199999999993</v>
      </c>
      <c r="P41" s="67">
        <f>F41*N41</f>
        <v>6925.4103650944344</v>
      </c>
      <c r="Q41" s="71">
        <f t="shared" ref="Q41" si="28">+P41-O41</f>
        <v>174.69036509443504</v>
      </c>
      <c r="R41" s="179"/>
      <c r="S41" s="174"/>
    </row>
    <row r="42" spans="1:19" s="59" customFormat="1">
      <c r="A42" s="205"/>
      <c r="B42" s="46" t="s">
        <v>187</v>
      </c>
      <c r="C42" s="121" t="s">
        <v>145</v>
      </c>
      <c r="D42" s="56"/>
      <c r="E42" s="69"/>
      <c r="F42" s="160">
        <v>657</v>
      </c>
      <c r="G42" s="145">
        <f>References!$B$32</f>
        <v>840</v>
      </c>
      <c r="H42" s="106">
        <f t="shared" ref="H42:H43" si="29">F42*G42</f>
        <v>551880</v>
      </c>
      <c r="I42" s="45">
        <f>$D$121*H42</f>
        <v>521254.21314615855</v>
      </c>
      <c r="J42" s="67">
        <f>(References!$C$49*I42)</f>
        <v>1172.8219795788541</v>
      </c>
      <c r="K42" s="67">
        <f>J42/References!$G$52</f>
        <v>1195.53718611504</v>
      </c>
      <c r="L42" s="67">
        <f t="shared" si="13"/>
        <v>1.8196913030670319</v>
      </c>
      <c r="M42" s="165">
        <v>70.319999999999993</v>
      </c>
      <c r="N42" s="156">
        <f t="shared" ref="N42:N43" si="30">L42+M42</f>
        <v>72.139691303067025</v>
      </c>
      <c r="O42" s="67">
        <f t="shared" ref="O42:O43" si="31">F42*M42</f>
        <v>46200.24</v>
      </c>
      <c r="P42" s="67">
        <f t="shared" ref="P42:P43" si="32">F42*N42</f>
        <v>47395.777186115032</v>
      </c>
      <c r="Q42" s="71">
        <f t="shared" si="16"/>
        <v>1195.5371861150343</v>
      </c>
      <c r="S42" s="174"/>
    </row>
    <row r="43" spans="1:19" s="59" customFormat="1">
      <c r="A43" s="205"/>
      <c r="B43" s="46" t="s">
        <v>187</v>
      </c>
      <c r="C43" s="121" t="s">
        <v>195</v>
      </c>
      <c r="D43" s="56"/>
      <c r="E43" s="69"/>
      <c r="F43" s="160">
        <v>3</v>
      </c>
      <c r="G43" s="145">
        <f>References!$B$32</f>
        <v>840</v>
      </c>
      <c r="H43" s="68">
        <f t="shared" si="29"/>
        <v>2520</v>
      </c>
      <c r="I43" s="45">
        <f>$D$121*H43</f>
        <v>2380.1562244116831</v>
      </c>
      <c r="J43" s="67">
        <f>(References!$C$49*I43)</f>
        <v>5.3553515049262748</v>
      </c>
      <c r="K43" s="67">
        <f>J43/References!$G$52</f>
        <v>5.4590739092010958</v>
      </c>
      <c r="L43" s="67">
        <f t="shared" si="13"/>
        <v>1.8196913030670319</v>
      </c>
      <c r="M43" s="165">
        <v>71.55</v>
      </c>
      <c r="N43" s="156">
        <f t="shared" si="30"/>
        <v>73.369691303067029</v>
      </c>
      <c r="O43" s="67">
        <f t="shared" si="31"/>
        <v>214.64999999999998</v>
      </c>
      <c r="P43" s="67">
        <f t="shared" si="32"/>
        <v>220.10907390920107</v>
      </c>
      <c r="Q43" s="71">
        <f t="shared" ref="Q43" si="33">+P43-O43</f>
        <v>5.4590739092010949</v>
      </c>
      <c r="S43" s="174"/>
    </row>
    <row r="44" spans="1:19" s="59" customFormat="1">
      <c r="A44" s="205"/>
      <c r="B44" s="46" t="s">
        <v>187</v>
      </c>
      <c r="C44" s="138" t="s">
        <v>172</v>
      </c>
      <c r="D44" s="141"/>
      <c r="E44" s="140"/>
      <c r="F44" s="161"/>
      <c r="G44" s="148"/>
      <c r="H44" s="144"/>
      <c r="I44" s="142"/>
      <c r="J44" s="143"/>
      <c r="K44" s="143"/>
      <c r="L44" s="143"/>
      <c r="M44" s="165">
        <v>20.040000000000006</v>
      </c>
      <c r="N44" s="157">
        <f>L44+M44</f>
        <v>20.040000000000006</v>
      </c>
      <c r="O44" s="143"/>
      <c r="P44" s="143"/>
      <c r="Q44" s="71"/>
      <c r="S44" s="174"/>
    </row>
    <row r="45" spans="1:19" s="59" customFormat="1">
      <c r="A45" s="205"/>
      <c r="B45" s="46" t="s">
        <v>187</v>
      </c>
      <c r="C45" s="121" t="s">
        <v>194</v>
      </c>
      <c r="D45" s="116"/>
      <c r="E45" s="69"/>
      <c r="F45" s="160">
        <v>43</v>
      </c>
      <c r="G45" s="146">
        <f>References!$B$33</f>
        <v>980</v>
      </c>
      <c r="H45" s="68">
        <f>F45*G45</f>
        <v>42140</v>
      </c>
      <c r="I45" s="45">
        <f>$D$121*H45</f>
        <v>39801.501308217586</v>
      </c>
      <c r="J45" s="67">
        <f>(References!$C$49*I45)</f>
        <v>89.553377943489366</v>
      </c>
      <c r="K45" s="67">
        <f>J45/References!$G$52</f>
        <v>91.287847037196087</v>
      </c>
      <c r="L45" s="67">
        <f t="shared" si="13"/>
        <v>2.1229731869115369</v>
      </c>
      <c r="M45" s="165">
        <v>79.83</v>
      </c>
      <c r="N45" s="156">
        <f>L45+M45</f>
        <v>81.952973186911535</v>
      </c>
      <c r="O45" s="67">
        <f>F45*M45</f>
        <v>3432.69</v>
      </c>
      <c r="P45" s="67">
        <f>F45*N45</f>
        <v>3523.9778470371962</v>
      </c>
      <c r="Q45" s="71">
        <f t="shared" ref="Q45" si="34">+P45-O45</f>
        <v>91.287847037196116</v>
      </c>
      <c r="R45" s="179"/>
      <c r="S45" s="174"/>
    </row>
    <row r="46" spans="1:19" s="59" customFormat="1">
      <c r="A46" s="205"/>
      <c r="B46" s="46" t="s">
        <v>187</v>
      </c>
      <c r="C46" s="121" t="s">
        <v>147</v>
      </c>
      <c r="D46" s="56"/>
      <c r="E46" s="69"/>
      <c r="F46" s="160">
        <v>194</v>
      </c>
      <c r="G46" s="146">
        <f>References!$B$33</f>
        <v>980</v>
      </c>
      <c r="H46" s="106">
        <f t="shared" ref="H46:H47" si="35">F46*G46</f>
        <v>190120</v>
      </c>
      <c r="I46" s="45">
        <f>$D$121*H46</f>
        <v>179569.56404172585</v>
      </c>
      <c r="J46" s="67">
        <f>(References!$C$49*I46)</f>
        <v>404.03151909388231</v>
      </c>
      <c r="K46" s="67">
        <f>J46/References!$G$52</f>
        <v>411.85679826083822</v>
      </c>
      <c r="L46" s="67">
        <f t="shared" si="13"/>
        <v>2.1229731869115374</v>
      </c>
      <c r="M46" s="165">
        <v>79.83</v>
      </c>
      <c r="N46" s="156">
        <f t="shared" ref="N46:N47" si="36">L46+M46</f>
        <v>81.952973186911535</v>
      </c>
      <c r="O46" s="67">
        <f t="shared" ref="O46:O47" si="37">F46*M46</f>
        <v>15487.02</v>
      </c>
      <c r="P46" s="67">
        <f t="shared" ref="P46:P47" si="38">F46*N46</f>
        <v>15898.876798260837</v>
      </c>
      <c r="Q46" s="71">
        <f t="shared" si="16"/>
        <v>411.85679826083651</v>
      </c>
      <c r="S46" s="174"/>
    </row>
    <row r="47" spans="1:19" s="59" customFormat="1">
      <c r="A47" s="205"/>
      <c r="B47" s="46" t="s">
        <v>187</v>
      </c>
      <c r="C47" s="121" t="s">
        <v>148</v>
      </c>
      <c r="D47" s="56"/>
      <c r="E47" s="69"/>
      <c r="F47" s="160">
        <v>1</v>
      </c>
      <c r="G47" s="146">
        <f>References!$B$33</f>
        <v>980</v>
      </c>
      <c r="H47" s="106">
        <f t="shared" si="35"/>
        <v>980</v>
      </c>
      <c r="I47" s="45">
        <f>$D$121*H47</f>
        <v>925.61630949343225</v>
      </c>
      <c r="J47" s="67">
        <f>(References!$C$49*I47)</f>
        <v>2.0826366963602179</v>
      </c>
      <c r="K47" s="67">
        <f>J47/References!$G$52</f>
        <v>2.1229731869115369</v>
      </c>
      <c r="L47" s="67">
        <f t="shared" si="13"/>
        <v>2.1229731869115369</v>
      </c>
      <c r="M47" s="165">
        <v>84.91</v>
      </c>
      <c r="N47" s="156">
        <f t="shared" si="36"/>
        <v>87.032973186911534</v>
      </c>
      <c r="O47" s="67">
        <f t="shared" si="37"/>
        <v>84.91</v>
      </c>
      <c r="P47" s="67">
        <f t="shared" si="38"/>
        <v>87.032973186911534</v>
      </c>
      <c r="Q47" s="71">
        <f t="shared" si="16"/>
        <v>2.1229731869115369</v>
      </c>
      <c r="S47" s="174"/>
    </row>
    <row r="48" spans="1:19" s="59" customFormat="1">
      <c r="A48" s="205"/>
      <c r="O48" s="67"/>
      <c r="P48" s="67"/>
      <c r="Q48" s="71"/>
      <c r="S48" s="174"/>
    </row>
    <row r="49" spans="1:19" s="59" customFormat="1">
      <c r="A49" s="205"/>
      <c r="Q49" s="71"/>
      <c r="S49" s="174"/>
    </row>
    <row r="50" spans="1:19" s="59" customFormat="1">
      <c r="A50" s="205"/>
      <c r="B50" s="46"/>
      <c r="C50" s="121"/>
      <c r="D50" s="56"/>
      <c r="E50" s="69"/>
      <c r="F50" s="122"/>
      <c r="G50" s="145"/>
      <c r="H50" s="68"/>
      <c r="I50" s="45"/>
      <c r="J50" s="67"/>
      <c r="K50" s="67"/>
      <c r="L50" s="67"/>
      <c r="M50" s="67"/>
      <c r="N50" s="67"/>
      <c r="O50" s="67"/>
      <c r="P50" s="67"/>
      <c r="Q50" s="71"/>
      <c r="S50" s="174"/>
    </row>
    <row r="51" spans="1:19" s="59" customFormat="1">
      <c r="A51" s="47"/>
      <c r="B51" s="27"/>
      <c r="C51" s="48"/>
      <c r="D51" s="49">
        <f>SUM(D13:D45)</f>
        <v>0</v>
      </c>
      <c r="E51" s="49">
        <f>SUM(E13:E45)</f>
        <v>0</v>
      </c>
      <c r="F51" s="49">
        <f>SUM(F13:F50)</f>
        <v>7607</v>
      </c>
      <c r="G51" s="150">
        <f>SUM(G13:G50)</f>
        <v>13037.5</v>
      </c>
      <c r="H51" s="49">
        <f>SUM(H13:H50)</f>
        <v>2565771</v>
      </c>
      <c r="I51" s="49">
        <f>SUM(I13:I50)</f>
        <v>2423387.2285972177</v>
      </c>
      <c r="J51" s="73"/>
      <c r="K51" s="73"/>
      <c r="L51" s="73"/>
      <c r="M51" s="73"/>
      <c r="N51" s="73"/>
      <c r="O51" s="135">
        <f>SUM(O13:O50)</f>
        <v>256575.65</v>
      </c>
      <c r="P51" s="135">
        <f>SUM(P13:P50)</f>
        <v>262133.87758852565</v>
      </c>
      <c r="Q51" s="135">
        <f>SUM(Q13:Q50)</f>
        <v>5558.2275885257077</v>
      </c>
      <c r="S51" s="174"/>
    </row>
    <row r="52" spans="1:19">
      <c r="C52" s="63"/>
      <c r="D52" s="64">
        <f>D12+D51</f>
        <v>4332</v>
      </c>
      <c r="E52" s="64"/>
      <c r="F52" s="104">
        <f>F12+F51</f>
        <v>233297</v>
      </c>
      <c r="G52" s="64"/>
      <c r="H52" s="64">
        <f>H12+H51</f>
        <v>16016831</v>
      </c>
      <c r="I52" s="64">
        <f>I12+I51</f>
        <v>15128000.000000002</v>
      </c>
      <c r="J52" s="67"/>
      <c r="K52" s="75"/>
      <c r="L52" s="75"/>
      <c r="M52" s="75"/>
      <c r="N52" s="75"/>
      <c r="O52" s="75">
        <f>O12+O51</f>
        <v>1498557.2810641821</v>
      </c>
      <c r="P52" s="75">
        <f>P12+P51</f>
        <v>1533254.5287706042</v>
      </c>
      <c r="Q52" s="75">
        <f>Q12+Q51</f>
        <v>34697.247706421913</v>
      </c>
      <c r="S52" s="174"/>
    </row>
    <row r="53" spans="1:19">
      <c r="G53" s="151"/>
      <c r="J53" s="55"/>
      <c r="P53" s="60"/>
      <c r="S53" s="174"/>
    </row>
    <row r="54" spans="1:19">
      <c r="G54" s="151"/>
      <c r="J54" s="55"/>
      <c r="P54" s="60"/>
      <c r="S54" s="174"/>
    </row>
    <row r="55" spans="1:19">
      <c r="A55" s="76"/>
      <c r="B55" s="77"/>
      <c r="C55" s="81" t="s">
        <v>91</v>
      </c>
      <c r="D55" s="78"/>
      <c r="E55" s="76"/>
      <c r="F55" s="76"/>
      <c r="G55" s="152"/>
      <c r="H55" s="76"/>
      <c r="I55" s="79"/>
      <c r="J55" s="80"/>
      <c r="K55" s="76"/>
      <c r="L55" s="76"/>
      <c r="M55" s="76"/>
      <c r="N55" s="76"/>
      <c r="O55" s="59"/>
      <c r="P55" s="103"/>
      <c r="Q55" s="59"/>
      <c r="S55" s="174"/>
    </row>
    <row r="56" spans="1:19" s="59" customFormat="1" ht="15" customHeight="1">
      <c r="A56" s="205" t="s">
        <v>49</v>
      </c>
      <c r="B56" s="46">
        <v>20</v>
      </c>
      <c r="C56" s="121" t="s">
        <v>113</v>
      </c>
      <c r="D56" s="68">
        <v>0</v>
      </c>
      <c r="E56" s="69">
        <f>References!$B$7</f>
        <v>4.333333333333333</v>
      </c>
      <c r="F56" s="68">
        <f>E56*12</f>
        <v>52</v>
      </c>
      <c r="G56" s="68">
        <f>References!B14</f>
        <v>34</v>
      </c>
      <c r="H56" s="68">
        <f>F56*G56</f>
        <v>1768</v>
      </c>
      <c r="I56" s="45">
        <f t="shared" ref="I56:I69" si="39">$D$121*H56</f>
        <v>1669.8873828412125</v>
      </c>
      <c r="J56" s="67">
        <f>(References!$C$49*I56)</f>
        <v>3.7572466113927199</v>
      </c>
      <c r="K56" s="67">
        <f>J56/References!$G$52</f>
        <v>3.8300169331220388</v>
      </c>
      <c r="L56" s="67">
        <f>K56/F56*E56</f>
        <v>0.31916807776016987</v>
      </c>
      <c r="M56" s="163">
        <v>12.4</v>
      </c>
      <c r="N56" s="156">
        <f>L56+M56</f>
        <v>12.71916807776017</v>
      </c>
      <c r="O56" s="124"/>
      <c r="P56" s="67"/>
      <c r="Q56" s="67"/>
      <c r="S56" s="174"/>
    </row>
    <row r="57" spans="1:19" s="59" customFormat="1">
      <c r="A57" s="205"/>
      <c r="B57" s="46">
        <v>20</v>
      </c>
      <c r="C57" s="105" t="s">
        <v>114</v>
      </c>
      <c r="D57" s="68">
        <v>0</v>
      </c>
      <c r="E57" s="69">
        <f>References!$B$7</f>
        <v>4.333333333333333</v>
      </c>
      <c r="F57" s="68">
        <f t="shared" ref="F57:F68" si="40">E57*12</f>
        <v>52</v>
      </c>
      <c r="G57" s="68">
        <f>References!B15</f>
        <v>51</v>
      </c>
      <c r="H57" s="68">
        <f t="shared" ref="H57:H68" si="41">F57*G57</f>
        <v>2652</v>
      </c>
      <c r="I57" s="45">
        <f t="shared" si="39"/>
        <v>2504.8310742618187</v>
      </c>
      <c r="J57" s="67">
        <f>(References!$C$49*I57)</f>
        <v>5.6358699170890798</v>
      </c>
      <c r="K57" s="67">
        <f>J57/References!$G$52</f>
        <v>5.7450253996830583</v>
      </c>
      <c r="L57" s="67">
        <f>K57/F57*E57</f>
        <v>0.4787521166402548</v>
      </c>
      <c r="M57" s="163">
        <v>16.62</v>
      </c>
      <c r="N57" s="156">
        <f>L57+M57</f>
        <v>17.098752116640256</v>
      </c>
      <c r="O57" s="67"/>
      <c r="P57" s="67"/>
      <c r="Q57" s="67"/>
      <c r="S57" s="174"/>
    </row>
    <row r="58" spans="1:19" s="59" customFormat="1">
      <c r="A58" s="205"/>
      <c r="B58" s="46">
        <v>20</v>
      </c>
      <c r="C58" s="105" t="s">
        <v>115</v>
      </c>
      <c r="D58" s="68">
        <v>0</v>
      </c>
      <c r="E58" s="69">
        <f>References!$B$7</f>
        <v>4.333333333333333</v>
      </c>
      <c r="F58" s="68">
        <f t="shared" si="40"/>
        <v>52</v>
      </c>
      <c r="G58" s="68">
        <f>References!B16</f>
        <v>77</v>
      </c>
      <c r="H58" s="68">
        <f t="shared" si="41"/>
        <v>4004</v>
      </c>
      <c r="I58" s="45">
        <f t="shared" si="39"/>
        <v>3781.8037787874518</v>
      </c>
      <c r="J58" s="67">
        <f>(References!$C$49*I58)</f>
        <v>8.5090585022717473</v>
      </c>
      <c r="K58" s="67">
        <f>J58/References!$G$52</f>
        <v>8.6738618779528522</v>
      </c>
      <c r="L58" s="67">
        <f t="shared" ref="L58:L68" si="42">K58/F58*E58</f>
        <v>0.72282182316273758</v>
      </c>
      <c r="M58" s="163">
        <v>21.15</v>
      </c>
      <c r="N58" s="156">
        <f t="shared" ref="N58:N68" si="43">L58+M58</f>
        <v>21.872821823162734</v>
      </c>
      <c r="O58" s="67"/>
      <c r="P58" s="67"/>
      <c r="Q58" s="67"/>
      <c r="S58" s="174"/>
    </row>
    <row r="59" spans="1:19" s="59" customFormat="1">
      <c r="A59" s="205"/>
      <c r="B59" s="46">
        <v>20</v>
      </c>
      <c r="C59" s="105" t="s">
        <v>116</v>
      </c>
      <c r="D59" s="68">
        <v>0</v>
      </c>
      <c r="E59" s="69">
        <f>References!$B$7</f>
        <v>4.333333333333333</v>
      </c>
      <c r="F59" s="68">
        <f t="shared" si="40"/>
        <v>52</v>
      </c>
      <c r="G59" s="68">
        <f>References!B17</f>
        <v>97</v>
      </c>
      <c r="H59" s="68">
        <f t="shared" si="41"/>
        <v>5044</v>
      </c>
      <c r="I59" s="45">
        <f t="shared" si="39"/>
        <v>4764.0904745764001</v>
      </c>
      <c r="J59" s="67">
        <f>(References!$C$49*I59)</f>
        <v>10.719203567796876</v>
      </c>
      <c r="K59" s="67">
        <f>J59/References!$G$52</f>
        <v>10.926813015083463</v>
      </c>
      <c r="L59" s="67">
        <f t="shared" si="42"/>
        <v>0.91056775125695522</v>
      </c>
      <c r="M59" s="163">
        <v>26.09</v>
      </c>
      <c r="N59" s="156">
        <f t="shared" si="43"/>
        <v>27.000567751256956</v>
      </c>
      <c r="O59" s="67"/>
      <c r="P59" s="67"/>
      <c r="Q59" s="67"/>
      <c r="S59" s="174"/>
    </row>
    <row r="60" spans="1:19" s="59" customFormat="1">
      <c r="A60" s="205"/>
      <c r="B60" s="46">
        <v>20</v>
      </c>
      <c r="C60" s="105" t="s">
        <v>117</v>
      </c>
      <c r="D60" s="68">
        <v>0</v>
      </c>
      <c r="E60" s="69">
        <f>References!$B$7</f>
        <v>4.333333333333333</v>
      </c>
      <c r="F60" s="68">
        <f t="shared" si="40"/>
        <v>52</v>
      </c>
      <c r="G60" s="68">
        <f>References!B18</f>
        <v>117</v>
      </c>
      <c r="H60" s="68">
        <f t="shared" si="41"/>
        <v>6084</v>
      </c>
      <c r="I60" s="45">
        <f t="shared" si="39"/>
        <v>5746.3771703653492</v>
      </c>
      <c r="J60" s="67">
        <f>(References!$C$49*I60)</f>
        <v>12.929348633322007</v>
      </c>
      <c r="K60" s="67">
        <f>J60/References!$G$52</f>
        <v>13.179764152214075</v>
      </c>
      <c r="L60" s="67">
        <f t="shared" si="42"/>
        <v>1.0983136793511727</v>
      </c>
      <c r="M60" s="163">
        <v>31.28</v>
      </c>
      <c r="N60" s="156">
        <f t="shared" si="43"/>
        <v>32.378313679351173</v>
      </c>
      <c r="O60" s="67"/>
      <c r="P60" s="67"/>
      <c r="Q60" s="67"/>
      <c r="S60" s="174"/>
    </row>
    <row r="61" spans="1:19" s="59" customFormat="1">
      <c r="A61" s="205"/>
      <c r="B61" s="46">
        <v>20</v>
      </c>
      <c r="C61" s="105" t="s">
        <v>118</v>
      </c>
      <c r="D61" s="68">
        <v>0</v>
      </c>
      <c r="E61" s="69">
        <f>References!$B$7</f>
        <v>4.333333333333333</v>
      </c>
      <c r="F61" s="68">
        <f t="shared" si="40"/>
        <v>52</v>
      </c>
      <c r="G61" s="68">
        <f>References!B19</f>
        <v>157</v>
      </c>
      <c r="H61" s="68">
        <f t="shared" si="41"/>
        <v>8164</v>
      </c>
      <c r="I61" s="45">
        <f t="shared" si="39"/>
        <v>7710.9505619432457</v>
      </c>
      <c r="J61" s="67">
        <f>(References!$C$49*I61)</f>
        <v>17.349638764372266</v>
      </c>
      <c r="K61" s="67">
        <f>J61/References!$G$52</f>
        <v>17.685666426475297</v>
      </c>
      <c r="L61" s="67">
        <f t="shared" si="42"/>
        <v>1.473805535539608</v>
      </c>
      <c r="M61" s="163">
        <v>37.119999999999997</v>
      </c>
      <c r="N61" s="156">
        <f>L61+M61</f>
        <v>38.593805535539609</v>
      </c>
      <c r="O61" s="67"/>
      <c r="P61" s="67"/>
      <c r="Q61" s="67"/>
      <c r="S61" s="174"/>
    </row>
    <row r="62" spans="1:19" s="59" customFormat="1">
      <c r="A62" s="205"/>
      <c r="B62" s="46">
        <v>20</v>
      </c>
      <c r="C62" s="105" t="s">
        <v>111</v>
      </c>
      <c r="D62" s="68">
        <v>0</v>
      </c>
      <c r="E62" s="69">
        <f>References!B9</f>
        <v>1</v>
      </c>
      <c r="F62" s="68">
        <f t="shared" si="40"/>
        <v>12</v>
      </c>
      <c r="G62" s="68">
        <f>References!B14</f>
        <v>34</v>
      </c>
      <c r="H62" s="68">
        <f t="shared" si="41"/>
        <v>408</v>
      </c>
      <c r="I62" s="45">
        <f t="shared" si="39"/>
        <v>385.35862680951055</v>
      </c>
      <c r="J62" s="67">
        <f>(References!$C$49*I62)</f>
        <v>0.86705691032139687</v>
      </c>
      <c r="K62" s="67">
        <f>J62/References!$G$52</f>
        <v>0.88385006148970124</v>
      </c>
      <c r="L62" s="67">
        <f t="shared" si="42"/>
        <v>7.3654171790808437E-2</v>
      </c>
      <c r="M62" s="163">
        <v>4.9400000000000004</v>
      </c>
      <c r="N62" s="156">
        <f t="shared" si="43"/>
        <v>5.013654171790809</v>
      </c>
      <c r="O62" s="67"/>
      <c r="P62" s="67"/>
      <c r="Q62" s="67"/>
      <c r="S62" s="174"/>
    </row>
    <row r="63" spans="1:19" s="59" customFormat="1">
      <c r="A63" s="205"/>
      <c r="B63" s="46">
        <v>20</v>
      </c>
      <c r="C63" s="105" t="s">
        <v>112</v>
      </c>
      <c r="D63" s="68">
        <v>0</v>
      </c>
      <c r="E63" s="69">
        <f>References!C9</f>
        <v>2</v>
      </c>
      <c r="F63" s="68">
        <f t="shared" si="40"/>
        <v>24</v>
      </c>
      <c r="G63" s="68">
        <f>References!B14</f>
        <v>34</v>
      </c>
      <c r="H63" s="68">
        <f t="shared" si="41"/>
        <v>816</v>
      </c>
      <c r="I63" s="45">
        <f t="shared" si="39"/>
        <v>770.71725361902111</v>
      </c>
      <c r="J63" s="67">
        <f>(References!$C$49*I63)</f>
        <v>1.7341138206427937</v>
      </c>
      <c r="K63" s="67">
        <f>J63/References!$G$52</f>
        <v>1.7677001229794025</v>
      </c>
      <c r="L63" s="67">
        <f t="shared" si="42"/>
        <v>0.14730834358161687</v>
      </c>
      <c r="M63" s="163">
        <v>9.91</v>
      </c>
      <c r="N63" s="156">
        <f t="shared" si="43"/>
        <v>10.057308343581617</v>
      </c>
      <c r="O63" s="67"/>
      <c r="P63" s="67"/>
      <c r="Q63" s="67"/>
      <c r="S63" s="174"/>
    </row>
    <row r="64" spans="1:19" s="59" customFormat="1">
      <c r="A64" s="205"/>
      <c r="B64" s="114">
        <v>20</v>
      </c>
      <c r="C64" s="43" t="s">
        <v>99</v>
      </c>
      <c r="D64" s="68">
        <v>0</v>
      </c>
      <c r="E64" s="69">
        <f>References!$B$7</f>
        <v>4.333333333333333</v>
      </c>
      <c r="F64" s="68">
        <v>52</v>
      </c>
      <c r="G64" s="145">
        <f>References!B21</f>
        <v>47</v>
      </c>
      <c r="H64" s="68">
        <f>F64*G64</f>
        <v>2444</v>
      </c>
      <c r="I64" s="45">
        <f t="shared" si="39"/>
        <v>2308.373735104029</v>
      </c>
      <c r="J64" s="67">
        <f>(References!$C$49*I64)</f>
        <v>5.1938409039840536</v>
      </c>
      <c r="K64" s="67">
        <f>J64/References!$G$52</f>
        <v>5.2944351722569358</v>
      </c>
      <c r="L64" s="67">
        <f>IFERROR(K64/F64*E64,0)</f>
        <v>0.44120293102141128</v>
      </c>
      <c r="M64" s="162">
        <v>17.329999999999998</v>
      </c>
      <c r="N64" s="156">
        <f>L64+M64</f>
        <v>17.77120293102141</v>
      </c>
      <c r="O64" s="67"/>
      <c r="P64" s="67"/>
      <c r="Q64" s="67"/>
      <c r="S64" s="174"/>
    </row>
    <row r="65" spans="1:19" s="59" customFormat="1">
      <c r="A65" s="205"/>
      <c r="B65" s="114">
        <v>20</v>
      </c>
      <c r="C65" s="43" t="s">
        <v>101</v>
      </c>
      <c r="D65" s="68">
        <v>0</v>
      </c>
      <c r="E65" s="69">
        <f>References!$B$9</f>
        <v>1</v>
      </c>
      <c r="F65" s="68">
        <v>12</v>
      </c>
      <c r="G65" s="145">
        <f>References!B21</f>
        <v>47</v>
      </c>
      <c r="H65" s="68">
        <f>F65*G65</f>
        <v>564</v>
      </c>
      <c r="I65" s="45">
        <f t="shared" si="39"/>
        <v>532.70163117785285</v>
      </c>
      <c r="J65" s="67">
        <f>(References!$C$49*I65)</f>
        <v>1.1985786701501662</v>
      </c>
      <c r="K65" s="67">
        <f>J65/References!$G$52</f>
        <v>1.2217927320592927</v>
      </c>
      <c r="L65" s="67">
        <f>IFERROR(K65/F65*E65,0)</f>
        <v>0.10181606100494106</v>
      </c>
      <c r="M65" s="162">
        <v>3.93</v>
      </c>
      <c r="N65" s="156">
        <f>L65+M65</f>
        <v>4.0318160610049416</v>
      </c>
      <c r="O65" s="67"/>
      <c r="P65" s="67"/>
      <c r="Q65" s="67"/>
      <c r="S65" s="174"/>
    </row>
    <row r="66" spans="1:19" s="59" customFormat="1">
      <c r="A66" s="205"/>
      <c r="B66" s="46">
        <v>20</v>
      </c>
      <c r="C66" s="105" t="s">
        <v>175</v>
      </c>
      <c r="D66" s="68">
        <v>0</v>
      </c>
      <c r="E66" s="69">
        <f>References!$B$7</f>
        <v>4.333333333333333</v>
      </c>
      <c r="F66" s="68">
        <f t="shared" si="40"/>
        <v>52</v>
      </c>
      <c r="G66" s="68">
        <f>References!B14</f>
        <v>34</v>
      </c>
      <c r="H66" s="68">
        <f t="shared" si="41"/>
        <v>1768</v>
      </c>
      <c r="I66" s="45">
        <f t="shared" si="39"/>
        <v>1669.8873828412125</v>
      </c>
      <c r="J66" s="67">
        <f>(References!$C$49*I66)</f>
        <v>3.7572466113927199</v>
      </c>
      <c r="K66" s="67">
        <f>J66/References!$G$52</f>
        <v>3.8300169331220388</v>
      </c>
      <c r="L66" s="67">
        <f t="shared" si="42"/>
        <v>0.31916807776016987</v>
      </c>
      <c r="M66" s="163">
        <v>13.09</v>
      </c>
      <c r="N66" s="156">
        <f t="shared" si="43"/>
        <v>13.409168077760169</v>
      </c>
      <c r="O66" s="67"/>
      <c r="P66" s="67"/>
      <c r="Q66" s="67"/>
      <c r="S66" s="174"/>
    </row>
    <row r="67" spans="1:19" s="59" customFormat="1">
      <c r="A67" s="205"/>
      <c r="B67" s="46">
        <v>20</v>
      </c>
      <c r="C67" s="105" t="s">
        <v>176</v>
      </c>
      <c r="D67" s="68">
        <v>0</v>
      </c>
      <c r="E67" s="69">
        <f>References!$B$7</f>
        <v>4.333333333333333</v>
      </c>
      <c r="F67" s="68">
        <f t="shared" si="40"/>
        <v>52</v>
      </c>
      <c r="G67" s="68">
        <f>References!B22</f>
        <v>68</v>
      </c>
      <c r="H67" s="68">
        <f t="shared" si="41"/>
        <v>3536</v>
      </c>
      <c r="I67" s="45">
        <f t="shared" si="39"/>
        <v>3339.7747656824249</v>
      </c>
      <c r="J67" s="67">
        <f>(References!$C$49*I67)</f>
        <v>7.5144932227854397</v>
      </c>
      <c r="K67" s="67">
        <f>J67/References!$G$52</f>
        <v>7.6600338662440777</v>
      </c>
      <c r="L67" s="67">
        <f t="shared" si="42"/>
        <v>0.63833615552033973</v>
      </c>
      <c r="M67" s="163">
        <v>21.89</v>
      </c>
      <c r="N67" s="156">
        <f t="shared" si="43"/>
        <v>22.528336155520339</v>
      </c>
      <c r="O67" s="67"/>
      <c r="P67" s="67"/>
      <c r="Q67" s="67"/>
      <c r="S67" s="174"/>
    </row>
    <row r="68" spans="1:19" s="59" customFormat="1">
      <c r="A68" s="205"/>
      <c r="B68" s="46">
        <v>20</v>
      </c>
      <c r="C68" s="105" t="s">
        <v>177</v>
      </c>
      <c r="D68" s="68">
        <v>0</v>
      </c>
      <c r="E68" s="69">
        <f>References!$B$7</f>
        <v>4.333333333333333</v>
      </c>
      <c r="F68" s="68">
        <f t="shared" si="40"/>
        <v>52</v>
      </c>
      <c r="G68" s="68">
        <f>References!B13</f>
        <v>20</v>
      </c>
      <c r="H68" s="68">
        <f t="shared" si="41"/>
        <v>1040</v>
      </c>
      <c r="I68" s="45">
        <f t="shared" si="39"/>
        <v>982.28669578894858</v>
      </c>
      <c r="J68" s="67">
        <f>(References!$C$49*I68)</f>
        <v>2.2101450655251296</v>
      </c>
      <c r="K68" s="67">
        <f>J68/References!$G$52</f>
        <v>2.2529511371306112</v>
      </c>
      <c r="L68" s="67">
        <f t="shared" si="42"/>
        <v>0.18774592809421761</v>
      </c>
      <c r="M68" s="163">
        <v>11.26</v>
      </c>
      <c r="N68" s="156">
        <f t="shared" si="43"/>
        <v>11.447745928094218</v>
      </c>
      <c r="O68" s="67"/>
      <c r="P68" s="67"/>
      <c r="Q68" s="67"/>
      <c r="S68" s="174"/>
    </row>
    <row r="69" spans="1:19" s="59" customFormat="1" ht="15" customHeight="1">
      <c r="A69" s="134"/>
      <c r="B69" s="46">
        <v>20</v>
      </c>
      <c r="C69" s="43" t="s">
        <v>178</v>
      </c>
      <c r="D69" s="68">
        <v>0</v>
      </c>
      <c r="E69" s="69">
        <f>References!$B$7</f>
        <v>4.333333333333333</v>
      </c>
      <c r="F69" s="68">
        <f>E69*12</f>
        <v>52</v>
      </c>
      <c r="G69" s="68">
        <f>References!B14</f>
        <v>34</v>
      </c>
      <c r="H69" s="68">
        <f>F69*G69</f>
        <v>1768</v>
      </c>
      <c r="I69" s="45">
        <f t="shared" si="39"/>
        <v>1669.8873828412125</v>
      </c>
      <c r="J69" s="67">
        <f>(References!$C$49*I69)</f>
        <v>3.7572466113927199</v>
      </c>
      <c r="K69" s="67">
        <f>J69/References!$G$52</f>
        <v>3.8300169331220388</v>
      </c>
      <c r="L69" s="67">
        <f>K69/F69*E69</f>
        <v>0.31916807776016987</v>
      </c>
      <c r="M69" s="163">
        <v>7.95</v>
      </c>
      <c r="N69" s="156">
        <f>L69+M69</f>
        <v>8.2691680777601704</v>
      </c>
      <c r="O69" s="67"/>
      <c r="P69" s="67"/>
      <c r="Q69" s="67"/>
      <c r="S69" s="174"/>
    </row>
    <row r="70" spans="1:19" s="59" customFormat="1">
      <c r="A70" s="134"/>
      <c r="O70" s="67"/>
      <c r="P70" s="67"/>
      <c r="Q70" s="67"/>
      <c r="S70" s="174"/>
    </row>
    <row r="71" spans="1:19" s="59" customFormat="1">
      <c r="A71" s="134"/>
      <c r="B71" s="46"/>
      <c r="C71" s="107"/>
      <c r="D71" s="68"/>
      <c r="E71" s="69"/>
      <c r="F71" s="68"/>
      <c r="G71" s="68"/>
      <c r="H71" s="68"/>
      <c r="I71" s="45"/>
      <c r="J71" s="67"/>
      <c r="K71" s="67"/>
      <c r="L71" s="67"/>
      <c r="M71" s="92"/>
      <c r="N71" s="67"/>
      <c r="O71" s="67"/>
      <c r="P71" s="67"/>
      <c r="Q71" s="67"/>
      <c r="S71" s="174"/>
    </row>
    <row r="72" spans="1:19" s="59" customFormat="1">
      <c r="A72" s="126"/>
      <c r="B72" s="127"/>
      <c r="C72" s="107"/>
      <c r="D72" s="128"/>
      <c r="E72" s="129"/>
      <c r="F72" s="130"/>
      <c r="G72" s="130"/>
      <c r="H72" s="130"/>
      <c r="I72" s="131"/>
      <c r="J72" s="132"/>
      <c r="K72" s="132"/>
      <c r="L72" s="132"/>
      <c r="M72" s="133"/>
      <c r="N72" s="132"/>
      <c r="O72" s="67"/>
      <c r="P72" s="67"/>
      <c r="Q72" s="67"/>
      <c r="S72" s="174"/>
    </row>
    <row r="73" spans="1:19" s="59" customFormat="1" ht="15" customHeight="1">
      <c r="A73" s="206" t="s">
        <v>14</v>
      </c>
      <c r="B73" s="46">
        <v>21</v>
      </c>
      <c r="C73" s="105" t="s">
        <v>120</v>
      </c>
      <c r="D73" s="56">
        <v>0</v>
      </c>
      <c r="E73" s="69">
        <f>References!$B$9</f>
        <v>1</v>
      </c>
      <c r="F73" s="68">
        <f>E73*12</f>
        <v>12</v>
      </c>
      <c r="G73" s="68">
        <f>References!B42</f>
        <v>125</v>
      </c>
      <c r="H73" s="68">
        <f>F73*G73</f>
        <v>1500</v>
      </c>
      <c r="I73" s="45">
        <f t="shared" ref="I73:I88" si="44">$D$121*H73</f>
        <v>1416.7596573879066</v>
      </c>
      <c r="J73" s="67">
        <f>(References!$C$49*I73)</f>
        <v>3.1877092291227829</v>
      </c>
      <c r="K73" s="67">
        <f>J73/References!$G$52</f>
        <v>3.249448755476843</v>
      </c>
      <c r="L73" s="67">
        <f>K73/F73</f>
        <v>0.27078739628973691</v>
      </c>
      <c r="M73" s="163">
        <v>8.9921697010573105</v>
      </c>
      <c r="N73" s="156">
        <f>L73+M73</f>
        <v>9.2629570973470479</v>
      </c>
      <c r="O73" s="67"/>
      <c r="P73" s="67"/>
      <c r="Q73" s="67"/>
      <c r="S73" s="174"/>
    </row>
    <row r="74" spans="1:19" s="59" customFormat="1">
      <c r="A74" s="205"/>
      <c r="B74" s="46">
        <v>21</v>
      </c>
      <c r="C74" s="105" t="s">
        <v>121</v>
      </c>
      <c r="D74" s="56">
        <v>0</v>
      </c>
      <c r="E74" s="69">
        <f>References!$B$9</f>
        <v>1</v>
      </c>
      <c r="F74" s="68">
        <f>E74*12</f>
        <v>12</v>
      </c>
      <c r="G74" s="68">
        <f>References!B42</f>
        <v>125</v>
      </c>
      <c r="H74" s="68">
        <f>F74*G74</f>
        <v>1500</v>
      </c>
      <c r="I74" s="45">
        <f t="shared" si="44"/>
        <v>1416.7596573879066</v>
      </c>
      <c r="J74" s="67">
        <f>(References!$C$49*I74)</f>
        <v>3.1877092291227829</v>
      </c>
      <c r="K74" s="67">
        <f>J74/References!$G$52</f>
        <v>3.249448755476843</v>
      </c>
      <c r="L74" s="67">
        <f>K74/F74</f>
        <v>0.27078739628973691</v>
      </c>
      <c r="M74" s="163">
        <v>10.37216970105731</v>
      </c>
      <c r="N74" s="156">
        <f>L74+M74</f>
        <v>10.642957097347047</v>
      </c>
      <c r="O74" s="67"/>
      <c r="P74" s="67"/>
      <c r="Q74" s="67"/>
      <c r="S74" s="174"/>
    </row>
    <row r="75" spans="1:19" s="59" customFormat="1">
      <c r="A75" s="205"/>
      <c r="B75" s="46">
        <v>21</v>
      </c>
      <c r="C75" s="105" t="s">
        <v>122</v>
      </c>
      <c r="D75" s="56">
        <v>0</v>
      </c>
      <c r="E75" s="69">
        <f>References!$B$9</f>
        <v>1</v>
      </c>
      <c r="F75" s="68">
        <f>E75*12</f>
        <v>12</v>
      </c>
      <c r="G75" s="68">
        <f>References!B42</f>
        <v>125</v>
      </c>
      <c r="H75" s="68">
        <f>F75*G75</f>
        <v>1500</v>
      </c>
      <c r="I75" s="45">
        <f t="shared" si="44"/>
        <v>1416.7596573879066</v>
      </c>
      <c r="J75" s="67">
        <f>(References!$C$49*I75)</f>
        <v>3.1877092291227829</v>
      </c>
      <c r="K75" s="67">
        <f>J75/References!$G$52</f>
        <v>3.249448755476843</v>
      </c>
      <c r="L75" s="67">
        <f>K75/F75</f>
        <v>0.27078739628973691</v>
      </c>
      <c r="M75" s="163">
        <v>9.4021697010573106</v>
      </c>
      <c r="N75" s="156">
        <f>L75+M75</f>
        <v>9.672957097347048</v>
      </c>
      <c r="O75" s="67"/>
      <c r="P75" s="67"/>
      <c r="Q75" s="67"/>
      <c r="S75" s="174"/>
    </row>
    <row r="76" spans="1:19" s="59" customFormat="1">
      <c r="A76" s="205"/>
      <c r="B76" s="46">
        <v>28</v>
      </c>
      <c r="C76" s="154" t="s">
        <v>132</v>
      </c>
      <c r="D76" s="56">
        <v>0</v>
      </c>
      <c r="E76" s="69">
        <f>References!$B$9</f>
        <v>1</v>
      </c>
      <c r="F76" s="68">
        <f t="shared" ref="F76:F81" si="45">E76*12</f>
        <v>12</v>
      </c>
      <c r="G76" s="68">
        <f>References!B28</f>
        <v>250</v>
      </c>
      <c r="H76" s="106">
        <f t="shared" ref="H76:H81" si="46">F76*G76</f>
        <v>3000</v>
      </c>
      <c r="I76" s="45">
        <f t="shared" si="44"/>
        <v>2833.5193147758132</v>
      </c>
      <c r="J76" s="67">
        <f>(References!$C$49*I76)</f>
        <v>6.3754184582455657</v>
      </c>
      <c r="K76" s="67">
        <f>J76/References!$G$52</f>
        <v>6.498897510953686</v>
      </c>
      <c r="L76" s="67">
        <f t="shared" ref="L76:L81" si="47">K76/F76</f>
        <v>0.54157479257947383</v>
      </c>
      <c r="M76" s="163">
        <v>20.854339402114618</v>
      </c>
      <c r="N76" s="156">
        <f t="shared" ref="N76:N81" si="48">L76+M76</f>
        <v>21.395914194694093</v>
      </c>
      <c r="O76" s="67"/>
      <c r="P76" s="67"/>
      <c r="Q76" s="67"/>
      <c r="S76" s="174"/>
    </row>
    <row r="77" spans="1:19" s="59" customFormat="1">
      <c r="A77" s="205"/>
      <c r="B77" s="46">
        <v>28</v>
      </c>
      <c r="C77" s="43" t="s">
        <v>135</v>
      </c>
      <c r="D77" s="56">
        <v>0</v>
      </c>
      <c r="E77" s="69">
        <f>References!$B$9</f>
        <v>1</v>
      </c>
      <c r="F77" s="68">
        <f t="shared" si="45"/>
        <v>12</v>
      </c>
      <c r="G77" s="68">
        <f>References!B29</f>
        <v>324</v>
      </c>
      <c r="H77" s="106">
        <f t="shared" si="46"/>
        <v>3888</v>
      </c>
      <c r="I77" s="45">
        <f t="shared" si="44"/>
        <v>3672.2410319494538</v>
      </c>
      <c r="J77" s="67">
        <f>(References!$C$49*I77)</f>
        <v>8.2625423218862526</v>
      </c>
      <c r="K77" s="67">
        <f>J77/References!$G$52</f>
        <v>8.4225711741959763</v>
      </c>
      <c r="L77" s="67">
        <f t="shared" si="47"/>
        <v>0.70188093118299799</v>
      </c>
      <c r="M77" s="163">
        <v>27.554823865140548</v>
      </c>
      <c r="N77" s="156">
        <f t="shared" si="48"/>
        <v>28.256704796323547</v>
      </c>
      <c r="O77" s="67"/>
      <c r="P77" s="67"/>
      <c r="Q77" s="67"/>
      <c r="S77" s="174"/>
    </row>
    <row r="78" spans="1:19" s="59" customFormat="1">
      <c r="A78" s="205"/>
      <c r="B78" s="46">
        <v>28</v>
      </c>
      <c r="C78" s="154" t="s">
        <v>137</v>
      </c>
      <c r="D78" s="56">
        <v>0</v>
      </c>
      <c r="E78" s="69">
        <v>1</v>
      </c>
      <c r="F78" s="68">
        <f t="shared" si="45"/>
        <v>12</v>
      </c>
      <c r="G78" s="68">
        <f>References!B30</f>
        <v>473</v>
      </c>
      <c r="H78" s="106">
        <f t="shared" si="46"/>
        <v>5676</v>
      </c>
      <c r="I78" s="45">
        <f t="shared" si="44"/>
        <v>5361.0185435558387</v>
      </c>
      <c r="J78" s="67">
        <f>(References!$C$49*I78)</f>
        <v>12.062291723000611</v>
      </c>
      <c r="K78" s="67">
        <f>J78/References!$G$52</f>
        <v>12.295914090724374</v>
      </c>
      <c r="L78" s="67">
        <f t="shared" si="47"/>
        <v>1.0246595075603644</v>
      </c>
      <c r="M78" s="163">
        <v>40.296610148800859</v>
      </c>
      <c r="N78" s="156">
        <f t="shared" si="48"/>
        <v>41.321269656361224</v>
      </c>
      <c r="O78" s="67"/>
      <c r="P78" s="67"/>
      <c r="Q78" s="67"/>
      <c r="S78" s="174"/>
    </row>
    <row r="79" spans="1:19" s="59" customFormat="1">
      <c r="A79" s="205"/>
      <c r="B79" s="46" t="s">
        <v>187</v>
      </c>
      <c r="C79" s="121" t="s">
        <v>105</v>
      </c>
      <c r="D79" s="56"/>
      <c r="E79" s="69">
        <v>1</v>
      </c>
      <c r="F79" s="123">
        <v>52</v>
      </c>
      <c r="G79" s="145">
        <f>References!B26</f>
        <v>29</v>
      </c>
      <c r="H79" s="68">
        <f>F79*G79</f>
        <v>1508</v>
      </c>
      <c r="I79" s="45">
        <f t="shared" si="44"/>
        <v>1424.3157088939754</v>
      </c>
      <c r="J79" s="67">
        <f>(References!$C$49*I79)</f>
        <v>3.2047103450114376</v>
      </c>
      <c r="K79" s="67">
        <f>J79/References!$G$52</f>
        <v>3.2667791488393858</v>
      </c>
      <c r="L79" s="67">
        <f>IFERROR(K79/F79,0)</f>
        <v>6.2822675939218961E-2</v>
      </c>
      <c r="M79" s="163">
        <v>3.24</v>
      </c>
      <c r="N79" s="156">
        <f>L79+M79</f>
        <v>3.3028226759392192</v>
      </c>
      <c r="O79" s="67"/>
      <c r="P79" s="67"/>
      <c r="Q79" s="67"/>
      <c r="S79" s="174"/>
    </row>
    <row r="80" spans="1:19" s="59" customFormat="1">
      <c r="A80" s="205"/>
      <c r="B80" s="46" t="s">
        <v>179</v>
      </c>
      <c r="C80" s="105" t="s">
        <v>123</v>
      </c>
      <c r="D80" s="56">
        <v>0</v>
      </c>
      <c r="E80" s="69">
        <f>References!$B$9</f>
        <v>1</v>
      </c>
      <c r="F80" s="68">
        <f t="shared" si="45"/>
        <v>12</v>
      </c>
      <c r="G80" s="68">
        <f>References!B22</f>
        <v>68</v>
      </c>
      <c r="H80" s="68">
        <f t="shared" si="46"/>
        <v>816</v>
      </c>
      <c r="I80" s="45">
        <f t="shared" si="44"/>
        <v>770.71725361902111</v>
      </c>
      <c r="J80" s="67">
        <f>(References!$C$49*I80)</f>
        <v>1.7341138206427937</v>
      </c>
      <c r="K80" s="67">
        <f>J80/References!$G$52</f>
        <v>1.7677001229794025</v>
      </c>
      <c r="L80" s="67">
        <f t="shared" si="47"/>
        <v>0.14730834358161687</v>
      </c>
      <c r="M80" s="163">
        <v>5.585580317375177</v>
      </c>
      <c r="N80" s="156">
        <f t="shared" si="48"/>
        <v>5.7328886609567942</v>
      </c>
      <c r="O80" s="67"/>
      <c r="P80" s="67"/>
      <c r="Q80" s="67"/>
      <c r="S80" s="174"/>
    </row>
    <row r="81" spans="1:19" s="59" customFormat="1">
      <c r="A81" s="205"/>
      <c r="B81" s="46" t="s">
        <v>179</v>
      </c>
      <c r="C81" s="105" t="s">
        <v>119</v>
      </c>
      <c r="D81" s="56">
        <v>0</v>
      </c>
      <c r="E81" s="69">
        <f>References!$B$9</f>
        <v>1</v>
      </c>
      <c r="F81" s="68">
        <f t="shared" si="45"/>
        <v>12</v>
      </c>
      <c r="G81" s="68">
        <f>References!B21</f>
        <v>47</v>
      </c>
      <c r="H81" s="106">
        <f t="shared" si="46"/>
        <v>564</v>
      </c>
      <c r="I81" s="45">
        <f t="shared" si="44"/>
        <v>532.70163117785285</v>
      </c>
      <c r="J81" s="67">
        <f>(References!$C$49*I81)</f>
        <v>1.1985786701501662</v>
      </c>
      <c r="K81" s="67">
        <f>J81/References!$G$52</f>
        <v>1.2217927320592927</v>
      </c>
      <c r="L81" s="67">
        <f t="shared" si="47"/>
        <v>0.10181606100494106</v>
      </c>
      <c r="M81" s="163">
        <v>5.43</v>
      </c>
      <c r="N81" s="156">
        <f t="shared" si="48"/>
        <v>5.5318160610049407</v>
      </c>
      <c r="O81" s="67"/>
      <c r="P81" s="67"/>
      <c r="Q81" s="67"/>
      <c r="S81" s="174"/>
    </row>
    <row r="82" spans="1:19" s="59" customFormat="1">
      <c r="A82" s="205"/>
      <c r="B82" s="46">
        <v>28</v>
      </c>
      <c r="C82" s="121" t="s">
        <v>129</v>
      </c>
      <c r="D82" s="56">
        <v>0</v>
      </c>
      <c r="E82" s="69">
        <f>References!$B$9</f>
        <v>1</v>
      </c>
      <c r="F82" s="68">
        <f t="shared" ref="F82:F88" si="49">E82*12</f>
        <v>12</v>
      </c>
      <c r="G82" s="145">
        <f>References!B27</f>
        <v>175</v>
      </c>
      <c r="H82" s="68">
        <f t="shared" ref="H82:H88" si="50">F82*G82</f>
        <v>2100</v>
      </c>
      <c r="I82" s="45">
        <f t="shared" si="44"/>
        <v>1983.4635203430691</v>
      </c>
      <c r="J82" s="67">
        <f>(References!$C$49*I82)</f>
        <v>4.4627929207718955</v>
      </c>
      <c r="K82" s="67">
        <f>J82/References!$G$52</f>
        <v>4.54922825766758</v>
      </c>
      <c r="L82" s="67">
        <f t="shared" ref="L82:L88" si="51">IFERROR(K82/F82,0)</f>
        <v>0.37910235480563165</v>
      </c>
      <c r="M82" s="164">
        <v>15.733037581480234</v>
      </c>
      <c r="N82" s="156">
        <f t="shared" ref="N82:N93" si="52">L82+M82</f>
        <v>16.112139936285867</v>
      </c>
      <c r="O82" s="67"/>
      <c r="P82" s="67"/>
      <c r="Q82" s="67"/>
      <c r="S82" s="174"/>
    </row>
    <row r="83" spans="1:19" s="59" customFormat="1">
      <c r="A83" s="205"/>
      <c r="B83" s="46">
        <v>28</v>
      </c>
      <c r="C83" s="121" t="s">
        <v>138</v>
      </c>
      <c r="D83" s="56">
        <v>0</v>
      </c>
      <c r="E83" s="69">
        <f>References!$B$9</f>
        <v>1</v>
      </c>
      <c r="F83" s="68">
        <f t="shared" si="49"/>
        <v>12</v>
      </c>
      <c r="G83" s="145">
        <f>References!$B$30</f>
        <v>473</v>
      </c>
      <c r="H83" s="68">
        <f t="shared" si="50"/>
        <v>5676</v>
      </c>
      <c r="I83" s="45">
        <f t="shared" si="44"/>
        <v>5361.0185435558387</v>
      </c>
      <c r="J83" s="67">
        <f>(References!$C$49*I83)</f>
        <v>12.062291723000611</v>
      </c>
      <c r="K83" s="67">
        <f>J83/References!$G$52</f>
        <v>12.295914090724374</v>
      </c>
      <c r="L83" s="67">
        <f t="shared" si="51"/>
        <v>1.0246595075603644</v>
      </c>
      <c r="M83" s="164">
        <v>41.206610148800863</v>
      </c>
      <c r="N83" s="156">
        <f t="shared" si="52"/>
        <v>42.231269656361228</v>
      </c>
      <c r="O83" s="67"/>
      <c r="P83" s="67"/>
      <c r="Q83" s="67"/>
      <c r="S83" s="174"/>
    </row>
    <row r="84" spans="1:19" s="59" customFormat="1">
      <c r="A84" s="205"/>
      <c r="B84" s="46">
        <v>28</v>
      </c>
      <c r="C84" s="121" t="s">
        <v>141</v>
      </c>
      <c r="D84" s="56">
        <v>0</v>
      </c>
      <c r="E84" s="69">
        <f>References!$B$9</f>
        <v>1</v>
      </c>
      <c r="F84" s="68">
        <f t="shared" si="49"/>
        <v>12</v>
      </c>
      <c r="G84" s="149">
        <f>References!$B$31</f>
        <v>613</v>
      </c>
      <c r="H84" s="68">
        <f t="shared" si="50"/>
        <v>7356</v>
      </c>
      <c r="I84" s="45">
        <f t="shared" si="44"/>
        <v>6947.7893598302935</v>
      </c>
      <c r="J84" s="67">
        <f>(References!$C$49*I84)</f>
        <v>15.632526059618126</v>
      </c>
      <c r="K84" s="67">
        <f>J84/References!$G$52</f>
        <v>15.935296696858437</v>
      </c>
      <c r="L84" s="67">
        <f t="shared" si="51"/>
        <v>1.3279413914048697</v>
      </c>
      <c r="M84" s="164">
        <v>54.701040213985053</v>
      </c>
      <c r="N84" s="156">
        <f t="shared" si="52"/>
        <v>56.028981605389923</v>
      </c>
      <c r="O84" s="67"/>
      <c r="P84" s="67"/>
      <c r="Q84" s="67"/>
      <c r="S84" s="174"/>
    </row>
    <row r="85" spans="1:19" s="59" customFormat="1">
      <c r="A85" s="205"/>
      <c r="B85" s="46">
        <v>28</v>
      </c>
      <c r="C85" s="121" t="s">
        <v>143</v>
      </c>
      <c r="D85" s="56">
        <v>0</v>
      </c>
      <c r="E85" s="69">
        <f>References!$B$9</f>
        <v>1</v>
      </c>
      <c r="F85" s="68">
        <f t="shared" si="49"/>
        <v>12</v>
      </c>
      <c r="G85" s="147">
        <v>766.25</v>
      </c>
      <c r="H85" s="106">
        <f t="shared" si="50"/>
        <v>9195</v>
      </c>
      <c r="I85" s="45">
        <f t="shared" si="44"/>
        <v>8684.7366997878671</v>
      </c>
      <c r="J85" s="67">
        <f>(References!$C$49*I85)</f>
        <v>19.540657574522658</v>
      </c>
      <c r="K85" s="67">
        <f>J85/References!$G$52</f>
        <v>19.919120871073048</v>
      </c>
      <c r="L85" s="67">
        <f t="shared" si="51"/>
        <v>1.6599267392560872</v>
      </c>
      <c r="M85" s="164">
        <v>68.116300267481307</v>
      </c>
      <c r="N85" s="156">
        <f t="shared" si="52"/>
        <v>69.7762270067374</v>
      </c>
      <c r="O85" s="67"/>
      <c r="P85" s="67"/>
      <c r="Q85" s="67"/>
    </row>
    <row r="86" spans="1:19" s="59" customFormat="1">
      <c r="A86" s="205"/>
      <c r="B86" s="46">
        <v>28</v>
      </c>
      <c r="C86" s="121" t="s">
        <v>144</v>
      </c>
      <c r="D86" s="56">
        <v>0</v>
      </c>
      <c r="E86" s="69">
        <f>References!$B$9</f>
        <v>1</v>
      </c>
      <c r="F86" s="68">
        <f t="shared" si="49"/>
        <v>12</v>
      </c>
      <c r="G86" s="147">
        <v>766.25</v>
      </c>
      <c r="H86" s="106">
        <f t="shared" si="50"/>
        <v>9195</v>
      </c>
      <c r="I86" s="45">
        <f t="shared" si="44"/>
        <v>8684.7366997878671</v>
      </c>
      <c r="J86" s="67">
        <f>(References!$C$49*I86)</f>
        <v>19.540657574522658</v>
      </c>
      <c r="K86" s="67">
        <f>J86/References!$G$52</f>
        <v>19.919120871073048</v>
      </c>
      <c r="L86" s="67">
        <f t="shared" si="51"/>
        <v>1.6599267392560872</v>
      </c>
      <c r="M86" s="164">
        <v>63.456300267481311</v>
      </c>
      <c r="N86" s="156">
        <f t="shared" si="52"/>
        <v>65.116227006737404</v>
      </c>
      <c r="O86" s="67"/>
      <c r="P86" s="67"/>
      <c r="Q86" s="67"/>
    </row>
    <row r="87" spans="1:19" s="59" customFormat="1">
      <c r="A87" s="205"/>
      <c r="B87" s="46" t="s">
        <v>187</v>
      </c>
      <c r="C87" s="121" t="s">
        <v>146</v>
      </c>
      <c r="D87" s="56">
        <v>0</v>
      </c>
      <c r="E87" s="69">
        <f>References!$B$9</f>
        <v>1</v>
      </c>
      <c r="F87" s="68">
        <f t="shared" si="49"/>
        <v>12</v>
      </c>
      <c r="G87" s="145">
        <f>References!$B$32</f>
        <v>840</v>
      </c>
      <c r="H87" s="106">
        <f t="shared" si="50"/>
        <v>10080</v>
      </c>
      <c r="I87" s="45">
        <f t="shared" si="44"/>
        <v>9520.6248976467323</v>
      </c>
      <c r="J87" s="67">
        <f>(References!$C$49*I87)</f>
        <v>21.421406019705099</v>
      </c>
      <c r="K87" s="67">
        <f>J87/References!$G$52</f>
        <v>21.836295636804383</v>
      </c>
      <c r="L87" s="67">
        <f t="shared" si="51"/>
        <v>1.8196913030670319</v>
      </c>
      <c r="M87" s="164">
        <v>76.426580391105119</v>
      </c>
      <c r="N87" s="156">
        <f t="shared" si="52"/>
        <v>78.246271694172151</v>
      </c>
      <c r="O87" s="67"/>
      <c r="P87" s="67"/>
      <c r="Q87" s="67"/>
    </row>
    <row r="88" spans="1:19" s="59" customFormat="1">
      <c r="A88" s="205"/>
      <c r="B88" s="46" t="s">
        <v>187</v>
      </c>
      <c r="C88" s="121" t="s">
        <v>149</v>
      </c>
      <c r="D88" s="56">
        <v>0</v>
      </c>
      <c r="E88" s="69">
        <f>References!$B$9</f>
        <v>1</v>
      </c>
      <c r="F88" s="68">
        <f t="shared" si="49"/>
        <v>12</v>
      </c>
      <c r="G88" s="146">
        <f>References!$B$33</f>
        <v>980</v>
      </c>
      <c r="H88" s="106">
        <f t="shared" si="50"/>
        <v>11760</v>
      </c>
      <c r="I88" s="45">
        <f t="shared" si="44"/>
        <v>11107.395713921187</v>
      </c>
      <c r="J88" s="67">
        <f>(References!$C$49*I88)</f>
        <v>24.991640356322616</v>
      </c>
      <c r="K88" s="67">
        <f>J88/References!$G$52</f>
        <v>25.475678242938447</v>
      </c>
      <c r="L88" s="67">
        <f t="shared" si="51"/>
        <v>2.1229731869115374</v>
      </c>
      <c r="M88" s="163">
        <v>82.131010456289317</v>
      </c>
      <c r="N88" s="156">
        <f t="shared" si="52"/>
        <v>84.253983643200854</v>
      </c>
      <c r="O88" s="67"/>
      <c r="P88" s="67"/>
      <c r="Q88" s="67"/>
    </row>
    <row r="89" spans="1:19" s="59" customFormat="1">
      <c r="A89" s="205"/>
      <c r="B89" s="46" t="s">
        <v>187</v>
      </c>
      <c r="C89" s="138" t="s">
        <v>173</v>
      </c>
      <c r="D89" s="141"/>
      <c r="E89" s="140"/>
      <c r="F89" s="140"/>
      <c r="G89" s="148"/>
      <c r="H89" s="144"/>
      <c r="I89" s="142"/>
      <c r="J89" s="143"/>
      <c r="K89" s="143"/>
      <c r="L89" s="143"/>
      <c r="M89" s="165">
        <v>25.73</v>
      </c>
      <c r="N89" s="157">
        <f t="shared" si="52"/>
        <v>25.73</v>
      </c>
      <c r="O89" s="67"/>
      <c r="P89" s="67"/>
      <c r="Q89" s="67"/>
    </row>
    <row r="90" spans="1:19" s="59" customFormat="1">
      <c r="A90" s="205"/>
      <c r="B90" s="46" t="s">
        <v>187</v>
      </c>
      <c r="C90" s="153" t="s">
        <v>150</v>
      </c>
      <c r="D90" s="68"/>
      <c r="E90" s="69">
        <f>References!$B$9</f>
        <v>1</v>
      </c>
      <c r="F90" s="123">
        <v>1</v>
      </c>
      <c r="G90" s="147">
        <v>1312.5</v>
      </c>
      <c r="H90" s="106">
        <f t="shared" ref="H90:H93" si="53">F90*G90</f>
        <v>1312.5</v>
      </c>
      <c r="I90" s="45">
        <f>$D$121*H90</f>
        <v>1239.6647002144182</v>
      </c>
      <c r="J90" s="67">
        <f>(References!$C$49*I90)</f>
        <v>2.7892455754824348</v>
      </c>
      <c r="K90" s="67">
        <f>J90/References!$G$52</f>
        <v>2.8432676610422374</v>
      </c>
      <c r="L90" s="67">
        <f>K90/F90</f>
        <v>2.8432676610422374</v>
      </c>
      <c r="M90" s="163">
        <v>94.97</v>
      </c>
      <c r="N90" s="156">
        <f t="shared" si="52"/>
        <v>97.813267661042232</v>
      </c>
      <c r="O90" s="67"/>
      <c r="P90" s="67"/>
      <c r="Q90" s="67"/>
    </row>
    <row r="91" spans="1:19" s="59" customFormat="1">
      <c r="A91" s="205"/>
      <c r="B91" s="46" t="s">
        <v>187</v>
      </c>
      <c r="C91" s="153" t="s">
        <v>196</v>
      </c>
      <c r="D91" s="68"/>
      <c r="E91" s="69">
        <f>References!$B$9</f>
        <v>1</v>
      </c>
      <c r="F91" s="123">
        <v>1</v>
      </c>
      <c r="G91" s="147">
        <v>1312.5</v>
      </c>
      <c r="H91" s="106">
        <f t="shared" si="53"/>
        <v>1312.5</v>
      </c>
      <c r="I91" s="45">
        <f>$D$121*H91</f>
        <v>1239.6647002144182</v>
      </c>
      <c r="J91" s="67">
        <f>(References!$C$49*I91)</f>
        <v>2.7892455754824348</v>
      </c>
      <c r="K91" s="67">
        <f>J91/References!$G$52</f>
        <v>2.8432676610422374</v>
      </c>
      <c r="L91" s="67">
        <f>K91/F91</f>
        <v>2.8432676610422374</v>
      </c>
      <c r="M91" s="163">
        <v>94.97</v>
      </c>
      <c r="N91" s="156">
        <f t="shared" si="52"/>
        <v>97.813267661042232</v>
      </c>
      <c r="O91" s="67"/>
      <c r="P91" s="67"/>
      <c r="Q91" s="67"/>
    </row>
    <row r="92" spans="1:19" s="59" customFormat="1">
      <c r="A92" s="205"/>
      <c r="B92" s="46" t="s">
        <v>187</v>
      </c>
      <c r="C92" s="121" t="s">
        <v>151</v>
      </c>
      <c r="D92" s="56"/>
      <c r="E92" s="69"/>
      <c r="F92" s="123">
        <v>12</v>
      </c>
      <c r="G92" s="147">
        <v>1312.5</v>
      </c>
      <c r="H92" s="106">
        <f t="shared" si="53"/>
        <v>15750</v>
      </c>
      <c r="I92" s="45">
        <f>$D$121*H92</f>
        <v>14875.976402573018</v>
      </c>
      <c r="J92" s="67">
        <f>(References!$C$49*I92)</f>
        <v>33.470946905789219</v>
      </c>
      <c r="K92" s="67">
        <f>J92/References!$G$52</f>
        <v>34.11921193250685</v>
      </c>
      <c r="L92" s="67">
        <f>IFERROR(K92/F92,0)</f>
        <v>2.8432676610422374</v>
      </c>
      <c r="M92" s="163">
        <v>101.37</v>
      </c>
      <c r="N92" s="156">
        <f t="shared" si="52"/>
        <v>104.21326766104224</v>
      </c>
      <c r="O92" s="67"/>
      <c r="P92" s="67"/>
      <c r="Q92" s="67"/>
    </row>
    <row r="93" spans="1:19" s="59" customFormat="1">
      <c r="A93" s="205"/>
      <c r="B93" s="46" t="s">
        <v>187</v>
      </c>
      <c r="C93" s="121" t="s">
        <v>152</v>
      </c>
      <c r="D93" s="56"/>
      <c r="E93" s="69"/>
      <c r="F93" s="123">
        <v>12</v>
      </c>
      <c r="G93" s="147">
        <v>1312.5</v>
      </c>
      <c r="H93" s="106">
        <f t="shared" si="53"/>
        <v>15750</v>
      </c>
      <c r="I93" s="45">
        <f>$D$121*H93</f>
        <v>14875.976402573018</v>
      </c>
      <c r="J93" s="67">
        <f>(References!$C$49*I93)</f>
        <v>33.470946905789219</v>
      </c>
      <c r="K93" s="67">
        <f>J93/References!$G$52</f>
        <v>34.11921193250685</v>
      </c>
      <c r="L93" s="67">
        <f>IFERROR(K93/F93,0)</f>
        <v>2.8432676610422374</v>
      </c>
      <c r="M93" s="163">
        <v>98.76</v>
      </c>
      <c r="N93" s="156">
        <f t="shared" si="52"/>
        <v>101.60326766104224</v>
      </c>
      <c r="O93" s="67"/>
      <c r="P93" s="67"/>
      <c r="Q93" s="67"/>
    </row>
    <row r="94" spans="1:19" s="59" customFormat="1">
      <c r="A94" s="205"/>
      <c r="B94" s="46"/>
      <c r="C94" s="136" t="s">
        <v>153</v>
      </c>
      <c r="D94" s="56"/>
      <c r="E94" s="69"/>
      <c r="F94" s="122"/>
      <c r="G94" s="145"/>
      <c r="H94" s="106"/>
      <c r="I94" s="45"/>
      <c r="J94" s="67"/>
      <c r="K94" s="67"/>
      <c r="L94" s="67"/>
      <c r="M94" s="67"/>
      <c r="N94" s="67"/>
      <c r="O94" s="67"/>
      <c r="P94" s="67"/>
      <c r="Q94" s="67"/>
    </row>
    <row r="95" spans="1:19" s="59" customFormat="1">
      <c r="A95" s="205"/>
      <c r="B95" s="46">
        <v>29</v>
      </c>
      <c r="C95" s="121" t="s">
        <v>154</v>
      </c>
      <c r="D95" s="56">
        <v>0</v>
      </c>
      <c r="E95" s="69">
        <f>References!$B$9</f>
        <v>1</v>
      </c>
      <c r="F95" s="68">
        <f t="shared" ref="F95:F112" si="54">E95*12</f>
        <v>12</v>
      </c>
      <c r="G95" s="145">
        <f>References!B26</f>
        <v>29</v>
      </c>
      <c r="H95" s="106">
        <f t="shared" ref="H95:H108" si="55">F95*G95</f>
        <v>348</v>
      </c>
      <c r="I95" s="45">
        <f t="shared" ref="I95:I112" si="56">$D$121*H95</f>
        <v>328.68824051399434</v>
      </c>
      <c r="J95" s="67">
        <f>(References!$C$49*I95)</f>
        <v>0.73954854115648561</v>
      </c>
      <c r="K95" s="67">
        <f>J95/References!$G$52</f>
        <v>0.75387211127062759</v>
      </c>
      <c r="L95" s="67">
        <f t="shared" ref="L95:L108" si="57">IFERROR(K95/F95,0)</f>
        <v>6.2822675939218961E-2</v>
      </c>
      <c r="M95" s="163">
        <v>2.943703370645296</v>
      </c>
      <c r="N95" s="156">
        <f t="shared" ref="N95:N108" si="58">L95+M95</f>
        <v>3.0065260465845149</v>
      </c>
      <c r="O95" s="67"/>
      <c r="P95" s="67"/>
      <c r="Q95" s="67"/>
    </row>
    <row r="96" spans="1:19" s="59" customFormat="1">
      <c r="A96" s="205"/>
      <c r="B96" s="46">
        <v>29</v>
      </c>
      <c r="C96" s="121" t="s">
        <v>155</v>
      </c>
      <c r="D96" s="56">
        <v>0</v>
      </c>
      <c r="E96" s="69">
        <f>References!$B$9</f>
        <v>1</v>
      </c>
      <c r="F96" s="68">
        <f t="shared" si="54"/>
        <v>12</v>
      </c>
      <c r="G96" s="145">
        <f>References!B26</f>
        <v>29</v>
      </c>
      <c r="H96" s="106">
        <f t="shared" si="55"/>
        <v>348</v>
      </c>
      <c r="I96" s="45">
        <f t="shared" si="56"/>
        <v>328.68824051399434</v>
      </c>
      <c r="J96" s="67">
        <f>(References!$C$49*I96)</f>
        <v>0.73954854115648561</v>
      </c>
      <c r="K96" s="67">
        <f>J96/References!$G$52</f>
        <v>0.75387211127062759</v>
      </c>
      <c r="L96" s="67">
        <f t="shared" si="57"/>
        <v>6.2822675939218961E-2</v>
      </c>
      <c r="M96" s="163">
        <v>2.943703370645296</v>
      </c>
      <c r="N96" s="156">
        <f t="shared" si="58"/>
        <v>3.0065260465845149</v>
      </c>
      <c r="O96" s="67"/>
      <c r="P96" s="67"/>
      <c r="Q96" s="67"/>
    </row>
    <row r="97" spans="1:17" s="59" customFormat="1">
      <c r="A97" s="205"/>
      <c r="B97" s="46">
        <v>29</v>
      </c>
      <c r="C97" s="121" t="s">
        <v>156</v>
      </c>
      <c r="D97" s="56">
        <v>0</v>
      </c>
      <c r="E97" s="69">
        <f>References!$B$9</f>
        <v>1</v>
      </c>
      <c r="F97" s="68">
        <f t="shared" si="54"/>
        <v>12</v>
      </c>
      <c r="G97" s="145">
        <f>References!B21</f>
        <v>47</v>
      </c>
      <c r="H97" s="106">
        <f t="shared" si="55"/>
        <v>564</v>
      </c>
      <c r="I97" s="45">
        <f t="shared" si="56"/>
        <v>532.70163117785285</v>
      </c>
      <c r="J97" s="67">
        <f>(References!$C$49*I97)</f>
        <v>1.1985786701501662</v>
      </c>
      <c r="K97" s="67">
        <f>J97/References!$G$52</f>
        <v>1.2217927320592927</v>
      </c>
      <c r="L97" s="67">
        <f t="shared" si="57"/>
        <v>0.10181606100494106</v>
      </c>
      <c r="M97" s="163">
        <v>3.94</v>
      </c>
      <c r="N97" s="156">
        <f t="shared" si="58"/>
        <v>4.0418160610049414</v>
      </c>
      <c r="O97" s="67"/>
      <c r="P97" s="67"/>
      <c r="Q97" s="67"/>
    </row>
    <row r="98" spans="1:17" s="59" customFormat="1">
      <c r="A98" s="205"/>
      <c r="B98" s="46">
        <v>29</v>
      </c>
      <c r="C98" s="121" t="s">
        <v>157</v>
      </c>
      <c r="D98" s="56">
        <v>0</v>
      </c>
      <c r="E98" s="69">
        <f>References!$B$9</f>
        <v>1</v>
      </c>
      <c r="F98" s="68">
        <f t="shared" si="54"/>
        <v>12</v>
      </c>
      <c r="G98" s="145">
        <f>References!B21</f>
        <v>47</v>
      </c>
      <c r="H98" s="106">
        <f t="shared" si="55"/>
        <v>564</v>
      </c>
      <c r="I98" s="45">
        <f t="shared" si="56"/>
        <v>532.70163117785285</v>
      </c>
      <c r="J98" s="67">
        <f>(References!$C$49*I98)</f>
        <v>1.1985786701501662</v>
      </c>
      <c r="K98" s="67">
        <f>J98/References!$G$52</f>
        <v>1.2217927320592927</v>
      </c>
      <c r="L98" s="67">
        <f t="shared" si="57"/>
        <v>0.10181606100494106</v>
      </c>
      <c r="M98" s="163">
        <v>3.94</v>
      </c>
      <c r="N98" s="156">
        <f t="shared" si="58"/>
        <v>4.0418160610049414</v>
      </c>
      <c r="O98" s="67"/>
      <c r="P98" s="67"/>
      <c r="Q98" s="67"/>
    </row>
    <row r="99" spans="1:17" s="59" customFormat="1">
      <c r="A99" s="205"/>
      <c r="B99" s="46">
        <v>29</v>
      </c>
      <c r="C99" s="121" t="s">
        <v>158</v>
      </c>
      <c r="D99" s="56">
        <v>0</v>
      </c>
      <c r="E99" s="69">
        <f>References!$B$9</f>
        <v>1</v>
      </c>
      <c r="F99" s="68">
        <f t="shared" si="54"/>
        <v>12</v>
      </c>
      <c r="G99" s="145">
        <f>References!B22</f>
        <v>68</v>
      </c>
      <c r="H99" s="106">
        <f t="shared" si="55"/>
        <v>816</v>
      </c>
      <c r="I99" s="45">
        <f t="shared" si="56"/>
        <v>770.71725361902111</v>
      </c>
      <c r="J99" s="67">
        <f>(References!$C$49*I99)</f>
        <v>1.7341138206427937</v>
      </c>
      <c r="K99" s="67">
        <f>J99/References!$G$52</f>
        <v>1.7677001229794025</v>
      </c>
      <c r="L99" s="67">
        <f t="shared" si="57"/>
        <v>0.14730834358161687</v>
      </c>
      <c r="M99" s="163">
        <v>4.9655803173751769</v>
      </c>
      <c r="N99" s="156">
        <f t="shared" si="58"/>
        <v>5.1128886609567941</v>
      </c>
      <c r="O99" s="67"/>
      <c r="P99" s="67"/>
      <c r="Q99" s="67"/>
    </row>
    <row r="100" spans="1:17" s="59" customFormat="1">
      <c r="A100" s="205"/>
      <c r="B100" s="46">
        <v>29</v>
      </c>
      <c r="C100" s="121" t="s">
        <v>159</v>
      </c>
      <c r="D100" s="56">
        <v>0</v>
      </c>
      <c r="E100" s="69">
        <f>References!$B$9</f>
        <v>1</v>
      </c>
      <c r="F100" s="68">
        <f t="shared" si="54"/>
        <v>12</v>
      </c>
      <c r="G100" s="145">
        <f>References!B22</f>
        <v>68</v>
      </c>
      <c r="H100" s="106">
        <f t="shared" si="55"/>
        <v>816</v>
      </c>
      <c r="I100" s="45">
        <f t="shared" si="56"/>
        <v>770.71725361902111</v>
      </c>
      <c r="J100" s="67">
        <f>(References!$C$49*I100)</f>
        <v>1.7341138206427937</v>
      </c>
      <c r="K100" s="67">
        <f>J100/References!$G$52</f>
        <v>1.7677001229794025</v>
      </c>
      <c r="L100" s="67">
        <f t="shared" si="57"/>
        <v>0.14730834358161687</v>
      </c>
      <c r="M100" s="163">
        <v>4.9655803173751769</v>
      </c>
      <c r="N100" s="156">
        <f t="shared" si="58"/>
        <v>5.1128886609567941</v>
      </c>
      <c r="O100" s="67"/>
      <c r="P100" s="67"/>
      <c r="Q100" s="67"/>
    </row>
    <row r="101" spans="1:17" s="59" customFormat="1">
      <c r="A101" s="205"/>
      <c r="B101" s="46">
        <v>29</v>
      </c>
      <c r="C101" s="121" t="s">
        <v>186</v>
      </c>
      <c r="D101" s="56">
        <v>0</v>
      </c>
      <c r="E101" s="69">
        <f>References!$B$9</f>
        <v>1</v>
      </c>
      <c r="F101" s="68">
        <f t="shared" si="54"/>
        <v>12</v>
      </c>
      <c r="G101" s="145">
        <f>References!B21</f>
        <v>47</v>
      </c>
      <c r="H101" s="106">
        <f t="shared" si="55"/>
        <v>564</v>
      </c>
      <c r="I101" s="45">
        <f t="shared" si="56"/>
        <v>532.70163117785285</v>
      </c>
      <c r="J101" s="67">
        <f>(References!$C$49*I101)</f>
        <v>1.1985786701501662</v>
      </c>
      <c r="K101" s="67">
        <f>J101/References!$G$52</f>
        <v>1.2217927320592927</v>
      </c>
      <c r="L101" s="67">
        <f t="shared" si="57"/>
        <v>0.10181606100494106</v>
      </c>
      <c r="M101" s="163">
        <v>3.87</v>
      </c>
      <c r="N101" s="156">
        <f t="shared" si="58"/>
        <v>3.9718160610049411</v>
      </c>
      <c r="O101" s="67"/>
      <c r="P101" s="67"/>
      <c r="Q101" s="67"/>
    </row>
    <row r="102" spans="1:17" s="59" customFormat="1">
      <c r="A102" s="205"/>
      <c r="B102" s="46">
        <v>29</v>
      </c>
      <c r="C102" s="121" t="s">
        <v>185</v>
      </c>
      <c r="D102" s="56">
        <v>0</v>
      </c>
      <c r="E102" s="69">
        <f>References!$B$9</f>
        <v>1</v>
      </c>
      <c r="F102" s="68">
        <f t="shared" si="54"/>
        <v>12</v>
      </c>
      <c r="G102" s="145">
        <f>References!B21</f>
        <v>47</v>
      </c>
      <c r="H102" s="106">
        <f t="shared" si="55"/>
        <v>564</v>
      </c>
      <c r="I102" s="45">
        <f t="shared" si="56"/>
        <v>532.70163117785285</v>
      </c>
      <c r="J102" s="67">
        <f>(References!$C$49*I102)</f>
        <v>1.1985786701501662</v>
      </c>
      <c r="K102" s="67">
        <f>J102/References!$G$52</f>
        <v>1.2217927320592927</v>
      </c>
      <c r="L102" s="67">
        <f t="shared" si="57"/>
        <v>0.10181606100494106</v>
      </c>
      <c r="M102" s="163">
        <v>3.93</v>
      </c>
      <c r="N102" s="156">
        <f t="shared" si="58"/>
        <v>4.0318160610049416</v>
      </c>
      <c r="O102" s="67"/>
      <c r="P102" s="67"/>
      <c r="Q102" s="67"/>
    </row>
    <row r="103" spans="1:17" s="59" customFormat="1">
      <c r="A103" s="205"/>
      <c r="B103" s="46">
        <v>29</v>
      </c>
      <c r="C103" s="121" t="s">
        <v>160</v>
      </c>
      <c r="D103" s="56">
        <v>0</v>
      </c>
      <c r="E103" s="69">
        <f>References!$B$9</f>
        <v>1</v>
      </c>
      <c r="F103" s="68">
        <f t="shared" si="54"/>
        <v>12</v>
      </c>
      <c r="G103" s="145">
        <f>References!B27</f>
        <v>175</v>
      </c>
      <c r="H103" s="106">
        <f t="shared" si="55"/>
        <v>2100</v>
      </c>
      <c r="I103" s="45">
        <f t="shared" si="56"/>
        <v>1983.4635203430691</v>
      </c>
      <c r="J103" s="67">
        <f>(References!$C$49*I103)</f>
        <v>4.4627929207718955</v>
      </c>
      <c r="K103" s="67">
        <f>J103/References!$G$52</f>
        <v>4.54922825766758</v>
      </c>
      <c r="L103" s="67">
        <f t="shared" si="57"/>
        <v>0.37910235480563165</v>
      </c>
      <c r="M103" s="163">
        <v>13.963037581480235</v>
      </c>
      <c r="N103" s="156">
        <f t="shared" si="58"/>
        <v>14.342139936285866</v>
      </c>
      <c r="O103" s="67"/>
      <c r="P103" s="67"/>
      <c r="Q103" s="67"/>
    </row>
    <row r="104" spans="1:17" s="59" customFormat="1">
      <c r="A104" s="205"/>
      <c r="B104" s="46">
        <v>29</v>
      </c>
      <c r="C104" s="121" t="s">
        <v>161</v>
      </c>
      <c r="D104" s="56">
        <v>0</v>
      </c>
      <c r="E104" s="69">
        <f>References!$B$9</f>
        <v>1</v>
      </c>
      <c r="F104" s="68">
        <f t="shared" si="54"/>
        <v>12</v>
      </c>
      <c r="G104" s="145">
        <f>References!B27</f>
        <v>175</v>
      </c>
      <c r="H104" s="106">
        <f t="shared" si="55"/>
        <v>2100</v>
      </c>
      <c r="I104" s="45">
        <f t="shared" si="56"/>
        <v>1983.4635203430691</v>
      </c>
      <c r="J104" s="67">
        <f>(References!$C$49*I104)</f>
        <v>4.4627929207718955</v>
      </c>
      <c r="K104" s="67">
        <f>J104/References!$G$52</f>
        <v>4.54922825766758</v>
      </c>
      <c r="L104" s="67">
        <f t="shared" si="57"/>
        <v>0.37910235480563165</v>
      </c>
      <c r="M104" s="163">
        <v>19.383037581480234</v>
      </c>
      <c r="N104" s="156">
        <f t="shared" si="58"/>
        <v>19.762139936285866</v>
      </c>
      <c r="O104" s="67"/>
      <c r="P104" s="67"/>
      <c r="Q104" s="67"/>
    </row>
    <row r="105" spans="1:17" s="59" customFormat="1">
      <c r="A105" s="205"/>
      <c r="B105" s="46">
        <v>29</v>
      </c>
      <c r="C105" s="121" t="s">
        <v>162</v>
      </c>
      <c r="D105" s="56">
        <v>0</v>
      </c>
      <c r="E105" s="69">
        <f>References!$B$9</f>
        <v>1</v>
      </c>
      <c r="F105" s="68">
        <f t="shared" si="54"/>
        <v>12</v>
      </c>
      <c r="G105" s="145">
        <f>References!B28</f>
        <v>250</v>
      </c>
      <c r="H105" s="106">
        <f t="shared" si="55"/>
        <v>3000</v>
      </c>
      <c r="I105" s="45">
        <f t="shared" si="56"/>
        <v>2833.5193147758132</v>
      </c>
      <c r="J105" s="67">
        <f>(References!$C$49*I105)</f>
        <v>6.3754184582455657</v>
      </c>
      <c r="K105" s="67">
        <f>J105/References!$G$52</f>
        <v>6.498897510953686</v>
      </c>
      <c r="L105" s="67">
        <f t="shared" si="57"/>
        <v>0.54157479257947383</v>
      </c>
      <c r="M105" s="163">
        <v>20.02433940211462</v>
      </c>
      <c r="N105" s="156">
        <f t="shared" si="58"/>
        <v>20.565914194694095</v>
      </c>
      <c r="O105" s="67"/>
      <c r="P105" s="67"/>
      <c r="Q105" s="67"/>
    </row>
    <row r="106" spans="1:17" s="59" customFormat="1">
      <c r="A106" s="205"/>
      <c r="B106" s="46">
        <v>29</v>
      </c>
      <c r="C106" s="121" t="s">
        <v>163</v>
      </c>
      <c r="D106" s="56">
        <v>0</v>
      </c>
      <c r="E106" s="69">
        <f>References!$B$9</f>
        <v>1</v>
      </c>
      <c r="F106" s="68">
        <f t="shared" si="54"/>
        <v>12</v>
      </c>
      <c r="G106" s="145">
        <f>References!B28</f>
        <v>250</v>
      </c>
      <c r="H106" s="106">
        <f t="shared" si="55"/>
        <v>3000</v>
      </c>
      <c r="I106" s="45">
        <f t="shared" si="56"/>
        <v>2833.5193147758132</v>
      </c>
      <c r="J106" s="67">
        <f>(References!$C$49*I106)</f>
        <v>6.3754184582455657</v>
      </c>
      <c r="K106" s="67">
        <f>J106/References!$G$52</f>
        <v>6.498897510953686</v>
      </c>
      <c r="L106" s="67">
        <f t="shared" si="57"/>
        <v>0.54157479257947383</v>
      </c>
      <c r="M106" s="163">
        <v>20.02433940211462</v>
      </c>
      <c r="N106" s="156">
        <f t="shared" si="58"/>
        <v>20.565914194694095</v>
      </c>
      <c r="O106" s="67"/>
      <c r="P106" s="67"/>
      <c r="Q106" s="67"/>
    </row>
    <row r="107" spans="1:17" s="59" customFormat="1">
      <c r="A107" s="205"/>
      <c r="B107" s="46" t="s">
        <v>197</v>
      </c>
      <c r="C107" s="121" t="s">
        <v>164</v>
      </c>
      <c r="D107" s="56">
        <v>0</v>
      </c>
      <c r="E107" s="69">
        <f>References!$B$9</f>
        <v>1</v>
      </c>
      <c r="F107" s="68">
        <f t="shared" si="54"/>
        <v>12</v>
      </c>
      <c r="G107" s="145">
        <f>References!B29</f>
        <v>324</v>
      </c>
      <c r="H107" s="106">
        <f t="shared" si="55"/>
        <v>3888</v>
      </c>
      <c r="I107" s="45">
        <f t="shared" si="56"/>
        <v>3672.2410319494538</v>
      </c>
      <c r="J107" s="67">
        <f>(References!$C$49*I107)</f>
        <v>8.2625423218862526</v>
      </c>
      <c r="K107" s="67">
        <f>J107/References!$G$52</f>
        <v>8.4225711741959763</v>
      </c>
      <c r="L107" s="67">
        <f t="shared" si="57"/>
        <v>0.70188093118299799</v>
      </c>
      <c r="M107" s="163">
        <v>25.364823865140551</v>
      </c>
      <c r="N107" s="156">
        <f t="shared" si="58"/>
        <v>26.066704796323549</v>
      </c>
      <c r="O107" s="67"/>
      <c r="P107" s="67"/>
      <c r="Q107" s="67"/>
    </row>
    <row r="108" spans="1:17" s="59" customFormat="1">
      <c r="A108" s="205"/>
      <c r="B108" s="46" t="s">
        <v>197</v>
      </c>
      <c r="C108" s="121" t="s">
        <v>165</v>
      </c>
      <c r="D108" s="56">
        <v>0</v>
      </c>
      <c r="E108" s="69">
        <f>References!$B$9</f>
        <v>1</v>
      </c>
      <c r="F108" s="68">
        <f t="shared" si="54"/>
        <v>12</v>
      </c>
      <c r="G108" s="145">
        <f>References!B29</f>
        <v>324</v>
      </c>
      <c r="H108" s="106">
        <f t="shared" si="55"/>
        <v>3888</v>
      </c>
      <c r="I108" s="45">
        <f t="shared" si="56"/>
        <v>3672.2410319494538</v>
      </c>
      <c r="J108" s="67">
        <f>(References!$C$49*I108)</f>
        <v>8.2625423218862526</v>
      </c>
      <c r="K108" s="67">
        <f>J108/References!$G$52</f>
        <v>8.4225711741959763</v>
      </c>
      <c r="L108" s="67">
        <f t="shared" si="57"/>
        <v>0.70188093118299799</v>
      </c>
      <c r="M108" s="163">
        <v>25.364823865140551</v>
      </c>
      <c r="N108" s="156">
        <f t="shared" si="58"/>
        <v>26.066704796323549</v>
      </c>
      <c r="O108" s="67"/>
      <c r="P108" s="67"/>
      <c r="Q108" s="67"/>
    </row>
    <row r="109" spans="1:17" s="59" customFormat="1">
      <c r="A109" s="158"/>
      <c r="B109" s="46" t="s">
        <v>197</v>
      </c>
      <c r="C109" s="121" t="s">
        <v>198</v>
      </c>
      <c r="D109" s="56">
        <v>0</v>
      </c>
      <c r="E109" s="69">
        <f>References!$B$9</f>
        <v>1</v>
      </c>
      <c r="F109" s="68">
        <f t="shared" si="54"/>
        <v>12</v>
      </c>
      <c r="G109" s="145">
        <f>References!B31</f>
        <v>613</v>
      </c>
      <c r="H109" s="106">
        <f t="shared" ref="H109:H111" si="59">F109*G109</f>
        <v>7356</v>
      </c>
      <c r="I109" s="45">
        <f t="shared" si="56"/>
        <v>6947.7893598302935</v>
      </c>
      <c r="J109" s="67">
        <f>(References!$C$49*I109)</f>
        <v>15.632526059618126</v>
      </c>
      <c r="K109" s="67">
        <f>J109/References!$G$52</f>
        <v>15.935296696858437</v>
      </c>
      <c r="L109" s="67">
        <f t="shared" ref="L109:L111" si="60">IFERROR(K109/F109,0)</f>
        <v>1.3279413914048697</v>
      </c>
      <c r="M109" s="163">
        <v>45.53</v>
      </c>
      <c r="N109" s="156">
        <f t="shared" ref="N109:N111" si="61">L109+M109</f>
        <v>46.857941391404871</v>
      </c>
      <c r="O109" s="67"/>
      <c r="P109" s="67"/>
      <c r="Q109" s="67"/>
    </row>
    <row r="110" spans="1:17" s="59" customFormat="1">
      <c r="A110" s="134"/>
      <c r="B110" s="46" t="s">
        <v>197</v>
      </c>
      <c r="C110" s="121" t="s">
        <v>199</v>
      </c>
      <c r="D110" s="56">
        <v>0</v>
      </c>
      <c r="E110" s="69">
        <f>References!$B$9</f>
        <v>1</v>
      </c>
      <c r="F110" s="68">
        <f t="shared" si="54"/>
        <v>12</v>
      </c>
      <c r="G110" s="145">
        <f>References!B32</f>
        <v>840</v>
      </c>
      <c r="H110" s="106">
        <f t="shared" si="59"/>
        <v>10080</v>
      </c>
      <c r="I110" s="45">
        <f t="shared" si="56"/>
        <v>9520.6248976467323</v>
      </c>
      <c r="J110" s="67">
        <f>(References!$C$49*I110)</f>
        <v>21.421406019705099</v>
      </c>
      <c r="K110" s="67">
        <f>J110/References!$G$52</f>
        <v>21.836295636804383</v>
      </c>
      <c r="L110" s="67">
        <f t="shared" si="60"/>
        <v>1.8196913030670319</v>
      </c>
      <c r="M110" s="163">
        <v>62.71</v>
      </c>
      <c r="N110" s="156">
        <f t="shared" si="61"/>
        <v>64.52969130306704</v>
      </c>
      <c r="O110" s="67"/>
      <c r="P110" s="67"/>
      <c r="Q110" s="67"/>
    </row>
    <row r="111" spans="1:17" s="59" customFormat="1">
      <c r="A111" s="158"/>
      <c r="B111" s="46" t="s">
        <v>197</v>
      </c>
      <c r="C111" s="121" t="s">
        <v>200</v>
      </c>
      <c r="D111" s="56">
        <v>0</v>
      </c>
      <c r="E111" s="69">
        <f>References!$B$9</f>
        <v>1</v>
      </c>
      <c r="F111" s="68">
        <f t="shared" si="54"/>
        <v>12</v>
      </c>
      <c r="G111" s="145">
        <f>References!B33</f>
        <v>980</v>
      </c>
      <c r="H111" s="106">
        <f t="shared" si="59"/>
        <v>11760</v>
      </c>
      <c r="I111" s="45">
        <f t="shared" si="56"/>
        <v>11107.395713921187</v>
      </c>
      <c r="J111" s="67">
        <f>(References!$C$49*I111)</f>
        <v>24.991640356322616</v>
      </c>
      <c r="K111" s="67">
        <f>J111/References!$G$52</f>
        <v>25.475678242938447</v>
      </c>
      <c r="L111" s="67">
        <f t="shared" si="60"/>
        <v>2.1229731869115374</v>
      </c>
      <c r="M111" s="163">
        <v>78.92</v>
      </c>
      <c r="N111" s="156">
        <f t="shared" si="61"/>
        <v>81.042973186911539</v>
      </c>
      <c r="O111" s="67"/>
      <c r="P111" s="67"/>
      <c r="Q111" s="67"/>
    </row>
    <row r="112" spans="1:17" s="59" customFormat="1">
      <c r="A112" s="158"/>
      <c r="B112" s="46" t="s">
        <v>197</v>
      </c>
      <c r="C112" s="121" t="s">
        <v>201</v>
      </c>
      <c r="D112" s="56">
        <v>0</v>
      </c>
      <c r="E112" s="69">
        <f>References!$B$9</f>
        <v>1</v>
      </c>
      <c r="F112" s="68">
        <f t="shared" si="54"/>
        <v>12</v>
      </c>
      <c r="G112" s="125">
        <v>1312.5</v>
      </c>
      <c r="H112" s="106">
        <f t="shared" ref="H112" si="62">F112*G112</f>
        <v>15750</v>
      </c>
      <c r="I112" s="45">
        <f t="shared" si="56"/>
        <v>14875.976402573018</v>
      </c>
      <c r="J112" s="67">
        <f>(References!$C$49*I112)</f>
        <v>33.470946905789219</v>
      </c>
      <c r="K112" s="67">
        <f>J112/References!$G$52</f>
        <v>34.11921193250685</v>
      </c>
      <c r="L112" s="67">
        <f t="shared" ref="L112" si="63">IFERROR(K112/F112,0)</f>
        <v>2.8432676610422374</v>
      </c>
      <c r="M112" s="163">
        <v>93.99</v>
      </c>
      <c r="N112" s="156">
        <f t="shared" ref="N112" si="64">L112+M112</f>
        <v>96.833267661042228</v>
      </c>
      <c r="O112" s="67"/>
      <c r="P112" s="67"/>
      <c r="Q112" s="67"/>
    </row>
    <row r="113" spans="1:17">
      <c r="A113" s="167"/>
      <c r="B113" s="17"/>
      <c r="C113" s="168"/>
      <c r="D113" s="169"/>
      <c r="E113" s="170"/>
      <c r="F113" s="14"/>
      <c r="G113" s="82"/>
      <c r="H113" s="14"/>
      <c r="I113" s="14"/>
      <c r="J113" s="91"/>
      <c r="K113" s="171"/>
      <c r="L113" s="171"/>
      <c r="M113" s="171"/>
      <c r="N113" s="171"/>
      <c r="O113" s="172"/>
      <c r="P113" s="173"/>
      <c r="Q113" s="172"/>
    </row>
    <row r="114" spans="1:17">
      <c r="A114" s="62"/>
      <c r="C114" s="65"/>
      <c r="P114" s="60"/>
    </row>
    <row r="115" spans="1:17">
      <c r="A115" s="62"/>
      <c r="C115" s="65"/>
      <c r="P115" s="60"/>
    </row>
    <row r="116" spans="1:17">
      <c r="A116" s="62"/>
      <c r="C116" s="204" t="s">
        <v>86</v>
      </c>
      <c r="D116" s="204"/>
      <c r="E116" s="87"/>
      <c r="F116" s="87"/>
      <c r="H116" s="90" t="s">
        <v>94</v>
      </c>
    </row>
    <row r="117" spans="1:17">
      <c r="A117" s="62"/>
      <c r="D117" s="54" t="s">
        <v>16</v>
      </c>
      <c r="E117" s="37"/>
      <c r="F117" s="37"/>
      <c r="H117" s="88" t="s">
        <v>110</v>
      </c>
      <c r="J117" s="40"/>
      <c r="O117" s="58"/>
    </row>
    <row r="118" spans="1:17">
      <c r="A118" s="62"/>
      <c r="C118" s="57" t="s">
        <v>32</v>
      </c>
      <c r="D118" s="66">
        <v>7564</v>
      </c>
      <c r="E118" s="56"/>
      <c r="F118" s="56"/>
      <c r="G118" s="44"/>
      <c r="H118" s="89" t="s">
        <v>95</v>
      </c>
      <c r="J118" s="40"/>
      <c r="O118" s="58"/>
    </row>
    <row r="119" spans="1:17">
      <c r="A119" s="62"/>
      <c r="C119" s="57" t="s">
        <v>33</v>
      </c>
      <c r="D119" s="36">
        <f>D118*2000</f>
        <v>15128000</v>
      </c>
      <c r="E119" s="36"/>
      <c r="F119" s="36"/>
      <c r="G119" s="36"/>
      <c r="H119" s="111" t="s">
        <v>97</v>
      </c>
      <c r="J119" s="40"/>
    </row>
    <row r="120" spans="1:17">
      <c r="A120" s="62"/>
      <c r="C120" s="57" t="s">
        <v>4</v>
      </c>
      <c r="D120" s="36">
        <f>F12+F51</f>
        <v>233297</v>
      </c>
      <c r="E120" s="56"/>
      <c r="F120" s="56"/>
      <c r="G120" s="56"/>
      <c r="H120" s="112" t="s">
        <v>98</v>
      </c>
      <c r="J120" s="40"/>
      <c r="O120" s="58"/>
    </row>
    <row r="121" spans="1:17">
      <c r="C121" s="41" t="s">
        <v>11</v>
      </c>
      <c r="D121" s="35">
        <f>D119/$H$52</f>
        <v>0.94450643825860436</v>
      </c>
      <c r="E121" s="35"/>
      <c r="F121" s="35"/>
      <c r="G121" s="35"/>
      <c r="H121" s="166" t="s">
        <v>184</v>
      </c>
      <c r="J121" s="40"/>
      <c r="M121" s="39"/>
      <c r="N121" s="39"/>
      <c r="O121" s="38"/>
    </row>
    <row r="122" spans="1:17">
      <c r="G122" s="43"/>
      <c r="H122" s="32"/>
      <c r="J122" s="40"/>
      <c r="M122" s="42"/>
      <c r="N122" s="31"/>
      <c r="O122" s="60"/>
    </row>
    <row r="123" spans="1:17">
      <c r="D123" s="34"/>
      <c r="E123" s="33"/>
      <c r="G123" s="43"/>
      <c r="H123" s="32"/>
      <c r="J123" s="40"/>
      <c r="M123" s="42"/>
      <c r="N123" s="31"/>
      <c r="O123" s="60"/>
    </row>
    <row r="124" spans="1:17">
      <c r="D124" s="34"/>
      <c r="E124" s="33"/>
      <c r="G124" s="43"/>
      <c r="H124" s="32"/>
      <c r="J124" s="40"/>
      <c r="M124" s="42"/>
      <c r="N124" s="31"/>
      <c r="O124" s="60"/>
    </row>
    <row r="125" spans="1:17">
      <c r="D125" s="57"/>
      <c r="I125" s="57"/>
    </row>
    <row r="126" spans="1:17">
      <c r="D126" s="57"/>
      <c r="E126" s="40"/>
      <c r="I126" s="57"/>
    </row>
    <row r="127" spans="1:17">
      <c r="D127" s="57"/>
      <c r="I127" s="57"/>
    </row>
    <row r="128" spans="1:17">
      <c r="D128" s="57"/>
      <c r="I128" s="57"/>
    </row>
    <row r="129" spans="4:4">
      <c r="D129" s="57"/>
    </row>
  </sheetData>
  <autoFilter ref="A1:Q112"/>
  <mergeCells count="5">
    <mergeCell ref="C116:D116"/>
    <mergeCell ref="A56:A68"/>
    <mergeCell ref="A2:A11"/>
    <mergeCell ref="A13:A50"/>
    <mergeCell ref="A73:A108"/>
  </mergeCells>
  <phoneticPr fontId="0" type="noConversion"/>
  <pageMargins left="0.2" right="0.22" top="0.63" bottom="0.34" header="0.19" footer="0.17"/>
  <pageSetup paperSize="3" scale="74" fitToHeight="0" orientation="landscape" horizontalDpi="4294967293" r:id="rId1"/>
  <headerFooter>
    <oddHeader>&amp;C&amp;"-,Bold"&amp;12Basin Disposal of Walla Walla&amp;"-,Regular"
Disposal Fee Staff Calculations</oddHeader>
    <oddFooter>&amp;L&amp;Z&amp;F&amp;C  [Date]&amp;R&amp;P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16" activeCellId="1" sqref="G104 G116"/>
    </sheetView>
  </sheetViews>
  <sheetFormatPr defaultRowHeight="15"/>
  <cols>
    <col min="1" max="1" width="4.5703125" customWidth="1"/>
    <col min="2" max="2" width="10.42578125" bestFit="1" customWidth="1"/>
    <col min="3" max="3" width="27" bestFit="1" customWidth="1"/>
    <col min="4" max="4" width="18.5703125" bestFit="1" customWidth="1"/>
    <col min="5" max="5" width="18.42578125" bestFit="1" customWidth="1"/>
    <col min="6" max="6" width="11.42578125" bestFit="1" customWidth="1"/>
    <col min="7" max="7" width="14.7109375" bestFit="1" customWidth="1"/>
    <col min="8" max="8" width="17.7109375" customWidth="1"/>
    <col min="9" max="9" width="16.42578125" customWidth="1"/>
    <col min="10" max="10" width="10.42578125" customWidth="1"/>
    <col min="11" max="11" width="12.140625" customWidth="1"/>
    <col min="12" max="12" width="13.5703125" customWidth="1"/>
    <col min="13" max="13" width="19.7109375" customWidth="1"/>
    <col min="14" max="14" width="20.28515625" customWidth="1"/>
    <col min="15" max="15" width="15.85546875" customWidth="1"/>
    <col min="16" max="16" width="18.5703125" customWidth="1"/>
    <col min="17" max="17" width="21.140625" customWidth="1"/>
  </cols>
  <sheetData>
    <row r="1" spans="1:17">
      <c r="A1" t="s">
        <v>208</v>
      </c>
    </row>
    <row r="2" spans="1:17">
      <c r="A2" t="s">
        <v>209</v>
      </c>
    </row>
    <row r="3" spans="1:17">
      <c r="A3" t="s">
        <v>210</v>
      </c>
    </row>
    <row r="4" spans="1:17">
      <c r="A4" t="s">
        <v>211</v>
      </c>
    </row>
    <row r="5" spans="1:17" s="184" customFormat="1" ht="30">
      <c r="B5" s="184" t="s">
        <v>15</v>
      </c>
      <c r="C5" s="184" t="s">
        <v>17</v>
      </c>
      <c r="D5" s="184" t="s">
        <v>37</v>
      </c>
      <c r="E5" s="184" t="s">
        <v>0</v>
      </c>
      <c r="F5" s="184" t="s">
        <v>1</v>
      </c>
      <c r="G5" s="184" t="s">
        <v>10</v>
      </c>
      <c r="H5" s="184" t="s">
        <v>34</v>
      </c>
      <c r="I5" s="184" t="s">
        <v>35</v>
      </c>
      <c r="J5" s="184" t="s">
        <v>9</v>
      </c>
      <c r="K5" s="184" t="s">
        <v>2</v>
      </c>
      <c r="L5" s="184" t="s">
        <v>38</v>
      </c>
      <c r="M5" s="184" t="s">
        <v>207</v>
      </c>
      <c r="N5" s="185" t="s">
        <v>206</v>
      </c>
      <c r="O5" s="185" t="s">
        <v>203</v>
      </c>
      <c r="P5" s="185" t="s">
        <v>204</v>
      </c>
      <c r="Q5" s="185" t="s">
        <v>39</v>
      </c>
    </row>
    <row r="6" spans="1:17">
      <c r="A6" s="207" t="s">
        <v>13</v>
      </c>
      <c r="B6" s="199">
        <v>20</v>
      </c>
      <c r="C6" t="s">
        <v>99</v>
      </c>
      <c r="D6">
        <v>1125</v>
      </c>
      <c r="E6" s="182">
        <f>References!$B$7</f>
        <v>4.333333333333333</v>
      </c>
      <c r="F6" s="182">
        <f>D6*E6*12</f>
        <v>58500</v>
      </c>
      <c r="G6">
        <f>References!$B$21</f>
        <v>47</v>
      </c>
      <c r="H6" s="182">
        <f>G6*F6</f>
        <v>2749500</v>
      </c>
      <c r="I6" s="182">
        <f>H6*$D$82</f>
        <v>1763700.4594495436</v>
      </c>
      <c r="J6" s="182">
        <f>I6*References!$C$73</f>
        <v>3968.3260337614643</v>
      </c>
      <c r="K6" s="182">
        <f>J6/References!$G$76</f>
        <v>4049.72551664605</v>
      </c>
      <c r="L6" s="182">
        <f>K6/F6*E6</f>
        <v>0.29997966789970743</v>
      </c>
      <c r="M6" s="189">
        <v>20.756515178156139</v>
      </c>
      <c r="N6" s="197">
        <f>M6+L6</f>
        <v>21.056494846055845</v>
      </c>
      <c r="O6" s="197">
        <f>M6*D6*12</f>
        <v>280212.95490510791</v>
      </c>
      <c r="P6" s="197">
        <f>N6*D6*12</f>
        <v>284262.6804217539</v>
      </c>
      <c r="Q6" s="197">
        <f>P6-O6</f>
        <v>4049.7255166459945</v>
      </c>
    </row>
    <row r="7" spans="1:17">
      <c r="A7" s="207"/>
      <c r="B7" s="199">
        <v>20</v>
      </c>
      <c r="C7" t="s">
        <v>100</v>
      </c>
      <c r="D7">
        <v>195</v>
      </c>
      <c r="E7" s="182">
        <f>References!$B$7</f>
        <v>4.333333333333333</v>
      </c>
      <c r="F7" s="182">
        <f t="shared" ref="F7:F13" si="0">D7*E7*12</f>
        <v>10139.999999999998</v>
      </c>
      <c r="G7">
        <f>References!$B$14</f>
        <v>34</v>
      </c>
      <c r="H7" s="182">
        <f t="shared" ref="H7:H13" si="1">G7*F7</f>
        <v>344759.99999999994</v>
      </c>
      <c r="I7" s="182">
        <f t="shared" ref="I7:I13" si="2">H7*$D$82</f>
        <v>221150.52569551722</v>
      </c>
      <c r="J7" s="182">
        <f>I7*References!$C$73</f>
        <v>497.58868281491266</v>
      </c>
      <c r="K7" s="182">
        <f>J7/References!$G$76</f>
        <v>507.79536974682384</v>
      </c>
      <c r="L7" s="182">
        <f t="shared" ref="L7:L13" si="3">K7/F7*E7</f>
        <v>0.21700656826787346</v>
      </c>
      <c r="M7" s="189">
        <v>15.710457788453377</v>
      </c>
      <c r="N7" s="197">
        <f t="shared" ref="N7:N13" si="4">M7+L7</f>
        <v>15.92746435672125</v>
      </c>
      <c r="O7" s="197">
        <f t="shared" ref="O7:O13" si="5">M7*D7*12</f>
        <v>36762.471224980902</v>
      </c>
      <c r="P7" s="197">
        <f t="shared" ref="P7:P13" si="6">N7*D7*12</f>
        <v>37270.266594727727</v>
      </c>
      <c r="Q7" s="197">
        <f t="shared" ref="Q7:Q13" si="7">P7-O7</f>
        <v>507.7953697468256</v>
      </c>
    </row>
    <row r="8" spans="1:17">
      <c r="A8" s="207"/>
      <c r="B8" s="199">
        <v>20</v>
      </c>
      <c r="C8" t="s">
        <v>101</v>
      </c>
      <c r="D8">
        <v>1</v>
      </c>
      <c r="E8" s="182">
        <f>References!$B$9</f>
        <v>1</v>
      </c>
      <c r="F8" s="182">
        <f t="shared" si="0"/>
        <v>12</v>
      </c>
      <c r="G8">
        <f>References!$B$21</f>
        <v>47</v>
      </c>
      <c r="H8" s="182">
        <f t="shared" si="1"/>
        <v>564</v>
      </c>
      <c r="I8" s="182">
        <f t="shared" si="2"/>
        <v>361.78470963067565</v>
      </c>
      <c r="J8" s="182">
        <f>I8*References!$C$73</f>
        <v>0.81401559666901846</v>
      </c>
      <c r="K8" s="182">
        <f>J8/References!$G$76</f>
        <v>0.83071292649149753</v>
      </c>
      <c r="L8" s="182">
        <f t="shared" si="3"/>
        <v>6.9226077207624789E-2</v>
      </c>
      <c r="M8" s="189">
        <v>5.9584265795744935</v>
      </c>
      <c r="N8" s="197">
        <f t="shared" si="4"/>
        <v>6.0276526567821183</v>
      </c>
      <c r="O8" s="197">
        <f t="shared" si="5"/>
        <v>71.501118954893926</v>
      </c>
      <c r="P8" s="197">
        <f t="shared" si="6"/>
        <v>72.331831881385426</v>
      </c>
      <c r="Q8" s="197">
        <f t="shared" si="7"/>
        <v>0.83071292649150053</v>
      </c>
    </row>
    <row r="9" spans="1:17">
      <c r="A9" s="207"/>
      <c r="B9" s="199">
        <v>20</v>
      </c>
      <c r="C9" t="s">
        <v>102</v>
      </c>
      <c r="D9">
        <v>1</v>
      </c>
      <c r="E9" s="182">
        <f>References!$B$9</f>
        <v>1</v>
      </c>
      <c r="F9" s="182">
        <f t="shared" si="0"/>
        <v>12</v>
      </c>
      <c r="G9">
        <f>References!$B$22</f>
        <v>68</v>
      </c>
      <c r="H9" s="182">
        <f t="shared" si="1"/>
        <v>816</v>
      </c>
      <c r="I9" s="182">
        <f t="shared" si="2"/>
        <v>523.43319691246688</v>
      </c>
      <c r="J9" s="182">
        <f>I9*References!$C$73</f>
        <v>1.1777246930530478</v>
      </c>
      <c r="K9" s="182">
        <f>J9/References!$G$76</f>
        <v>1.2018825319451452</v>
      </c>
      <c r="L9" s="182">
        <f t="shared" si="3"/>
        <v>0.10015687766209543</v>
      </c>
      <c r="M9" s="189">
        <v>6.1655959023630977</v>
      </c>
      <c r="N9" s="197">
        <f t="shared" si="4"/>
        <v>6.2657527800251929</v>
      </c>
      <c r="O9" s="197">
        <f t="shared" si="5"/>
        <v>73.987150828357173</v>
      </c>
      <c r="P9" s="197">
        <f t="shared" si="6"/>
        <v>75.189033360302318</v>
      </c>
      <c r="Q9" s="197">
        <f t="shared" si="7"/>
        <v>1.2018825319451452</v>
      </c>
    </row>
    <row r="10" spans="1:17">
      <c r="A10" s="207"/>
      <c r="B10" s="199">
        <v>20</v>
      </c>
      <c r="C10" t="s">
        <v>103</v>
      </c>
      <c r="D10">
        <v>2086</v>
      </c>
      <c r="E10" s="182">
        <f>References!$B$7</f>
        <v>4.333333333333333</v>
      </c>
      <c r="F10" s="182">
        <f t="shared" si="0"/>
        <v>108471.99999999999</v>
      </c>
      <c r="G10">
        <f>References!$B$22</f>
        <v>68</v>
      </c>
      <c r="H10" s="182">
        <f t="shared" si="1"/>
        <v>7376095.9999999991</v>
      </c>
      <c r="I10" s="182">
        <f t="shared" si="2"/>
        <v>4731487.1446240917</v>
      </c>
      <c r="J10" s="182">
        <f>I10*References!$C$73</f>
        <v>10645.846075404183</v>
      </c>
      <c r="K10" s="182">
        <f>J10/References!$G$76</f>
        <v>10864.216833762815</v>
      </c>
      <c r="L10" s="182">
        <f t="shared" si="3"/>
        <v>0.43401313653574686</v>
      </c>
      <c r="M10" s="189">
        <v>26.110915576906756</v>
      </c>
      <c r="N10" s="197">
        <f t="shared" si="4"/>
        <v>26.544928713442502</v>
      </c>
      <c r="O10" s="197">
        <f t="shared" si="5"/>
        <v>653608.4387211299</v>
      </c>
      <c r="P10" s="197">
        <f t="shared" si="6"/>
        <v>664472.65555489273</v>
      </c>
      <c r="Q10" s="197">
        <f t="shared" si="7"/>
        <v>10864.216833762825</v>
      </c>
    </row>
    <row r="11" spans="1:17">
      <c r="A11" s="207"/>
      <c r="B11" s="199">
        <v>20</v>
      </c>
      <c r="C11" s="183" t="s">
        <v>124</v>
      </c>
      <c r="F11" s="182"/>
      <c r="H11" s="182"/>
      <c r="I11" s="182"/>
      <c r="J11" s="182"/>
      <c r="K11" s="182"/>
      <c r="L11" s="182"/>
      <c r="M11" s="189"/>
      <c r="N11" s="197"/>
      <c r="O11" s="197"/>
      <c r="P11" s="197"/>
      <c r="Q11" s="197"/>
    </row>
    <row r="12" spans="1:17">
      <c r="A12" s="207"/>
      <c r="B12" s="199">
        <v>20</v>
      </c>
      <c r="C12" t="s">
        <v>99</v>
      </c>
      <c r="D12">
        <v>1</v>
      </c>
      <c r="E12" s="182">
        <f>References!$B$7</f>
        <v>4.333333333333333</v>
      </c>
      <c r="F12" s="182">
        <f t="shared" si="0"/>
        <v>52</v>
      </c>
      <c r="G12">
        <f>References!$B$21</f>
        <v>47</v>
      </c>
      <c r="H12" s="182">
        <f t="shared" si="1"/>
        <v>2444</v>
      </c>
      <c r="I12" s="182">
        <f t="shared" si="2"/>
        <v>1567.7337417329277</v>
      </c>
      <c r="J12" s="182">
        <f>I12*References!$C$73</f>
        <v>3.5274009188990796</v>
      </c>
      <c r="K12" s="182">
        <f>J12/References!$G$76</f>
        <v>3.5997560147964891</v>
      </c>
      <c r="L12" s="182">
        <f t="shared" si="3"/>
        <v>0.29997966789970743</v>
      </c>
      <c r="M12" s="189">
        <v>17.326515178156139</v>
      </c>
      <c r="N12" s="197">
        <f t="shared" si="4"/>
        <v>17.626494846055845</v>
      </c>
      <c r="O12" s="197">
        <f t="shared" si="5"/>
        <v>207.91818213787366</v>
      </c>
      <c r="P12" s="197">
        <f t="shared" si="6"/>
        <v>211.51793815267013</v>
      </c>
      <c r="Q12" s="197">
        <f t="shared" si="7"/>
        <v>3.5997560147964691</v>
      </c>
    </row>
    <row r="13" spans="1:17">
      <c r="A13" s="207"/>
      <c r="B13" s="199">
        <v>20</v>
      </c>
      <c r="C13" t="s">
        <v>101</v>
      </c>
      <c r="D13">
        <v>1</v>
      </c>
      <c r="E13" s="182">
        <f>References!$B$9</f>
        <v>1</v>
      </c>
      <c r="F13" s="182">
        <f t="shared" si="0"/>
        <v>12</v>
      </c>
      <c r="G13">
        <f>References!$B$21</f>
        <v>47</v>
      </c>
      <c r="H13" s="182">
        <f t="shared" si="1"/>
        <v>564</v>
      </c>
      <c r="I13" s="182">
        <f t="shared" si="2"/>
        <v>361.78470963067565</v>
      </c>
      <c r="J13" s="182">
        <f>I13*References!$C$73</f>
        <v>0.81401559666901846</v>
      </c>
      <c r="K13" s="182">
        <f>J13/References!$G$76</f>
        <v>0.83071292649149753</v>
      </c>
      <c r="L13" s="182">
        <f t="shared" si="3"/>
        <v>6.9226077207624789E-2</v>
      </c>
      <c r="M13" s="189">
        <v>3.9284265795744937</v>
      </c>
      <c r="N13" s="197">
        <f t="shared" si="4"/>
        <v>3.9976526567821185</v>
      </c>
      <c r="O13" s="197">
        <f t="shared" si="5"/>
        <v>47.141118954893926</v>
      </c>
      <c r="P13" s="197">
        <f t="shared" si="6"/>
        <v>47.97183188138542</v>
      </c>
      <c r="Q13" s="197">
        <f t="shared" si="7"/>
        <v>0.83071292649149342</v>
      </c>
    </row>
    <row r="14" spans="1:17">
      <c r="A14" s="207"/>
      <c r="B14" s="199"/>
    </row>
    <row r="15" spans="1:17" s="180" customFormat="1">
      <c r="B15" s="187"/>
      <c r="C15" s="180" t="s">
        <v>16</v>
      </c>
      <c r="D15" s="180">
        <v>3410</v>
      </c>
      <c r="F15" s="188">
        <f>SUM(F6:F14)</f>
        <v>177200</v>
      </c>
      <c r="H15" s="188">
        <f>SUM(H6:H14)</f>
        <v>10474744</v>
      </c>
      <c r="J15" s="188">
        <f>SUM(J6:J14)</f>
        <v>15118.09394878585</v>
      </c>
      <c r="K15" s="188">
        <f>SUM(K6:K14)</f>
        <v>15428.200784555414</v>
      </c>
      <c r="O15" s="188">
        <f>SUM(O6:O14)</f>
        <v>970984.41242209473</v>
      </c>
      <c r="P15" s="188">
        <f>SUM(P6:P14)</f>
        <v>986412.61320665013</v>
      </c>
      <c r="Q15" s="188">
        <f>SUM(Q6:Q14)</f>
        <v>15428.200784555371</v>
      </c>
    </row>
    <row r="16" spans="1:17">
      <c r="A16" s="207" t="s">
        <v>14</v>
      </c>
      <c r="B16" s="199" t="s">
        <v>187</v>
      </c>
      <c r="C16" t="s">
        <v>105</v>
      </c>
      <c r="F16">
        <v>1872</v>
      </c>
      <c r="G16">
        <f>References!$B$26</f>
        <v>29</v>
      </c>
      <c r="H16" s="182">
        <f t="shared" ref="H16:H71" si="8">G16*F16</f>
        <v>54288</v>
      </c>
      <c r="I16" s="182">
        <f>H16*$D$82</f>
        <v>34823.702688705882</v>
      </c>
      <c r="J16" s="182">
        <f>I16*References!$C$73</f>
        <v>78.353331049588064</v>
      </c>
      <c r="K16" s="182">
        <f>J16/References!$G$76</f>
        <v>79.960537860585845</v>
      </c>
      <c r="L16" s="182">
        <f>K16/F16</f>
        <v>4.271396253236423E-2</v>
      </c>
      <c r="M16" s="189">
        <v>3.2437100171842621</v>
      </c>
      <c r="N16" s="197">
        <f t="shared" ref="N16:N70" si="9">M16+L16</f>
        <v>3.2864239797166261</v>
      </c>
      <c r="O16" s="197">
        <f>M16*F16</f>
        <v>6072.2251521689386</v>
      </c>
      <c r="P16" s="197">
        <f>N16*F16</f>
        <v>6152.1856900295243</v>
      </c>
      <c r="Q16" s="197">
        <f>P16-O16</f>
        <v>79.960537860585646</v>
      </c>
    </row>
    <row r="17" spans="1:17">
      <c r="A17" s="207"/>
      <c r="B17" s="199" t="s">
        <v>187</v>
      </c>
      <c r="C17" t="s">
        <v>106</v>
      </c>
      <c r="F17">
        <v>23036</v>
      </c>
      <c r="G17">
        <f>References!$B$21</f>
        <v>47</v>
      </c>
      <c r="H17" s="182">
        <f t="shared" si="8"/>
        <v>1082692</v>
      </c>
      <c r="I17" s="182">
        <f>H17*$D$82</f>
        <v>694506.04758768703</v>
      </c>
      <c r="J17" s="182">
        <f>I17*References!$C$73</f>
        <v>1562.6386070722924</v>
      </c>
      <c r="K17" s="182">
        <f>J17/References!$G$76</f>
        <v>1594.6919145548447</v>
      </c>
      <c r="L17" s="182">
        <f t="shared" ref="L17:L71" si="10">K17/F17</f>
        <v>6.9226077207624789E-2</v>
      </c>
      <c r="M17" s="189">
        <v>4.478426579574494</v>
      </c>
      <c r="N17" s="197">
        <f t="shared" si="9"/>
        <v>4.5476526567821187</v>
      </c>
      <c r="O17" s="197">
        <f t="shared" ref="O17:O71" si="11">M17*F17</f>
        <v>103165.03468707805</v>
      </c>
      <c r="P17" s="197">
        <f t="shared" ref="P17:P71" si="12">N17*F17</f>
        <v>104759.72660163289</v>
      </c>
      <c r="Q17" s="197">
        <f t="shared" ref="Q17:Q71" si="13">P17-O17</f>
        <v>1594.6919145548454</v>
      </c>
    </row>
    <row r="18" spans="1:17">
      <c r="A18" s="207"/>
      <c r="B18" s="199" t="s">
        <v>187</v>
      </c>
      <c r="C18" t="s">
        <v>107</v>
      </c>
      <c r="F18">
        <v>33592</v>
      </c>
      <c r="G18">
        <f>References!$B$22</f>
        <v>68</v>
      </c>
      <c r="H18" s="182">
        <f t="shared" si="8"/>
        <v>2284256</v>
      </c>
      <c r="I18" s="182">
        <f>H18*$D$82</f>
        <v>1465263.9958902989</v>
      </c>
      <c r="J18" s="182">
        <f>I18*References!$C$73</f>
        <v>3296.8439907531651</v>
      </c>
      <c r="K18" s="182">
        <f>J18/References!$G$76</f>
        <v>3364.4698344251101</v>
      </c>
      <c r="L18" s="182">
        <f t="shared" si="10"/>
        <v>0.10015687766209544</v>
      </c>
      <c r="M18" s="189">
        <v>5.6555959023630971</v>
      </c>
      <c r="N18" s="197">
        <f t="shared" si="9"/>
        <v>5.7557527800251922</v>
      </c>
      <c r="O18" s="197">
        <f t="shared" si="11"/>
        <v>189982.77755218116</v>
      </c>
      <c r="P18" s="197">
        <f t="shared" si="12"/>
        <v>193347.24738660626</v>
      </c>
      <c r="Q18" s="197">
        <f t="shared" si="13"/>
        <v>3364.4698344251083</v>
      </c>
    </row>
    <row r="19" spans="1:17">
      <c r="A19" s="207"/>
      <c r="B19" s="199" t="s">
        <v>179</v>
      </c>
      <c r="C19" t="s">
        <v>125</v>
      </c>
      <c r="F19">
        <v>1296</v>
      </c>
      <c r="G19">
        <f>References!$B$28</f>
        <v>250</v>
      </c>
      <c r="H19" s="182">
        <f t="shared" si="8"/>
        <v>324000</v>
      </c>
      <c r="I19" s="182">
        <f>H19*$D$82</f>
        <v>207833.76936230302</v>
      </c>
      <c r="J19" s="182">
        <f>I19*References!$C$73</f>
        <v>467.62598106518078</v>
      </c>
      <c r="K19" s="182">
        <f>J19/References!$G$76</f>
        <v>477.21806415469007</v>
      </c>
      <c r="L19" s="182">
        <f t="shared" si="10"/>
        <v>0.36822381493417444</v>
      </c>
      <c r="M19" s="189">
        <v>42.364396699864322</v>
      </c>
      <c r="N19" s="197">
        <f t="shared" si="9"/>
        <v>42.732620514798498</v>
      </c>
      <c r="O19" s="197">
        <f t="shared" si="11"/>
        <v>54904.258123024163</v>
      </c>
      <c r="P19" s="197">
        <f t="shared" si="12"/>
        <v>55381.476187178851</v>
      </c>
      <c r="Q19" s="197">
        <f t="shared" si="13"/>
        <v>477.21806415468745</v>
      </c>
    </row>
    <row r="20" spans="1:17">
      <c r="A20" s="207"/>
      <c r="B20" s="199">
        <v>28</v>
      </c>
      <c r="C20" t="s">
        <v>174</v>
      </c>
      <c r="F20">
        <v>120</v>
      </c>
      <c r="H20" s="182"/>
      <c r="I20" s="182"/>
      <c r="J20" s="182"/>
      <c r="K20" s="182"/>
      <c r="L20" s="182"/>
      <c r="M20" s="189"/>
      <c r="N20" s="197"/>
      <c r="O20" s="197">
        <f t="shared" si="11"/>
        <v>0</v>
      </c>
      <c r="P20" s="197">
        <f t="shared" si="12"/>
        <v>0</v>
      </c>
      <c r="Q20" s="197">
        <f t="shared" si="13"/>
        <v>0</v>
      </c>
    </row>
    <row r="21" spans="1:17">
      <c r="A21" s="207"/>
      <c r="B21" s="199">
        <v>28</v>
      </c>
      <c r="C21" t="s">
        <v>126</v>
      </c>
      <c r="F21">
        <v>120</v>
      </c>
      <c r="G21">
        <f>References!$B$27</f>
        <v>175</v>
      </c>
      <c r="H21" s="182">
        <f t="shared" si="8"/>
        <v>21000</v>
      </c>
      <c r="I21" s="182">
        <f>H21*$D$82</f>
        <v>13470.707273482603</v>
      </c>
      <c r="J21" s="182">
        <f>I21*References!$C$73</f>
        <v>30.309091365335792</v>
      </c>
      <c r="K21" s="182">
        <f>J21/References!$G$76</f>
        <v>30.930800454470653</v>
      </c>
      <c r="L21" s="182">
        <f t="shared" si="10"/>
        <v>0.25775667045392209</v>
      </c>
      <c r="M21" s="189">
        <v>14.313077689905031</v>
      </c>
      <c r="N21" s="197">
        <f t="shared" si="9"/>
        <v>14.570834360358953</v>
      </c>
      <c r="O21" s="197">
        <f t="shared" si="11"/>
        <v>1717.5693227886036</v>
      </c>
      <c r="P21" s="197">
        <f t="shared" si="12"/>
        <v>1748.5001232430743</v>
      </c>
      <c r="Q21" s="197">
        <f t="shared" si="13"/>
        <v>30.930800454470727</v>
      </c>
    </row>
    <row r="22" spans="1:17">
      <c r="A22" s="207"/>
      <c r="B22" s="199">
        <v>28</v>
      </c>
      <c r="C22" t="s">
        <v>127</v>
      </c>
      <c r="F22">
        <v>1478.52</v>
      </c>
      <c r="G22">
        <f>References!$B$27</f>
        <v>175</v>
      </c>
      <c r="H22" s="182">
        <f t="shared" si="8"/>
        <v>258741</v>
      </c>
      <c r="I22" s="182">
        <f>H22*$D$82</f>
        <v>165972.58431657916</v>
      </c>
      <c r="J22" s="182">
        <f>I22*References!$C$73</f>
        <v>373.43831471230232</v>
      </c>
      <c r="K22" s="182">
        <f>J22/References!$G$76</f>
        <v>381.09839239953294</v>
      </c>
      <c r="L22" s="182">
        <f t="shared" si="10"/>
        <v>0.25775667045392214</v>
      </c>
      <c r="M22" s="189">
        <v>14.313077689905031</v>
      </c>
      <c r="N22" s="197">
        <f t="shared" si="9"/>
        <v>14.570834360358953</v>
      </c>
      <c r="O22" s="197">
        <f t="shared" si="11"/>
        <v>21162.171626078387</v>
      </c>
      <c r="P22" s="197">
        <f t="shared" si="12"/>
        <v>21543.270018477921</v>
      </c>
      <c r="Q22" s="197">
        <f t="shared" si="13"/>
        <v>381.09839239953362</v>
      </c>
    </row>
    <row r="23" spans="1:17">
      <c r="A23" s="207"/>
      <c r="B23" s="199">
        <v>28</v>
      </c>
      <c r="C23" t="s">
        <v>128</v>
      </c>
      <c r="F23">
        <v>24</v>
      </c>
      <c r="G23">
        <f>References!$B$27</f>
        <v>175</v>
      </c>
      <c r="H23" s="182">
        <f t="shared" si="8"/>
        <v>4200</v>
      </c>
      <c r="I23" s="182">
        <f>H23*$D$82</f>
        <v>2694.1414546965207</v>
      </c>
      <c r="J23" s="182">
        <f>I23*References!$C$73</f>
        <v>6.0618182730671579</v>
      </c>
      <c r="K23" s="182">
        <f>J23/References!$G$76</f>
        <v>6.1861600908941297</v>
      </c>
      <c r="L23" s="182">
        <f t="shared" si="10"/>
        <v>0.25775667045392209</v>
      </c>
      <c r="M23" s="189">
        <v>17.713077689905031</v>
      </c>
      <c r="N23" s="197">
        <f t="shared" si="9"/>
        <v>17.970834360358953</v>
      </c>
      <c r="O23" s="197">
        <f t="shared" si="11"/>
        <v>425.11386455772072</v>
      </c>
      <c r="P23" s="197">
        <f t="shared" si="12"/>
        <v>431.30002464861491</v>
      </c>
      <c r="Q23" s="197">
        <f t="shared" si="13"/>
        <v>6.1861600908941909</v>
      </c>
    </row>
    <row r="24" spans="1:17">
      <c r="A24" s="207"/>
      <c r="B24" s="199">
        <v>28</v>
      </c>
      <c r="C24" t="s">
        <v>129</v>
      </c>
      <c r="F24">
        <v>120</v>
      </c>
      <c r="G24">
        <f>References!$B$27</f>
        <v>175</v>
      </c>
      <c r="H24" s="182">
        <f t="shared" si="8"/>
        <v>21000</v>
      </c>
      <c r="I24" s="182">
        <f>H24*$D$82</f>
        <v>13470.707273482603</v>
      </c>
      <c r="J24" s="182">
        <f>I24*References!$C$73</f>
        <v>30.309091365335792</v>
      </c>
      <c r="K24" s="182">
        <f>J24/References!$G$76</f>
        <v>30.930800454470653</v>
      </c>
      <c r="L24" s="182">
        <f t="shared" si="10"/>
        <v>0.25775667045392209</v>
      </c>
      <c r="M24" s="189">
        <v>15.733077689905031</v>
      </c>
      <c r="N24" s="197">
        <f t="shared" si="9"/>
        <v>15.990834360358953</v>
      </c>
      <c r="O24" s="197">
        <f t="shared" si="11"/>
        <v>1887.9693227886037</v>
      </c>
      <c r="P24" s="197">
        <f t="shared" si="12"/>
        <v>1918.9001232430744</v>
      </c>
      <c r="Q24" s="197">
        <f t="shared" si="13"/>
        <v>30.930800454470727</v>
      </c>
    </row>
    <row r="25" spans="1:17">
      <c r="A25" s="207"/>
      <c r="B25" s="199">
        <v>28</v>
      </c>
      <c r="C25" t="s">
        <v>166</v>
      </c>
      <c r="F25">
        <v>1644</v>
      </c>
      <c r="H25" s="182"/>
      <c r="I25" s="182"/>
      <c r="J25" s="182"/>
      <c r="K25" s="182"/>
      <c r="L25" s="182"/>
      <c r="M25" s="189"/>
      <c r="N25" s="197"/>
      <c r="O25" s="197">
        <f t="shared" si="11"/>
        <v>0</v>
      </c>
      <c r="P25" s="197">
        <f t="shared" si="12"/>
        <v>0</v>
      </c>
      <c r="Q25" s="197">
        <f t="shared" si="13"/>
        <v>0</v>
      </c>
    </row>
    <row r="26" spans="1:17">
      <c r="A26" s="207"/>
      <c r="B26" s="199">
        <v>28</v>
      </c>
      <c r="C26" t="s">
        <v>188</v>
      </c>
      <c r="F26">
        <v>1644</v>
      </c>
      <c r="G26">
        <f>References!$B$28</f>
        <v>250</v>
      </c>
      <c r="H26" s="182">
        <f t="shared" si="8"/>
        <v>411000</v>
      </c>
      <c r="I26" s="182">
        <f>H26*$D$82</f>
        <v>263640.98520958808</v>
      </c>
      <c r="J26" s="182">
        <f>I26*References!$C$73</f>
        <v>593.19221672157187</v>
      </c>
      <c r="K26" s="182">
        <f>J26/References!$G$76</f>
        <v>605.35995175178266</v>
      </c>
      <c r="L26" s="182">
        <f t="shared" si="10"/>
        <v>0.36822381493417439</v>
      </c>
      <c r="M26" s="189">
        <v>22.384396699864329</v>
      </c>
      <c r="N26" s="197">
        <f t="shared" si="9"/>
        <v>22.752620514798505</v>
      </c>
      <c r="O26" s="197">
        <f t="shared" si="11"/>
        <v>36799.948174576959</v>
      </c>
      <c r="P26" s="197">
        <f t="shared" si="12"/>
        <v>37405.308126328739</v>
      </c>
      <c r="Q26" s="197">
        <f t="shared" si="13"/>
        <v>605.35995175177959</v>
      </c>
    </row>
    <row r="27" spans="1:17">
      <c r="A27" s="207"/>
      <c r="B27" s="199">
        <v>28</v>
      </c>
      <c r="C27" t="s">
        <v>130</v>
      </c>
      <c r="F27">
        <v>16263.72</v>
      </c>
      <c r="G27">
        <f>References!$B$28</f>
        <v>250</v>
      </c>
      <c r="H27" s="182">
        <f t="shared" si="8"/>
        <v>4065930</v>
      </c>
      <c r="I27" s="182">
        <f>H27*$D$82</f>
        <v>2608140.6106891008</v>
      </c>
      <c r="J27" s="182">
        <f>I27*References!$C$73</f>
        <v>5868.3163740504642</v>
      </c>
      <c r="K27" s="182">
        <f>J27/References!$G$76</f>
        <v>5988.6890234212306</v>
      </c>
      <c r="L27" s="182">
        <f t="shared" si="10"/>
        <v>0.36822381493417439</v>
      </c>
      <c r="M27" s="189">
        <v>22.384396699864329</v>
      </c>
      <c r="N27" s="197">
        <f t="shared" si="9"/>
        <v>22.752620514798505</v>
      </c>
      <c r="O27" s="197">
        <f t="shared" si="11"/>
        <v>364053.56029551744</v>
      </c>
      <c r="P27" s="197">
        <f t="shared" si="12"/>
        <v>370042.2493189387</v>
      </c>
      <c r="Q27" s="197">
        <f t="shared" si="13"/>
        <v>5988.6890234212624</v>
      </c>
    </row>
    <row r="28" spans="1:17">
      <c r="A28" s="207"/>
      <c r="B28" s="199">
        <v>28</v>
      </c>
      <c r="C28" t="s">
        <v>167</v>
      </c>
      <c r="F28">
        <v>204</v>
      </c>
      <c r="H28" s="182"/>
      <c r="I28" s="182"/>
      <c r="J28" s="182"/>
      <c r="K28" s="182"/>
      <c r="L28" s="182"/>
      <c r="M28" s="189"/>
      <c r="N28" s="197"/>
      <c r="O28" s="197">
        <f t="shared" si="11"/>
        <v>0</v>
      </c>
      <c r="P28" s="197">
        <f t="shared" si="12"/>
        <v>0</v>
      </c>
      <c r="Q28" s="197">
        <f t="shared" si="13"/>
        <v>0</v>
      </c>
    </row>
    <row r="29" spans="1:17">
      <c r="A29" s="207"/>
      <c r="B29" s="199">
        <v>28</v>
      </c>
      <c r="C29" t="s">
        <v>189</v>
      </c>
      <c r="F29">
        <v>204</v>
      </c>
      <c r="G29">
        <f>References!$B$29</f>
        <v>324</v>
      </c>
      <c r="H29" s="182">
        <f t="shared" si="8"/>
        <v>66096</v>
      </c>
      <c r="I29" s="182">
        <f>H29*$D$82</f>
        <v>42398.088949909819</v>
      </c>
      <c r="J29" s="182">
        <f>I29*References!$C$73</f>
        <v>95.395700137296885</v>
      </c>
      <c r="K29" s="182">
        <f>J29/References!$G$76</f>
        <v>97.352485087556772</v>
      </c>
      <c r="L29" s="182">
        <f t="shared" si="10"/>
        <v>0.47721806415469004</v>
      </c>
      <c r="M29" s="189">
        <v>25.954898123024172</v>
      </c>
      <c r="N29" s="197">
        <f t="shared" si="9"/>
        <v>26.432116187178863</v>
      </c>
      <c r="O29" s="197">
        <f t="shared" si="11"/>
        <v>5294.799217096931</v>
      </c>
      <c r="P29" s="197">
        <f t="shared" si="12"/>
        <v>5392.1517021844884</v>
      </c>
      <c r="Q29" s="197">
        <f t="shared" si="13"/>
        <v>97.352485087557397</v>
      </c>
    </row>
    <row r="30" spans="1:17">
      <c r="A30" s="207"/>
      <c r="B30" s="199">
        <v>28</v>
      </c>
      <c r="C30" t="s">
        <v>133</v>
      </c>
      <c r="F30">
        <v>2917.08</v>
      </c>
      <c r="G30">
        <f>References!$B$29</f>
        <v>324</v>
      </c>
      <c r="H30" s="182">
        <f t="shared" si="8"/>
        <v>945133.91999999993</v>
      </c>
      <c r="I30" s="182">
        <f>H30*$D$82</f>
        <v>606267.73193138686</v>
      </c>
      <c r="J30" s="182">
        <f>I30*References!$C$73</f>
        <v>1364.1023968456175</v>
      </c>
      <c r="K30" s="182">
        <f>J30/References!$G$76</f>
        <v>1392.0832705843632</v>
      </c>
      <c r="L30" s="182">
        <f t="shared" si="10"/>
        <v>0.47721806415469004</v>
      </c>
      <c r="M30" s="189">
        <v>25.954898123024172</v>
      </c>
      <c r="N30" s="197">
        <f t="shared" si="9"/>
        <v>26.432116187178863</v>
      </c>
      <c r="O30" s="197">
        <f t="shared" si="11"/>
        <v>75712.514216711352</v>
      </c>
      <c r="P30" s="197">
        <f t="shared" si="12"/>
        <v>77104.597487295716</v>
      </c>
      <c r="Q30" s="197">
        <f t="shared" si="13"/>
        <v>1392.0832705843641</v>
      </c>
    </row>
    <row r="31" spans="1:17">
      <c r="A31" s="207"/>
      <c r="B31" s="199">
        <v>28</v>
      </c>
      <c r="C31" t="s">
        <v>168</v>
      </c>
      <c r="F31">
        <v>36</v>
      </c>
      <c r="H31" s="182"/>
      <c r="I31" s="182"/>
      <c r="J31" s="182"/>
      <c r="K31" s="182"/>
      <c r="L31" s="182"/>
      <c r="M31" s="189"/>
      <c r="N31" s="197"/>
      <c r="O31" s="197">
        <f t="shared" si="11"/>
        <v>0</v>
      </c>
      <c r="P31" s="197">
        <f t="shared" si="12"/>
        <v>0</v>
      </c>
      <c r="Q31" s="197">
        <f t="shared" si="13"/>
        <v>0</v>
      </c>
    </row>
    <row r="32" spans="1:17">
      <c r="A32" s="207"/>
      <c r="B32" s="199">
        <v>28</v>
      </c>
      <c r="C32" t="s">
        <v>190</v>
      </c>
      <c r="F32">
        <v>36</v>
      </c>
      <c r="G32">
        <f>References!$B$30</f>
        <v>473</v>
      </c>
      <c r="H32" s="182">
        <f t="shared" si="8"/>
        <v>17028</v>
      </c>
      <c r="I32" s="182">
        <f>H32*$D$82</f>
        <v>10922.819212041037</v>
      </c>
      <c r="J32" s="182">
        <f>I32*References!$C$73</f>
        <v>24.576343227092277</v>
      </c>
      <c r="K32" s="182">
        <f>J32/References!$G$76</f>
        <v>25.080460482796486</v>
      </c>
      <c r="L32" s="182">
        <f t="shared" si="10"/>
        <v>0.69667945785545793</v>
      </c>
      <c r="M32" s="189">
        <v>38.306718556143309</v>
      </c>
      <c r="N32" s="197">
        <f t="shared" si="9"/>
        <v>39.003398013998769</v>
      </c>
      <c r="O32" s="197">
        <f t="shared" si="11"/>
        <v>1379.0418680211592</v>
      </c>
      <c r="P32" s="197">
        <f t="shared" si="12"/>
        <v>1404.1223285039557</v>
      </c>
      <c r="Q32" s="197">
        <f t="shared" si="13"/>
        <v>25.080460482796525</v>
      </c>
    </row>
    <row r="33" spans="1:17">
      <c r="A33" s="207"/>
      <c r="B33" s="199">
        <v>28</v>
      </c>
      <c r="C33" t="s">
        <v>136</v>
      </c>
      <c r="F33">
        <v>399.59999999999997</v>
      </c>
      <c r="G33">
        <f>References!$B$30</f>
        <v>473</v>
      </c>
      <c r="H33" s="182">
        <f t="shared" si="8"/>
        <v>189010.8</v>
      </c>
      <c r="I33" s="182">
        <f>H33*$D$82</f>
        <v>121243.2932536555</v>
      </c>
      <c r="J33" s="182">
        <f>I33*References!$C$73</f>
        <v>272.79740982072428</v>
      </c>
      <c r="K33" s="182">
        <f>J33/References!$G$76</f>
        <v>278.39311135904103</v>
      </c>
      <c r="L33" s="182">
        <f t="shared" si="10"/>
        <v>0.69667945785545804</v>
      </c>
      <c r="M33" s="189">
        <v>38.306718556143309</v>
      </c>
      <c r="N33" s="197">
        <f t="shared" si="9"/>
        <v>39.003398013998769</v>
      </c>
      <c r="O33" s="197">
        <f t="shared" si="11"/>
        <v>15307.364735034866</v>
      </c>
      <c r="P33" s="197">
        <f t="shared" si="12"/>
        <v>15585.757846393906</v>
      </c>
      <c r="Q33" s="197">
        <f t="shared" si="13"/>
        <v>278.39311135904063</v>
      </c>
    </row>
    <row r="34" spans="1:17">
      <c r="A34" s="207"/>
      <c r="B34" s="199">
        <v>28</v>
      </c>
      <c r="C34" t="s">
        <v>138</v>
      </c>
      <c r="F34">
        <v>12</v>
      </c>
      <c r="G34">
        <f>References!$B$30</f>
        <v>473</v>
      </c>
      <c r="H34" s="182">
        <f t="shared" si="8"/>
        <v>5676</v>
      </c>
      <c r="I34" s="182">
        <f>H34*$D$82</f>
        <v>3640.9397373470119</v>
      </c>
      <c r="J34" s="182">
        <f>I34*References!$C$73</f>
        <v>8.1921144090307596</v>
      </c>
      <c r="K34" s="182">
        <f>J34/References!$G$76</f>
        <v>8.3601534942654965</v>
      </c>
      <c r="L34" s="182">
        <f t="shared" si="10"/>
        <v>0.69667945785545804</v>
      </c>
      <c r="M34" s="189">
        <v>41.206718556143308</v>
      </c>
      <c r="N34" s="197">
        <f t="shared" si="9"/>
        <v>41.903398013998768</v>
      </c>
      <c r="O34" s="197">
        <f t="shared" si="11"/>
        <v>494.48062267371972</v>
      </c>
      <c r="P34" s="197">
        <f t="shared" si="12"/>
        <v>502.84077616798521</v>
      </c>
      <c r="Q34" s="197">
        <f t="shared" si="13"/>
        <v>8.3601534942654894</v>
      </c>
    </row>
    <row r="35" spans="1:17">
      <c r="A35" s="207"/>
      <c r="B35" s="199">
        <v>28</v>
      </c>
      <c r="C35" t="s">
        <v>169</v>
      </c>
      <c r="F35">
        <v>36</v>
      </c>
      <c r="H35" s="182"/>
      <c r="I35" s="182"/>
      <c r="J35" s="182"/>
      <c r="K35" s="182"/>
      <c r="L35" s="182"/>
      <c r="M35" s="189"/>
      <c r="N35" s="197"/>
      <c r="O35" s="197">
        <f t="shared" si="11"/>
        <v>0</v>
      </c>
      <c r="P35" s="197">
        <f t="shared" si="12"/>
        <v>0</v>
      </c>
      <c r="Q35" s="197">
        <f t="shared" si="13"/>
        <v>0</v>
      </c>
    </row>
    <row r="36" spans="1:17">
      <c r="A36" s="207"/>
      <c r="B36" s="199">
        <v>28</v>
      </c>
      <c r="C36" t="s">
        <v>191</v>
      </c>
      <c r="F36">
        <v>36</v>
      </c>
      <c r="G36">
        <f>References!$B$31</f>
        <v>613</v>
      </c>
      <c r="H36" s="182">
        <f t="shared" si="8"/>
        <v>22068</v>
      </c>
      <c r="I36" s="182">
        <f>H36*$D$82</f>
        <v>14155.788957676861</v>
      </c>
      <c r="J36" s="182">
        <f>I36*References!$C$73</f>
        <v>31.850525154772868</v>
      </c>
      <c r="K36" s="182">
        <f>J36/References!$G$76</f>
        <v>32.503852591869446</v>
      </c>
      <c r="L36" s="182">
        <f t="shared" si="10"/>
        <v>0.90288479421859569</v>
      </c>
      <c r="M36" s="189">
        <v>50.591180708067334</v>
      </c>
      <c r="N36" s="197">
        <f t="shared" si="9"/>
        <v>51.494065502285927</v>
      </c>
      <c r="O36" s="197">
        <f t="shared" si="11"/>
        <v>1821.282505490424</v>
      </c>
      <c r="P36" s="197">
        <f t="shared" si="12"/>
        <v>1853.7863580822934</v>
      </c>
      <c r="Q36" s="197">
        <f t="shared" si="13"/>
        <v>32.503852591869418</v>
      </c>
    </row>
    <row r="37" spans="1:17">
      <c r="A37" s="207"/>
      <c r="B37" s="199">
        <v>28</v>
      </c>
      <c r="C37" t="s">
        <v>139</v>
      </c>
      <c r="F37">
        <v>399.59999999999997</v>
      </c>
      <c r="G37">
        <f>References!$B$31</f>
        <v>613</v>
      </c>
      <c r="H37" s="182">
        <f t="shared" si="8"/>
        <v>244954.8</v>
      </c>
      <c r="I37" s="182">
        <f>H37*$D$82</f>
        <v>157129.25743021315</v>
      </c>
      <c r="J37" s="182">
        <f>I37*References!$C$73</f>
        <v>353.5408292179788</v>
      </c>
      <c r="K37" s="182">
        <f>J37/References!$G$76</f>
        <v>360.79276376975076</v>
      </c>
      <c r="L37" s="182">
        <f t="shared" si="10"/>
        <v>0.90288479421859558</v>
      </c>
      <c r="M37" s="189">
        <v>50.591180708067334</v>
      </c>
      <c r="N37" s="197">
        <f t="shared" si="9"/>
        <v>51.494065502285927</v>
      </c>
      <c r="O37" s="197">
        <f t="shared" si="11"/>
        <v>20216.235810943705</v>
      </c>
      <c r="P37" s="197">
        <f t="shared" si="12"/>
        <v>20577.028574713455</v>
      </c>
      <c r="Q37" s="197">
        <f t="shared" si="13"/>
        <v>360.79276376975031</v>
      </c>
    </row>
    <row r="38" spans="1:17">
      <c r="A38" s="207"/>
      <c r="B38" s="199">
        <v>28</v>
      </c>
      <c r="C38" t="s">
        <v>140</v>
      </c>
      <c r="F38">
        <v>1</v>
      </c>
      <c r="G38">
        <f>References!$B$31</f>
        <v>613</v>
      </c>
      <c r="H38" s="182">
        <f t="shared" si="8"/>
        <v>613</v>
      </c>
      <c r="I38" s="182">
        <f>H38*$D$82</f>
        <v>393.21635993546835</v>
      </c>
      <c r="J38" s="182">
        <f>I38*References!$C$73</f>
        <v>0.88473680985480185</v>
      </c>
      <c r="K38" s="182">
        <f>J38/References!$G$76</f>
        <v>0.90288479421859558</v>
      </c>
      <c r="L38" s="182">
        <f t="shared" si="10"/>
        <v>0.90288479421859558</v>
      </c>
      <c r="M38" s="189">
        <v>53.501180708067331</v>
      </c>
      <c r="N38" s="197">
        <f t="shared" si="9"/>
        <v>54.404065502285924</v>
      </c>
      <c r="O38" s="197">
        <f t="shared" si="11"/>
        <v>53.501180708067331</v>
      </c>
      <c r="P38" s="197">
        <f t="shared" si="12"/>
        <v>54.404065502285924</v>
      </c>
      <c r="Q38" s="197">
        <f t="shared" si="13"/>
        <v>0.90288479421859336</v>
      </c>
    </row>
    <row r="39" spans="1:17">
      <c r="A39" s="207"/>
      <c r="B39" s="199">
        <v>28</v>
      </c>
      <c r="C39" t="s">
        <v>141</v>
      </c>
      <c r="F39">
        <v>1</v>
      </c>
      <c r="G39">
        <f>References!$B$31</f>
        <v>613</v>
      </c>
      <c r="H39" s="182">
        <f t="shared" si="8"/>
        <v>613</v>
      </c>
      <c r="I39" s="182">
        <f>H39*$D$82</f>
        <v>393.21635993546835</v>
      </c>
      <c r="J39" s="182">
        <f>I39*References!$C$73</f>
        <v>0.88473680985480185</v>
      </c>
      <c r="K39" s="182">
        <f>J39/References!$G$76</f>
        <v>0.90288479421859558</v>
      </c>
      <c r="L39" s="182">
        <f t="shared" si="10"/>
        <v>0.90288479421859558</v>
      </c>
      <c r="M39" s="189">
        <v>54.701180708067334</v>
      </c>
      <c r="N39" s="197">
        <f t="shared" si="9"/>
        <v>55.604065502285927</v>
      </c>
      <c r="O39" s="197">
        <f t="shared" si="11"/>
        <v>54.701180708067334</v>
      </c>
      <c r="P39" s="197">
        <f t="shared" si="12"/>
        <v>55.604065502285927</v>
      </c>
      <c r="Q39" s="197">
        <f t="shared" si="13"/>
        <v>0.90288479421859336</v>
      </c>
    </row>
    <row r="40" spans="1:17">
      <c r="A40" s="207"/>
      <c r="B40" s="199">
        <v>28</v>
      </c>
      <c r="C40" t="s">
        <v>170</v>
      </c>
      <c r="F40">
        <v>2</v>
      </c>
      <c r="H40" s="182"/>
      <c r="I40" s="182"/>
      <c r="J40" s="182"/>
      <c r="K40" s="182"/>
      <c r="L40" s="182"/>
      <c r="M40" s="189"/>
      <c r="N40" s="197"/>
      <c r="O40" s="197">
        <f t="shared" si="11"/>
        <v>0</v>
      </c>
      <c r="P40" s="197">
        <f t="shared" si="12"/>
        <v>0</v>
      </c>
      <c r="Q40" s="197">
        <f t="shared" si="13"/>
        <v>0</v>
      </c>
    </row>
    <row r="41" spans="1:17">
      <c r="A41" s="207"/>
      <c r="B41" s="199">
        <v>28</v>
      </c>
      <c r="C41" t="s">
        <v>192</v>
      </c>
      <c r="F41">
        <v>2</v>
      </c>
      <c r="G41" s="186">
        <v>766.25</v>
      </c>
      <c r="H41" s="182">
        <f t="shared" si="8"/>
        <v>1532.5</v>
      </c>
      <c r="I41" s="182">
        <f>H41*$D$82</f>
        <v>983.04089983867095</v>
      </c>
      <c r="J41" s="182">
        <f>I41*References!$C$73</f>
        <v>2.2118420246370047</v>
      </c>
      <c r="K41" s="182">
        <f>J41/References!$G$76</f>
        <v>2.2572119855464892</v>
      </c>
      <c r="L41" s="182">
        <f t="shared" si="10"/>
        <v>1.1286059927732446</v>
      </c>
      <c r="M41" s="189">
        <v>60.786475885084165</v>
      </c>
      <c r="N41" s="197">
        <f t="shared" si="9"/>
        <v>61.915081877857411</v>
      </c>
      <c r="O41" s="197">
        <f t="shared" si="11"/>
        <v>121.57295177016833</v>
      </c>
      <c r="P41" s="197">
        <f t="shared" si="12"/>
        <v>123.83016375571482</v>
      </c>
      <c r="Q41" s="197">
        <f t="shared" si="13"/>
        <v>2.2572119855464905</v>
      </c>
    </row>
    <row r="42" spans="1:17">
      <c r="A42" s="207"/>
      <c r="B42" s="199">
        <v>28</v>
      </c>
      <c r="C42" t="s">
        <v>142</v>
      </c>
      <c r="F42">
        <v>19.98</v>
      </c>
      <c r="G42" s="186">
        <v>766.25</v>
      </c>
      <c r="H42" s="182">
        <f t="shared" si="8"/>
        <v>15309.675000000001</v>
      </c>
      <c r="I42" s="182">
        <f>H42*$D$82</f>
        <v>9820.578589388324</v>
      </c>
      <c r="J42" s="182">
        <f>I42*References!$C$73</f>
        <v>22.096301826123682</v>
      </c>
      <c r="K42" s="182">
        <f>J42/References!$G$76</f>
        <v>22.549547735609433</v>
      </c>
      <c r="L42" s="182">
        <f t="shared" si="10"/>
        <v>1.1286059927732448</v>
      </c>
      <c r="M42" s="189">
        <v>60.786475885084165</v>
      </c>
      <c r="N42" s="197">
        <f t="shared" si="9"/>
        <v>61.915081877857411</v>
      </c>
      <c r="O42" s="197">
        <f t="shared" si="11"/>
        <v>1214.5137881839817</v>
      </c>
      <c r="P42" s="197">
        <f t="shared" si="12"/>
        <v>1237.0633359195911</v>
      </c>
      <c r="Q42" s="197">
        <f t="shared" si="13"/>
        <v>22.549547735609394</v>
      </c>
    </row>
    <row r="43" spans="1:17">
      <c r="A43" s="207"/>
      <c r="B43" s="199">
        <v>28</v>
      </c>
      <c r="C43" t="s">
        <v>143</v>
      </c>
      <c r="F43">
        <v>1</v>
      </c>
      <c r="G43" s="186">
        <v>766.25</v>
      </c>
      <c r="H43" s="182">
        <f t="shared" si="8"/>
        <v>766.25</v>
      </c>
      <c r="I43" s="182">
        <f>H43*$D$82</f>
        <v>491.52044991933548</v>
      </c>
      <c r="J43" s="182">
        <f>I43*References!$C$73</f>
        <v>1.1059210123185024</v>
      </c>
      <c r="K43" s="182">
        <f>J43/References!$G$76</f>
        <v>1.1286059927732446</v>
      </c>
      <c r="L43" s="182">
        <f t="shared" si="10"/>
        <v>1.1286059927732446</v>
      </c>
      <c r="M43" s="189">
        <v>68.116475885084157</v>
      </c>
      <c r="N43" s="197">
        <f t="shared" si="9"/>
        <v>69.245081877857402</v>
      </c>
      <c r="O43" s="197">
        <f t="shared" si="11"/>
        <v>68.116475885084157</v>
      </c>
      <c r="P43" s="197">
        <f t="shared" si="12"/>
        <v>69.245081877857402</v>
      </c>
      <c r="Q43" s="197">
        <f t="shared" si="13"/>
        <v>1.1286059927732452</v>
      </c>
    </row>
    <row r="44" spans="1:17">
      <c r="A44" s="207"/>
      <c r="B44" s="199">
        <v>28</v>
      </c>
      <c r="C44" t="s">
        <v>144</v>
      </c>
      <c r="F44">
        <v>1</v>
      </c>
      <c r="G44" s="186">
        <v>766.25</v>
      </c>
      <c r="H44" s="182">
        <f t="shared" si="8"/>
        <v>766.25</v>
      </c>
      <c r="I44" s="182">
        <f>H44*$D$82</f>
        <v>491.52044991933548</v>
      </c>
      <c r="J44" s="182">
        <f>I44*References!$C$73</f>
        <v>1.1059210123185024</v>
      </c>
      <c r="K44" s="182">
        <f>J44/References!$G$76</f>
        <v>1.1286059927732446</v>
      </c>
      <c r="L44" s="182">
        <f t="shared" si="10"/>
        <v>1.1286059927732446</v>
      </c>
      <c r="M44" s="189">
        <v>63.456475885084167</v>
      </c>
      <c r="N44" s="197">
        <f t="shared" si="9"/>
        <v>64.585081877857405</v>
      </c>
      <c r="O44" s="197">
        <f t="shared" si="11"/>
        <v>63.456475885084167</v>
      </c>
      <c r="P44" s="197">
        <f t="shared" si="12"/>
        <v>64.585081877857405</v>
      </c>
      <c r="Q44" s="197">
        <f t="shared" si="13"/>
        <v>1.1286059927732381</v>
      </c>
    </row>
    <row r="45" spans="1:17">
      <c r="A45" s="207"/>
      <c r="B45" s="199" t="s">
        <v>187</v>
      </c>
      <c r="C45" t="s">
        <v>171</v>
      </c>
      <c r="F45">
        <v>7</v>
      </c>
      <c r="H45" s="182"/>
      <c r="I45" s="182"/>
      <c r="J45" s="182"/>
      <c r="K45" s="182"/>
      <c r="L45" s="182"/>
      <c r="M45" s="189"/>
      <c r="N45" s="197"/>
      <c r="O45" s="197">
        <f t="shared" si="11"/>
        <v>0</v>
      </c>
      <c r="P45" s="197">
        <f t="shared" si="12"/>
        <v>0</v>
      </c>
      <c r="Q45" s="197">
        <f t="shared" si="13"/>
        <v>0</v>
      </c>
    </row>
    <row r="46" spans="1:17">
      <c r="A46" s="207"/>
      <c r="B46" s="199" t="s">
        <v>187</v>
      </c>
      <c r="C46" t="s">
        <v>193</v>
      </c>
      <c r="F46">
        <v>7</v>
      </c>
      <c r="G46">
        <f>References!$B$32</f>
        <v>840</v>
      </c>
      <c r="H46" s="182">
        <f t="shared" si="8"/>
        <v>5880</v>
      </c>
      <c r="I46" s="182">
        <f>H46*$D$82</f>
        <v>3771.7980365751287</v>
      </c>
      <c r="J46" s="182">
        <f>I46*References!$C$73</f>
        <v>8.4865455822940206</v>
      </c>
      <c r="K46" s="182">
        <f>J46/References!$G$76</f>
        <v>8.660624127251781</v>
      </c>
      <c r="L46" s="182">
        <f t="shared" si="10"/>
        <v>1.2372320181788259</v>
      </c>
      <c r="M46" s="189">
        <v>70.316772911544135</v>
      </c>
      <c r="N46" s="197">
        <f t="shared" si="9"/>
        <v>71.554004929722964</v>
      </c>
      <c r="O46" s="197">
        <f t="shared" si="11"/>
        <v>492.21741038080893</v>
      </c>
      <c r="P46" s="197">
        <f t="shared" si="12"/>
        <v>500.87803450806075</v>
      </c>
      <c r="Q46" s="197">
        <f t="shared" si="13"/>
        <v>8.6606241272518218</v>
      </c>
    </row>
    <row r="47" spans="1:17">
      <c r="A47" s="207"/>
      <c r="B47" s="199" t="s">
        <v>187</v>
      </c>
      <c r="C47" t="s">
        <v>145</v>
      </c>
      <c r="F47">
        <v>76.59</v>
      </c>
      <c r="G47">
        <f>References!$B$32</f>
        <v>840</v>
      </c>
      <c r="H47" s="182">
        <f t="shared" si="8"/>
        <v>64335.600000000006</v>
      </c>
      <c r="I47" s="182">
        <f>H47*$D$82</f>
        <v>41268.858803041308</v>
      </c>
      <c r="J47" s="182">
        <f>I47*References!$C$73</f>
        <v>92.854932306842741</v>
      </c>
      <c r="K47" s="182">
        <f>J47/References!$G$76</f>
        <v>94.759600272316305</v>
      </c>
      <c r="L47" s="182">
        <f t="shared" si="10"/>
        <v>1.2372320181788263</v>
      </c>
      <c r="M47" s="189">
        <v>70.316772911544135</v>
      </c>
      <c r="N47" s="197">
        <f t="shared" si="9"/>
        <v>71.554004929722964</v>
      </c>
      <c r="O47" s="197">
        <f t="shared" si="11"/>
        <v>5385.5616372951654</v>
      </c>
      <c r="P47" s="197">
        <f t="shared" si="12"/>
        <v>5480.3212375674821</v>
      </c>
      <c r="Q47" s="197">
        <f t="shared" si="13"/>
        <v>94.759600272316675</v>
      </c>
    </row>
    <row r="48" spans="1:17">
      <c r="A48" s="207"/>
      <c r="B48" s="199" t="s">
        <v>187</v>
      </c>
      <c r="C48" t="s">
        <v>146</v>
      </c>
      <c r="F48">
        <v>1</v>
      </c>
      <c r="G48">
        <f>References!$B$32</f>
        <v>840</v>
      </c>
      <c r="H48" s="182">
        <f t="shared" si="8"/>
        <v>840</v>
      </c>
      <c r="I48" s="182">
        <f>H48*$D$82</f>
        <v>538.82829093930411</v>
      </c>
      <c r="J48" s="182">
        <f>I48*References!$C$73</f>
        <v>1.2123636546134315</v>
      </c>
      <c r="K48" s="182">
        <f>J48/References!$G$76</f>
        <v>1.2372320181788259</v>
      </c>
      <c r="L48" s="182">
        <f t="shared" si="10"/>
        <v>1.2372320181788259</v>
      </c>
      <c r="M48" s="189">
        <v>76.426772911544134</v>
      </c>
      <c r="N48" s="197">
        <f t="shared" si="9"/>
        <v>77.664004929722964</v>
      </c>
      <c r="O48" s="197">
        <f t="shared" si="11"/>
        <v>76.426772911544134</v>
      </c>
      <c r="P48" s="197">
        <f t="shared" si="12"/>
        <v>77.664004929722964</v>
      </c>
      <c r="Q48" s="197">
        <f t="shared" si="13"/>
        <v>1.2372320181788297</v>
      </c>
    </row>
    <row r="49" spans="1:17">
      <c r="A49" s="207"/>
      <c r="B49" s="199" t="s">
        <v>187</v>
      </c>
      <c r="C49" t="s">
        <v>172</v>
      </c>
      <c r="F49">
        <v>1</v>
      </c>
      <c r="H49" s="182"/>
      <c r="I49" s="182"/>
      <c r="J49" s="182"/>
      <c r="K49" s="182"/>
      <c r="L49" s="182"/>
      <c r="M49" s="189"/>
      <c r="N49" s="197"/>
      <c r="O49" s="197">
        <f t="shared" si="11"/>
        <v>0</v>
      </c>
      <c r="P49" s="197">
        <f t="shared" si="12"/>
        <v>0</v>
      </c>
      <c r="Q49" s="197">
        <f t="shared" si="13"/>
        <v>0</v>
      </c>
    </row>
    <row r="50" spans="1:17">
      <c r="A50" s="207"/>
      <c r="B50" s="199" t="s">
        <v>187</v>
      </c>
      <c r="C50" t="s">
        <v>194</v>
      </c>
      <c r="F50">
        <v>1</v>
      </c>
      <c r="G50">
        <f>References!$B$33</f>
        <v>980</v>
      </c>
      <c r="H50" s="182">
        <f t="shared" si="8"/>
        <v>980</v>
      </c>
      <c r="I50" s="182">
        <f>H50*$D$82</f>
        <v>628.63300609585485</v>
      </c>
      <c r="J50" s="182">
        <f>I50*References!$C$73</f>
        <v>1.4144242637156703</v>
      </c>
      <c r="K50" s="182">
        <f>J50/References!$G$76</f>
        <v>1.4434373545419639</v>
      </c>
      <c r="L50" s="182">
        <f t="shared" si="10"/>
        <v>1.4434373545419639</v>
      </c>
      <c r="M50" s="189">
        <v>79.831235063468171</v>
      </c>
      <c r="N50" s="197">
        <f t="shared" si="9"/>
        <v>81.274672418010141</v>
      </c>
      <c r="O50" s="197">
        <f t="shared" si="11"/>
        <v>79.831235063468171</v>
      </c>
      <c r="P50" s="197">
        <f t="shared" si="12"/>
        <v>81.274672418010141</v>
      </c>
      <c r="Q50" s="197">
        <f t="shared" si="13"/>
        <v>1.4434373545419703</v>
      </c>
    </row>
    <row r="51" spans="1:17">
      <c r="A51" s="207"/>
      <c r="B51" s="199" t="s">
        <v>187</v>
      </c>
      <c r="C51" t="s">
        <v>147</v>
      </c>
      <c r="F51">
        <v>23.310000000000002</v>
      </c>
      <c r="G51">
        <f>References!$B$33</f>
        <v>980</v>
      </c>
      <c r="H51" s="182">
        <f t="shared" si="8"/>
        <v>22843.800000000003</v>
      </c>
      <c r="I51" s="182">
        <f>H51*$D$82</f>
        <v>14653.435372094378</v>
      </c>
      <c r="J51" s="182">
        <f>I51*References!$C$73</f>
        <v>32.97022958721228</v>
      </c>
      <c r="K51" s="182">
        <f>J51/References!$G$76</f>
        <v>33.64652473437318</v>
      </c>
      <c r="L51" s="182">
        <f t="shared" si="10"/>
        <v>1.4434373545419639</v>
      </c>
      <c r="M51" s="189">
        <v>79.831235063468171</v>
      </c>
      <c r="N51" s="197">
        <f t="shared" si="9"/>
        <v>81.274672418010141</v>
      </c>
      <c r="O51" s="197">
        <f t="shared" si="11"/>
        <v>1860.8660893294432</v>
      </c>
      <c r="P51" s="197">
        <f t="shared" si="12"/>
        <v>1894.5126140638165</v>
      </c>
      <c r="Q51" s="197">
        <f t="shared" si="13"/>
        <v>33.646524734373315</v>
      </c>
    </row>
    <row r="52" spans="1:17">
      <c r="A52" s="207"/>
      <c r="B52" s="199" t="s">
        <v>187</v>
      </c>
      <c r="C52" t="s">
        <v>148</v>
      </c>
      <c r="F52">
        <v>1</v>
      </c>
      <c r="G52">
        <f>References!$B$33</f>
        <v>980</v>
      </c>
      <c r="H52" s="182">
        <f t="shared" si="8"/>
        <v>980</v>
      </c>
      <c r="I52" s="182">
        <f>H52*$D$82</f>
        <v>628.63300609585485</v>
      </c>
      <c r="J52" s="182">
        <f>I52*References!$C$73</f>
        <v>1.4144242637156703</v>
      </c>
      <c r="K52" s="182">
        <f>J52/References!$G$76</f>
        <v>1.4434373545419639</v>
      </c>
      <c r="L52" s="182">
        <f t="shared" si="10"/>
        <v>1.4434373545419639</v>
      </c>
      <c r="M52" s="189">
        <v>84.911235063468169</v>
      </c>
      <c r="N52" s="197">
        <f t="shared" si="9"/>
        <v>86.354672418010139</v>
      </c>
      <c r="O52" s="197">
        <f t="shared" si="11"/>
        <v>84.911235063468169</v>
      </c>
      <c r="P52" s="197">
        <f t="shared" si="12"/>
        <v>86.354672418010139</v>
      </c>
      <c r="Q52" s="197">
        <f t="shared" si="13"/>
        <v>1.4434373545419703</v>
      </c>
    </row>
    <row r="53" spans="1:17">
      <c r="A53" s="207"/>
      <c r="B53" s="199" t="s">
        <v>187</v>
      </c>
      <c r="C53" t="s">
        <v>149</v>
      </c>
      <c r="F53">
        <v>1</v>
      </c>
      <c r="G53">
        <f>References!$B$33</f>
        <v>980</v>
      </c>
      <c r="H53" s="182">
        <f t="shared" si="8"/>
        <v>980</v>
      </c>
      <c r="I53" s="182">
        <f>H53*$D$82</f>
        <v>628.63300609585485</v>
      </c>
      <c r="J53" s="182">
        <f>I53*References!$C$73</f>
        <v>1.4144242637156703</v>
      </c>
      <c r="K53" s="182">
        <f>J53/References!$G$76</f>
        <v>1.4434373545419639</v>
      </c>
      <c r="L53" s="182">
        <f t="shared" si="10"/>
        <v>1.4434373545419639</v>
      </c>
      <c r="M53" s="189">
        <v>82.131235063468168</v>
      </c>
      <c r="N53" s="197">
        <f t="shared" si="9"/>
        <v>83.574672418010138</v>
      </c>
      <c r="O53" s="197">
        <f t="shared" si="11"/>
        <v>82.131235063468168</v>
      </c>
      <c r="P53" s="197">
        <f t="shared" si="12"/>
        <v>83.574672418010138</v>
      </c>
      <c r="Q53" s="197">
        <f t="shared" si="13"/>
        <v>1.4434373545419703</v>
      </c>
    </row>
    <row r="54" spans="1:17">
      <c r="A54" s="207"/>
      <c r="B54" s="199" t="s">
        <v>187</v>
      </c>
      <c r="C54" t="s">
        <v>173</v>
      </c>
      <c r="F54">
        <v>1</v>
      </c>
      <c r="H54" s="182"/>
      <c r="I54" s="182"/>
      <c r="J54" s="182"/>
      <c r="K54" s="182"/>
      <c r="L54" s="182"/>
      <c r="M54" s="189"/>
      <c r="N54" s="197"/>
      <c r="O54" s="197">
        <f t="shared" si="11"/>
        <v>0</v>
      </c>
      <c r="P54" s="197">
        <f t="shared" si="12"/>
        <v>0</v>
      </c>
      <c r="Q54" s="197">
        <f t="shared" si="13"/>
        <v>0</v>
      </c>
    </row>
    <row r="55" spans="1:17">
      <c r="A55" s="207"/>
      <c r="B55" s="199" t="s">
        <v>187</v>
      </c>
      <c r="C55" t="s">
        <v>151</v>
      </c>
      <c r="F55">
        <v>15</v>
      </c>
      <c r="G55" s="186">
        <v>1312.5</v>
      </c>
      <c r="H55" s="182">
        <f t="shared" si="8"/>
        <v>19687.5</v>
      </c>
      <c r="I55" s="182">
        <f>H55*$D$82</f>
        <v>12628.78806888994</v>
      </c>
      <c r="J55" s="182">
        <f>I55*References!$C$73</f>
        <v>28.414773155002305</v>
      </c>
      <c r="K55" s="182">
        <f>J55/References!$G$76</f>
        <v>28.997625426066236</v>
      </c>
      <c r="L55" s="182">
        <f t="shared" si="10"/>
        <v>1.9331750284044158</v>
      </c>
      <c r="M55" s="189">
        <v>101.37308267428772</v>
      </c>
      <c r="N55" s="197">
        <f t="shared" si="9"/>
        <v>103.30625770269214</v>
      </c>
      <c r="O55" s="197">
        <f t="shared" si="11"/>
        <v>1520.5962401143158</v>
      </c>
      <c r="P55" s="197">
        <f t="shared" si="12"/>
        <v>1549.593865540382</v>
      </c>
      <c r="Q55" s="197">
        <f t="shared" si="13"/>
        <v>28.997625426066179</v>
      </c>
    </row>
    <row r="56" spans="1:17">
      <c r="A56" s="207"/>
      <c r="B56" s="199" t="s">
        <v>187</v>
      </c>
      <c r="C56" t="s">
        <v>152</v>
      </c>
      <c r="F56">
        <v>1</v>
      </c>
      <c r="G56" s="186">
        <v>1312.5</v>
      </c>
      <c r="H56" s="182">
        <f t="shared" si="8"/>
        <v>1312.5</v>
      </c>
      <c r="I56" s="182">
        <f>H56*$D$82</f>
        <v>841.91920459266271</v>
      </c>
      <c r="J56" s="182">
        <f>I56*References!$C$73</f>
        <v>1.894318210333487</v>
      </c>
      <c r="K56" s="182">
        <f>J56/References!$G$76</f>
        <v>1.9331750284044158</v>
      </c>
      <c r="L56" s="182">
        <f t="shared" si="10"/>
        <v>1.9331750284044158</v>
      </c>
      <c r="M56" s="189">
        <v>98.763082674287716</v>
      </c>
      <c r="N56" s="197">
        <f t="shared" si="9"/>
        <v>100.69625770269214</v>
      </c>
      <c r="O56" s="197">
        <f t="shared" si="11"/>
        <v>98.763082674287716</v>
      </c>
      <c r="P56" s="197">
        <f t="shared" si="12"/>
        <v>100.69625770269214</v>
      </c>
      <c r="Q56" s="197">
        <f t="shared" si="13"/>
        <v>1.9331750284044205</v>
      </c>
    </row>
    <row r="57" spans="1:17">
      <c r="A57" s="207"/>
      <c r="B57" s="199" t="s">
        <v>187</v>
      </c>
      <c r="C57" t="s">
        <v>153</v>
      </c>
      <c r="H57" s="182"/>
      <c r="I57" s="182"/>
      <c r="J57" s="182"/>
      <c r="K57" s="182"/>
      <c r="L57" s="182"/>
      <c r="M57" s="189"/>
      <c r="N57" s="197"/>
      <c r="O57" s="197">
        <f t="shared" si="11"/>
        <v>0</v>
      </c>
      <c r="P57" s="197">
        <f t="shared" si="12"/>
        <v>0</v>
      </c>
      <c r="Q57" s="197">
        <f t="shared" si="13"/>
        <v>0</v>
      </c>
    </row>
    <row r="58" spans="1:17">
      <c r="A58" s="207"/>
      <c r="B58" s="199">
        <v>29</v>
      </c>
      <c r="C58" t="s">
        <v>154</v>
      </c>
      <c r="F58">
        <v>4.33</v>
      </c>
      <c r="G58">
        <f>References!$B$26</f>
        <v>29</v>
      </c>
      <c r="H58" s="182">
        <f t="shared" si="8"/>
        <v>125.57000000000001</v>
      </c>
      <c r="I58" s="182">
        <f t="shared" ref="I58:I71" si="14">H58*$D$82</f>
        <v>80.54841487291479</v>
      </c>
      <c r="J58" s="182">
        <f>I58*References!$C$73</f>
        <v>0.18123393346405789</v>
      </c>
      <c r="K58" s="182">
        <f>J58/References!$G$76</f>
        <v>0.18495145776513713</v>
      </c>
      <c r="L58" s="182">
        <f t="shared" si="10"/>
        <v>4.271396253236423E-2</v>
      </c>
      <c r="M58" s="189">
        <v>2.9437100171842618</v>
      </c>
      <c r="N58" s="197">
        <f t="shared" si="9"/>
        <v>2.9864239797166259</v>
      </c>
      <c r="O58" s="197">
        <f t="shared" si="11"/>
        <v>12.746264374407854</v>
      </c>
      <c r="P58" s="197">
        <f t="shared" si="12"/>
        <v>12.93121583217299</v>
      </c>
      <c r="Q58" s="197">
        <f t="shared" si="13"/>
        <v>0.18495145776513588</v>
      </c>
    </row>
    <row r="59" spans="1:17">
      <c r="A59" s="207"/>
      <c r="B59" s="199">
        <v>29</v>
      </c>
      <c r="C59" t="s">
        <v>155</v>
      </c>
      <c r="F59">
        <v>1</v>
      </c>
      <c r="G59">
        <f>References!$B$26</f>
        <v>29</v>
      </c>
      <c r="H59" s="182">
        <f t="shared" si="8"/>
        <v>29</v>
      </c>
      <c r="I59" s="182">
        <f t="shared" si="14"/>
        <v>18.602405282428357</v>
      </c>
      <c r="J59" s="182">
        <f>I59*References!$C$73</f>
        <v>4.1855411885463711E-2</v>
      </c>
      <c r="K59" s="182">
        <f>J59/References!$G$76</f>
        <v>4.271396253236423E-2</v>
      </c>
      <c r="L59" s="182">
        <f t="shared" si="10"/>
        <v>4.271396253236423E-2</v>
      </c>
      <c r="M59" s="189">
        <v>2.9437100171842618</v>
      </c>
      <c r="N59" s="197">
        <f t="shared" si="9"/>
        <v>2.9864239797166259</v>
      </c>
      <c r="O59" s="197">
        <f t="shared" si="11"/>
        <v>2.9437100171842618</v>
      </c>
      <c r="P59" s="197">
        <f t="shared" si="12"/>
        <v>2.9864239797166259</v>
      </c>
      <c r="Q59" s="197">
        <f t="shared" si="13"/>
        <v>4.2713962532364036E-2</v>
      </c>
    </row>
    <row r="60" spans="1:17">
      <c r="A60" s="207"/>
      <c r="B60" s="199">
        <v>29</v>
      </c>
      <c r="C60" t="s">
        <v>156</v>
      </c>
      <c r="F60">
        <v>4.33</v>
      </c>
      <c r="G60">
        <f>References!$B$21</f>
        <v>47</v>
      </c>
      <c r="H60" s="182">
        <f t="shared" si="8"/>
        <v>203.51</v>
      </c>
      <c r="I60" s="182">
        <f t="shared" si="14"/>
        <v>130.54398272506879</v>
      </c>
      <c r="J60" s="182">
        <f>I60*References!$C$73</f>
        <v>0.29372396113140414</v>
      </c>
      <c r="K60" s="182">
        <f>J60/References!$G$76</f>
        <v>0.29974891430901535</v>
      </c>
      <c r="L60" s="182">
        <f t="shared" si="10"/>
        <v>6.9226077207624789E-2</v>
      </c>
      <c r="M60" s="189">
        <v>3.9384265795744935</v>
      </c>
      <c r="N60" s="197">
        <f t="shared" si="9"/>
        <v>4.0076526567821187</v>
      </c>
      <c r="O60" s="197">
        <f t="shared" si="11"/>
        <v>17.053387089557557</v>
      </c>
      <c r="P60" s="197">
        <f t="shared" si="12"/>
        <v>17.353136003866574</v>
      </c>
      <c r="Q60" s="197">
        <f t="shared" si="13"/>
        <v>0.29974891430901707</v>
      </c>
    </row>
    <row r="61" spans="1:17">
      <c r="A61" s="207"/>
      <c r="B61" s="199">
        <v>29</v>
      </c>
      <c r="C61" t="s">
        <v>157</v>
      </c>
      <c r="F61">
        <v>1</v>
      </c>
      <c r="G61">
        <f>References!$B$21</f>
        <v>47</v>
      </c>
      <c r="H61" s="182">
        <f t="shared" si="8"/>
        <v>47</v>
      </c>
      <c r="I61" s="182">
        <f t="shared" si="14"/>
        <v>30.148725802556303</v>
      </c>
      <c r="J61" s="182">
        <f>I61*References!$C$73</f>
        <v>6.7834633055751534E-2</v>
      </c>
      <c r="K61" s="182">
        <f>J61/References!$G$76</f>
        <v>6.9226077207624789E-2</v>
      </c>
      <c r="L61" s="182">
        <f t="shared" si="10"/>
        <v>6.9226077207624789E-2</v>
      </c>
      <c r="M61" s="189">
        <v>3.9384265795744935</v>
      </c>
      <c r="N61" s="197">
        <f t="shared" si="9"/>
        <v>4.0076526567821187</v>
      </c>
      <c r="O61" s="197">
        <f t="shared" si="11"/>
        <v>3.9384265795744935</v>
      </c>
      <c r="P61" s="197">
        <f t="shared" si="12"/>
        <v>4.0076526567821187</v>
      </c>
      <c r="Q61" s="197">
        <f t="shared" si="13"/>
        <v>6.9226077207625192E-2</v>
      </c>
    </row>
    <row r="62" spans="1:17">
      <c r="A62" s="207"/>
      <c r="B62" s="199">
        <v>29</v>
      </c>
      <c r="C62" t="s">
        <v>158</v>
      </c>
      <c r="F62">
        <v>21.65</v>
      </c>
      <c r="G62">
        <f>References!$B$22</f>
        <v>68</v>
      </c>
      <c r="H62" s="182">
        <f t="shared" si="8"/>
        <v>1472.1999999999998</v>
      </c>
      <c r="I62" s="182">
        <f t="shared" si="14"/>
        <v>944.36072609624216</v>
      </c>
      <c r="J62" s="182">
        <f>I62*References!$C$73</f>
        <v>2.1248116337165404</v>
      </c>
      <c r="K62" s="182">
        <f>J62/References!$G$76</f>
        <v>2.1683964013843662</v>
      </c>
      <c r="L62" s="182">
        <f t="shared" si="10"/>
        <v>0.10015687766209544</v>
      </c>
      <c r="M62" s="189">
        <v>4.9655959023630976</v>
      </c>
      <c r="N62" s="197">
        <f t="shared" si="9"/>
        <v>5.0657527800251927</v>
      </c>
      <c r="O62" s="197">
        <f t="shared" si="11"/>
        <v>107.50515128616105</v>
      </c>
      <c r="P62" s="197">
        <f t="shared" si="12"/>
        <v>109.67354768754541</v>
      </c>
      <c r="Q62" s="197">
        <f t="shared" si="13"/>
        <v>2.1683964013843564</v>
      </c>
    </row>
    <row r="63" spans="1:17">
      <c r="A63" s="207"/>
      <c r="B63" s="199">
        <v>29</v>
      </c>
      <c r="C63" t="s">
        <v>159</v>
      </c>
      <c r="F63">
        <v>1</v>
      </c>
      <c r="G63">
        <f>References!$B$22</f>
        <v>68</v>
      </c>
      <c r="H63" s="182">
        <f t="shared" si="8"/>
        <v>68</v>
      </c>
      <c r="I63" s="182">
        <f t="shared" si="14"/>
        <v>43.619433076038902</v>
      </c>
      <c r="J63" s="182">
        <f>I63*References!$C$73</f>
        <v>9.8143724421087319E-2</v>
      </c>
      <c r="K63" s="182">
        <f>J63/References!$G$76</f>
        <v>0.10015687766209544</v>
      </c>
      <c r="L63" s="182">
        <f t="shared" si="10"/>
        <v>0.10015687766209544</v>
      </c>
      <c r="M63" s="189">
        <v>4.9655959023630976</v>
      </c>
      <c r="N63" s="197">
        <f t="shared" si="9"/>
        <v>5.0657527800251927</v>
      </c>
      <c r="O63" s="197">
        <f t="shared" si="11"/>
        <v>4.9655959023630976</v>
      </c>
      <c r="P63" s="197">
        <f t="shared" si="12"/>
        <v>5.0657527800251927</v>
      </c>
      <c r="Q63" s="197">
        <f t="shared" si="13"/>
        <v>0.10015687766209513</v>
      </c>
    </row>
    <row r="64" spans="1:17">
      <c r="A64" s="207"/>
      <c r="B64" s="199">
        <v>29</v>
      </c>
      <c r="C64" t="s">
        <v>156</v>
      </c>
      <c r="F64">
        <v>4.33</v>
      </c>
      <c r="G64">
        <f>References!$B$21</f>
        <v>47</v>
      </c>
      <c r="H64" s="182">
        <f t="shared" si="8"/>
        <v>203.51</v>
      </c>
      <c r="I64" s="182">
        <f t="shared" si="14"/>
        <v>130.54398272506879</v>
      </c>
      <c r="J64" s="182">
        <f>I64*References!$C$73</f>
        <v>0.29372396113140414</v>
      </c>
      <c r="K64" s="182">
        <f>J64/References!$G$76</f>
        <v>0.29974891430901535</v>
      </c>
      <c r="L64" s="182">
        <f t="shared" si="10"/>
        <v>6.9226077207624789E-2</v>
      </c>
      <c r="M64" s="189">
        <v>3.9384265795744935</v>
      </c>
      <c r="N64" s="197">
        <f t="shared" si="9"/>
        <v>4.0076526567821187</v>
      </c>
      <c r="O64" s="197">
        <f t="shared" si="11"/>
        <v>17.053387089557557</v>
      </c>
      <c r="P64" s="197">
        <f t="shared" si="12"/>
        <v>17.353136003866574</v>
      </c>
      <c r="Q64" s="197">
        <f t="shared" si="13"/>
        <v>0.29974891430901707</v>
      </c>
    </row>
    <row r="65" spans="1:17">
      <c r="A65" s="207"/>
      <c r="B65" s="199">
        <v>29</v>
      </c>
      <c r="C65" t="s">
        <v>157</v>
      </c>
      <c r="F65">
        <v>1</v>
      </c>
      <c r="G65">
        <f>References!$B$21</f>
        <v>47</v>
      </c>
      <c r="H65" s="182">
        <f t="shared" si="8"/>
        <v>47</v>
      </c>
      <c r="I65" s="182">
        <f t="shared" si="14"/>
        <v>30.148725802556303</v>
      </c>
      <c r="J65" s="182">
        <f>I65*References!$C$73</f>
        <v>6.7834633055751534E-2</v>
      </c>
      <c r="K65" s="182">
        <f>J65/References!$G$76</f>
        <v>6.9226077207624789E-2</v>
      </c>
      <c r="L65" s="182">
        <f t="shared" si="10"/>
        <v>6.9226077207624789E-2</v>
      </c>
      <c r="M65" s="189">
        <v>3.9384265795744935</v>
      </c>
      <c r="N65" s="197">
        <f t="shared" si="9"/>
        <v>4.0076526567821187</v>
      </c>
      <c r="O65" s="197">
        <f t="shared" si="11"/>
        <v>3.9384265795744935</v>
      </c>
      <c r="P65" s="197">
        <f t="shared" si="12"/>
        <v>4.0076526567821187</v>
      </c>
      <c r="Q65" s="197">
        <f t="shared" si="13"/>
        <v>6.9226077207625192E-2</v>
      </c>
    </row>
    <row r="66" spans="1:17">
      <c r="A66" s="207"/>
      <c r="B66" s="199">
        <v>29</v>
      </c>
      <c r="C66" t="s">
        <v>160</v>
      </c>
      <c r="F66">
        <v>4.33</v>
      </c>
      <c r="G66">
        <f>References!$B$27</f>
        <v>175</v>
      </c>
      <c r="H66" s="182">
        <f t="shared" si="8"/>
        <v>757.75</v>
      </c>
      <c r="I66" s="182">
        <f t="shared" si="14"/>
        <v>486.06802078483059</v>
      </c>
      <c r="J66" s="182">
        <f>I66*References!$C$73</f>
        <v>1.0936530467658665</v>
      </c>
      <c r="K66" s="182">
        <f>J66/References!$G$76</f>
        <v>1.1160863830654828</v>
      </c>
      <c r="L66" s="182">
        <f t="shared" si="10"/>
        <v>0.25775667045392214</v>
      </c>
      <c r="M66" s="189">
        <v>13.963077689905031</v>
      </c>
      <c r="N66" s="197">
        <f t="shared" si="9"/>
        <v>14.220834360358953</v>
      </c>
      <c r="O66" s="197">
        <f t="shared" si="11"/>
        <v>60.460126397288782</v>
      </c>
      <c r="P66" s="197">
        <f t="shared" si="12"/>
        <v>61.576212780354268</v>
      </c>
      <c r="Q66" s="197">
        <f t="shared" si="13"/>
        <v>1.1160863830654861</v>
      </c>
    </row>
    <row r="67" spans="1:17">
      <c r="A67" s="207"/>
      <c r="B67" s="199">
        <v>29</v>
      </c>
      <c r="C67" t="s">
        <v>161</v>
      </c>
      <c r="F67">
        <v>1</v>
      </c>
      <c r="G67">
        <f>References!$B$27</f>
        <v>175</v>
      </c>
      <c r="H67" s="182">
        <f t="shared" si="8"/>
        <v>175</v>
      </c>
      <c r="I67" s="182">
        <f t="shared" si="14"/>
        <v>112.25589394568836</v>
      </c>
      <c r="J67" s="182">
        <f>I67*References!$C$73</f>
        <v>0.25257576137779825</v>
      </c>
      <c r="K67" s="182">
        <f>J67/References!$G$76</f>
        <v>0.25775667045392209</v>
      </c>
      <c r="L67" s="182">
        <f t="shared" si="10"/>
        <v>0.25775667045392209</v>
      </c>
      <c r="M67" s="189">
        <v>19.383077689905029</v>
      </c>
      <c r="N67" s="197">
        <f t="shared" si="9"/>
        <v>19.640834360358951</v>
      </c>
      <c r="O67" s="197">
        <f t="shared" si="11"/>
        <v>19.383077689905029</v>
      </c>
      <c r="P67" s="197">
        <f t="shared" si="12"/>
        <v>19.640834360358951</v>
      </c>
      <c r="Q67" s="197">
        <f t="shared" si="13"/>
        <v>0.25775667045392225</v>
      </c>
    </row>
    <row r="68" spans="1:17">
      <c r="A68" s="207"/>
      <c r="B68" s="199">
        <v>29</v>
      </c>
      <c r="C68" t="s">
        <v>162</v>
      </c>
      <c r="F68">
        <v>4.33</v>
      </c>
      <c r="G68">
        <f>References!$B$28</f>
        <v>250</v>
      </c>
      <c r="H68" s="182">
        <f t="shared" si="8"/>
        <v>1082.5</v>
      </c>
      <c r="I68" s="182">
        <f t="shared" si="14"/>
        <v>694.38288683547228</v>
      </c>
      <c r="J68" s="182">
        <f>I68*References!$C$73</f>
        <v>1.5623614953798093</v>
      </c>
      <c r="K68" s="182">
        <f>J68/References!$G$76</f>
        <v>1.5944091186649754</v>
      </c>
      <c r="L68" s="182">
        <f t="shared" si="10"/>
        <v>0.36822381493417444</v>
      </c>
      <c r="M68" s="189">
        <v>20.024396699864329</v>
      </c>
      <c r="N68" s="197">
        <f t="shared" si="9"/>
        <v>20.392620514798505</v>
      </c>
      <c r="O68" s="197">
        <f t="shared" si="11"/>
        <v>86.705637710412546</v>
      </c>
      <c r="P68" s="197">
        <f t="shared" si="12"/>
        <v>88.30004682907753</v>
      </c>
      <c r="Q68" s="197">
        <f t="shared" si="13"/>
        <v>1.5944091186649842</v>
      </c>
    </row>
    <row r="69" spans="1:17">
      <c r="A69" s="207"/>
      <c r="B69" s="199">
        <v>29</v>
      </c>
      <c r="C69" t="s">
        <v>163</v>
      </c>
      <c r="F69">
        <v>1</v>
      </c>
      <c r="G69">
        <f>References!$B$28</f>
        <v>250</v>
      </c>
      <c r="H69" s="182">
        <f t="shared" si="8"/>
        <v>250</v>
      </c>
      <c r="I69" s="182">
        <f t="shared" si="14"/>
        <v>160.36556277955481</v>
      </c>
      <c r="J69" s="182">
        <f>I69*References!$C$73</f>
        <v>0.36082251625399753</v>
      </c>
      <c r="K69" s="182">
        <f>J69/References!$G$76</f>
        <v>0.36822381493417444</v>
      </c>
      <c r="L69" s="182">
        <f t="shared" si="10"/>
        <v>0.36822381493417444</v>
      </c>
      <c r="M69" s="189">
        <v>20.024396699864329</v>
      </c>
      <c r="N69" s="197">
        <f t="shared" si="9"/>
        <v>20.392620514798505</v>
      </c>
      <c r="O69" s="197">
        <f t="shared" si="11"/>
        <v>20.024396699864329</v>
      </c>
      <c r="P69" s="197">
        <f t="shared" si="12"/>
        <v>20.392620514798505</v>
      </c>
      <c r="Q69" s="197">
        <f t="shared" si="13"/>
        <v>0.36822381493417566</v>
      </c>
    </row>
    <row r="70" spans="1:17">
      <c r="A70" s="207"/>
      <c r="B70" s="199" t="s">
        <v>197</v>
      </c>
      <c r="C70" t="s">
        <v>164</v>
      </c>
      <c r="F70">
        <v>4.33</v>
      </c>
      <c r="G70">
        <f>References!$B$29</f>
        <v>324</v>
      </c>
      <c r="H70" s="182">
        <f t="shared" si="8"/>
        <v>1402.92</v>
      </c>
      <c r="I70" s="182">
        <f t="shared" si="14"/>
        <v>899.92022133877208</v>
      </c>
      <c r="J70" s="182">
        <f>I70*References!$C$73</f>
        <v>2.0248204980122329</v>
      </c>
      <c r="K70" s="182">
        <f>J70/References!$G$76</f>
        <v>2.066354217789808</v>
      </c>
      <c r="L70" s="182">
        <f t="shared" si="10"/>
        <v>0.47721806415469004</v>
      </c>
      <c r="M70" s="189">
        <v>25.364898123024172</v>
      </c>
      <c r="N70" s="197">
        <f t="shared" si="9"/>
        <v>25.842116187178863</v>
      </c>
      <c r="O70" s="197">
        <f t="shared" si="11"/>
        <v>109.83000887269466</v>
      </c>
      <c r="P70" s="197">
        <f t="shared" si="12"/>
        <v>111.89636309048448</v>
      </c>
      <c r="Q70" s="197">
        <f t="shared" si="13"/>
        <v>2.0663542177898222</v>
      </c>
    </row>
    <row r="71" spans="1:17">
      <c r="A71" s="207"/>
      <c r="B71" s="199" t="s">
        <v>197</v>
      </c>
      <c r="C71" t="s">
        <v>165</v>
      </c>
      <c r="F71">
        <v>1</v>
      </c>
      <c r="G71">
        <f>References!$B$29</f>
        <v>324</v>
      </c>
      <c r="H71" s="182">
        <f t="shared" si="8"/>
        <v>324</v>
      </c>
      <c r="I71" s="182">
        <f t="shared" si="14"/>
        <v>207.83376936230303</v>
      </c>
      <c r="J71" s="182">
        <f>I71*References!$C$73</f>
        <v>0.46762598106518077</v>
      </c>
      <c r="K71" s="182">
        <f>J71/References!$G$76</f>
        <v>0.47721806415469004</v>
      </c>
      <c r="L71" s="182">
        <f t="shared" si="10"/>
        <v>0.47721806415469004</v>
      </c>
      <c r="M71" s="189">
        <v>25.364898123024172</v>
      </c>
      <c r="N71" s="197">
        <f>M71+L71</f>
        <v>25.842116187178863</v>
      </c>
      <c r="O71" s="197">
        <f t="shared" si="11"/>
        <v>25.364898123024172</v>
      </c>
      <c r="P71" s="197">
        <f t="shared" si="12"/>
        <v>25.842116187178863</v>
      </c>
      <c r="Q71" s="197">
        <f t="shared" si="13"/>
        <v>0.47721806415469104</v>
      </c>
    </row>
    <row r="73" spans="1:17" s="180" customFormat="1">
      <c r="D73" s="180">
        <v>0</v>
      </c>
      <c r="E73" s="180">
        <v>0</v>
      </c>
      <c r="F73" s="180">
        <f>SUM(F16:F72)</f>
        <v>85709.03</v>
      </c>
      <c r="H73" s="180">
        <f>SUM(H16:H72)</f>
        <v>10160702.555000002</v>
      </c>
      <c r="J73" s="180">
        <f>SUM(J16:J72)</f>
        <v>14664.841051214084</v>
      </c>
      <c r="K73" s="180">
        <f>SUM(K16:K72)</f>
        <v>14965.650628854053</v>
      </c>
      <c r="O73" s="198">
        <f>SUM(O16:O72)</f>
        <v>912145.42658218008</v>
      </c>
      <c r="P73" s="198">
        <f>SUM(P16:P72)</f>
        <v>927111.07721103437</v>
      </c>
      <c r="Q73" s="198">
        <f>SUM(Q16:Q72)</f>
        <v>14965.650628854082</v>
      </c>
    </row>
    <row r="74" spans="1:17">
      <c r="H74" s="182">
        <f>H73+H15</f>
        <v>20635446.555</v>
      </c>
      <c r="J74" s="182">
        <f>J73+J15</f>
        <v>29782.934999999932</v>
      </c>
      <c r="K74" s="182">
        <f>K73+K15</f>
        <v>30393.851413409466</v>
      </c>
      <c r="Q74" s="197">
        <f>Q73+Q15</f>
        <v>30393.851413409451</v>
      </c>
    </row>
    <row r="77" spans="1:17">
      <c r="C77" s="208" t="s">
        <v>86</v>
      </c>
      <c r="D77" s="208"/>
    </row>
    <row r="78" spans="1:17">
      <c r="D78" t="s">
        <v>16</v>
      </c>
    </row>
    <row r="79" spans="1:17">
      <c r="C79" t="s">
        <v>32</v>
      </c>
      <c r="D79">
        <v>6618.43</v>
      </c>
    </row>
    <row r="80" spans="1:17">
      <c r="C80" t="s">
        <v>33</v>
      </c>
      <c r="D80">
        <f>D79*2000</f>
        <v>13236860</v>
      </c>
    </row>
    <row r="81" spans="1:14">
      <c r="C81" t="s">
        <v>4</v>
      </c>
      <c r="D81" s="182">
        <f>F73+F15</f>
        <v>262909.03000000003</v>
      </c>
    </row>
    <row r="82" spans="1:14">
      <c r="C82" t="s">
        <v>11</v>
      </c>
      <c r="D82" s="175">
        <f>D80/H74</f>
        <v>0.6414622511182192</v>
      </c>
    </row>
    <row r="85" spans="1:14" s="180" customFormat="1">
      <c r="C85" s="180" t="s">
        <v>91</v>
      </c>
    </row>
    <row r="86" spans="1:14">
      <c r="A86" s="207" t="s">
        <v>49</v>
      </c>
      <c r="B86" s="199">
        <v>20</v>
      </c>
      <c r="C86" t="s">
        <v>113</v>
      </c>
      <c r="E86" s="182">
        <f>References!$B$7</f>
        <v>4.333333333333333</v>
      </c>
      <c r="F86" s="182">
        <f>E86*12</f>
        <v>52</v>
      </c>
      <c r="G86">
        <f>References!B14</f>
        <v>34</v>
      </c>
      <c r="H86" s="182">
        <f>G86*F86</f>
        <v>1768</v>
      </c>
      <c r="I86" s="182">
        <f>H86*D$82</f>
        <v>1134.1052599770114</v>
      </c>
      <c r="J86" s="182">
        <f>References!$C$73*I86</f>
        <v>2.5517368349482701</v>
      </c>
      <c r="K86" s="182">
        <f>J86/References!$G$76</f>
        <v>2.604078819214481</v>
      </c>
      <c r="L86" s="182">
        <f>K86/F86*E86</f>
        <v>0.2170065682678734</v>
      </c>
      <c r="M86" s="189">
        <v>12.400457788453377</v>
      </c>
      <c r="N86" s="197">
        <f>M86+L86</f>
        <v>12.61746435672125</v>
      </c>
    </row>
    <row r="87" spans="1:14">
      <c r="A87" s="207"/>
      <c r="B87" s="199">
        <v>20</v>
      </c>
      <c r="C87" t="s">
        <v>114</v>
      </c>
      <c r="E87" s="182">
        <f>References!$B$7</f>
        <v>4.333333333333333</v>
      </c>
      <c r="F87" s="182">
        <f t="shared" ref="F87:F116" si="15">E87*12</f>
        <v>52</v>
      </c>
      <c r="G87">
        <f>References!B15</f>
        <v>51</v>
      </c>
      <c r="H87" s="182">
        <f t="shared" ref="H87:H116" si="16">G87*F87</f>
        <v>2652</v>
      </c>
      <c r="I87" s="182">
        <f t="shared" ref="I87:I116" si="17">H87*D$82</f>
        <v>1701.1578899655174</v>
      </c>
      <c r="J87" s="182">
        <f>References!$C$73*I87</f>
        <v>3.8276052524224058</v>
      </c>
      <c r="K87" s="182">
        <f>J87/References!$G$76</f>
        <v>3.9061182288217222</v>
      </c>
      <c r="L87" s="182">
        <f t="shared" ref="L87:L116" si="18">K87/F87*E87</f>
        <v>0.32550985240181018</v>
      </c>
      <c r="M87" s="189">
        <v>16.620686682680066</v>
      </c>
      <c r="N87" s="197">
        <f t="shared" ref="N87:N116" si="19">M87+L87</f>
        <v>16.946196535081878</v>
      </c>
    </row>
    <row r="88" spans="1:14">
      <c r="A88" s="207"/>
      <c r="B88" s="199">
        <v>20</v>
      </c>
      <c r="C88" t="s">
        <v>115</v>
      </c>
      <c r="E88" s="182">
        <f>References!$B$7</f>
        <v>4.333333333333333</v>
      </c>
      <c r="F88" s="182">
        <f t="shared" si="15"/>
        <v>52</v>
      </c>
      <c r="G88">
        <f>References!B16</f>
        <v>77</v>
      </c>
      <c r="H88" s="182">
        <f t="shared" si="16"/>
        <v>4004</v>
      </c>
      <c r="I88" s="182">
        <f t="shared" si="17"/>
        <v>2568.4148534773499</v>
      </c>
      <c r="J88" s="182">
        <f>References!$C$73*I88</f>
        <v>5.7789334203240248</v>
      </c>
      <c r="K88" s="182">
        <f>J88/References!$G$76</f>
        <v>5.8974726199857379</v>
      </c>
      <c r="L88" s="182">
        <f t="shared" si="18"/>
        <v>0.49145605166547812</v>
      </c>
      <c r="M88" s="189">
        <v>21.152801462085591</v>
      </c>
      <c r="N88" s="197">
        <f t="shared" si="19"/>
        <v>21.644257513751068</v>
      </c>
    </row>
    <row r="89" spans="1:14">
      <c r="A89" s="207"/>
      <c r="B89" s="199">
        <v>20</v>
      </c>
      <c r="C89" t="s">
        <v>116</v>
      </c>
      <c r="E89" s="182">
        <f>References!$B$7</f>
        <v>4.333333333333333</v>
      </c>
      <c r="F89" s="182">
        <f t="shared" si="15"/>
        <v>52</v>
      </c>
      <c r="G89">
        <f>References!B17</f>
        <v>97</v>
      </c>
      <c r="H89" s="182">
        <f t="shared" si="16"/>
        <v>5044</v>
      </c>
      <c r="I89" s="182">
        <f t="shared" si="17"/>
        <v>3235.5355946402974</v>
      </c>
      <c r="J89" s="182">
        <f>References!$C$73*I89</f>
        <v>7.2799550879406532</v>
      </c>
      <c r="K89" s="182">
        <f>J89/References!$G$76</f>
        <v>7.4292836901119026</v>
      </c>
      <c r="L89" s="182">
        <f t="shared" si="18"/>
        <v>0.61910697417599181</v>
      </c>
      <c r="M89" s="189">
        <v>26.093658984705225</v>
      </c>
      <c r="N89" s="197">
        <f t="shared" si="19"/>
        <v>26.712765958881217</v>
      </c>
    </row>
    <row r="90" spans="1:14">
      <c r="A90" s="207"/>
      <c r="B90" s="199">
        <v>20</v>
      </c>
      <c r="C90" t="s">
        <v>117</v>
      </c>
      <c r="E90" s="182">
        <f>References!$B$7</f>
        <v>4.333333333333333</v>
      </c>
      <c r="F90" s="182">
        <f t="shared" si="15"/>
        <v>52</v>
      </c>
      <c r="G90">
        <f>References!B18</f>
        <v>117</v>
      </c>
      <c r="H90" s="182">
        <f t="shared" si="16"/>
        <v>6084</v>
      </c>
      <c r="I90" s="182">
        <f t="shared" si="17"/>
        <v>3902.6563358032454</v>
      </c>
      <c r="J90" s="182">
        <f>References!$C$73*I90</f>
        <v>8.7809767555572833</v>
      </c>
      <c r="K90" s="182">
        <f>J90/References!$G$76</f>
        <v>8.9610947602380691</v>
      </c>
      <c r="L90" s="182">
        <f t="shared" si="18"/>
        <v>0.74675789668650572</v>
      </c>
      <c r="M90" s="189">
        <v>31.284516507324859</v>
      </c>
      <c r="N90" s="197">
        <f t="shared" si="19"/>
        <v>32.031274404011363</v>
      </c>
    </row>
    <row r="91" spans="1:14">
      <c r="A91" s="207"/>
      <c r="B91" s="199">
        <v>20</v>
      </c>
      <c r="C91" t="s">
        <v>118</v>
      </c>
      <c r="E91" s="182">
        <f>References!$B$7</f>
        <v>4.333333333333333</v>
      </c>
      <c r="F91" s="182">
        <f t="shared" si="15"/>
        <v>52</v>
      </c>
      <c r="G91">
        <f>References!B19</f>
        <v>157</v>
      </c>
      <c r="H91" s="182">
        <f t="shared" si="16"/>
        <v>8164</v>
      </c>
      <c r="I91" s="182">
        <f t="shared" si="17"/>
        <v>5236.8978181291413</v>
      </c>
      <c r="J91" s="182">
        <f>References!$C$73*I91</f>
        <v>11.783020090790542</v>
      </c>
      <c r="K91" s="182">
        <f>J91/References!$G$76</f>
        <v>12.024716900490398</v>
      </c>
      <c r="L91" s="182">
        <f t="shared" si="18"/>
        <v>1.0020597417075332</v>
      </c>
      <c r="M91" s="189">
        <v>37.126231552564128</v>
      </c>
      <c r="N91" s="197">
        <f t="shared" si="19"/>
        <v>38.128291294271662</v>
      </c>
    </row>
    <row r="92" spans="1:14">
      <c r="A92" s="207"/>
      <c r="B92" s="199">
        <v>20</v>
      </c>
      <c r="C92" t="s">
        <v>111</v>
      </c>
      <c r="E92" s="182">
        <f>References!$B$9</f>
        <v>1</v>
      </c>
      <c r="F92" s="182">
        <f t="shared" si="15"/>
        <v>12</v>
      </c>
      <c r="G92">
        <f>References!B14</f>
        <v>34</v>
      </c>
      <c r="H92" s="182">
        <f t="shared" si="16"/>
        <v>408</v>
      </c>
      <c r="I92" s="182">
        <f t="shared" si="17"/>
        <v>261.71659845623344</v>
      </c>
      <c r="J92" s="182">
        <f>References!$C$73*I92</f>
        <v>0.58886234652652392</v>
      </c>
      <c r="K92" s="182">
        <f>J92/References!$G$76</f>
        <v>0.60094126597257258</v>
      </c>
      <c r="L92" s="182">
        <f t="shared" si="18"/>
        <v>5.0078438831047713E-2</v>
      </c>
      <c r="M92" s="189">
        <v>4.9377979511815484</v>
      </c>
      <c r="N92" s="197">
        <f t="shared" si="19"/>
        <v>4.9878763900125964</v>
      </c>
    </row>
    <row r="93" spans="1:14">
      <c r="A93" s="207"/>
      <c r="B93" s="199">
        <v>20</v>
      </c>
      <c r="C93" t="s">
        <v>112</v>
      </c>
      <c r="E93" s="182">
        <f>References!$C$9</f>
        <v>2</v>
      </c>
      <c r="F93" s="182">
        <f t="shared" si="15"/>
        <v>24</v>
      </c>
      <c r="G93">
        <f>References!B14</f>
        <v>34</v>
      </c>
      <c r="H93" s="182">
        <f t="shared" si="16"/>
        <v>816</v>
      </c>
      <c r="I93" s="182">
        <f t="shared" si="17"/>
        <v>523.43319691246688</v>
      </c>
      <c r="J93" s="182">
        <f>References!$C$73*I93</f>
        <v>1.1777246930530478</v>
      </c>
      <c r="K93" s="182">
        <f>J93/References!$G$76</f>
        <v>1.2018825319451452</v>
      </c>
      <c r="L93" s="182">
        <f t="shared" si="18"/>
        <v>0.10015687766209543</v>
      </c>
      <c r="M93" s="189">
        <v>9.915595902363096</v>
      </c>
      <c r="N93" s="197">
        <f t="shared" si="19"/>
        <v>10.015752780025192</v>
      </c>
    </row>
    <row r="94" spans="1:14">
      <c r="A94" s="207"/>
      <c r="B94" s="199">
        <v>20</v>
      </c>
      <c r="C94" t="s">
        <v>175</v>
      </c>
      <c r="E94" s="182">
        <f>References!$B$7</f>
        <v>4.333333333333333</v>
      </c>
      <c r="F94" s="182">
        <f t="shared" si="15"/>
        <v>52</v>
      </c>
      <c r="G94">
        <f>References!B14</f>
        <v>34</v>
      </c>
      <c r="H94" s="182">
        <f t="shared" si="16"/>
        <v>1768</v>
      </c>
      <c r="I94" s="182">
        <f t="shared" si="17"/>
        <v>1134.1052599770114</v>
      </c>
      <c r="J94" s="182">
        <f>References!$C$73*I94</f>
        <v>2.5517368349482701</v>
      </c>
      <c r="K94" s="182">
        <f>J94/References!$G$76</f>
        <v>2.604078819214481</v>
      </c>
      <c r="L94" s="182">
        <f t="shared" si="18"/>
        <v>0.2170065682678734</v>
      </c>
      <c r="M94" s="189">
        <v>13.090457788453378</v>
      </c>
      <c r="N94" s="197">
        <f t="shared" si="19"/>
        <v>13.307464356721251</v>
      </c>
    </row>
    <row r="95" spans="1:14">
      <c r="A95" s="207"/>
      <c r="B95" s="199">
        <v>20</v>
      </c>
      <c r="C95" t="s">
        <v>176</v>
      </c>
      <c r="E95" s="182">
        <f>References!$B$7</f>
        <v>4.333333333333333</v>
      </c>
      <c r="F95" s="182">
        <f t="shared" si="15"/>
        <v>52</v>
      </c>
      <c r="G95">
        <f>References!B22</f>
        <v>68</v>
      </c>
      <c r="H95" s="182">
        <f t="shared" si="16"/>
        <v>3536</v>
      </c>
      <c r="I95" s="182">
        <f t="shared" si="17"/>
        <v>2268.2105199540229</v>
      </c>
      <c r="J95" s="182">
        <f>References!$C$73*I95</f>
        <v>5.1034736698965402</v>
      </c>
      <c r="K95" s="182">
        <f>J95/References!$G$76</f>
        <v>5.2081576384289621</v>
      </c>
      <c r="L95" s="182">
        <f t="shared" si="18"/>
        <v>0.4340131365357468</v>
      </c>
      <c r="M95" s="189">
        <v>21.890915576906753</v>
      </c>
      <c r="N95" s="197">
        <f t="shared" si="19"/>
        <v>22.3249287134425</v>
      </c>
    </row>
    <row r="96" spans="1:14">
      <c r="A96" s="207"/>
      <c r="B96" s="199">
        <v>20</v>
      </c>
      <c r="C96" t="s">
        <v>177</v>
      </c>
      <c r="E96" s="182">
        <f>References!$B$7</f>
        <v>4.333333333333333</v>
      </c>
      <c r="F96" s="182">
        <f t="shared" si="15"/>
        <v>52</v>
      </c>
      <c r="G96">
        <f>References!B13</f>
        <v>20</v>
      </c>
      <c r="H96" s="182">
        <f t="shared" si="16"/>
        <v>1040</v>
      </c>
      <c r="I96" s="182">
        <f t="shared" si="17"/>
        <v>667.12074116294798</v>
      </c>
      <c r="J96" s="182">
        <f>References!$C$73*I96</f>
        <v>1.5010216676166297</v>
      </c>
      <c r="K96" s="182">
        <f>J96/References!$G$76</f>
        <v>1.5318110701261656</v>
      </c>
      <c r="L96" s="182">
        <f t="shared" si="18"/>
        <v>0.1276509225105138</v>
      </c>
      <c r="M96" s="189">
        <v>11.260857522619633</v>
      </c>
      <c r="N96" s="197">
        <f t="shared" si="19"/>
        <v>11.388508445130146</v>
      </c>
    </row>
    <row r="97" spans="1:14">
      <c r="A97" s="207"/>
      <c r="B97" s="199">
        <v>20</v>
      </c>
      <c r="C97" t="s">
        <v>178</v>
      </c>
      <c r="E97" s="182">
        <f>References!$B$7</f>
        <v>4.333333333333333</v>
      </c>
      <c r="F97" s="182">
        <f t="shared" si="15"/>
        <v>52</v>
      </c>
      <c r="G97">
        <f>References!B14</f>
        <v>34</v>
      </c>
      <c r="H97" s="182">
        <f t="shared" si="16"/>
        <v>1768</v>
      </c>
      <c r="I97" s="182">
        <f t="shared" si="17"/>
        <v>1134.1052599770114</v>
      </c>
      <c r="J97" s="182">
        <f>References!$C$73*I97</f>
        <v>2.5517368349482701</v>
      </c>
      <c r="K97" s="182">
        <f>J97/References!$G$76</f>
        <v>2.604078819214481</v>
      </c>
      <c r="L97" s="182">
        <f t="shared" si="18"/>
        <v>0.2170065682678734</v>
      </c>
      <c r="M97" s="189">
        <v>7.9504577884533774</v>
      </c>
      <c r="N97" s="197">
        <f t="shared" si="19"/>
        <v>8.1674643567212506</v>
      </c>
    </row>
    <row r="98" spans="1:14">
      <c r="A98" s="207"/>
      <c r="B98" s="199" t="s">
        <v>104</v>
      </c>
      <c r="C98" t="s">
        <v>108</v>
      </c>
      <c r="E98" s="182">
        <f>References!$B$9</f>
        <v>1</v>
      </c>
      <c r="F98" s="182">
        <f t="shared" si="15"/>
        <v>12</v>
      </c>
      <c r="G98">
        <f>References!B24</f>
        <v>34</v>
      </c>
      <c r="H98" s="182">
        <f t="shared" si="16"/>
        <v>408</v>
      </c>
      <c r="I98" s="182">
        <f t="shared" si="17"/>
        <v>261.71659845623344</v>
      </c>
      <c r="J98" s="182">
        <f>References!$C$73*I98</f>
        <v>0.58886234652652392</v>
      </c>
      <c r="K98" s="182">
        <f>J98/References!$G$76</f>
        <v>0.60094126597257258</v>
      </c>
      <c r="L98" s="182">
        <f t="shared" si="18"/>
        <v>5.0078438831047713E-2</v>
      </c>
      <c r="M98" s="189">
        <v>2.4877979511815487</v>
      </c>
      <c r="N98" s="197">
        <f t="shared" si="19"/>
        <v>2.5378763900125962</v>
      </c>
    </row>
    <row r="99" spans="1:14">
      <c r="A99" s="207"/>
      <c r="B99" s="199">
        <v>21</v>
      </c>
      <c r="C99" t="s">
        <v>109</v>
      </c>
      <c r="E99" s="182">
        <f>References!$B$9</f>
        <v>1</v>
      </c>
      <c r="F99" s="182">
        <f t="shared" si="15"/>
        <v>12</v>
      </c>
      <c r="G99">
        <f>References!B42</f>
        <v>125</v>
      </c>
      <c r="H99" s="182">
        <f t="shared" si="16"/>
        <v>1500</v>
      </c>
      <c r="I99" s="182">
        <f t="shared" si="17"/>
        <v>962.19337667732884</v>
      </c>
      <c r="J99" s="182">
        <f>References!$C$73*I99</f>
        <v>2.1649350975239852</v>
      </c>
      <c r="K99" s="182">
        <f>J99/References!$G$76</f>
        <v>2.2093428896050464</v>
      </c>
      <c r="L99" s="182">
        <f t="shared" si="18"/>
        <v>0.18411190746708719</v>
      </c>
      <c r="M99" s="189">
        <v>9.8921983499321637</v>
      </c>
      <c r="N99" s="197">
        <f t="shared" si="19"/>
        <v>10.076310257399252</v>
      </c>
    </row>
    <row r="100" spans="1:14">
      <c r="B100" s="199"/>
      <c r="H100" s="182">
        <f t="shared" si="16"/>
        <v>0</v>
      </c>
      <c r="I100" s="182">
        <f t="shared" si="17"/>
        <v>0</v>
      </c>
      <c r="J100" s="182">
        <f>References!$C$73*I100</f>
        <v>0</v>
      </c>
      <c r="K100" s="182">
        <f>J100/References!$G$76</f>
        <v>0</v>
      </c>
    </row>
    <row r="101" spans="1:14" ht="15" customHeight="1">
      <c r="A101" s="207" t="s">
        <v>14</v>
      </c>
      <c r="B101" s="199">
        <v>21</v>
      </c>
      <c r="C101" t="s">
        <v>120</v>
      </c>
      <c r="E101" s="182">
        <f>References!$B$9</f>
        <v>1</v>
      </c>
      <c r="F101" s="182">
        <f t="shared" si="15"/>
        <v>12</v>
      </c>
      <c r="G101">
        <f>References!$B$42</f>
        <v>125</v>
      </c>
      <c r="H101" s="182">
        <f t="shared" si="16"/>
        <v>1500</v>
      </c>
      <c r="I101" s="182">
        <f t="shared" si="17"/>
        <v>962.19337667732884</v>
      </c>
      <c r="J101" s="182">
        <f>References!$C$73*I101</f>
        <v>2.1649350975239852</v>
      </c>
      <c r="K101" s="182">
        <f>J101/References!$G$76</f>
        <v>2.2093428896050464</v>
      </c>
      <c r="L101" s="182">
        <f t="shared" si="18"/>
        <v>0.18411190746708719</v>
      </c>
      <c r="M101" s="189">
        <v>8.9921983499321652</v>
      </c>
      <c r="N101" s="197">
        <f t="shared" si="19"/>
        <v>9.176310257399253</v>
      </c>
    </row>
    <row r="102" spans="1:14">
      <c r="A102" s="207"/>
      <c r="B102" s="199">
        <v>21</v>
      </c>
      <c r="C102" t="s">
        <v>121</v>
      </c>
      <c r="E102" s="182">
        <f>References!$B$9</f>
        <v>1</v>
      </c>
      <c r="F102" s="182">
        <f t="shared" si="15"/>
        <v>12</v>
      </c>
      <c r="G102">
        <f>References!$B$42</f>
        <v>125</v>
      </c>
      <c r="H102" s="182">
        <f t="shared" si="16"/>
        <v>1500</v>
      </c>
      <c r="I102" s="182">
        <f t="shared" si="17"/>
        <v>962.19337667732884</v>
      </c>
      <c r="J102" s="182">
        <f>References!$C$73*I102</f>
        <v>2.1649350975239852</v>
      </c>
      <c r="K102" s="182">
        <f>J102/References!$G$76</f>
        <v>2.2093428896050464</v>
      </c>
      <c r="L102" s="182">
        <f t="shared" si="18"/>
        <v>0.18411190746708719</v>
      </c>
      <c r="M102" s="189">
        <v>10.372198349932164</v>
      </c>
      <c r="N102" s="197">
        <f t="shared" si="19"/>
        <v>10.556310257399252</v>
      </c>
    </row>
    <row r="103" spans="1:14">
      <c r="A103" s="207"/>
      <c r="B103" s="199">
        <v>21</v>
      </c>
      <c r="C103" t="s">
        <v>122</v>
      </c>
      <c r="E103" s="182">
        <f>References!$B$9</f>
        <v>1</v>
      </c>
      <c r="F103" s="182">
        <f t="shared" si="15"/>
        <v>12</v>
      </c>
      <c r="G103">
        <f>References!$B$42</f>
        <v>125</v>
      </c>
      <c r="H103" s="182">
        <f t="shared" si="16"/>
        <v>1500</v>
      </c>
      <c r="I103" s="182">
        <f t="shared" si="17"/>
        <v>962.19337667732884</v>
      </c>
      <c r="J103" s="182">
        <f>References!$C$73*I103</f>
        <v>2.1649350975239852</v>
      </c>
      <c r="K103" s="182">
        <f>J103/References!$G$76</f>
        <v>2.2093428896050464</v>
      </c>
      <c r="L103" s="182">
        <f t="shared" si="18"/>
        <v>0.18411190746708719</v>
      </c>
      <c r="M103" s="189">
        <v>9.4021983499321653</v>
      </c>
      <c r="N103" s="197">
        <f t="shared" si="19"/>
        <v>9.5863102573992531</v>
      </c>
    </row>
    <row r="104" spans="1:14">
      <c r="A104" s="207"/>
      <c r="B104" s="199" t="s">
        <v>212</v>
      </c>
      <c r="C104" t="s">
        <v>150</v>
      </c>
      <c r="E104" s="182">
        <f>References!$B$9</f>
        <v>1</v>
      </c>
      <c r="F104" s="182">
        <f t="shared" si="15"/>
        <v>12</v>
      </c>
      <c r="G104" s="186">
        <v>1313</v>
      </c>
      <c r="H104" s="182">
        <f t="shared" si="16"/>
        <v>15756</v>
      </c>
      <c r="I104" s="182">
        <f t="shared" si="17"/>
        <v>10106.879228618662</v>
      </c>
      <c r="J104" s="182">
        <f>References!$C$73*I104</f>
        <v>22.740478264391939</v>
      </c>
      <c r="K104" s="182">
        <f>J104/References!$G$76</f>
        <v>23.20693771241141</v>
      </c>
      <c r="L104" s="182">
        <f t="shared" si="18"/>
        <v>1.9339114760342841</v>
      </c>
      <c r="M104" s="189">
        <v>94.973082674287724</v>
      </c>
      <c r="N104" s="197">
        <f t="shared" si="19"/>
        <v>96.906994150322006</v>
      </c>
    </row>
    <row r="105" spans="1:14">
      <c r="A105" s="207"/>
      <c r="B105" s="199" t="s">
        <v>212</v>
      </c>
      <c r="C105" t="s">
        <v>131</v>
      </c>
      <c r="E105" s="182">
        <f>References!$B$9</f>
        <v>1</v>
      </c>
      <c r="F105" s="182">
        <f t="shared" si="15"/>
        <v>12</v>
      </c>
      <c r="G105">
        <f>References!B28</f>
        <v>250</v>
      </c>
      <c r="H105" s="182">
        <f t="shared" si="16"/>
        <v>3000</v>
      </c>
      <c r="I105" s="182">
        <f t="shared" si="17"/>
        <v>1924.3867533546577</v>
      </c>
      <c r="J105" s="182">
        <f>References!$C$73*I105</f>
        <v>4.3298701950479703</v>
      </c>
      <c r="K105" s="182">
        <f>J105/References!$G$76</f>
        <v>4.4186857792100929</v>
      </c>
      <c r="L105" s="182">
        <f t="shared" si="18"/>
        <v>0.36822381493417439</v>
      </c>
      <c r="M105" s="189">
        <v>23.18439669986433</v>
      </c>
      <c r="N105" s="197">
        <f t="shared" si="19"/>
        <v>23.552620514798505</v>
      </c>
    </row>
    <row r="106" spans="1:14">
      <c r="A106" s="207"/>
      <c r="B106" s="199" t="s">
        <v>212</v>
      </c>
      <c r="C106" t="s">
        <v>132</v>
      </c>
      <c r="E106" s="182">
        <f>References!$B$9</f>
        <v>1</v>
      </c>
      <c r="F106" s="182">
        <f t="shared" si="15"/>
        <v>12</v>
      </c>
      <c r="G106">
        <f>References!B28</f>
        <v>250</v>
      </c>
      <c r="H106" s="182">
        <f t="shared" si="16"/>
        <v>3000</v>
      </c>
      <c r="I106" s="182">
        <f t="shared" si="17"/>
        <v>1924.3867533546577</v>
      </c>
      <c r="J106" s="182">
        <f>References!$C$73*I106</f>
        <v>4.3298701950479703</v>
      </c>
      <c r="K106" s="182">
        <f>J106/References!$G$76</f>
        <v>4.4186857792100929</v>
      </c>
      <c r="L106" s="182">
        <f t="shared" si="18"/>
        <v>0.36822381493417439</v>
      </c>
      <c r="M106" s="189">
        <v>20.854396699864328</v>
      </c>
      <c r="N106" s="197">
        <f t="shared" si="19"/>
        <v>21.222620514798503</v>
      </c>
    </row>
    <row r="107" spans="1:14">
      <c r="A107" s="207"/>
      <c r="B107" s="199" t="s">
        <v>212</v>
      </c>
      <c r="C107" t="s">
        <v>134</v>
      </c>
      <c r="E107" s="182">
        <f>References!$B$9</f>
        <v>1</v>
      </c>
      <c r="F107" s="182">
        <f t="shared" si="15"/>
        <v>12</v>
      </c>
      <c r="G107">
        <f>References!B29</f>
        <v>324</v>
      </c>
      <c r="H107" s="182">
        <f t="shared" si="16"/>
        <v>3888</v>
      </c>
      <c r="I107" s="182">
        <f t="shared" si="17"/>
        <v>2494.0052323476361</v>
      </c>
      <c r="J107" s="182">
        <f>References!$C$73*I107</f>
        <v>5.6115117727821691</v>
      </c>
      <c r="K107" s="182">
        <f>J107/References!$G$76</f>
        <v>5.72661676985628</v>
      </c>
      <c r="L107" s="182">
        <f t="shared" si="18"/>
        <v>0.47721806415468998</v>
      </c>
      <c r="M107" s="189">
        <v>30.404898123024171</v>
      </c>
      <c r="N107" s="197">
        <f t="shared" si="19"/>
        <v>30.882116187178863</v>
      </c>
    </row>
    <row r="108" spans="1:14">
      <c r="A108" s="207"/>
      <c r="B108" s="199" t="s">
        <v>212</v>
      </c>
      <c r="C108" t="s">
        <v>135</v>
      </c>
      <c r="E108" s="182">
        <f>References!$B$9</f>
        <v>1</v>
      </c>
      <c r="F108" s="182">
        <f t="shared" si="15"/>
        <v>12</v>
      </c>
      <c r="G108">
        <f>References!B29</f>
        <v>324</v>
      </c>
      <c r="H108" s="182">
        <f t="shared" si="16"/>
        <v>3888</v>
      </c>
      <c r="I108" s="182">
        <f t="shared" si="17"/>
        <v>2494.0052323476361</v>
      </c>
      <c r="J108" s="182">
        <f>References!$C$73*I108</f>
        <v>5.6115117727821691</v>
      </c>
      <c r="K108" s="182">
        <f>J108/References!$G$76</f>
        <v>5.72661676985628</v>
      </c>
      <c r="L108" s="182">
        <f t="shared" si="18"/>
        <v>0.47721806415468998</v>
      </c>
      <c r="M108" s="189">
        <v>27.55489812302417</v>
      </c>
      <c r="N108" s="197">
        <f t="shared" si="19"/>
        <v>28.032116187178861</v>
      </c>
    </row>
    <row r="109" spans="1:14">
      <c r="A109" s="207"/>
      <c r="B109" s="199" t="s">
        <v>212</v>
      </c>
      <c r="C109" t="s">
        <v>137</v>
      </c>
      <c r="E109" s="182">
        <f>References!$B$9</f>
        <v>1</v>
      </c>
      <c r="F109" s="182">
        <f t="shared" si="15"/>
        <v>12</v>
      </c>
      <c r="G109">
        <f>References!B30</f>
        <v>473</v>
      </c>
      <c r="H109" s="182">
        <f t="shared" si="16"/>
        <v>5676</v>
      </c>
      <c r="I109" s="182">
        <f t="shared" si="17"/>
        <v>3640.9397373470119</v>
      </c>
      <c r="J109" s="182">
        <f>References!$C$73*I109</f>
        <v>8.1921144090307596</v>
      </c>
      <c r="K109" s="182">
        <f>J109/References!$G$76</f>
        <v>8.3601534942654965</v>
      </c>
      <c r="L109" s="182">
        <f t="shared" si="18"/>
        <v>0.69667945785545804</v>
      </c>
      <c r="M109" s="189">
        <v>40.296718556143304</v>
      </c>
      <c r="N109" s="197">
        <f t="shared" si="19"/>
        <v>40.993398013998764</v>
      </c>
    </row>
    <row r="110" spans="1:14">
      <c r="A110" s="207"/>
      <c r="B110" s="199" t="s">
        <v>179</v>
      </c>
      <c r="C110" t="s">
        <v>123</v>
      </c>
      <c r="E110" s="182">
        <f>References!$B$9</f>
        <v>1</v>
      </c>
      <c r="F110" s="182">
        <f t="shared" si="15"/>
        <v>12</v>
      </c>
      <c r="G110">
        <f>References!B22</f>
        <v>68</v>
      </c>
      <c r="H110" s="182">
        <f t="shared" si="16"/>
        <v>816</v>
      </c>
      <c r="I110" s="182">
        <f t="shared" si="17"/>
        <v>523.43319691246688</v>
      </c>
      <c r="J110" s="182">
        <f>References!$C$73*I110</f>
        <v>1.1777246930530478</v>
      </c>
      <c r="K110" s="182">
        <f>J110/References!$G$76</f>
        <v>1.2018825319451452</v>
      </c>
      <c r="L110" s="182">
        <f t="shared" si="18"/>
        <v>0.10015687766209543</v>
      </c>
      <c r="M110" s="189">
        <v>5.5855959023630977</v>
      </c>
      <c r="N110" s="197">
        <f t="shared" si="19"/>
        <v>5.6857527800251928</v>
      </c>
    </row>
    <row r="111" spans="1:14">
      <c r="A111" s="207"/>
      <c r="B111" s="199" t="s">
        <v>179</v>
      </c>
      <c r="C111" t="s">
        <v>119</v>
      </c>
      <c r="E111" s="182">
        <f>References!$B$9</f>
        <v>1</v>
      </c>
      <c r="F111" s="182">
        <f t="shared" si="15"/>
        <v>12</v>
      </c>
      <c r="G111">
        <f>References!B21</f>
        <v>47</v>
      </c>
      <c r="H111" s="182">
        <f t="shared" si="16"/>
        <v>564</v>
      </c>
      <c r="I111" s="182">
        <f t="shared" si="17"/>
        <v>361.78470963067565</v>
      </c>
      <c r="J111" s="182">
        <f>References!$C$73*I111</f>
        <v>0.81401559666901846</v>
      </c>
      <c r="K111" s="182">
        <f>J111/References!$G$76</f>
        <v>0.83071292649149753</v>
      </c>
      <c r="L111" s="182">
        <f t="shared" si="18"/>
        <v>6.9226077207624789E-2</v>
      </c>
      <c r="M111" s="189">
        <v>5.4284265795744933</v>
      </c>
      <c r="N111" s="197">
        <f t="shared" si="19"/>
        <v>5.497652656782118</v>
      </c>
    </row>
    <row r="112" spans="1:14">
      <c r="A112" s="207"/>
      <c r="B112" s="199" t="s">
        <v>213</v>
      </c>
      <c r="C112" t="s">
        <v>119</v>
      </c>
      <c r="E112" s="182">
        <f>References!$B$9</f>
        <v>1</v>
      </c>
      <c r="F112" s="182">
        <f t="shared" si="15"/>
        <v>12</v>
      </c>
      <c r="G112">
        <f>References!B21</f>
        <v>47</v>
      </c>
      <c r="H112" s="182">
        <f t="shared" si="16"/>
        <v>564</v>
      </c>
      <c r="I112" s="182">
        <f t="shared" si="17"/>
        <v>361.78470963067565</v>
      </c>
      <c r="J112" s="182">
        <f>References!$C$73*I112</f>
        <v>0.81401559666901846</v>
      </c>
      <c r="K112" s="182">
        <f>J112/References!$G$76</f>
        <v>0.83071292649149753</v>
      </c>
      <c r="L112" s="182">
        <f t="shared" si="18"/>
        <v>6.9226077207624789E-2</v>
      </c>
      <c r="M112" s="189">
        <v>3.8684265795744937</v>
      </c>
      <c r="N112" s="197">
        <f t="shared" si="19"/>
        <v>3.9376526567821184</v>
      </c>
    </row>
    <row r="113" spans="1:14">
      <c r="A113" s="207"/>
      <c r="B113" s="199" t="s">
        <v>213</v>
      </c>
      <c r="C113" t="s">
        <v>214</v>
      </c>
      <c r="E113" s="182">
        <f>References!$B$9</f>
        <v>1</v>
      </c>
      <c r="F113" s="182">
        <f t="shared" si="15"/>
        <v>12</v>
      </c>
      <c r="G113">
        <f>References!B31</f>
        <v>613</v>
      </c>
      <c r="H113" s="182">
        <f t="shared" si="16"/>
        <v>7356</v>
      </c>
      <c r="I113" s="182">
        <f t="shared" si="17"/>
        <v>4718.5963192256204</v>
      </c>
      <c r="J113" s="182">
        <f>References!$C$73*I113</f>
        <v>10.616841718257623</v>
      </c>
      <c r="K113" s="182">
        <f>J113/References!$G$76</f>
        <v>10.834617530623149</v>
      </c>
      <c r="L113" s="182">
        <f t="shared" si="18"/>
        <v>0.90288479421859569</v>
      </c>
      <c r="M113" s="189">
        <v>45.531180708067332</v>
      </c>
      <c r="N113" s="197">
        <f t="shared" si="19"/>
        <v>46.434065502285925</v>
      </c>
    </row>
    <row r="114" spans="1:14">
      <c r="A114" s="207"/>
      <c r="B114" s="199" t="s">
        <v>213</v>
      </c>
      <c r="C114" t="s">
        <v>215</v>
      </c>
      <c r="E114" s="182">
        <f>References!$B$9</f>
        <v>1</v>
      </c>
      <c r="F114" s="182">
        <f t="shared" si="15"/>
        <v>12</v>
      </c>
      <c r="G114">
        <f>References!B32</f>
        <v>840</v>
      </c>
      <c r="H114" s="182">
        <f t="shared" si="16"/>
        <v>10080</v>
      </c>
      <c r="I114" s="182">
        <f t="shared" si="17"/>
        <v>6465.9394912716498</v>
      </c>
      <c r="J114" s="182">
        <f>References!$C$73*I114</f>
        <v>14.548363855361179</v>
      </c>
      <c r="K114" s="182">
        <f>J114/References!$G$76</f>
        <v>14.846784218145912</v>
      </c>
      <c r="L114" s="182">
        <f t="shared" si="18"/>
        <v>1.2372320181788259</v>
      </c>
      <c r="M114" s="189">
        <v>62.706772911544149</v>
      </c>
      <c r="N114" s="197">
        <f t="shared" si="19"/>
        <v>63.944004929722972</v>
      </c>
    </row>
    <row r="115" spans="1:14">
      <c r="A115" s="207"/>
      <c r="B115" s="199" t="s">
        <v>213</v>
      </c>
      <c r="C115" t="s">
        <v>216</v>
      </c>
      <c r="E115" s="182">
        <f>References!$B$9</f>
        <v>1</v>
      </c>
      <c r="F115" s="182">
        <f t="shared" si="15"/>
        <v>12</v>
      </c>
      <c r="G115">
        <f>References!B33</f>
        <v>980</v>
      </c>
      <c r="H115" s="182">
        <f t="shared" si="16"/>
        <v>11760</v>
      </c>
      <c r="I115" s="182">
        <f t="shared" si="17"/>
        <v>7543.5960731502573</v>
      </c>
      <c r="J115" s="182">
        <f>References!$C$73*I115</f>
        <v>16.973091164588041</v>
      </c>
      <c r="K115" s="182">
        <f>J115/References!$G$76</f>
        <v>17.321248254503562</v>
      </c>
      <c r="L115" s="182">
        <f t="shared" si="18"/>
        <v>1.4434373545419634</v>
      </c>
      <c r="M115" s="189">
        <v>78.921235063468174</v>
      </c>
      <c r="N115" s="197">
        <f t="shared" si="19"/>
        <v>80.364672418010144</v>
      </c>
    </row>
    <row r="116" spans="1:14">
      <c r="A116" s="207"/>
      <c r="B116" s="199" t="s">
        <v>213</v>
      </c>
      <c r="C116" t="s">
        <v>217</v>
      </c>
      <c r="E116" s="182">
        <f>References!$B$9</f>
        <v>1</v>
      </c>
      <c r="F116" s="182">
        <f t="shared" si="15"/>
        <v>12</v>
      </c>
      <c r="G116" s="186">
        <f>G104</f>
        <v>1313</v>
      </c>
      <c r="H116" s="182">
        <f t="shared" si="16"/>
        <v>15756</v>
      </c>
      <c r="I116" s="182">
        <f t="shared" si="17"/>
        <v>10106.879228618662</v>
      </c>
      <c r="J116" s="182">
        <f>References!$C$73*I116</f>
        <v>22.740478264391939</v>
      </c>
      <c r="K116" s="182">
        <f>J116/References!$G$76</f>
        <v>23.20693771241141</v>
      </c>
      <c r="L116" s="182">
        <f t="shared" si="18"/>
        <v>1.9339114760342841</v>
      </c>
      <c r="M116" s="189">
        <v>93.99308267428772</v>
      </c>
      <c r="N116" s="197">
        <f t="shared" si="19"/>
        <v>95.926994150322002</v>
      </c>
    </row>
  </sheetData>
  <mergeCells count="5">
    <mergeCell ref="A6:A14"/>
    <mergeCell ref="C77:D77"/>
    <mergeCell ref="A86:A99"/>
    <mergeCell ref="A101:A116"/>
    <mergeCell ref="A16:A7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2018-01-12T08:00:00+00:00</OpenedDate>
    <SignificantOrder xmlns="dc463f71-b30c-4ab2-9473-d307f9d35888">false</SignificantOrder>
    <Date1 xmlns="dc463f71-b30c-4ab2-9473-d307f9d35888">2018-02-12T08:00:00+00:00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Washington, LLC</CaseCompanyNames>
    <Nickname xmlns="http://schemas.microsoft.com/sharepoint/v3" xsi:nil="true"/>
    <DocketNumber xmlns="dc463f71-b30c-4ab2-9473-d307f9d35888">180046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AB39AFE4D12F24C81D85A7DD64724C8" ma:contentTypeVersion="76" ma:contentTypeDescription="" ma:contentTypeScope="" ma:versionID="5a51c978851bb92ec6503007941518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38375-1189-4892-A6D2-BB556694395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7bd91e-004b-490a-8704-e368d63d59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4B12ED-02D5-44A1-BBB9-1F09C5EE4F0C}"/>
</file>

<file path=customXml/itemProps3.xml><?xml version="1.0" encoding="utf-8"?>
<ds:datastoreItem xmlns:ds="http://schemas.openxmlformats.org/officeDocument/2006/customXml" ds:itemID="{0D2A8CD0-AF00-40F2-B31E-5B94DD90AA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6E5A930-C49C-45A1-9132-F3AC41863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References</vt:lpstr>
      <vt:lpstr>Calculations</vt:lpstr>
      <vt:lpstr>Staff Calculation</vt:lpstr>
      <vt:lpstr>Calculations!Print_Area</vt:lpstr>
      <vt:lpstr>Calculations!Print_Titles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Huff, Ashley (UTC)</cp:lastModifiedBy>
  <cp:lastPrinted>2018-01-11T23:44:14Z</cp:lastPrinted>
  <dcterms:created xsi:type="dcterms:W3CDTF">2013-10-29T22:33:54Z</dcterms:created>
  <dcterms:modified xsi:type="dcterms:W3CDTF">2018-02-12T16:35:54Z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0x0101006E56B4D1795A2E4DB2F0B01679ED314A008AB39AFE4D12F24C81D85A7DD64724C8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