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xl/customProperty2.bin" ContentType="application/vnd.openxmlformats-officedocument.spreadsheetml.customProperty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3.xml" ContentType="application/vnd.openxmlformats-officedocument.spreadsheetml.comments+xml"/>
  <Override PartName="/xl/customProperty4.bin" ContentType="application/vnd.openxmlformats-officedocument.spreadsheetml.customProperty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comments4.xml" ContentType="application/vnd.openxmlformats-officedocument.spreadsheetml.comments+xml"/>
  <Override PartName="/xl/customProperty1.bin" ContentType="application/vnd.openxmlformats-officedocument.spreadsheetml.customProperty"/>
  <Override PartName="/customXml/itemProps3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his Week\1. Monday\UE-170214 Avista\"/>
    </mc:Choice>
  </mc:AlternateContent>
  <bookViews>
    <workbookView xWindow="315" yWindow="90" windowWidth="16260" windowHeight="7080" tabRatio="715"/>
  </bookViews>
  <sheets>
    <sheet name="Rate Design" sheetId="2" r:id="rId1"/>
    <sheet name="7-2017 thru 6-2018 RECs" sheetId="1" r:id="rId2"/>
    <sheet name="3-2017 thru 6-2017 RECs" sheetId="8" r:id="rId3"/>
    <sheet name="Forecast Balance" sheetId="5" r:id="rId4"/>
    <sheet name="Forecasted Revenue" sheetId="6" r:id="rId5"/>
    <sheet name="kWh Forecast" sheetId="3" r:id="rId6"/>
    <sheet name="CF WA Elec" sheetId="9" r:id="rId7"/>
  </sheets>
  <externalReferences>
    <externalReference r:id="rId8"/>
    <externalReference r:id="rId9"/>
  </externalReferences>
  <definedNames>
    <definedName name="Actual">#REF!</definedName>
    <definedName name="calc_w_o">#REF!</definedName>
    <definedName name="Elec">#REF!</definedName>
    <definedName name="ElecFranchise">#REF!</definedName>
    <definedName name="exhibit">#REF!</definedName>
    <definedName name="Gas">#REF!</definedName>
    <definedName name="GasFranchise">#REF!</definedName>
    <definedName name="ine">#REF!</definedName>
    <definedName name="_xlnm.Print_Area" localSheetId="3">'Forecast Balance'!$A$1:$T$26</definedName>
    <definedName name="_xlnm.Print_Area" localSheetId="4">'Forecasted Revenue'!$A$1:$S$43</definedName>
    <definedName name="_xlnm.Print_Area" localSheetId="5">'kWh Forecast'!$A$1:$S$56</definedName>
    <definedName name="PrintAll">#REF!</definedName>
    <definedName name="Recover">[1]Macro1!$A$85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G30" i="6" l="1"/>
  <c r="P42" i="3" l="1"/>
  <c r="L42" i="3"/>
  <c r="H42" i="3"/>
  <c r="G42" i="3"/>
  <c r="C42" i="3"/>
  <c r="D42" i="3"/>
  <c r="E42" i="3"/>
  <c r="I42" i="3"/>
  <c r="J42" i="3"/>
  <c r="K42" i="3"/>
  <c r="M42" i="3"/>
  <c r="N42" i="3"/>
  <c r="O42" i="3"/>
  <c r="Q42" i="3"/>
  <c r="R42" i="3"/>
  <c r="B42" i="3"/>
  <c r="C16" i="3"/>
  <c r="D16" i="3"/>
  <c r="E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B16" i="3"/>
  <c r="J4" i="5" l="1"/>
  <c r="K4" i="5"/>
  <c r="L4" i="5"/>
  <c r="M4" i="5"/>
  <c r="N4" i="5"/>
  <c r="O4" i="5"/>
  <c r="P4" i="5"/>
  <c r="Q4" i="5"/>
  <c r="R4" i="5"/>
  <c r="S4" i="5"/>
  <c r="T4" i="5"/>
  <c r="I4" i="5"/>
  <c r="B17" i="5" l="1"/>
  <c r="E4" i="5"/>
  <c r="F4" i="5"/>
  <c r="G4" i="5"/>
  <c r="H4" i="5"/>
  <c r="C5" i="5"/>
  <c r="C6" i="5" s="1"/>
  <c r="D5" i="5"/>
  <c r="D6" i="5" l="1"/>
  <c r="B21" i="9"/>
  <c r="A1" i="9"/>
  <c r="E17" i="9" l="1"/>
  <c r="E19" i="9" s="1"/>
  <c r="C32" i="6" l="1"/>
  <c r="E21" i="9"/>
  <c r="E23" i="9" s="1"/>
  <c r="C42" i="2" l="1"/>
  <c r="B18" i="3" l="1"/>
  <c r="E3" i="1" l="1"/>
  <c r="S51" i="3" l="1"/>
  <c r="R49" i="3"/>
  <c r="Q49" i="3"/>
  <c r="P49" i="3"/>
  <c r="O49" i="3"/>
  <c r="N49" i="3"/>
  <c r="M49" i="3"/>
  <c r="L49" i="3"/>
  <c r="K49" i="3"/>
  <c r="J49" i="3"/>
  <c r="I49" i="3"/>
  <c r="H49" i="3"/>
  <c r="G49" i="3"/>
  <c r="R48" i="3"/>
  <c r="Q48" i="3"/>
  <c r="P48" i="3"/>
  <c r="O48" i="3"/>
  <c r="N48" i="3"/>
  <c r="M48" i="3"/>
  <c r="L48" i="3"/>
  <c r="K48" i="3"/>
  <c r="J48" i="3"/>
  <c r="I48" i="3"/>
  <c r="H48" i="3"/>
  <c r="G48" i="3"/>
  <c r="R47" i="3"/>
  <c r="Q47" i="3"/>
  <c r="P47" i="3"/>
  <c r="O47" i="3"/>
  <c r="N47" i="3"/>
  <c r="M47" i="3"/>
  <c r="L47" i="3"/>
  <c r="K47" i="3"/>
  <c r="J47" i="3"/>
  <c r="I47" i="3"/>
  <c r="H47" i="3"/>
  <c r="G47" i="3"/>
  <c r="E47" i="3"/>
  <c r="D47" i="3"/>
  <c r="C47" i="3"/>
  <c r="B47" i="3"/>
  <c r="R46" i="3"/>
  <c r="Q46" i="3"/>
  <c r="P46" i="3"/>
  <c r="O46" i="3"/>
  <c r="N46" i="3"/>
  <c r="M46" i="3"/>
  <c r="L46" i="3"/>
  <c r="K46" i="3"/>
  <c r="J46" i="3"/>
  <c r="I46" i="3"/>
  <c r="H46" i="3"/>
  <c r="G46" i="3"/>
  <c r="E46" i="3"/>
  <c r="D46" i="3"/>
  <c r="C46" i="3"/>
  <c r="R45" i="3"/>
  <c r="Q45" i="3"/>
  <c r="P45" i="3"/>
  <c r="O45" i="3"/>
  <c r="N45" i="3"/>
  <c r="M45" i="3"/>
  <c r="L45" i="3"/>
  <c r="K45" i="3"/>
  <c r="J45" i="3"/>
  <c r="I45" i="3"/>
  <c r="H45" i="3"/>
  <c r="G45" i="3"/>
  <c r="E45" i="3"/>
  <c r="D45" i="3"/>
  <c r="C45" i="3"/>
  <c r="B45" i="3"/>
  <c r="R44" i="3"/>
  <c r="R52" i="3" s="1"/>
  <c r="Q44" i="3"/>
  <c r="Q50" i="3" s="1"/>
  <c r="P44" i="3"/>
  <c r="P52" i="3" s="1"/>
  <c r="O44" i="3"/>
  <c r="O52" i="3" s="1"/>
  <c r="N44" i="3"/>
  <c r="N50" i="3" s="1"/>
  <c r="M44" i="3"/>
  <c r="M50" i="3" s="1"/>
  <c r="L44" i="3"/>
  <c r="L52" i="3" s="1"/>
  <c r="K44" i="3"/>
  <c r="K52" i="3" s="1"/>
  <c r="J44" i="3"/>
  <c r="J50" i="3" s="1"/>
  <c r="I44" i="3"/>
  <c r="I50" i="3" s="1"/>
  <c r="H44" i="3"/>
  <c r="H52" i="3" s="1"/>
  <c r="G44" i="3"/>
  <c r="G52" i="3" s="1"/>
  <c r="E44" i="3"/>
  <c r="D44" i="3"/>
  <c r="C44" i="3"/>
  <c r="B44" i="3"/>
  <c r="S41" i="3"/>
  <c r="S40" i="3"/>
  <c r="S39" i="3"/>
  <c r="S38" i="3"/>
  <c r="S37" i="3"/>
  <c r="S36" i="3"/>
  <c r="S35" i="3"/>
  <c r="S34" i="3"/>
  <c r="S33" i="3"/>
  <c r="R32" i="3"/>
  <c r="Q32" i="3"/>
  <c r="P32" i="3"/>
  <c r="O32" i="3"/>
  <c r="N32" i="3"/>
  <c r="M32" i="3"/>
  <c r="L32" i="3"/>
  <c r="K32" i="3"/>
  <c r="J32" i="3"/>
  <c r="I32" i="3"/>
  <c r="H32" i="3"/>
  <c r="G32" i="3"/>
  <c r="E32" i="3"/>
  <c r="D32" i="3"/>
  <c r="C32" i="3"/>
  <c r="B32" i="3"/>
  <c r="S25" i="3"/>
  <c r="R23" i="3"/>
  <c r="S10" i="6" s="1"/>
  <c r="Q23" i="3"/>
  <c r="P23" i="3"/>
  <c r="Q10" i="6" s="1"/>
  <c r="O23" i="3"/>
  <c r="P10" i="6" s="1"/>
  <c r="N23" i="3"/>
  <c r="O10" i="6" s="1"/>
  <c r="M23" i="3"/>
  <c r="L23" i="3"/>
  <c r="M10" i="6" s="1"/>
  <c r="K23" i="3"/>
  <c r="L10" i="6" s="1"/>
  <c r="J23" i="3"/>
  <c r="K10" i="6" s="1"/>
  <c r="I23" i="3"/>
  <c r="J10" i="6" s="1"/>
  <c r="H23" i="3"/>
  <c r="I10" i="6" s="1"/>
  <c r="G23" i="3"/>
  <c r="H10" i="6" s="1"/>
  <c r="R22" i="3"/>
  <c r="S9" i="6" s="1"/>
  <c r="Q22" i="3"/>
  <c r="R9" i="6" s="1"/>
  <c r="P22" i="3"/>
  <c r="O22" i="3"/>
  <c r="P9" i="6" s="1"/>
  <c r="N22" i="3"/>
  <c r="O9" i="6" s="1"/>
  <c r="M22" i="3"/>
  <c r="N9" i="6" s="1"/>
  <c r="L22" i="3"/>
  <c r="K22" i="3"/>
  <c r="J22" i="3"/>
  <c r="I22" i="3"/>
  <c r="J9" i="6" s="1"/>
  <c r="H22" i="3"/>
  <c r="I9" i="6" s="1"/>
  <c r="G22" i="3"/>
  <c r="H9" i="6" s="1"/>
  <c r="R21" i="3"/>
  <c r="S8" i="6" s="1"/>
  <c r="Q21" i="3"/>
  <c r="P21" i="3"/>
  <c r="Q8" i="6" s="1"/>
  <c r="O21" i="3"/>
  <c r="P8" i="6" s="1"/>
  <c r="N21" i="3"/>
  <c r="O8" i="6" s="1"/>
  <c r="M21" i="3"/>
  <c r="L21" i="3"/>
  <c r="K21" i="3"/>
  <c r="L8" i="6" s="1"/>
  <c r="J21" i="3"/>
  <c r="K8" i="6" s="1"/>
  <c r="I21" i="3"/>
  <c r="H21" i="3"/>
  <c r="I8" i="6" s="1"/>
  <c r="G21" i="3"/>
  <c r="H8" i="6" s="1"/>
  <c r="R20" i="3"/>
  <c r="S7" i="6" s="1"/>
  <c r="Q20" i="3"/>
  <c r="P20" i="3"/>
  <c r="Q7" i="6" s="1"/>
  <c r="O20" i="3"/>
  <c r="P7" i="6" s="1"/>
  <c r="N20" i="3"/>
  <c r="O7" i="6" s="1"/>
  <c r="M20" i="3"/>
  <c r="N7" i="6" s="1"/>
  <c r="L20" i="3"/>
  <c r="M7" i="6" s="1"/>
  <c r="K20" i="3"/>
  <c r="L7" i="6" s="1"/>
  <c r="J20" i="3"/>
  <c r="K7" i="6" s="1"/>
  <c r="I20" i="3"/>
  <c r="H20" i="3"/>
  <c r="I7" i="6" s="1"/>
  <c r="G20" i="3"/>
  <c r="H7" i="6" s="1"/>
  <c r="R19" i="3"/>
  <c r="S6" i="6" s="1"/>
  <c r="Q19" i="3"/>
  <c r="P19" i="3"/>
  <c r="O19" i="3"/>
  <c r="P6" i="6" s="1"/>
  <c r="N19" i="3"/>
  <c r="M19" i="3"/>
  <c r="L19" i="3"/>
  <c r="K19" i="3"/>
  <c r="L6" i="6" s="1"/>
  <c r="J19" i="3"/>
  <c r="K6" i="6" s="1"/>
  <c r="I19" i="3"/>
  <c r="H19" i="3"/>
  <c r="I6" i="6" s="1"/>
  <c r="G19" i="3"/>
  <c r="R18" i="3"/>
  <c r="S5" i="6" s="1"/>
  <c r="Q18" i="3"/>
  <c r="P18" i="3"/>
  <c r="O18" i="3"/>
  <c r="O26" i="3" s="1"/>
  <c r="N18" i="3"/>
  <c r="O5" i="6" s="1"/>
  <c r="M18" i="3"/>
  <c r="L18" i="3"/>
  <c r="M5" i="6" s="1"/>
  <c r="K18" i="3"/>
  <c r="K26" i="3" s="1"/>
  <c r="J18" i="3"/>
  <c r="K5" i="6" s="1"/>
  <c r="I18" i="3"/>
  <c r="H18" i="3"/>
  <c r="I5" i="6" s="1"/>
  <c r="G18" i="3"/>
  <c r="G26" i="3" s="1"/>
  <c r="S15" i="3"/>
  <c r="S14" i="3"/>
  <c r="S13" i="3"/>
  <c r="S12" i="3"/>
  <c r="S11" i="3"/>
  <c r="S10" i="3"/>
  <c r="S9" i="3"/>
  <c r="S8" i="3"/>
  <c r="S7" i="3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G20" i="6"/>
  <c r="F20" i="6"/>
  <c r="E20" i="6"/>
  <c r="D20" i="6"/>
  <c r="G19" i="6"/>
  <c r="F19" i="6"/>
  <c r="E19" i="6"/>
  <c r="D19" i="6"/>
  <c r="G18" i="6"/>
  <c r="F18" i="6"/>
  <c r="E18" i="6"/>
  <c r="D18" i="6"/>
  <c r="G17" i="6"/>
  <c r="F17" i="6"/>
  <c r="E17" i="6"/>
  <c r="D17" i="6"/>
  <c r="G16" i="6"/>
  <c r="F16" i="6"/>
  <c r="E16" i="6"/>
  <c r="D16" i="6"/>
  <c r="G15" i="6"/>
  <c r="F15" i="6"/>
  <c r="E15" i="6"/>
  <c r="D15" i="6"/>
  <c r="R10" i="6"/>
  <c r="N10" i="6"/>
  <c r="Q9" i="6"/>
  <c r="M9" i="6"/>
  <c r="L9" i="6"/>
  <c r="K9" i="6"/>
  <c r="R8" i="6"/>
  <c r="N8" i="6"/>
  <c r="M8" i="6"/>
  <c r="J8" i="6"/>
  <c r="R7" i="6"/>
  <c r="J7" i="6"/>
  <c r="R6" i="6"/>
  <c r="Q6" i="6"/>
  <c r="O6" i="6"/>
  <c r="N6" i="6"/>
  <c r="M6" i="6"/>
  <c r="J6" i="6"/>
  <c r="Q5" i="6"/>
  <c r="P5" i="6"/>
  <c r="E3" i="8"/>
  <c r="C24" i="5"/>
  <c r="C22" i="2"/>
  <c r="A19" i="2"/>
  <c r="A18" i="2"/>
  <c r="A17" i="2"/>
  <c r="A16" i="2"/>
  <c r="A15" i="2"/>
  <c r="A14" i="2"/>
  <c r="A13" i="2"/>
  <c r="A12" i="2"/>
  <c r="A11" i="2"/>
  <c r="A10" i="2"/>
  <c r="A9" i="2"/>
  <c r="A8" i="2"/>
  <c r="C7" i="5" l="1"/>
  <c r="C8" i="5" s="1"/>
  <c r="D7" i="5"/>
  <c r="D8" i="5" s="1"/>
  <c r="S42" i="3"/>
  <c r="S19" i="3"/>
  <c r="E10" i="2" s="1"/>
  <c r="K24" i="3"/>
  <c r="L5" i="6"/>
  <c r="L11" i="6" s="1"/>
  <c r="H5" i="6"/>
  <c r="H6" i="6"/>
  <c r="S45" i="3"/>
  <c r="E12" i="2" s="1"/>
  <c r="R50" i="3"/>
  <c r="S46" i="3"/>
  <c r="F12" i="2" s="1"/>
  <c r="S47" i="3"/>
  <c r="G12" i="2" s="1"/>
  <c r="S48" i="3"/>
  <c r="H12" i="2" s="1"/>
  <c r="S49" i="3"/>
  <c r="G50" i="3"/>
  <c r="K50" i="3"/>
  <c r="O50" i="3"/>
  <c r="I52" i="3"/>
  <c r="M52" i="3"/>
  <c r="Q52" i="3"/>
  <c r="H50" i="3"/>
  <c r="L50" i="3"/>
  <c r="P50" i="3"/>
  <c r="J52" i="3"/>
  <c r="N52" i="3"/>
  <c r="S44" i="3"/>
  <c r="I11" i="6"/>
  <c r="Q11" i="6"/>
  <c r="S20" i="3"/>
  <c r="F10" i="2" s="1"/>
  <c r="M11" i="6"/>
  <c r="H24" i="3"/>
  <c r="L24" i="3"/>
  <c r="P24" i="3"/>
  <c r="S21" i="3"/>
  <c r="G10" i="2" s="1"/>
  <c r="S22" i="3"/>
  <c r="H10" i="2" s="1"/>
  <c r="S23" i="3"/>
  <c r="I10" i="2" s="1"/>
  <c r="G24" i="3"/>
  <c r="I24" i="3"/>
  <c r="J5" i="6"/>
  <c r="M24" i="3"/>
  <c r="N5" i="6"/>
  <c r="Q24" i="3"/>
  <c r="R5" i="6"/>
  <c r="I26" i="3"/>
  <c r="J26" i="3"/>
  <c r="N26" i="3"/>
  <c r="R26" i="3"/>
  <c r="O24" i="3"/>
  <c r="M26" i="3"/>
  <c r="Q26" i="3"/>
  <c r="P11" i="6"/>
  <c r="J24" i="3"/>
  <c r="N24" i="3"/>
  <c r="R24" i="3"/>
  <c r="H26" i="3"/>
  <c r="L26" i="3"/>
  <c r="P26" i="3"/>
  <c r="K11" i="6"/>
  <c r="O11" i="6"/>
  <c r="S11" i="6"/>
  <c r="S12" i="6" s="1"/>
  <c r="S18" i="3"/>
  <c r="P12" i="6" l="1"/>
  <c r="M12" i="6"/>
  <c r="H11" i="6"/>
  <c r="H12" i="6" s="1"/>
  <c r="S26" i="3"/>
  <c r="K12" i="6"/>
  <c r="L12" i="6"/>
  <c r="S52" i="3"/>
  <c r="D12" i="2"/>
  <c r="C12" i="2" s="1"/>
  <c r="S50" i="3"/>
  <c r="S24" i="3"/>
  <c r="D10" i="2"/>
  <c r="R11" i="6"/>
  <c r="R12" i="6" s="1"/>
  <c r="J11" i="6"/>
  <c r="J12" i="6" s="1"/>
  <c r="I12" i="6"/>
  <c r="N11" i="6"/>
  <c r="N12" i="6" s="1"/>
  <c r="O12" i="6"/>
  <c r="Q12" i="6"/>
  <c r="D23" i="3"/>
  <c r="F10" i="6"/>
  <c r="F29" i="6" s="1"/>
  <c r="F38" i="6" s="1"/>
  <c r="D19" i="3"/>
  <c r="F6" i="6"/>
  <c r="F25" i="6" s="1"/>
  <c r="F34" i="6" s="1"/>
  <c r="C22" i="3"/>
  <c r="E9" i="6" s="1"/>
  <c r="E28" i="6" s="1"/>
  <c r="E37" i="6" s="1"/>
  <c r="B23" i="3"/>
  <c r="D10" i="6" s="1"/>
  <c r="D29" i="6" s="1"/>
  <c r="D38" i="6" s="1"/>
  <c r="C19" i="3"/>
  <c r="E6" i="6" s="1"/>
  <c r="E25" i="6" s="1"/>
  <c r="E34" i="6" s="1"/>
  <c r="B22" i="3"/>
  <c r="D9" i="6" s="1"/>
  <c r="D28" i="6" s="1"/>
  <c r="D37" i="6" s="1"/>
  <c r="C21" i="3"/>
  <c r="E8" i="6" s="1"/>
  <c r="E27" i="6" s="1"/>
  <c r="E36" i="6" s="1"/>
  <c r="E23" i="3"/>
  <c r="G10" i="6" s="1"/>
  <c r="G29" i="6" s="1"/>
  <c r="G38" i="6" s="1"/>
  <c r="E20" i="3"/>
  <c r="G7" i="6"/>
  <c r="G26" i="6" s="1"/>
  <c r="G35" i="6" s="1"/>
  <c r="B21" i="3"/>
  <c r="D8" i="6" s="1"/>
  <c r="D27" i="6" s="1"/>
  <c r="D36" i="6" s="1"/>
  <c r="D22" i="3"/>
  <c r="F9" i="6" s="1"/>
  <c r="F28" i="6" s="1"/>
  <c r="F37" i="6" s="1"/>
  <c r="B19" i="3"/>
  <c r="E21" i="3"/>
  <c r="G8" i="6" s="1"/>
  <c r="G27" i="6" s="1"/>
  <c r="G36" i="6" s="1"/>
  <c r="B20" i="3"/>
  <c r="D7" i="6" s="1"/>
  <c r="D26" i="6" s="1"/>
  <c r="D35" i="6" s="1"/>
  <c r="D18" i="3"/>
  <c r="F5" i="6" s="1"/>
  <c r="D20" i="3"/>
  <c r="F7" i="6" s="1"/>
  <c r="F26" i="6" s="1"/>
  <c r="F35" i="6" s="1"/>
  <c r="C23" i="3"/>
  <c r="E10" i="6" s="1"/>
  <c r="E29" i="6" s="1"/>
  <c r="E38" i="6" s="1"/>
  <c r="C20" i="3"/>
  <c r="E7" i="6"/>
  <c r="E26" i="6" s="1"/>
  <c r="E35" i="6" s="1"/>
  <c r="D21" i="3"/>
  <c r="F8" i="6" s="1"/>
  <c r="F27" i="6" s="1"/>
  <c r="F36" i="6" s="1"/>
  <c r="E22" i="3"/>
  <c r="G9" i="6" s="1"/>
  <c r="G28" i="6" s="1"/>
  <c r="G37" i="6" s="1"/>
  <c r="E19" i="3"/>
  <c r="G6" i="6" s="1"/>
  <c r="G25" i="6" s="1"/>
  <c r="G34" i="6" s="1"/>
  <c r="E18" i="3"/>
  <c r="C18" i="3"/>
  <c r="E5" i="6" s="1"/>
  <c r="D6" i="6" l="1"/>
  <c r="D25" i="6" s="1"/>
  <c r="D34" i="6" s="1"/>
  <c r="B26" i="3"/>
  <c r="D9" i="2"/>
  <c r="D11" i="2" s="1"/>
  <c r="E26" i="3"/>
  <c r="C10" i="2"/>
  <c r="G5" i="6"/>
  <c r="G24" i="6" s="1"/>
  <c r="G33" i="6" s="1"/>
  <c r="G39" i="6" s="1"/>
  <c r="H3" i="5" s="1"/>
  <c r="H5" i="5" s="1"/>
  <c r="D26" i="3"/>
  <c r="B24" i="3"/>
  <c r="E11" i="6"/>
  <c r="E24" i="6"/>
  <c r="F11" i="6"/>
  <c r="E24" i="3"/>
  <c r="C24" i="3"/>
  <c r="G11" i="6"/>
  <c r="C26" i="3"/>
  <c r="D24" i="3"/>
  <c r="D5" i="6"/>
  <c r="F24" i="6"/>
  <c r="E9" i="2" l="1"/>
  <c r="E11" i="2" s="1"/>
  <c r="F9" i="2"/>
  <c r="F11" i="2" s="1"/>
  <c r="H9" i="2"/>
  <c r="H11" i="2" s="1"/>
  <c r="G9" i="2"/>
  <c r="G11" i="2" s="1"/>
  <c r="I9" i="2"/>
  <c r="I11" i="2" s="1"/>
  <c r="I16" i="2" s="1"/>
  <c r="F30" i="6"/>
  <c r="F33" i="6"/>
  <c r="F39" i="6" s="1"/>
  <c r="G3" i="5" s="1"/>
  <c r="G5" i="5" s="1"/>
  <c r="D24" i="6"/>
  <c r="D11" i="6"/>
  <c r="E30" i="6"/>
  <c r="E33" i="6"/>
  <c r="E39" i="6" s="1"/>
  <c r="F3" i="5" s="1"/>
  <c r="F5" i="5" s="1"/>
  <c r="C8" i="2" l="1"/>
  <c r="F16" i="2"/>
  <c r="F13" i="2"/>
  <c r="F14" i="2"/>
  <c r="S20" i="6"/>
  <c r="S29" i="6" s="1"/>
  <c r="S38" i="6" s="1"/>
  <c r="N20" i="6"/>
  <c r="N29" i="6" s="1"/>
  <c r="N38" i="6" s="1"/>
  <c r="H20" i="6"/>
  <c r="H29" i="6" s="1"/>
  <c r="H38" i="6" s="1"/>
  <c r="I20" i="6"/>
  <c r="I29" i="6" s="1"/>
  <c r="I38" i="6" s="1"/>
  <c r="O20" i="6"/>
  <c r="O29" i="6" s="1"/>
  <c r="O38" i="6" s="1"/>
  <c r="J20" i="6"/>
  <c r="J29" i="6" s="1"/>
  <c r="J38" i="6" s="1"/>
  <c r="Q20" i="6"/>
  <c r="Q29" i="6" s="1"/>
  <c r="Q38" i="6" s="1"/>
  <c r="K20" i="6"/>
  <c r="K29" i="6" s="1"/>
  <c r="K38" i="6" s="1"/>
  <c r="P20" i="6"/>
  <c r="P29" i="6" s="1"/>
  <c r="P38" i="6" s="1"/>
  <c r="I18" i="2"/>
  <c r="I19" i="2" s="1"/>
  <c r="I23" i="2" s="1"/>
  <c r="R20" i="6"/>
  <c r="R29" i="6" s="1"/>
  <c r="R38" i="6" s="1"/>
  <c r="L20" i="6"/>
  <c r="L29" i="6" s="1"/>
  <c r="L38" i="6" s="1"/>
  <c r="M20" i="6"/>
  <c r="M29" i="6" s="1"/>
  <c r="M38" i="6" s="1"/>
  <c r="E13" i="2"/>
  <c r="E14" i="2"/>
  <c r="E16" i="2"/>
  <c r="G16" i="2"/>
  <c r="G13" i="2"/>
  <c r="G14" i="2"/>
  <c r="H16" i="2"/>
  <c r="H13" i="2"/>
  <c r="H14" i="2"/>
  <c r="D30" i="6"/>
  <c r="D33" i="6"/>
  <c r="D39" i="6" s="1"/>
  <c r="E3" i="5" s="1"/>
  <c r="E5" i="5" s="1"/>
  <c r="R18" i="6" l="1"/>
  <c r="R27" i="6" s="1"/>
  <c r="R36" i="6" s="1"/>
  <c r="L18" i="6"/>
  <c r="L27" i="6" s="1"/>
  <c r="L36" i="6" s="1"/>
  <c r="G18" i="2"/>
  <c r="G19" i="2" s="1"/>
  <c r="G23" i="2" s="1"/>
  <c r="S18" i="6"/>
  <c r="S27" i="6" s="1"/>
  <c r="S36" i="6" s="1"/>
  <c r="N18" i="6"/>
  <c r="N27" i="6" s="1"/>
  <c r="N36" i="6" s="1"/>
  <c r="H18" i="6"/>
  <c r="H27" i="6" s="1"/>
  <c r="H36" i="6" s="1"/>
  <c r="M18" i="6"/>
  <c r="M27" i="6" s="1"/>
  <c r="M36" i="6" s="1"/>
  <c r="O18" i="6"/>
  <c r="O27" i="6" s="1"/>
  <c r="O36" i="6" s="1"/>
  <c r="J18" i="6"/>
  <c r="J27" i="6" s="1"/>
  <c r="J36" i="6" s="1"/>
  <c r="I18" i="6"/>
  <c r="I27" i="6" s="1"/>
  <c r="I36" i="6" s="1"/>
  <c r="K18" i="6"/>
  <c r="K27" i="6" s="1"/>
  <c r="K36" i="6" s="1"/>
  <c r="P18" i="6"/>
  <c r="P27" i="6" s="1"/>
  <c r="P36" i="6" s="1"/>
  <c r="Q18" i="6"/>
  <c r="Q27" i="6" s="1"/>
  <c r="Q36" i="6" s="1"/>
  <c r="E6" i="5"/>
  <c r="F7" i="5" s="1"/>
  <c r="E7" i="5"/>
  <c r="R19" i="6"/>
  <c r="R28" i="6" s="1"/>
  <c r="R37" i="6" s="1"/>
  <c r="L19" i="6"/>
  <c r="L28" i="6" s="1"/>
  <c r="L37" i="6" s="1"/>
  <c r="Q19" i="6"/>
  <c r="Q28" i="6" s="1"/>
  <c r="Q37" i="6" s="1"/>
  <c r="S19" i="6"/>
  <c r="S28" i="6" s="1"/>
  <c r="S37" i="6" s="1"/>
  <c r="N19" i="6"/>
  <c r="N28" i="6" s="1"/>
  <c r="N37" i="6" s="1"/>
  <c r="H19" i="6"/>
  <c r="H28" i="6" s="1"/>
  <c r="H37" i="6" s="1"/>
  <c r="H18" i="2"/>
  <c r="H19" i="2" s="1"/>
  <c r="H23" i="2" s="1"/>
  <c r="O19" i="6"/>
  <c r="O28" i="6" s="1"/>
  <c r="O37" i="6" s="1"/>
  <c r="J19" i="6"/>
  <c r="J28" i="6" s="1"/>
  <c r="J37" i="6" s="1"/>
  <c r="M19" i="6"/>
  <c r="M28" i="6" s="1"/>
  <c r="M37" i="6" s="1"/>
  <c r="K19" i="6"/>
  <c r="K28" i="6" s="1"/>
  <c r="K37" i="6" s="1"/>
  <c r="P19" i="6"/>
  <c r="P28" i="6" s="1"/>
  <c r="P37" i="6" s="1"/>
  <c r="I19" i="6"/>
  <c r="I28" i="6" s="1"/>
  <c r="I37" i="6" s="1"/>
  <c r="K16" i="6"/>
  <c r="K25" i="6" s="1"/>
  <c r="K34" i="6" s="1"/>
  <c r="P16" i="6"/>
  <c r="P25" i="6" s="1"/>
  <c r="P34" i="6" s="1"/>
  <c r="E18" i="2"/>
  <c r="E19" i="2" s="1"/>
  <c r="E23" i="2" s="1"/>
  <c r="R16" i="6"/>
  <c r="R25" i="6" s="1"/>
  <c r="R34" i="6" s="1"/>
  <c r="L16" i="6"/>
  <c r="L25" i="6" s="1"/>
  <c r="L34" i="6" s="1"/>
  <c r="M16" i="6"/>
  <c r="M25" i="6" s="1"/>
  <c r="M34" i="6" s="1"/>
  <c r="S16" i="6"/>
  <c r="S25" i="6" s="1"/>
  <c r="S34" i="6" s="1"/>
  <c r="N16" i="6"/>
  <c r="N25" i="6" s="1"/>
  <c r="N34" i="6" s="1"/>
  <c r="H16" i="6"/>
  <c r="H25" i="6" s="1"/>
  <c r="H34" i="6" s="1"/>
  <c r="I16" i="6"/>
  <c r="I25" i="6" s="1"/>
  <c r="I34" i="6" s="1"/>
  <c r="O16" i="6"/>
  <c r="O25" i="6" s="1"/>
  <c r="O34" i="6" s="1"/>
  <c r="J16" i="6"/>
  <c r="J25" i="6" s="1"/>
  <c r="J34" i="6" s="1"/>
  <c r="Q16" i="6"/>
  <c r="Q25" i="6" s="1"/>
  <c r="Q34" i="6" s="1"/>
  <c r="D13" i="2"/>
  <c r="D14" i="2"/>
  <c r="D16" i="2"/>
  <c r="K17" i="6"/>
  <c r="K26" i="6" s="1"/>
  <c r="K35" i="6" s="1"/>
  <c r="P17" i="6"/>
  <c r="P26" i="6" s="1"/>
  <c r="P35" i="6" s="1"/>
  <c r="M17" i="6"/>
  <c r="M26" i="6" s="1"/>
  <c r="M35" i="6" s="1"/>
  <c r="R17" i="6"/>
  <c r="R26" i="6" s="1"/>
  <c r="R35" i="6" s="1"/>
  <c r="L17" i="6"/>
  <c r="L26" i="6" s="1"/>
  <c r="L35" i="6" s="1"/>
  <c r="I17" i="6"/>
  <c r="I26" i="6" s="1"/>
  <c r="I35" i="6" s="1"/>
  <c r="S17" i="6"/>
  <c r="S26" i="6" s="1"/>
  <c r="S35" i="6" s="1"/>
  <c r="N17" i="6"/>
  <c r="N26" i="6" s="1"/>
  <c r="N35" i="6" s="1"/>
  <c r="H17" i="6"/>
  <c r="H26" i="6" s="1"/>
  <c r="H35" i="6" s="1"/>
  <c r="F18" i="2"/>
  <c r="F19" i="2" s="1"/>
  <c r="F23" i="2" s="1"/>
  <c r="O17" i="6"/>
  <c r="O26" i="6" s="1"/>
  <c r="O35" i="6" s="1"/>
  <c r="J17" i="6"/>
  <c r="J26" i="6" s="1"/>
  <c r="J35" i="6" s="1"/>
  <c r="Q17" i="6"/>
  <c r="Q26" i="6" s="1"/>
  <c r="Q35" i="6" s="1"/>
  <c r="F6" i="5" l="1"/>
  <c r="E8" i="5"/>
  <c r="D25" i="2"/>
  <c r="D26" i="2" s="1"/>
  <c r="R15" i="6"/>
  <c r="R24" i="6" s="1"/>
  <c r="L15" i="6"/>
  <c r="L24" i="6" s="1"/>
  <c r="Q15" i="6"/>
  <c r="Q24" i="6" s="1"/>
  <c r="S15" i="6"/>
  <c r="S24" i="6" s="1"/>
  <c r="N15" i="6"/>
  <c r="N24" i="6" s="1"/>
  <c r="H15" i="6"/>
  <c r="H24" i="6" s="1"/>
  <c r="D18" i="2"/>
  <c r="D19" i="2" s="1"/>
  <c r="O15" i="6"/>
  <c r="O24" i="6" s="1"/>
  <c r="J15" i="6"/>
  <c r="J24" i="6" s="1"/>
  <c r="M15" i="6"/>
  <c r="M24" i="6" s="1"/>
  <c r="K15" i="6"/>
  <c r="K24" i="6" s="1"/>
  <c r="P15" i="6"/>
  <c r="P24" i="6" s="1"/>
  <c r="I15" i="6"/>
  <c r="I24" i="6" s="1"/>
  <c r="M30" i="6" l="1"/>
  <c r="M33" i="6"/>
  <c r="M39" i="6" s="1"/>
  <c r="N3" i="5" s="1"/>
  <c r="N5" i="5" s="1"/>
  <c r="H33" i="6"/>
  <c r="H39" i="6" s="1"/>
  <c r="I3" i="5" s="1"/>
  <c r="H30" i="6"/>
  <c r="L33" i="6"/>
  <c r="L39" i="6" s="1"/>
  <c r="M3" i="5" s="1"/>
  <c r="M5" i="5" s="1"/>
  <c r="L30" i="6"/>
  <c r="I30" i="6"/>
  <c r="I33" i="6"/>
  <c r="I39" i="6" s="1"/>
  <c r="J3" i="5" s="1"/>
  <c r="J5" i="5" s="1"/>
  <c r="J33" i="6"/>
  <c r="J39" i="6" s="1"/>
  <c r="K3" i="5" s="1"/>
  <c r="K5" i="5" s="1"/>
  <c r="J30" i="6"/>
  <c r="N33" i="6"/>
  <c r="N39" i="6" s="1"/>
  <c r="O3" i="5" s="1"/>
  <c r="O5" i="5" s="1"/>
  <c r="N30" i="6"/>
  <c r="R33" i="6"/>
  <c r="R39" i="6" s="1"/>
  <c r="S3" i="5" s="1"/>
  <c r="S5" i="5" s="1"/>
  <c r="R30" i="6"/>
  <c r="F8" i="5"/>
  <c r="G6" i="5"/>
  <c r="G7" i="5"/>
  <c r="P30" i="6"/>
  <c r="P33" i="6"/>
  <c r="P39" i="6" s="1"/>
  <c r="Q3" i="5" s="1"/>
  <c r="Q5" i="5" s="1"/>
  <c r="O33" i="6"/>
  <c r="O39" i="6" s="1"/>
  <c r="P3" i="5" s="1"/>
  <c r="P5" i="5" s="1"/>
  <c r="O30" i="6"/>
  <c r="S33" i="6"/>
  <c r="S39" i="6" s="1"/>
  <c r="T3" i="5" s="1"/>
  <c r="T5" i="5" s="1"/>
  <c r="S30" i="6"/>
  <c r="C44" i="2"/>
  <c r="C46" i="2" s="1"/>
  <c r="K33" i="6"/>
  <c r="K39" i="6" s="1"/>
  <c r="L3" i="5" s="1"/>
  <c r="L5" i="5" s="1"/>
  <c r="K30" i="6"/>
  <c r="C19" i="2"/>
  <c r="C23" i="2" s="1"/>
  <c r="D23" i="2"/>
  <c r="Q33" i="6"/>
  <c r="Q39" i="6" s="1"/>
  <c r="R3" i="5" s="1"/>
  <c r="R5" i="5" s="1"/>
  <c r="Q30" i="6"/>
  <c r="B18" i="5" l="1"/>
  <c r="H7" i="5"/>
  <c r="G8" i="5"/>
  <c r="H6" i="5"/>
  <c r="I5" i="5"/>
  <c r="H8" i="5" l="1"/>
  <c r="I7" i="5" s="1"/>
  <c r="B16" i="5" l="1"/>
  <c r="I6" i="5"/>
  <c r="I8" i="5" l="1"/>
  <c r="J7" i="5"/>
  <c r="J6" i="5"/>
  <c r="K6" i="5" l="1"/>
  <c r="J8" i="5"/>
  <c r="K7" i="5"/>
  <c r="L7" i="5" l="1"/>
  <c r="L6" i="5"/>
  <c r="K8" i="5"/>
  <c r="M6" i="5" l="1"/>
  <c r="M7" i="5"/>
  <c r="L8" i="5"/>
  <c r="M8" i="5" l="1"/>
  <c r="N6" i="5"/>
  <c r="N7" i="5"/>
  <c r="N8" i="5" l="1"/>
  <c r="O7" i="5" s="1"/>
  <c r="O6" i="5" l="1"/>
  <c r="O8" i="5" s="1"/>
  <c r="P7" i="5" l="1"/>
  <c r="P6" i="5"/>
  <c r="P8" i="5" l="1"/>
  <c r="Q7" i="5"/>
  <c r="Q6" i="5"/>
  <c r="R7" i="5" s="1"/>
  <c r="Q8" i="5" l="1"/>
  <c r="R6" i="5"/>
  <c r="R8" i="5" s="1"/>
  <c r="S7" i="5" l="1"/>
  <c r="S6" i="5"/>
  <c r="T7" i="5" s="1"/>
  <c r="B19" i="5" l="1"/>
  <c r="T6" i="5"/>
  <c r="T8" i="5" s="1"/>
  <c r="S8" i="5"/>
  <c r="B20" i="5" l="1"/>
  <c r="U30" i="6"/>
  <c r="U39" i="6"/>
  <c r="B49" i="3" l="1"/>
  <c r="D52" i="3"/>
  <c r="E48" i="3"/>
  <c r="D49" i="3"/>
  <c r="C49" i="3"/>
  <c r="D48" i="3"/>
  <c r="E49" i="3"/>
  <c r="E50" i="3" s="1"/>
  <c r="C48" i="3"/>
  <c r="C52" i="3" s="1"/>
  <c r="B48" i="3"/>
  <c r="B52" i="3" s="1"/>
  <c r="C50" i="3" l="1"/>
  <c r="D50" i="3"/>
  <c r="B50" i="3"/>
  <c r="E52" i="3"/>
</calcChain>
</file>

<file path=xl/comments1.xml><?xml version="1.0" encoding="utf-8"?>
<comments xmlns="http://schemas.openxmlformats.org/spreadsheetml/2006/main">
  <authors>
    <author>annette brandon</author>
  </authors>
  <commentList>
    <comment ref="B22" authorId="0" shapeId="0">
      <text>
        <r>
          <rPr>
            <b/>
            <sz val="9"/>
            <color indexed="81"/>
            <rFont val="Tahoma"/>
            <family val="2"/>
          </rPr>
          <t>annette brandon:</t>
        </r>
        <r>
          <rPr>
            <sz val="9"/>
            <color indexed="81"/>
            <rFont val="Tahoma"/>
            <family val="2"/>
          </rPr>
          <t xml:space="preserve">
Joe Calculates
</t>
        </r>
      </text>
    </comment>
    <comment ref="B42" authorId="0" shapeId="0">
      <text>
        <r>
          <rPr>
            <b/>
            <sz val="9"/>
            <color indexed="81"/>
            <rFont val="Tahoma"/>
            <family val="2"/>
          </rPr>
          <t>annette brandon:</t>
        </r>
        <r>
          <rPr>
            <sz val="9"/>
            <color indexed="81"/>
            <rFont val="Tahoma"/>
            <family val="2"/>
          </rPr>
          <t xml:space="preserve">
most recent case - confirmed with JM 03.10.17</t>
        </r>
      </text>
    </comment>
  </commentList>
</comments>
</file>

<file path=xl/comments2.xml><?xml version="1.0" encoding="utf-8"?>
<comments xmlns="http://schemas.openxmlformats.org/spreadsheetml/2006/main">
  <authors>
    <author>Joe Miller</author>
    <author>annette brandon</author>
  </authors>
  <commentList>
    <comment ref="E14" authorId="0" shapeId="0">
      <text>
        <r>
          <rPr>
            <b/>
            <sz val="9"/>
            <color indexed="81"/>
            <rFont val="Tahoma"/>
            <family val="2"/>
          </rPr>
          <t>2016 REC Filing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</rPr>
          <t xml:space="preserve">annette brandon:
2016 REC Filing.  In effect until June 2017. </t>
        </r>
      </text>
    </comment>
  </commentList>
</comments>
</file>

<file path=xl/comments3.xml><?xml version="1.0" encoding="utf-8"?>
<comments xmlns="http://schemas.openxmlformats.org/spreadsheetml/2006/main">
  <authors>
    <author>ckd5684</author>
  </authors>
  <commentList>
    <comment ref="C23" authorId="0" shapeId="0">
      <text>
        <r>
          <rPr>
            <b/>
            <sz val="8"/>
            <color indexed="81"/>
            <rFont val="Tahoma"/>
            <family val="2"/>
          </rPr>
          <t>Per Settlement Stipulation UE-150204</t>
        </r>
      </text>
    </comment>
  </commentList>
</comments>
</file>

<file path=xl/comments4.xml><?xml version="1.0" encoding="utf-8"?>
<comments xmlns="http://schemas.openxmlformats.org/spreadsheetml/2006/main">
  <authors>
    <author>annette brandon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annette brandon:</t>
        </r>
        <r>
          <rPr>
            <sz val="9"/>
            <color indexed="81"/>
            <rFont val="Tahoma"/>
            <family val="2"/>
          </rPr>
          <t xml:space="preserve">
From 12.31.2016 Commission Basis</t>
        </r>
      </text>
    </comment>
  </commentList>
</comments>
</file>

<file path=xl/sharedStrings.xml><?xml version="1.0" encoding="utf-8"?>
<sst xmlns="http://schemas.openxmlformats.org/spreadsheetml/2006/main" count="210" uniqueCount="140">
  <si>
    <t>Total</t>
  </si>
  <si>
    <t>aMW</t>
  </si>
  <si>
    <t>Rate</t>
  </si>
  <si>
    <t>REC Revenues Rebate Allocation - Generation Level Consumption</t>
  </si>
  <si>
    <t xml:space="preserve"> </t>
  </si>
  <si>
    <t>RESIDENTIAL</t>
  </si>
  <si>
    <t xml:space="preserve">GENERAL SVC. </t>
  </si>
  <si>
    <t>LG. GEN. SVC.</t>
  </si>
  <si>
    <t>EX LG GEN SVC</t>
  </si>
  <si>
    <t>PUMPING</t>
  </si>
  <si>
    <t>ST &amp; AREA LTG</t>
  </si>
  <si>
    <t>DESCRIPTION</t>
  </si>
  <si>
    <t>TOTAL</t>
  </si>
  <si>
    <t>SCHEDULE 1</t>
  </si>
  <si>
    <t>SCH. 11,12</t>
  </si>
  <si>
    <t>SCH. 21,22</t>
  </si>
  <si>
    <t>SCHEDULE 25</t>
  </si>
  <si>
    <t>SCH. 30, 31, 32</t>
  </si>
  <si>
    <t>SCH. 41-48</t>
  </si>
  <si>
    <t>Line No.</t>
  </si>
  <si>
    <t>A</t>
  </si>
  <si>
    <t>B</t>
  </si>
  <si>
    <t>C</t>
  </si>
  <si>
    <t>D</t>
  </si>
  <si>
    <t xml:space="preserve">E </t>
  </si>
  <si>
    <t>F</t>
  </si>
  <si>
    <t>H</t>
  </si>
  <si>
    <t>I</t>
  </si>
  <si>
    <t>J</t>
  </si>
  <si>
    <t>Generation Allocated</t>
  </si>
  <si>
    <t>Total Generation Percentage</t>
  </si>
  <si>
    <t>(1)</t>
  </si>
  <si>
    <t>Annual Load (Rate Year)</t>
  </si>
  <si>
    <t>(2)</t>
  </si>
  <si>
    <t>Cents Per kWh Rate</t>
  </si>
  <si>
    <t>Total Bills</t>
  </si>
  <si>
    <t>Avg Monthly Credit Per Customer</t>
  </si>
  <si>
    <t>Avg Annual Credit Per Customer</t>
  </si>
  <si>
    <t>Proposed Cents per kWh Rate</t>
  </si>
  <si>
    <t>Present Cents per kWh Rate</t>
  </si>
  <si>
    <t>Difference in Rate</t>
  </si>
  <si>
    <t>Change in Revenue</t>
  </si>
  <si>
    <t>Gross Up Factor</t>
  </si>
  <si>
    <t>Grossed Up Revenue Requirement</t>
  </si>
  <si>
    <t>WA001</t>
  </si>
  <si>
    <t>WA011</t>
  </si>
  <si>
    <t>WA012</t>
  </si>
  <si>
    <t>WA021</t>
  </si>
  <si>
    <t>WA022</t>
  </si>
  <si>
    <t>WA025</t>
  </si>
  <si>
    <t>WA031</t>
  </si>
  <si>
    <t>WA032</t>
  </si>
  <si>
    <t>WA04X</t>
  </si>
  <si>
    <t>WA011/012</t>
  </si>
  <si>
    <t>WA021/022</t>
  </si>
  <si>
    <t>WA031/032</t>
  </si>
  <si>
    <t>Load</t>
  </si>
  <si>
    <t>Bills</t>
  </si>
  <si>
    <t>REVENUE CONVERSION FACTOR</t>
  </si>
  <si>
    <t>Expense:</t>
  </si>
  <si>
    <t xml:space="preserve">    Total Expense</t>
  </si>
  <si>
    <t>Net Operating Income Before FIT</t>
  </si>
  <si>
    <t>Present Billed Revenue</t>
  </si>
  <si>
    <t>Billed Percentage Change</t>
  </si>
  <si>
    <t>Residential Bill Impact (957 kWh's)</t>
  </si>
  <si>
    <t>Residential Bill Percentage Change</t>
  </si>
  <si>
    <t>System Total</t>
  </si>
  <si>
    <t>PT Ratio</t>
  </si>
  <si>
    <t>Washington Share</t>
  </si>
  <si>
    <t>End March</t>
  </si>
  <si>
    <t>End April</t>
  </si>
  <si>
    <t>End May</t>
  </si>
  <si>
    <t>End June</t>
  </si>
  <si>
    <t>End July</t>
  </si>
  <si>
    <t>End August</t>
  </si>
  <si>
    <t>End September</t>
  </si>
  <si>
    <t>End October</t>
  </si>
  <si>
    <t>End November</t>
  </si>
  <si>
    <t>End December</t>
  </si>
  <si>
    <t>End January</t>
  </si>
  <si>
    <t>End February</t>
  </si>
  <si>
    <t>Net change in balance</t>
  </si>
  <si>
    <t>Interest on Previous Months Balance</t>
  </si>
  <si>
    <t>Forecasted Usage</t>
  </si>
  <si>
    <t>Residential Schedule 001</t>
  </si>
  <si>
    <t>General Svc Schedule 011/012</t>
  </si>
  <si>
    <t>Large Gen Svc Schedule 021/022</t>
  </si>
  <si>
    <t>Extra Large Gen Schedule 25</t>
  </si>
  <si>
    <t>Pumping Schedule 31/32</t>
  </si>
  <si>
    <t>Street and Area Lights</t>
  </si>
  <si>
    <t>Total Forecasted Usage</t>
  </si>
  <si>
    <t>Forecast End of June Balance</t>
  </si>
  <si>
    <t>Forecast Annual REC Sales</t>
  </si>
  <si>
    <t>Per rate order, REC rate is after tax cost of capital</t>
  </si>
  <si>
    <t>The monthly rate is:</t>
  </si>
  <si>
    <t>Interest</t>
  </si>
  <si>
    <t>REC Balance to be Recovered</t>
  </si>
  <si>
    <t>Forecasted Interest Calculation</t>
  </si>
  <si>
    <t>Total REC Balance to be Recovered</t>
  </si>
  <si>
    <t>goal seek to zero by changing (Rate Design - C9)</t>
  </si>
  <si>
    <t>Total Projected REC Balance as of June 2017</t>
  </si>
  <si>
    <t>Gross REC Revenue Amortization Credit</t>
  </si>
  <si>
    <t>Net REC Revenue Amortization Credit</t>
  </si>
  <si>
    <t>REC Revenue Amortization Rates</t>
  </si>
  <si>
    <t>Expected net elec REC Amortization credit</t>
  </si>
  <si>
    <t>Cumulative Balance (Before Interest)</t>
  </si>
  <si>
    <t>Compound</t>
  </si>
  <si>
    <t>REC Revenue Balance</t>
  </si>
  <si>
    <t>Present Bill</t>
  </si>
  <si>
    <t>Basic Charge</t>
  </si>
  <si>
    <t>1st 800 kWhs</t>
  </si>
  <si>
    <t>Next 700 kWhs</t>
  </si>
  <si>
    <t>Bill at 957 kWhs</t>
  </si>
  <si>
    <t>Less Bill Impact</t>
  </si>
  <si>
    <t>1.1.16</t>
  </si>
  <si>
    <t>(Calendar Energy Usage by Rate Scheduled)</t>
  </si>
  <si>
    <t>(Total Customers by Rate Schedule)</t>
  </si>
  <si>
    <t>(Formulas from kWh Forecast)</t>
  </si>
  <si>
    <t>2017 Rebate Amount (Grossed Up)</t>
  </si>
  <si>
    <t>EREVE February Mid-month 2.14.17 v3</t>
  </si>
  <si>
    <t>July 1, 2017 through June 30, 2018 Forecasted Loads (input)</t>
  </si>
  <si>
    <t>Projected end of June 2017 Balance</t>
  </si>
  <si>
    <t>July 2017 - June 2018 REC Revenue Forecast</t>
  </si>
  <si>
    <t>July 2017 - June 2018 Amortization Credit</t>
  </si>
  <si>
    <t>CALCULATION OF CONVERSION FACTOR:  WASHINGTON ELECTRIC</t>
  </si>
  <si>
    <t>Revenue:</t>
  </si>
  <si>
    <t xml:space="preserve">  Uncollectibles  (1)</t>
  </si>
  <si>
    <t xml:space="preserve">  Commission Fees  (2)</t>
  </si>
  <si>
    <t xml:space="preserve">  Washington Excise Tax  (3)</t>
  </si>
  <si>
    <t xml:space="preserve">  Federal Income Tax @</t>
  </si>
  <si>
    <t>check</t>
  </si>
  <si>
    <t>Proposed Bill after Rate Adjustment</t>
  </si>
  <si>
    <t>difference is $3.00</t>
  </si>
  <si>
    <t>TWELVE MONTHS ENDED SEPTEMBER 30, 2014</t>
  </si>
  <si>
    <t>Approved in UG-150204</t>
  </si>
  <si>
    <t>UE-150204 Cost of Service Study</t>
  </si>
  <si>
    <t>E02 Generation Allocator</t>
  </si>
  <si>
    <t xml:space="preserve"> UE-150204</t>
  </si>
  <si>
    <t>UE-150204</t>
  </si>
  <si>
    <t>Confidential per WAC 480-07-160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</si>
</sst>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&quot;$&quot;#,##0.00"/>
    <numFmt numFmtId="166" formatCode="&quot;$&quot;#,##0"/>
    <numFmt numFmtId="167" formatCode="_(&quot;$&quot;* #,##0_);_(&quot;$&quot;* \(#,##0\);_(&quot;$&quot;* &quot;-&quot;??_);_(@_)"/>
    <numFmt numFmtId="168" formatCode="_(&quot;$&quot;* #,##0.00000_);_(&quot;$&quot;* \(#,##0.00000\);_(&quot;$&quot;* &quot;-&quot;??_);_(@_)"/>
    <numFmt numFmtId="169" formatCode="_(* #,##0_);_(* \(#,##0\);_(* &quot;-&quot;??_);_(@_)"/>
    <numFmt numFmtId="170" formatCode="mmm\ yy"/>
    <numFmt numFmtId="171" formatCode="0.000000"/>
    <numFmt numFmtId="172" formatCode="0.0%"/>
    <numFmt numFmtId="173" formatCode="0.00000"/>
    <numFmt numFmtId="174" formatCode="0.0000000"/>
    <numFmt numFmtId="175" formatCode="0.000%"/>
  </numFmts>
  <fonts count="2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trike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160">
    <xf numFmtId="0" fontId="0" fillId="0" borderId="0" xfId="0"/>
    <xf numFmtId="167" fontId="0" fillId="0" borderId="0" xfId="2" applyNumberFormat="1" applyFont="1"/>
    <xf numFmtId="0" fontId="9" fillId="0" borderId="0" xfId="0" applyFont="1"/>
    <xf numFmtId="0" fontId="0" fillId="0" borderId="0" xfId="0" applyBorder="1"/>
    <xf numFmtId="0" fontId="9" fillId="0" borderId="11" xfId="0" applyFont="1" applyBorder="1"/>
    <xf numFmtId="0" fontId="0" fillId="0" borderId="8" xfId="0" applyBorder="1"/>
    <xf numFmtId="167" fontId="9" fillId="0" borderId="0" xfId="2" applyNumberFormat="1" applyFont="1"/>
    <xf numFmtId="167" fontId="9" fillId="0" borderId="0" xfId="2" applyNumberFormat="1" applyFont="1" applyFill="1"/>
    <xf numFmtId="167" fontId="9" fillId="0" borderId="0" xfId="2" applyNumberFormat="1" applyFont="1" applyBorder="1"/>
    <xf numFmtId="0" fontId="9" fillId="0" borderId="0" xfId="0" applyFont="1" applyAlignment="1">
      <alignment horizontal="right"/>
    </xf>
    <xf numFmtId="167" fontId="9" fillId="0" borderId="0" xfId="0" applyNumberFormat="1" applyFont="1"/>
    <xf numFmtId="0" fontId="9" fillId="0" borderId="0" xfId="0" applyFont="1" applyFill="1"/>
    <xf numFmtId="167" fontId="9" fillId="0" borderId="11" xfId="2" applyNumberFormat="1" applyFont="1" applyFill="1" applyBorder="1"/>
    <xf numFmtId="167" fontId="9" fillId="0" borderId="11" xfId="2" applyNumberFormat="1" applyFont="1" applyBorder="1"/>
    <xf numFmtId="0" fontId="9" fillId="0" borderId="0" xfId="0" applyFont="1" applyAlignment="1">
      <alignment horizontal="center"/>
    </xf>
    <xf numFmtId="167" fontId="9" fillId="0" borderId="14" xfId="0" applyNumberFormat="1" applyFont="1" applyFill="1" applyBorder="1"/>
    <xf numFmtId="167" fontId="13" fillId="0" borderId="0" xfId="2" applyNumberFormat="1" applyFont="1" applyFill="1"/>
    <xf numFmtId="167" fontId="13" fillId="0" borderId="0" xfId="2" applyNumberFormat="1" applyFont="1" applyFill="1" applyBorder="1"/>
    <xf numFmtId="0" fontId="6" fillId="0" borderId="0" xfId="0" applyFont="1"/>
    <xf numFmtId="0" fontId="14" fillId="0" borderId="0" xfId="0" applyFont="1"/>
    <xf numFmtId="0" fontId="15" fillId="0" borderId="4" xfId="0" applyFont="1" applyFill="1" applyBorder="1"/>
    <xf numFmtId="0" fontId="15" fillId="0" borderId="5" xfId="0" applyFont="1" applyFill="1" applyBorder="1"/>
    <xf numFmtId="0" fontId="15" fillId="0" borderId="6" xfId="0" applyFont="1" applyFill="1" applyBorder="1"/>
    <xf numFmtId="0" fontId="15" fillId="0" borderId="7" xfId="0" applyFont="1" applyFill="1" applyBorder="1"/>
    <xf numFmtId="0" fontId="15" fillId="0" borderId="8" xfId="0" applyFont="1" applyFill="1" applyBorder="1"/>
    <xf numFmtId="0" fontId="15" fillId="0" borderId="0" xfId="0" applyFont="1" applyFill="1" applyBorder="1"/>
    <xf numFmtId="0" fontId="15" fillId="0" borderId="9" xfId="4" applyFont="1" applyFill="1" applyBorder="1" applyAlignment="1">
      <alignment horizontal="center"/>
    </xf>
    <xf numFmtId="0" fontId="15" fillId="0" borderId="10" xfId="4" applyFont="1" applyFill="1" applyBorder="1" applyAlignment="1">
      <alignment horizontal="center"/>
    </xf>
    <xf numFmtId="0" fontId="15" fillId="0" borderId="10" xfId="0" applyFont="1" applyFill="1" applyBorder="1"/>
    <xf numFmtId="0" fontId="15" fillId="0" borderId="11" xfId="4" applyFont="1" applyFill="1" applyBorder="1" applyAlignment="1">
      <alignment horizontal="center"/>
    </xf>
    <xf numFmtId="0" fontId="15" fillId="0" borderId="12" xfId="4" applyFont="1" applyFill="1" applyBorder="1" applyAlignment="1">
      <alignment horizontal="center"/>
    </xf>
    <xf numFmtId="0" fontId="15" fillId="0" borderId="14" xfId="4" applyFont="1" applyFill="1" applyBorder="1" applyAlignment="1">
      <alignment horizontal="center"/>
    </xf>
    <xf numFmtId="0" fontId="15" fillId="0" borderId="15" xfId="4" applyFont="1" applyFill="1" applyBorder="1" applyAlignment="1">
      <alignment horizontal="center" wrapText="1"/>
    </xf>
    <xf numFmtId="0" fontId="15" fillId="0" borderId="16" xfId="4" applyFont="1" applyFill="1" applyBorder="1" applyAlignment="1">
      <alignment horizontal="center"/>
    </xf>
    <xf numFmtId="0" fontId="15" fillId="0" borderId="17" xfId="4" applyFont="1" applyFill="1" applyBorder="1" applyAlignment="1">
      <alignment horizontal="center"/>
    </xf>
    <xf numFmtId="0" fontId="15" fillId="0" borderId="18" xfId="4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6" fillId="0" borderId="0" xfId="0" applyFont="1" applyFill="1" applyBorder="1"/>
    <xf numFmtId="10" fontId="15" fillId="0" borderId="9" xfId="0" applyNumberFormat="1" applyFont="1" applyFill="1" applyBorder="1"/>
    <xf numFmtId="49" fontId="14" fillId="0" borderId="10" xfId="0" applyNumberFormat="1" applyFont="1" applyBorder="1" applyAlignment="1">
      <alignment horizontal="center"/>
    </xf>
    <xf numFmtId="167" fontId="17" fillId="0" borderId="19" xfId="2" applyNumberFormat="1" applyFont="1" applyFill="1" applyBorder="1"/>
    <xf numFmtId="37" fontId="15" fillId="0" borderId="9" xfId="5" applyNumberFormat="1" applyFont="1" applyFill="1" applyBorder="1"/>
    <xf numFmtId="0" fontId="15" fillId="0" borderId="9" xfId="0" applyFont="1" applyFill="1" applyBorder="1"/>
    <xf numFmtId="37" fontId="15" fillId="0" borderId="9" xfId="6" applyNumberFormat="1" applyFont="1" applyFill="1" applyBorder="1"/>
    <xf numFmtId="0" fontId="15" fillId="0" borderId="0" xfId="0" applyFont="1" applyFill="1"/>
    <xf numFmtId="168" fontId="15" fillId="0" borderId="9" xfId="0" applyNumberFormat="1" applyFont="1" applyFill="1" applyBorder="1"/>
    <xf numFmtId="168" fontId="19" fillId="0" borderId="9" xfId="0" applyNumberFormat="1" applyFont="1" applyFill="1" applyBorder="1"/>
    <xf numFmtId="167" fontId="15" fillId="0" borderId="13" xfId="0" applyNumberFormat="1" applyFont="1" applyFill="1" applyBorder="1"/>
    <xf numFmtId="167" fontId="15" fillId="0" borderId="12" xfId="0" applyNumberFormat="1" applyFont="1" applyFill="1" applyBorder="1"/>
    <xf numFmtId="0" fontId="15" fillId="0" borderId="12" xfId="0" applyFont="1" applyFill="1" applyBorder="1"/>
    <xf numFmtId="0" fontId="15" fillId="0" borderId="0" xfId="0" applyFont="1" applyFill="1" applyBorder="1" applyAlignment="1">
      <alignment horizontal="center"/>
    </xf>
    <xf numFmtId="167" fontId="19" fillId="0" borderId="0" xfId="2" applyNumberFormat="1" applyFont="1"/>
    <xf numFmtId="172" fontId="6" fillId="0" borderId="0" xfId="3" applyNumberFormat="1" applyFont="1"/>
    <xf numFmtId="44" fontId="6" fillId="0" borderId="0" xfId="2" applyFont="1"/>
    <xf numFmtId="49" fontId="14" fillId="0" borderId="0" xfId="0" applyNumberFormat="1" applyFont="1" applyBorder="1" applyAlignment="1">
      <alignment horizontal="center"/>
    </xf>
    <xf numFmtId="37" fontId="6" fillId="0" borderId="0" xfId="0" applyNumberFormat="1" applyFont="1"/>
    <xf numFmtId="44" fontId="6" fillId="0" borderId="0" xfId="0" applyNumberFormat="1" applyFont="1"/>
    <xf numFmtId="0" fontId="6" fillId="3" borderId="0" xfId="0" applyFont="1" applyFill="1"/>
    <xf numFmtId="0" fontId="20" fillId="3" borderId="0" xfId="0" applyFont="1" applyFill="1" applyAlignment="1">
      <alignment horizontal="right"/>
    </xf>
    <xf numFmtId="164" fontId="20" fillId="3" borderId="0" xfId="0" applyNumberFormat="1" applyFont="1" applyFill="1"/>
    <xf numFmtId="165" fontId="6" fillId="0" borderId="0" xfId="0" applyNumberFormat="1" applyFont="1"/>
    <xf numFmtId="5" fontId="6" fillId="0" borderId="0" xfId="1" applyNumberFormat="1" applyFont="1"/>
    <xf numFmtId="166" fontId="6" fillId="0" borderId="0" xfId="1" applyNumberFormat="1" applyFont="1"/>
    <xf numFmtId="166" fontId="6" fillId="0" borderId="0" xfId="0" applyNumberFormat="1" applyFont="1"/>
    <xf numFmtId="5" fontId="6" fillId="0" borderId="0" xfId="0" applyNumberFormat="1" applyFont="1"/>
    <xf numFmtId="0" fontId="14" fillId="2" borderId="1" xfId="0" applyFont="1" applyFill="1" applyBorder="1"/>
    <xf numFmtId="0" fontId="14" fillId="2" borderId="2" xfId="0" applyFont="1" applyFill="1" applyBorder="1"/>
    <xf numFmtId="5" fontId="14" fillId="2" borderId="3" xfId="0" applyNumberFormat="1" applyFont="1" applyFill="1" applyBorder="1"/>
    <xf numFmtId="0" fontId="14" fillId="0" borderId="0" xfId="0" applyFont="1" applyFill="1" applyBorder="1"/>
    <xf numFmtId="5" fontId="14" fillId="0" borderId="0" xfId="0" applyNumberFormat="1" applyFont="1" applyFill="1" applyBorder="1"/>
    <xf numFmtId="10" fontId="14" fillId="0" borderId="0" xfId="3" applyNumberFormat="1" applyFont="1" applyFill="1" applyBorder="1"/>
    <xf numFmtId="0" fontId="17" fillId="0" borderId="0" xfId="0" applyFont="1"/>
    <xf numFmtId="17" fontId="6" fillId="0" borderId="0" xfId="0" applyNumberFormat="1" applyFont="1" applyAlignment="1">
      <alignment horizontal="center"/>
    </xf>
    <xf numFmtId="169" fontId="6" fillId="0" borderId="0" xfId="0" applyNumberFormat="1" applyFont="1" applyFill="1"/>
    <xf numFmtId="169" fontId="6" fillId="0" borderId="5" xfId="0" applyNumberFormat="1" applyFont="1" applyBorder="1"/>
    <xf numFmtId="169" fontId="6" fillId="0" borderId="0" xfId="0" applyNumberFormat="1" applyFont="1"/>
    <xf numFmtId="173" fontId="6" fillId="0" borderId="0" xfId="0" applyNumberFormat="1" applyFont="1"/>
    <xf numFmtId="10" fontId="6" fillId="0" borderId="0" xfId="0" applyNumberFormat="1" applyFont="1"/>
    <xf numFmtId="167" fontId="6" fillId="0" borderId="0" xfId="2" applyNumberFormat="1" applyFont="1"/>
    <xf numFmtId="167" fontId="6" fillId="0" borderId="0" xfId="0" applyNumberFormat="1" applyFont="1"/>
    <xf numFmtId="171" fontId="6" fillId="0" borderId="0" xfId="0" applyNumberFormat="1" applyFont="1"/>
    <xf numFmtId="167" fontId="6" fillId="0" borderId="11" xfId="2" applyNumberFormat="1" applyFont="1" applyBorder="1"/>
    <xf numFmtId="0" fontId="6" fillId="0" borderId="0" xfId="0" applyFont="1" applyFill="1"/>
    <xf numFmtId="0" fontId="6" fillId="0" borderId="0" xfId="0" applyFont="1" applyFill="1" applyAlignment="1">
      <alignment horizontal="right"/>
    </xf>
    <xf numFmtId="44" fontId="6" fillId="0" borderId="0" xfId="2" applyFont="1" applyFill="1"/>
    <xf numFmtId="168" fontId="18" fillId="5" borderId="17" xfId="2" applyNumberFormat="1" applyFont="1" applyFill="1" applyBorder="1"/>
    <xf numFmtId="0" fontId="15" fillId="0" borderId="13" xfId="0" applyFont="1" applyFill="1" applyBorder="1" applyAlignment="1">
      <alignment horizontal="center"/>
    </xf>
    <xf numFmtId="0" fontId="15" fillId="0" borderId="14" xfId="0" applyFont="1" applyFill="1" applyBorder="1"/>
    <xf numFmtId="167" fontId="15" fillId="0" borderId="9" xfId="2" applyNumberFormat="1" applyFont="1" applyFill="1" applyBorder="1"/>
    <xf numFmtId="44" fontId="15" fillId="0" borderId="9" xfId="2" applyFont="1" applyFill="1" applyBorder="1"/>
    <xf numFmtId="0" fontId="21" fillId="0" borderId="0" xfId="0" applyFont="1" applyAlignment="1">
      <alignment horizontal="right"/>
    </xf>
    <xf numFmtId="167" fontId="21" fillId="0" borderId="0" xfId="2" applyNumberFormat="1" applyFont="1" applyFill="1"/>
    <xf numFmtId="167" fontId="21" fillId="0" borderId="0" xfId="2" applyNumberFormat="1" applyFont="1" applyAlignment="1">
      <alignment horizontal="right"/>
    </xf>
    <xf numFmtId="167" fontId="21" fillId="0" borderId="0" xfId="0" applyNumberFormat="1" applyFont="1" applyFill="1" applyBorder="1"/>
    <xf numFmtId="167" fontId="21" fillId="0" borderId="11" xfId="0" applyNumberFormat="1" applyFont="1" applyFill="1" applyBorder="1"/>
    <xf numFmtId="167" fontId="21" fillId="0" borderId="0" xfId="0" applyNumberFormat="1" applyFont="1" applyFill="1"/>
    <xf numFmtId="0" fontId="21" fillId="0" borderId="0" xfId="0" applyFont="1"/>
    <xf numFmtId="0" fontId="21" fillId="0" borderId="0" xfId="0" applyFont="1" applyFill="1"/>
    <xf numFmtId="175" fontId="24" fillId="4" borderId="21" xfId="3" applyNumberFormat="1" applyFont="1" applyFill="1" applyBorder="1"/>
    <xf numFmtId="0" fontId="22" fillId="0" borderId="22" xfId="0" applyFont="1" applyFill="1" applyBorder="1" applyAlignment="1">
      <alignment horizontal="center"/>
    </xf>
    <xf numFmtId="0" fontId="22" fillId="0" borderId="23" xfId="0" applyFont="1" applyFill="1" applyBorder="1"/>
    <xf numFmtId="0" fontId="23" fillId="0" borderId="24" xfId="0" applyFont="1" applyFill="1" applyBorder="1"/>
    <xf numFmtId="174" fontId="22" fillId="0" borderId="24" xfId="0" applyNumberFormat="1" applyFont="1" applyFill="1" applyBorder="1"/>
    <xf numFmtId="0" fontId="22" fillId="0" borderId="25" xfId="0" applyFont="1" applyFill="1" applyBorder="1"/>
    <xf numFmtId="0" fontId="5" fillId="0" borderId="0" xfId="0" applyFont="1"/>
    <xf numFmtId="170" fontId="18" fillId="0" borderId="0" xfId="0" applyNumberFormat="1" applyFont="1">
      <alignment readingOrder="1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left" indent="1" readingOrder="1"/>
    </xf>
    <xf numFmtId="169" fontId="19" fillId="0" borderId="0" xfId="1" applyNumberFormat="1" applyFont="1">
      <alignment readingOrder="1"/>
    </xf>
    <xf numFmtId="0" fontId="19" fillId="0" borderId="0" xfId="0" applyFont="1" applyAlignment="1">
      <alignment horizontal="left" indent="1" readingOrder="1"/>
    </xf>
    <xf numFmtId="169" fontId="19" fillId="0" borderId="0" xfId="1" applyNumberFormat="1" applyFont="1"/>
    <xf numFmtId="169" fontId="19" fillId="0" borderId="0" xfId="0" applyNumberFormat="1" applyFont="1"/>
    <xf numFmtId="0" fontId="15" fillId="0" borderId="0" xfId="0" applyFont="1" applyFill="1" applyAlignment="1">
      <alignment horizontal="left" indent="1" readingOrder="1"/>
    </xf>
    <xf numFmtId="0" fontId="19" fillId="0" borderId="0" xfId="0" applyFont="1" applyFill="1" applyAlignment="1">
      <alignment horizontal="left" indent="1" readingOrder="1"/>
    </xf>
    <xf numFmtId="0" fontId="15" fillId="0" borderId="0" xfId="0" applyFont="1" applyBorder="1" applyAlignment="1">
      <alignment horizontal="left" indent="1" readingOrder="1"/>
    </xf>
    <xf numFmtId="0" fontId="19" fillId="0" borderId="0" xfId="0" applyFont="1" applyBorder="1" applyAlignment="1">
      <alignment horizontal="left" indent="1" readingOrder="1"/>
    </xf>
    <xf numFmtId="0" fontId="15" fillId="0" borderId="0" xfId="0" applyFont="1" applyFill="1" applyBorder="1" applyAlignment="1">
      <alignment horizontal="left" indent="1" readingOrder="1"/>
    </xf>
    <xf numFmtId="0" fontId="15" fillId="0" borderId="0" xfId="0" applyFont="1"/>
    <xf numFmtId="169" fontId="5" fillId="0" borderId="0" xfId="0" applyNumberFormat="1" applyFont="1"/>
    <xf numFmtId="169" fontId="15" fillId="0" borderId="0" xfId="0" applyNumberFormat="1" applyFont="1"/>
    <xf numFmtId="9" fontId="5" fillId="0" borderId="0" xfId="3" applyFont="1"/>
    <xf numFmtId="3" fontId="19" fillId="0" borderId="0" xfId="4" applyNumberFormat="1" applyFont="1" applyFill="1"/>
    <xf numFmtId="171" fontId="18" fillId="0" borderId="0" xfId="5" applyNumberFormat="1" applyFont="1"/>
    <xf numFmtId="14" fontId="18" fillId="0" borderId="0" xfId="5" applyNumberFormat="1" applyFont="1"/>
    <xf numFmtId="0" fontId="18" fillId="0" borderId="0" xfId="5" applyFont="1"/>
    <xf numFmtId="171" fontId="18" fillId="0" borderId="0" xfId="5" applyNumberFormat="1" applyFont="1" applyAlignment="1">
      <alignment horizontal="right"/>
    </xf>
    <xf numFmtId="171" fontId="15" fillId="0" borderId="0" xfId="5" applyNumberFormat="1" applyFont="1"/>
    <xf numFmtId="0" fontId="15" fillId="0" borderId="0" xfId="5" applyFont="1"/>
    <xf numFmtId="171" fontId="15" fillId="0" borderId="16" xfId="5" applyNumberFormat="1" applyFont="1" applyBorder="1"/>
    <xf numFmtId="0" fontId="25" fillId="0" borderId="0" xfId="5" applyFont="1"/>
    <xf numFmtId="10" fontId="15" fillId="0" borderId="0" xfId="5" applyNumberFormat="1" applyFont="1"/>
    <xf numFmtId="4" fontId="26" fillId="0" borderId="0" xfId="5" applyNumberFormat="1" applyFont="1" applyAlignment="1">
      <alignment horizontal="left"/>
    </xf>
    <xf numFmtId="44" fontId="6" fillId="0" borderId="0" xfId="0" applyNumberFormat="1" applyFont="1" applyFill="1"/>
    <xf numFmtId="44" fontId="15" fillId="0" borderId="0" xfId="2" applyFont="1"/>
    <xf numFmtId="44" fontId="19" fillId="0" borderId="0" xfId="2" applyFont="1"/>
    <xf numFmtId="44" fontId="0" fillId="0" borderId="0" xfId="2" applyFont="1"/>
    <xf numFmtId="168" fontId="6" fillId="0" borderId="0" xfId="2" applyNumberFormat="1" applyFont="1"/>
    <xf numFmtId="168" fontId="15" fillId="0" borderId="0" xfId="2" applyNumberFormat="1" applyFont="1"/>
    <xf numFmtId="168" fontId="19" fillId="0" borderId="0" xfId="2" applyNumberFormat="1" applyFont="1"/>
    <xf numFmtId="168" fontId="0" fillId="0" borderId="0" xfId="2" applyNumberFormat="1" applyFont="1"/>
    <xf numFmtId="0" fontId="20" fillId="0" borderId="0" xfId="0" applyFont="1"/>
    <xf numFmtId="0" fontId="20" fillId="0" borderId="0" xfId="5" applyFont="1"/>
    <xf numFmtId="3" fontId="20" fillId="0" borderId="0" xfId="4" applyNumberFormat="1" applyFont="1" applyFill="1"/>
    <xf numFmtId="0" fontId="27" fillId="0" borderId="0" xfId="0" applyFont="1"/>
    <xf numFmtId="0" fontId="27" fillId="0" borderId="0" xfId="5" applyFont="1"/>
    <xf numFmtId="0" fontId="27" fillId="0" borderId="0" xfId="0" applyFont="1" applyFill="1"/>
    <xf numFmtId="167" fontId="0" fillId="0" borderId="8" xfId="0" applyNumberFormat="1" applyBorder="1"/>
    <xf numFmtId="172" fontId="4" fillId="0" borderId="0" xfId="3" applyNumberFormat="1" applyFont="1"/>
    <xf numFmtId="0" fontId="22" fillId="0" borderId="20" xfId="0" applyFont="1" applyFill="1" applyBorder="1" applyAlignment="1">
      <alignment vertical="center"/>
    </xf>
    <xf numFmtId="171" fontId="26" fillId="0" borderId="0" xfId="5" applyNumberFormat="1" applyFont="1"/>
    <xf numFmtId="171" fontId="19" fillId="6" borderId="0" xfId="0" applyNumberFormat="1" applyFont="1" applyFill="1"/>
    <xf numFmtId="10" fontId="15" fillId="6" borderId="9" xfId="3" applyNumberFormat="1" applyFont="1" applyFill="1" applyBorder="1"/>
    <xf numFmtId="0" fontId="22" fillId="6" borderId="20" xfId="0" applyFont="1" applyFill="1" applyBorder="1" applyAlignment="1">
      <alignment vertical="center" wrapText="1"/>
    </xf>
    <xf numFmtId="0" fontId="3" fillId="0" borderId="0" xfId="0" applyFont="1" applyFill="1" applyBorder="1"/>
    <xf numFmtId="0" fontId="22" fillId="6" borderId="0" xfId="0" applyFont="1" applyFill="1" applyBorder="1" applyAlignment="1">
      <alignment vertical="center" wrapText="1"/>
    </xf>
    <xf numFmtId="171" fontId="19" fillId="0" borderId="0" xfId="0" applyNumberFormat="1" applyFont="1" applyFill="1"/>
    <xf numFmtId="0" fontId="15" fillId="6" borderId="0" xfId="0" applyFont="1" applyFill="1" applyBorder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7">
    <cellStyle name="Comma" xfId="1" builtinId="3"/>
    <cellStyle name="Currency" xfId="2" builtinId="4"/>
    <cellStyle name="Normal" xfId="0" builtinId="0"/>
    <cellStyle name="Normal 16" xfId="5"/>
    <cellStyle name="Normal 2" xfId="4"/>
    <cellStyle name="Normal 24" xfId="6"/>
    <cellStyle name="Percent" xfId="3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WWP%20CBR/WWP%202016-12%20CBR/Uncollectible%20Expenses%20Transaction%20Amount%20-%20JS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WWP%20CBR/WWP%202016-12%20CBR/ConvFactor-12.31.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6"/>
      <sheetName val="Macro1"/>
    </sheetNames>
    <sheetDataSet>
      <sheetData sheetId="0" refreshError="1"/>
      <sheetData sheetId="1" refreshError="1"/>
      <sheetData sheetId="2">
        <row r="85">
          <cell r="A85" t="str">
            <v>Recover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 WA Elec"/>
      <sheetName val="CF WA Gas"/>
      <sheetName val="CF ID Elec"/>
      <sheetName val="CF ID Gas"/>
      <sheetName val="C-UE-1"/>
      <sheetName val="C-UE-2"/>
      <sheetName val="2016 Transaction Details"/>
      <sheetName val="Shared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TWELVE MONTHS ENDED DECEMBER 31, 2016</v>
          </cell>
        </row>
        <row r="4">
          <cell r="B4" t="str">
            <v>AVISTA UTILITIES</v>
          </cell>
        </row>
        <row r="10">
          <cell r="B10">
            <v>0.35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workbookViewId="0">
      <selection activeCell="B29" sqref="B29:B30"/>
    </sheetView>
  </sheetViews>
  <sheetFormatPr defaultRowHeight="15" x14ac:dyDescent="0.25"/>
  <cols>
    <col min="1" max="1" width="9.140625" style="18"/>
    <col min="2" max="2" width="36.42578125" style="18" customWidth="1"/>
    <col min="3" max="3" width="17.85546875" style="18" customWidth="1"/>
    <col min="4" max="9" width="17" style="18" customWidth="1"/>
    <col min="10" max="10" width="4.85546875" style="18" customWidth="1"/>
    <col min="11" max="16384" width="9.140625" style="18"/>
  </cols>
  <sheetData>
    <row r="1" spans="1:10" x14ac:dyDescent="0.25">
      <c r="C1" s="19" t="s">
        <v>3</v>
      </c>
      <c r="D1" s="19"/>
    </row>
    <row r="3" spans="1:10" x14ac:dyDescent="0.25">
      <c r="A3" s="20"/>
      <c r="B3" s="21"/>
      <c r="C3" s="22"/>
      <c r="D3" s="22"/>
      <c r="E3" s="22"/>
      <c r="F3" s="22"/>
      <c r="G3" s="22"/>
      <c r="H3" s="22"/>
      <c r="I3" s="22"/>
      <c r="J3" s="23"/>
    </row>
    <row r="4" spans="1:10" x14ac:dyDescent="0.25">
      <c r="A4" s="24"/>
      <c r="B4" s="25"/>
      <c r="C4" s="26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28"/>
    </row>
    <row r="5" spans="1:10" x14ac:dyDescent="0.25">
      <c r="A5" s="24"/>
      <c r="B5" s="29" t="s">
        <v>11</v>
      </c>
      <c r="C5" s="30" t="s">
        <v>12</v>
      </c>
      <c r="D5" s="30" t="s">
        <v>13</v>
      </c>
      <c r="E5" s="30" t="s">
        <v>14</v>
      </c>
      <c r="F5" s="30" t="s">
        <v>15</v>
      </c>
      <c r="G5" s="30" t="s">
        <v>16</v>
      </c>
      <c r="H5" s="30" t="s">
        <v>17</v>
      </c>
      <c r="I5" s="30" t="s">
        <v>18</v>
      </c>
      <c r="J5" s="31"/>
    </row>
    <row r="6" spans="1:10" x14ac:dyDescent="0.25">
      <c r="A6" s="32" t="s">
        <v>19</v>
      </c>
      <c r="B6" s="33" t="s">
        <v>20</v>
      </c>
      <c r="C6" s="34" t="s">
        <v>21</v>
      </c>
      <c r="D6" s="34" t="s">
        <v>22</v>
      </c>
      <c r="E6" s="34" t="s">
        <v>23</v>
      </c>
      <c r="F6" s="34" t="s">
        <v>24</v>
      </c>
      <c r="G6" s="34" t="s">
        <v>25</v>
      </c>
      <c r="H6" s="34" t="s">
        <v>26</v>
      </c>
      <c r="I6" s="34" t="s">
        <v>27</v>
      </c>
      <c r="J6" s="35" t="s">
        <v>28</v>
      </c>
    </row>
    <row r="7" spans="1:10" x14ac:dyDescent="0.25">
      <c r="A7" s="36">
        <v>1</v>
      </c>
      <c r="B7" s="37" t="s">
        <v>29</v>
      </c>
      <c r="C7" s="26"/>
      <c r="D7" s="26"/>
      <c r="E7" s="26"/>
      <c r="F7" s="26"/>
      <c r="G7" s="26"/>
      <c r="H7" s="26"/>
      <c r="I7" s="26"/>
      <c r="J7" s="27"/>
    </row>
    <row r="8" spans="1:10" ht="15.75" thickBot="1" x14ac:dyDescent="0.3">
      <c r="A8" s="36">
        <f>A7+1</f>
        <v>2</v>
      </c>
      <c r="B8" s="25" t="s">
        <v>30</v>
      </c>
      <c r="C8" s="38">
        <f>SUM(D8:I8)</f>
        <v>1</v>
      </c>
      <c r="D8" s="151">
        <v>0.42330836824513912</v>
      </c>
      <c r="E8" s="151">
        <v>0.10472039843893897</v>
      </c>
      <c r="F8" s="151">
        <v>0.25204810467680844</v>
      </c>
      <c r="G8" s="151">
        <v>0.19102811746861037</v>
      </c>
      <c r="H8" s="151">
        <v>2.4422910498913038E-2</v>
      </c>
      <c r="I8" s="151">
        <v>4.4721006715900671E-3</v>
      </c>
      <c r="J8" s="39" t="s">
        <v>31</v>
      </c>
    </row>
    <row r="9" spans="1:10" ht="15.75" thickBot="1" x14ac:dyDescent="0.3">
      <c r="A9" s="36">
        <f t="shared" ref="A9:A19" si="0">A8+1</f>
        <v>3</v>
      </c>
      <c r="B9" s="25" t="s">
        <v>118</v>
      </c>
      <c r="C9" s="40">
        <v>-3345829.3695610147</v>
      </c>
      <c r="D9" s="88">
        <f>$C$9*D8</f>
        <v>-1416317.5708555356</v>
      </c>
      <c r="E9" s="88">
        <f t="shared" ref="E9:I9" si="1">$C$9*E8</f>
        <v>-350376.58468913345</v>
      </c>
      <c r="F9" s="88">
        <f t="shared" si="1"/>
        <v>-843309.95116985461</v>
      </c>
      <c r="G9" s="88">
        <f t="shared" si="1"/>
        <v>-639147.48583842814</v>
      </c>
      <c r="H9" s="88">
        <f t="shared" si="1"/>
        <v>-81714.891237423304</v>
      </c>
      <c r="I9" s="88">
        <f t="shared" si="1"/>
        <v>-14962.885770639585</v>
      </c>
      <c r="J9" s="28"/>
    </row>
    <row r="10" spans="1:10" x14ac:dyDescent="0.25">
      <c r="A10" s="36">
        <f t="shared" si="0"/>
        <v>4</v>
      </c>
      <c r="B10" s="25" t="s">
        <v>32</v>
      </c>
      <c r="C10" s="41">
        <f>SUM(D10:I10)</f>
        <v>5804057497.5043154</v>
      </c>
      <c r="D10" s="41">
        <f>'kWh Forecast'!S18</f>
        <v>2491200928.8335719</v>
      </c>
      <c r="E10" s="41">
        <f>'kWh Forecast'!S19</f>
        <v>614292285.00556421</v>
      </c>
      <c r="F10" s="41">
        <f>'kWh Forecast'!S20</f>
        <v>1418819916.1050417</v>
      </c>
      <c r="G10" s="41">
        <f>'kWh Forecast'!S21</f>
        <v>1122196552.322475</v>
      </c>
      <c r="H10" s="41">
        <f>'kWh Forecast'!S22</f>
        <v>134494452.12775129</v>
      </c>
      <c r="I10" s="41">
        <f>'kWh Forecast'!S23</f>
        <v>23053363.109911155</v>
      </c>
      <c r="J10" s="39" t="s">
        <v>33</v>
      </c>
    </row>
    <row r="11" spans="1:10" x14ac:dyDescent="0.25">
      <c r="A11" s="36">
        <f t="shared" si="0"/>
        <v>5</v>
      </c>
      <c r="B11" s="25" t="s">
        <v>34</v>
      </c>
      <c r="C11" s="42"/>
      <c r="D11" s="85">
        <f>D9/D10</f>
        <v>-5.685280358010635E-4</v>
      </c>
      <c r="E11" s="85">
        <f t="shared" ref="E11:I11" si="2">E9/E10</f>
        <v>-5.7037438568182536E-4</v>
      </c>
      <c r="F11" s="85">
        <f t="shared" si="2"/>
        <v>-5.943741990068178E-4</v>
      </c>
      <c r="G11" s="85">
        <f t="shared" si="2"/>
        <v>-5.6955039160979564E-4</v>
      </c>
      <c r="H11" s="85">
        <f t="shared" si="2"/>
        <v>-6.0757072090828965E-4</v>
      </c>
      <c r="I11" s="85">
        <f t="shared" si="2"/>
        <v>-6.4905435702813821E-4</v>
      </c>
      <c r="J11" s="28"/>
    </row>
    <row r="12" spans="1:10" x14ac:dyDescent="0.25">
      <c r="A12" s="36">
        <f t="shared" si="0"/>
        <v>6</v>
      </c>
      <c r="B12" s="25" t="s">
        <v>35</v>
      </c>
      <c r="C12" s="43">
        <f>SUM(D12:I12)</f>
        <v>2990269.3048661128</v>
      </c>
      <c r="D12" s="43">
        <f>'kWh Forecast'!S44</f>
        <v>2553342</v>
      </c>
      <c r="E12" s="43">
        <f>'kWh Forecast'!S45</f>
        <v>384544.40336216049</v>
      </c>
      <c r="F12" s="43">
        <f>'kWh Forecast'!S46</f>
        <v>22855.589773269447</v>
      </c>
      <c r="G12" s="43">
        <f>'kWh Forecast'!S47</f>
        <v>252.92165600257675</v>
      </c>
      <c r="H12" s="43">
        <f>'kWh Forecast'!S48</f>
        <v>29274.390074680199</v>
      </c>
      <c r="I12" s="43"/>
      <c r="J12" s="39"/>
    </row>
    <row r="13" spans="1:10" x14ac:dyDescent="0.25">
      <c r="A13" s="36">
        <f t="shared" si="0"/>
        <v>7</v>
      </c>
      <c r="B13" s="25" t="s">
        <v>36</v>
      </c>
      <c r="C13" s="42"/>
      <c r="D13" s="89">
        <f>(D10/D12)*D11</f>
        <v>-0.55469168284371451</v>
      </c>
      <c r="E13" s="89">
        <f>(E10/E12)*E11</f>
        <v>-0.9111472735676559</v>
      </c>
      <c r="F13" s="89">
        <f>(F10/F12)*F11</f>
        <v>-36.897317441186324</v>
      </c>
      <c r="G13" s="89">
        <f>(G10/G12)*G11</f>
        <v>-2527.0571762819573</v>
      </c>
      <c r="H13" s="89">
        <f>(H10/H12)*H11</f>
        <v>-2.7913439367640174</v>
      </c>
      <c r="I13" s="89"/>
      <c r="J13" s="28"/>
    </row>
    <row r="14" spans="1:10" x14ac:dyDescent="0.25">
      <c r="A14" s="36">
        <f t="shared" si="0"/>
        <v>8</v>
      </c>
      <c r="B14" s="25" t="s">
        <v>37</v>
      </c>
      <c r="C14" s="42"/>
      <c r="D14" s="89">
        <f>(D10/(D12/12))*D11</f>
        <v>-6.6563001941245732</v>
      </c>
      <c r="E14" s="89">
        <f>(E10/(E12/12))*E11</f>
        <v>-10.933767282811871</v>
      </c>
      <c r="F14" s="89">
        <f>(F10/(F12/12))*F11</f>
        <v>-442.76780929423592</v>
      </c>
      <c r="G14" s="89">
        <f>(G10/(G12/12))*G11</f>
        <v>-30324.686115383483</v>
      </c>
      <c r="H14" s="89">
        <f>(H10/(H12/12))*H11</f>
        <v>-33.496127241168203</v>
      </c>
      <c r="I14" s="89"/>
      <c r="J14" s="28"/>
    </row>
    <row r="15" spans="1:10" x14ac:dyDescent="0.25">
      <c r="A15" s="36">
        <f t="shared" si="0"/>
        <v>9</v>
      </c>
      <c r="B15" s="44"/>
      <c r="C15" s="24"/>
      <c r="D15" s="42"/>
      <c r="E15" s="42"/>
      <c r="F15" s="42"/>
      <c r="G15" s="42"/>
      <c r="H15" s="42"/>
      <c r="I15" s="42"/>
      <c r="J15" s="42"/>
    </row>
    <row r="16" spans="1:10" x14ac:dyDescent="0.25">
      <c r="A16" s="36">
        <f t="shared" si="0"/>
        <v>10</v>
      </c>
      <c r="B16" s="44" t="s">
        <v>38</v>
      </c>
      <c r="C16" s="24"/>
      <c r="D16" s="45">
        <f t="shared" ref="D16:I16" si="3">D11</f>
        <v>-5.685280358010635E-4</v>
      </c>
      <c r="E16" s="45">
        <f t="shared" si="3"/>
        <v>-5.7037438568182536E-4</v>
      </c>
      <c r="F16" s="45">
        <f t="shared" si="3"/>
        <v>-5.943741990068178E-4</v>
      </c>
      <c r="G16" s="45">
        <f t="shared" si="3"/>
        <v>-5.6955039160979564E-4</v>
      </c>
      <c r="H16" s="45">
        <f t="shared" si="3"/>
        <v>-6.0757072090828965E-4</v>
      </c>
      <c r="I16" s="45">
        <f t="shared" si="3"/>
        <v>-6.4905435702813821E-4</v>
      </c>
      <c r="J16" s="42"/>
    </row>
    <row r="17" spans="1:10" x14ac:dyDescent="0.25">
      <c r="A17" s="36">
        <f t="shared" si="0"/>
        <v>11</v>
      </c>
      <c r="B17" s="44" t="s">
        <v>39</v>
      </c>
      <c r="C17" s="24"/>
      <c r="D17" s="46">
        <v>-3.4815057774331432E-4</v>
      </c>
      <c r="E17" s="46">
        <v>-3.6383443490987764E-4</v>
      </c>
      <c r="F17" s="46">
        <v>-3.5849776586677765E-4</v>
      </c>
      <c r="G17" s="46">
        <v>-3.4430998794476668E-4</v>
      </c>
      <c r="H17" s="46">
        <v>-4.2377070183195552E-4</v>
      </c>
      <c r="I17" s="46">
        <v>-3.7479662692358303E-4</v>
      </c>
      <c r="J17" s="42"/>
    </row>
    <row r="18" spans="1:10" x14ac:dyDescent="0.25">
      <c r="A18" s="36">
        <f t="shared" si="0"/>
        <v>12</v>
      </c>
      <c r="B18" s="44" t="s">
        <v>40</v>
      </c>
      <c r="C18" s="24"/>
      <c r="D18" s="45">
        <f t="shared" ref="D18:I18" si="4">D16-D17</f>
        <v>-2.2037745805774918E-4</v>
      </c>
      <c r="E18" s="45">
        <f t="shared" si="4"/>
        <v>-2.0653995077194771E-4</v>
      </c>
      <c r="F18" s="45">
        <f t="shared" si="4"/>
        <v>-2.3587643314004015E-4</v>
      </c>
      <c r="G18" s="45">
        <f t="shared" si="4"/>
        <v>-2.2524040366502895E-4</v>
      </c>
      <c r="H18" s="45">
        <f t="shared" si="4"/>
        <v>-1.8380001907633412E-4</v>
      </c>
      <c r="I18" s="45">
        <f t="shared" si="4"/>
        <v>-2.7425773010455518E-4</v>
      </c>
      <c r="J18" s="42"/>
    </row>
    <row r="19" spans="1:10" x14ac:dyDescent="0.25">
      <c r="A19" s="86">
        <f t="shared" si="0"/>
        <v>13</v>
      </c>
      <c r="B19" s="87" t="s">
        <v>41</v>
      </c>
      <c r="C19" s="47">
        <f>SUM(D19:I19)</f>
        <v>-1294353.2579321512</v>
      </c>
      <c r="D19" s="48">
        <f t="shared" ref="D19:I19" si="5">D18*D10</f>
        <v>-549004.52820744633</v>
      </c>
      <c r="E19" s="48">
        <f t="shared" si="5"/>
        <v>-126875.8983046365</v>
      </c>
      <c r="F19" s="48">
        <f t="shared" si="5"/>
        <v>-334666.18107890827</v>
      </c>
      <c r="G19" s="48">
        <f t="shared" si="5"/>
        <v>-252764.00443661804</v>
      </c>
      <c r="H19" s="48">
        <f t="shared" si="5"/>
        <v>-24720.082866741792</v>
      </c>
      <c r="I19" s="48">
        <f t="shared" si="5"/>
        <v>-6322.5630378003225</v>
      </c>
      <c r="J19" s="49"/>
    </row>
    <row r="20" spans="1:10" x14ac:dyDescent="0.25">
      <c r="A20" s="36"/>
      <c r="B20" s="44"/>
      <c r="C20" s="44"/>
      <c r="D20" s="44"/>
      <c r="E20" s="44"/>
      <c r="F20" s="44"/>
      <c r="G20" s="44"/>
      <c r="H20" s="44"/>
      <c r="I20" s="44"/>
      <c r="J20" s="44"/>
    </row>
    <row r="21" spans="1:10" x14ac:dyDescent="0.25">
      <c r="A21" s="50"/>
      <c r="B21" s="44"/>
      <c r="C21" s="44"/>
      <c r="D21" s="44"/>
      <c r="E21" s="44"/>
      <c r="F21" s="44"/>
      <c r="G21" s="44"/>
      <c r="H21" s="44"/>
      <c r="I21" s="44"/>
      <c r="J21" s="44"/>
    </row>
    <row r="22" spans="1:10" x14ac:dyDescent="0.25">
      <c r="B22" s="25" t="s">
        <v>62</v>
      </c>
      <c r="C22" s="51">
        <f>SUM(D22:I22)</f>
        <v>514998000</v>
      </c>
      <c r="D22" s="51">
        <v>223805000</v>
      </c>
      <c r="E22" s="51">
        <v>72879000</v>
      </c>
      <c r="F22" s="51">
        <v>131881000</v>
      </c>
      <c r="G22" s="51">
        <v>66425000</v>
      </c>
      <c r="H22" s="51">
        <v>12761000</v>
      </c>
      <c r="I22" s="51">
        <v>7247000</v>
      </c>
      <c r="J22" s="44"/>
    </row>
    <row r="23" spans="1:10" x14ac:dyDescent="0.25">
      <c r="B23" s="25" t="s">
        <v>63</v>
      </c>
      <c r="C23" s="52">
        <f t="shared" ref="C23:I23" si="6">C19/C22</f>
        <v>-2.5133170574102252E-3</v>
      </c>
      <c r="D23" s="52">
        <f t="shared" si="6"/>
        <v>-2.4530485387165004E-3</v>
      </c>
      <c r="E23" s="52">
        <f t="shared" si="6"/>
        <v>-1.7409116248114889E-3</v>
      </c>
      <c r="F23" s="52">
        <f t="shared" si="6"/>
        <v>-2.5376375753816565E-3</v>
      </c>
      <c r="G23" s="52">
        <f t="shared" si="6"/>
        <v>-3.8052541127078367E-3</v>
      </c>
      <c r="H23" s="52">
        <f t="shared" si="6"/>
        <v>-1.9371587545444552E-3</v>
      </c>
      <c r="I23" s="52">
        <f t="shared" si="6"/>
        <v>-8.7243866949086825E-4</v>
      </c>
    </row>
    <row r="25" spans="1:10" x14ac:dyDescent="0.25">
      <c r="B25" s="18" t="s">
        <v>64</v>
      </c>
      <c r="D25" s="136">
        <f>ROUND((ROUND(D16,5)-ROUND(D17,5))*957,2)</f>
        <v>-0.21</v>
      </c>
    </row>
    <row r="26" spans="1:10" x14ac:dyDescent="0.25">
      <c r="B26" s="18" t="s">
        <v>65</v>
      </c>
      <c r="D26" s="147">
        <f>D25/82.79</f>
        <v>-2.5365382292547407E-3</v>
      </c>
    </row>
    <row r="28" spans="1:10" x14ac:dyDescent="0.25">
      <c r="F28" s="56"/>
    </row>
    <row r="29" spans="1:10" x14ac:dyDescent="0.25">
      <c r="A29" s="54" t="s">
        <v>31</v>
      </c>
      <c r="B29" s="156" t="s">
        <v>135</v>
      </c>
    </row>
    <row r="30" spans="1:10" x14ac:dyDescent="0.25">
      <c r="A30" s="54"/>
      <c r="B30" s="156" t="s">
        <v>136</v>
      </c>
      <c r="G30" s="143"/>
    </row>
    <row r="31" spans="1:10" x14ac:dyDescent="0.25">
      <c r="A31" s="54" t="s">
        <v>33</v>
      </c>
      <c r="B31" s="25" t="s">
        <v>120</v>
      </c>
      <c r="G31" s="55"/>
    </row>
    <row r="32" spans="1:10" x14ac:dyDescent="0.25">
      <c r="A32" s="54"/>
    </row>
    <row r="38" spans="2:3" x14ac:dyDescent="0.25">
      <c r="B38" s="140" t="s">
        <v>108</v>
      </c>
    </row>
    <row r="39" spans="2:3" x14ac:dyDescent="0.25">
      <c r="B39" s="18" t="s">
        <v>109</v>
      </c>
      <c r="C39" s="53">
        <v>8.5</v>
      </c>
    </row>
    <row r="40" spans="2:3" x14ac:dyDescent="0.25">
      <c r="B40" s="18" t="s">
        <v>110</v>
      </c>
      <c r="C40" s="136">
        <v>7.9259999999999997E-2</v>
      </c>
    </row>
    <row r="41" spans="2:3" x14ac:dyDescent="0.25">
      <c r="B41" s="18" t="s">
        <v>111</v>
      </c>
      <c r="C41" s="136">
        <v>9.1340000000000005E-2</v>
      </c>
    </row>
    <row r="42" spans="2:3" x14ac:dyDescent="0.25">
      <c r="B42" s="18" t="s">
        <v>112</v>
      </c>
      <c r="C42" s="53">
        <f>C39+(800*C40)+((957-800)*C41)</f>
        <v>86.248379999999997</v>
      </c>
    </row>
    <row r="44" spans="2:3" x14ac:dyDescent="0.25">
      <c r="B44" s="18" t="s">
        <v>113</v>
      </c>
      <c r="C44" s="132">
        <f>D25</f>
        <v>-0.21</v>
      </c>
    </row>
    <row r="46" spans="2:3" x14ac:dyDescent="0.25">
      <c r="B46" s="18" t="s">
        <v>131</v>
      </c>
      <c r="C46" s="56">
        <f>SUM(C42:C45)</f>
        <v>86.038380000000004</v>
      </c>
    </row>
  </sheetData>
  <pageMargins left="0.7" right="0.7" top="0.75" bottom="0.75" header="0.3" footer="0.3"/>
  <pageSetup scale="73" orientation="landscape" r:id="rId1"/>
  <headerFooter>
    <oddHeader>&amp;CRedacted</oddHeader>
    <oddFooter>&amp;L&amp;F&amp;RPage: &amp;P of &amp;N</oddFooter>
  </headerFooter>
  <customProperties>
    <customPr name="xxe4aPID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Q46"/>
  <sheetViews>
    <sheetView workbookViewId="0">
      <selection activeCell="B29" sqref="B29:B30"/>
    </sheetView>
  </sheetViews>
  <sheetFormatPr defaultRowHeight="15" x14ac:dyDescent="0.25"/>
  <cols>
    <col min="1" max="1" width="9.140625" style="18"/>
    <col min="2" max="2" width="17.85546875" style="18" customWidth="1"/>
    <col min="3" max="4" width="10.28515625" style="18" customWidth="1"/>
    <col min="5" max="5" width="14" style="18" bestFit="1" customWidth="1"/>
    <col min="6" max="7" width="11.140625" style="18" bestFit="1" customWidth="1"/>
    <col min="8" max="8" width="9.85546875" style="18" customWidth="1"/>
    <col min="9" max="9" width="9.5703125" style="18" customWidth="1"/>
    <col min="10" max="10" width="11.140625" style="18" bestFit="1" customWidth="1"/>
    <col min="11" max="11" width="15" style="18" bestFit="1" customWidth="1"/>
    <col min="12" max="17" width="11.140625" style="18" bestFit="1" customWidth="1"/>
    <col min="18" max="16384" width="9.140625" style="18"/>
  </cols>
  <sheetData>
    <row r="3" spans="2:17" x14ac:dyDescent="0.25">
      <c r="C3" s="57"/>
      <c r="D3" s="57"/>
      <c r="E3" s="57">
        <f>SUM(F3:Q3)</f>
        <v>8760</v>
      </c>
      <c r="F3" s="57">
        <v>744</v>
      </c>
      <c r="G3" s="57">
        <v>744</v>
      </c>
      <c r="H3" s="57">
        <v>720</v>
      </c>
      <c r="I3" s="57">
        <v>744</v>
      </c>
      <c r="J3" s="57">
        <v>721</v>
      </c>
      <c r="K3" s="57">
        <v>744</v>
      </c>
      <c r="L3" s="57">
        <v>744</v>
      </c>
      <c r="M3" s="57">
        <v>672</v>
      </c>
      <c r="N3" s="57">
        <v>743</v>
      </c>
      <c r="O3" s="57">
        <v>720</v>
      </c>
      <c r="P3" s="57">
        <v>744</v>
      </c>
      <c r="Q3" s="57">
        <v>720</v>
      </c>
    </row>
    <row r="4" spans="2:17" x14ac:dyDescent="0.25">
      <c r="C4" s="58" t="s">
        <v>1</v>
      </c>
      <c r="D4" s="58" t="s">
        <v>2</v>
      </c>
      <c r="E4" s="58" t="s">
        <v>0</v>
      </c>
      <c r="F4" s="59">
        <v>42917</v>
      </c>
      <c r="G4" s="59">
        <v>42948</v>
      </c>
      <c r="H4" s="59">
        <v>42979</v>
      </c>
      <c r="I4" s="59">
        <v>43009</v>
      </c>
      <c r="J4" s="59">
        <v>43040</v>
      </c>
      <c r="K4" s="59">
        <v>43070</v>
      </c>
      <c r="L4" s="59">
        <v>43101</v>
      </c>
      <c r="M4" s="59">
        <v>43132</v>
      </c>
      <c r="N4" s="59">
        <v>43160</v>
      </c>
      <c r="O4" s="59">
        <v>43191</v>
      </c>
      <c r="P4" s="59">
        <v>43221</v>
      </c>
      <c r="Q4" s="59">
        <v>43252</v>
      </c>
    </row>
    <row r="6" spans="2:17" x14ac:dyDescent="0.25">
      <c r="B6" s="157" t="s">
        <v>139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</row>
    <row r="7" spans="2:17" x14ac:dyDescent="0.25"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</row>
    <row r="8" spans="2:17" x14ac:dyDescent="0.25"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</row>
    <row r="9" spans="2:17" x14ac:dyDescent="0.25"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</row>
    <row r="10" spans="2:17" x14ac:dyDescent="0.25"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</row>
    <row r="11" spans="2:17" x14ac:dyDescent="0.25"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</row>
    <row r="12" spans="2:17" x14ac:dyDescent="0.25"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</row>
    <row r="13" spans="2:17" x14ac:dyDescent="0.25"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</row>
    <row r="14" spans="2:17" x14ac:dyDescent="0.25"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</row>
    <row r="15" spans="2:17" x14ac:dyDescent="0.25"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</row>
    <row r="16" spans="2:17" x14ac:dyDescent="0.25"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2:17" x14ac:dyDescent="0.25"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</row>
    <row r="18" spans="2:17" x14ac:dyDescent="0.25"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</row>
    <row r="19" spans="2:17" x14ac:dyDescent="0.25"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</row>
    <row r="20" spans="2:17" ht="15.75" thickBot="1" x14ac:dyDescent="0.3">
      <c r="D20" s="60"/>
      <c r="E20" s="61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2:17" ht="15.75" thickBot="1" x14ac:dyDescent="0.3">
      <c r="B21" s="65" t="s">
        <v>66</v>
      </c>
      <c r="C21" s="66"/>
      <c r="D21" s="66"/>
      <c r="E21" s="67">
        <v>-4731000</v>
      </c>
    </row>
    <row r="22" spans="2:17" x14ac:dyDescent="0.25">
      <c r="B22" s="68"/>
      <c r="C22" s="68"/>
      <c r="D22" s="68"/>
      <c r="E22" s="69"/>
    </row>
    <row r="23" spans="2:17" x14ac:dyDescent="0.25">
      <c r="B23" s="68" t="s">
        <v>67</v>
      </c>
      <c r="C23" s="68"/>
      <c r="D23" s="68"/>
      <c r="E23" s="70">
        <v>0.65190000000000003</v>
      </c>
      <c r="F23" s="63">
        <v>260694.81000000003</v>
      </c>
      <c r="G23" s="63">
        <v>260694.81000000003</v>
      </c>
      <c r="H23" s="63">
        <v>252285.30000000002</v>
      </c>
      <c r="I23" s="63">
        <v>260694.81000000003</v>
      </c>
      <c r="J23" s="63">
        <v>252635.69625000001</v>
      </c>
      <c r="K23" s="63">
        <v>260694.81000000003</v>
      </c>
      <c r="L23" s="63">
        <v>260694.81000000003</v>
      </c>
      <c r="M23" s="63">
        <v>235466.28</v>
      </c>
      <c r="N23" s="63">
        <v>260344.41375000001</v>
      </c>
      <c r="O23" s="63">
        <v>266953.05</v>
      </c>
      <c r="P23" s="63">
        <v>260694.81000000003</v>
      </c>
      <c r="Q23" s="63">
        <v>252285.30000000002</v>
      </c>
    </row>
    <row r="24" spans="2:17" x14ac:dyDescent="0.25">
      <c r="B24" s="68"/>
      <c r="C24" s="68"/>
      <c r="D24" s="68"/>
      <c r="E24" s="70"/>
    </row>
    <row r="25" spans="2:17" x14ac:dyDescent="0.25">
      <c r="B25" s="68" t="s">
        <v>68</v>
      </c>
      <c r="C25" s="68"/>
      <c r="D25" s="68"/>
      <c r="E25" s="69">
        <v>-3084138.9000000004</v>
      </c>
      <c r="G25" s="82"/>
      <c r="H25" s="82"/>
      <c r="I25" s="82"/>
      <c r="J25" s="82"/>
      <c r="K25" s="82"/>
    </row>
    <row r="26" spans="2:17" x14ac:dyDescent="0.25">
      <c r="B26" s="68"/>
      <c r="C26" s="68"/>
      <c r="D26" s="68"/>
      <c r="E26" s="69"/>
      <c r="G26" s="82"/>
      <c r="H26" s="82"/>
      <c r="I26" s="82"/>
      <c r="J26" s="83"/>
      <c r="K26" s="84"/>
    </row>
    <row r="27" spans="2:17" x14ac:dyDescent="0.25">
      <c r="B27" s="18" t="s">
        <v>91</v>
      </c>
      <c r="C27" s="68"/>
      <c r="D27" s="68"/>
      <c r="E27" s="69">
        <v>-105172.33250316298</v>
      </c>
      <c r="G27" s="82"/>
      <c r="H27" s="82"/>
      <c r="I27" s="82"/>
      <c r="J27" s="83"/>
      <c r="K27" s="84"/>
    </row>
    <row r="28" spans="2:17" x14ac:dyDescent="0.25">
      <c r="B28" s="68"/>
      <c r="C28" s="68"/>
      <c r="D28" s="68"/>
      <c r="E28" s="69"/>
      <c r="G28" s="82"/>
      <c r="H28" s="82"/>
      <c r="I28" s="82"/>
      <c r="J28" s="83"/>
      <c r="K28" s="84"/>
    </row>
    <row r="29" spans="2:17" x14ac:dyDescent="0.25">
      <c r="B29" s="68" t="s">
        <v>96</v>
      </c>
      <c r="C29" s="68"/>
      <c r="D29" s="68"/>
      <c r="E29" s="69">
        <v>-3189311.2325031632</v>
      </c>
      <c r="G29" s="82"/>
      <c r="H29" s="82"/>
      <c r="I29" s="82"/>
      <c r="J29" s="83"/>
      <c r="K29" s="84"/>
    </row>
    <row r="30" spans="2:17" x14ac:dyDescent="0.25">
      <c r="B30" s="68"/>
      <c r="C30" s="68"/>
      <c r="D30" s="68"/>
      <c r="E30" s="69"/>
      <c r="G30" s="145"/>
      <c r="H30" s="82"/>
      <c r="I30" s="82"/>
      <c r="J30" s="83"/>
      <c r="K30" s="84"/>
    </row>
    <row r="31" spans="2:17" x14ac:dyDescent="0.25">
      <c r="B31" s="68" t="s">
        <v>97</v>
      </c>
      <c r="C31" s="68"/>
      <c r="D31" s="68"/>
      <c r="E31" s="69">
        <v>-2118.1491407195249</v>
      </c>
      <c r="G31" s="82"/>
      <c r="H31" s="82"/>
      <c r="I31" s="82"/>
      <c r="J31" s="83"/>
      <c r="K31" s="82"/>
    </row>
    <row r="32" spans="2:17" x14ac:dyDescent="0.25">
      <c r="B32" s="68"/>
      <c r="C32" s="68"/>
      <c r="D32" s="68"/>
      <c r="E32" s="69"/>
      <c r="G32" s="82"/>
      <c r="H32" s="82"/>
      <c r="I32" s="82"/>
      <c r="J32" s="82"/>
      <c r="K32" s="82"/>
    </row>
    <row r="33" spans="2:5" x14ac:dyDescent="0.25">
      <c r="B33" s="68" t="s">
        <v>98</v>
      </c>
      <c r="C33" s="68"/>
      <c r="D33" s="68"/>
      <c r="E33" s="69">
        <v>-3191429.3816438825</v>
      </c>
    </row>
    <row r="34" spans="2:5" x14ac:dyDescent="0.25">
      <c r="B34" s="68"/>
      <c r="C34" s="68"/>
      <c r="D34" s="68"/>
      <c r="E34" s="69"/>
    </row>
    <row r="35" spans="2:5" x14ac:dyDescent="0.25">
      <c r="B35" s="18" t="s">
        <v>42</v>
      </c>
      <c r="D35" s="154" t="s">
        <v>137</v>
      </c>
      <c r="E35" s="150">
        <v>0.95385299999999995</v>
      </c>
    </row>
    <row r="36" spans="2:5" ht="15.75" thickBot="1" x14ac:dyDescent="0.3"/>
    <row r="37" spans="2:5" ht="15.75" thickBot="1" x14ac:dyDescent="0.3">
      <c r="B37" s="65" t="s">
        <v>43</v>
      </c>
      <c r="C37" s="66"/>
      <c r="D37" s="66"/>
      <c r="E37" s="67">
        <v>-3345829.3695610147</v>
      </c>
    </row>
    <row r="38" spans="2:5" x14ac:dyDescent="0.25">
      <c r="B38" s="140"/>
    </row>
    <row r="39" spans="2:5" x14ac:dyDescent="0.25">
      <c r="C39" s="53"/>
    </row>
    <row r="40" spans="2:5" x14ac:dyDescent="0.25">
      <c r="C40" s="136"/>
    </row>
    <row r="41" spans="2:5" x14ac:dyDescent="0.25">
      <c r="C41" s="136"/>
    </row>
    <row r="46" spans="2:5" x14ac:dyDescent="0.25">
      <c r="B46" s="18" t="s">
        <v>131</v>
      </c>
    </row>
  </sheetData>
  <mergeCells count="1">
    <mergeCell ref="B6:Q19"/>
  </mergeCells>
  <pageMargins left="0.7" right="0.7" top="0.75" bottom="0.75" header="0.3" footer="0.3"/>
  <pageSetup scale="63" orientation="landscape" r:id="rId1"/>
  <headerFooter>
    <oddHeader>&amp;CRedacted</oddHeader>
    <oddFooter>&amp;L&amp;F&amp;RPage: &amp;P of &amp;N</oddFooter>
  </headerFooter>
  <customProperties>
    <customPr name="xxe4aP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3:I46"/>
  <sheetViews>
    <sheetView workbookViewId="0">
      <selection activeCell="B6" sqref="B6:I10"/>
    </sheetView>
  </sheetViews>
  <sheetFormatPr defaultRowHeight="15" x14ac:dyDescent="0.25"/>
  <cols>
    <col min="1" max="1" width="9.140625" style="18"/>
    <col min="2" max="2" width="20.7109375" style="18" customWidth="1"/>
    <col min="3" max="4" width="10.28515625" style="18" customWidth="1"/>
    <col min="5" max="5" width="14" style="18" bestFit="1" customWidth="1"/>
    <col min="6" max="9" width="11.140625" style="18" bestFit="1" customWidth="1"/>
    <col min="10" max="16384" width="9.140625" style="18"/>
  </cols>
  <sheetData>
    <row r="3" spans="2:9" x14ac:dyDescent="0.25">
      <c r="C3" s="57"/>
      <c r="D3" s="57"/>
      <c r="E3" s="57">
        <f>SUM(F3:I3)</f>
        <v>2927</v>
      </c>
      <c r="F3" s="57">
        <v>743</v>
      </c>
      <c r="G3" s="57">
        <v>720</v>
      </c>
      <c r="H3" s="57">
        <v>744</v>
      </c>
      <c r="I3" s="57">
        <v>720</v>
      </c>
    </row>
    <row r="4" spans="2:9" x14ac:dyDescent="0.25">
      <c r="C4" s="58" t="s">
        <v>1</v>
      </c>
      <c r="D4" s="58" t="s">
        <v>2</v>
      </c>
      <c r="E4" s="58" t="s">
        <v>0</v>
      </c>
      <c r="F4" s="59">
        <v>42795</v>
      </c>
      <c r="G4" s="59">
        <v>42826</v>
      </c>
      <c r="H4" s="59">
        <v>42856</v>
      </c>
      <c r="I4" s="59">
        <v>42887</v>
      </c>
    </row>
    <row r="6" spans="2:9" x14ac:dyDescent="0.25">
      <c r="B6" s="159" t="s">
        <v>139</v>
      </c>
      <c r="C6" s="158"/>
      <c r="D6" s="158"/>
      <c r="E6" s="158"/>
      <c r="F6" s="158"/>
      <c r="G6" s="158"/>
      <c r="H6" s="158"/>
      <c r="I6" s="158"/>
    </row>
    <row r="7" spans="2:9" x14ac:dyDescent="0.25">
      <c r="B7" s="158"/>
      <c r="C7" s="158"/>
      <c r="D7" s="158"/>
      <c r="E7" s="158"/>
      <c r="F7" s="158"/>
      <c r="G7" s="158"/>
      <c r="H7" s="158"/>
      <c r="I7" s="158"/>
    </row>
    <row r="8" spans="2:9" x14ac:dyDescent="0.25">
      <c r="B8" s="158"/>
      <c r="C8" s="158"/>
      <c r="D8" s="158"/>
      <c r="E8" s="158"/>
      <c r="F8" s="158"/>
      <c r="G8" s="158"/>
      <c r="H8" s="158"/>
      <c r="I8" s="158"/>
    </row>
    <row r="9" spans="2:9" x14ac:dyDescent="0.25">
      <c r="B9" s="158"/>
      <c r="C9" s="158"/>
      <c r="D9" s="158"/>
      <c r="E9" s="158"/>
      <c r="F9" s="158"/>
      <c r="G9" s="158"/>
      <c r="H9" s="158"/>
      <c r="I9" s="158"/>
    </row>
    <row r="10" spans="2:9" x14ac:dyDescent="0.25">
      <c r="B10" s="158"/>
      <c r="C10" s="158"/>
      <c r="D10" s="158"/>
      <c r="E10" s="158"/>
      <c r="F10" s="158"/>
      <c r="G10" s="158"/>
      <c r="H10" s="158"/>
      <c r="I10" s="158"/>
    </row>
    <row r="11" spans="2:9" ht="15.75" thickBot="1" x14ac:dyDescent="0.3">
      <c r="E11" s="64"/>
    </row>
    <row r="12" spans="2:9" ht="15.75" thickBot="1" x14ac:dyDescent="0.3">
      <c r="B12" s="65" t="s">
        <v>66</v>
      </c>
      <c r="C12" s="66"/>
      <c r="D12" s="66"/>
      <c r="E12" s="67">
        <v>1442460</v>
      </c>
    </row>
    <row r="13" spans="2:9" x14ac:dyDescent="0.25">
      <c r="B13" s="68"/>
      <c r="C13" s="68"/>
      <c r="D13" s="68"/>
      <c r="E13" s="69"/>
    </row>
    <row r="14" spans="2:9" x14ac:dyDescent="0.25">
      <c r="B14" s="68" t="s">
        <v>67</v>
      </c>
      <c r="C14" s="153"/>
      <c r="D14" s="68"/>
      <c r="E14" s="70">
        <v>0.65629999999999999</v>
      </c>
      <c r="F14" s="63">
        <v>234062.83199999999</v>
      </c>
      <c r="G14" s="63">
        <v>226817.28</v>
      </c>
      <c r="H14" s="63">
        <v>258989.106</v>
      </c>
      <c r="I14" s="63">
        <v>226817.28</v>
      </c>
    </row>
    <row r="15" spans="2:9" x14ac:dyDescent="0.25">
      <c r="B15" s="68"/>
      <c r="C15" s="68"/>
      <c r="D15" s="68"/>
      <c r="E15" s="70"/>
    </row>
    <row r="16" spans="2:9" x14ac:dyDescent="0.25">
      <c r="B16" s="68" t="s">
        <v>68</v>
      </c>
      <c r="C16" s="68"/>
      <c r="D16" s="68"/>
      <c r="E16" s="69">
        <v>946686.49800000002</v>
      </c>
    </row>
    <row r="17" spans="2:7" x14ac:dyDescent="0.25">
      <c r="B17" s="68"/>
      <c r="C17" s="68"/>
      <c r="D17" s="68"/>
      <c r="E17" s="69"/>
    </row>
    <row r="18" spans="2:7" x14ac:dyDescent="0.25">
      <c r="B18" s="18" t="s">
        <v>42</v>
      </c>
      <c r="C18" s="153"/>
      <c r="E18" s="155">
        <v>0.95363742351088143</v>
      </c>
    </row>
    <row r="19" spans="2:7" ht="15.75" thickBot="1" x14ac:dyDescent="0.3"/>
    <row r="20" spans="2:7" ht="15.75" thickBot="1" x14ac:dyDescent="0.3">
      <c r="B20" s="65" t="s">
        <v>43</v>
      </c>
      <c r="C20" s="66"/>
      <c r="D20" s="66"/>
      <c r="E20" s="67">
        <v>992711.14436208771</v>
      </c>
    </row>
    <row r="22" spans="2:7" x14ac:dyDescent="0.25">
      <c r="E22" s="53"/>
    </row>
    <row r="30" spans="2:7" x14ac:dyDescent="0.25">
      <c r="G30" s="143"/>
    </row>
    <row r="38" spans="2:3" x14ac:dyDescent="0.25">
      <c r="B38" s="140"/>
    </row>
    <row r="39" spans="2:3" x14ac:dyDescent="0.25">
      <c r="C39" s="53"/>
    </row>
    <row r="40" spans="2:3" x14ac:dyDescent="0.25">
      <c r="C40" s="136"/>
    </row>
    <row r="41" spans="2:3" x14ac:dyDescent="0.25">
      <c r="C41" s="136"/>
    </row>
    <row r="46" spans="2:3" x14ac:dyDescent="0.25">
      <c r="B46" s="18" t="s">
        <v>131</v>
      </c>
    </row>
  </sheetData>
  <mergeCells count="1">
    <mergeCell ref="B6:I10"/>
  </mergeCells>
  <pageMargins left="0.7" right="0.7" top="0.75" bottom="0.75" header="0.3" footer="0.3"/>
  <pageSetup scale="74" orientation="landscape" r:id="rId1"/>
  <headerFooter>
    <oddHeader>&amp;CRedacted</oddHeader>
    <oddFooter>&amp;L&amp;F&amp;RPage: &amp;P of &amp;N</oddFooter>
  </headerFooter>
  <customProperties>
    <customPr name="xxe4aPID" r:id="rId2"/>
  </customPropertie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zoomScaleNormal="100" workbookViewId="0">
      <selection activeCell="B29" sqref="B29:B30"/>
    </sheetView>
  </sheetViews>
  <sheetFormatPr defaultRowHeight="12.75" x14ac:dyDescent="0.2"/>
  <cols>
    <col min="1" max="1" width="41.85546875" bestFit="1" customWidth="1"/>
    <col min="2" max="2" width="13.42578125" bestFit="1" customWidth="1"/>
    <col min="3" max="3" width="13.85546875" customWidth="1"/>
    <col min="4" max="11" width="10.5703125" customWidth="1"/>
    <col min="12" max="12" width="10.42578125" bestFit="1" customWidth="1"/>
    <col min="13" max="17" width="10.5703125" customWidth="1"/>
    <col min="18" max="18" width="10.7109375" bestFit="1" customWidth="1"/>
    <col min="19" max="20" width="12.28515625" customWidth="1"/>
    <col min="21" max="21" width="11.85546875" bestFit="1" customWidth="1"/>
  </cols>
  <sheetData>
    <row r="1" spans="1:21" x14ac:dyDescent="0.2">
      <c r="A1" s="2"/>
      <c r="B1" s="2">
        <v>2016</v>
      </c>
      <c r="C1" s="2">
        <v>2017</v>
      </c>
      <c r="D1" s="2"/>
      <c r="E1" s="2"/>
      <c r="F1" s="2"/>
      <c r="G1" s="2"/>
      <c r="H1" s="2"/>
      <c r="I1" s="14" t="s">
        <v>106</v>
      </c>
      <c r="J1" s="2"/>
      <c r="K1" s="2"/>
      <c r="L1" s="2"/>
      <c r="M1" s="2"/>
      <c r="N1" s="2"/>
      <c r="O1" s="2" t="s">
        <v>106</v>
      </c>
      <c r="P1" s="2"/>
      <c r="Q1" s="2"/>
      <c r="R1" s="2"/>
      <c r="S1" s="3"/>
    </row>
    <row r="2" spans="1:21" x14ac:dyDescent="0.2">
      <c r="A2" s="4"/>
      <c r="B2" s="4" t="s">
        <v>78</v>
      </c>
      <c r="C2" s="4" t="s">
        <v>79</v>
      </c>
      <c r="D2" s="4" t="s">
        <v>80</v>
      </c>
      <c r="E2" s="4" t="s">
        <v>69</v>
      </c>
      <c r="F2" s="4" t="s">
        <v>70</v>
      </c>
      <c r="G2" s="4" t="s">
        <v>71</v>
      </c>
      <c r="H2" s="4" t="s">
        <v>72</v>
      </c>
      <c r="I2" s="4" t="s">
        <v>73</v>
      </c>
      <c r="J2" s="4" t="s">
        <v>74</v>
      </c>
      <c r="K2" s="4" t="s">
        <v>75</v>
      </c>
      <c r="L2" s="4" t="s">
        <v>76</v>
      </c>
      <c r="M2" s="4" t="s">
        <v>77</v>
      </c>
      <c r="N2" s="4" t="s">
        <v>78</v>
      </c>
      <c r="O2" s="4" t="s">
        <v>79</v>
      </c>
      <c r="P2" s="4" t="s">
        <v>80</v>
      </c>
      <c r="Q2" s="4" t="s">
        <v>69</v>
      </c>
      <c r="R2" s="4" t="s">
        <v>70</v>
      </c>
      <c r="S2" s="4" t="s">
        <v>71</v>
      </c>
      <c r="T2" s="4" t="s">
        <v>72</v>
      </c>
      <c r="U2" s="5"/>
    </row>
    <row r="3" spans="1:21" x14ac:dyDescent="0.2">
      <c r="A3" s="2" t="s">
        <v>104</v>
      </c>
      <c r="B3" s="7">
        <v>0</v>
      </c>
      <c r="C3" s="16">
        <v>-213308</v>
      </c>
      <c r="D3" s="16">
        <v>-185533</v>
      </c>
      <c r="E3" s="16">
        <f>'Forecasted Revenue'!D39</f>
        <v>-164872.4706933308</v>
      </c>
      <c r="F3" s="16">
        <f>'Forecasted Revenue'!E39</f>
        <v>-147550.30897744905</v>
      </c>
      <c r="G3" s="16">
        <f>'Forecasted Revenue'!F39</f>
        <v>-144885.66775740351</v>
      </c>
      <c r="H3" s="16">
        <f>'Forecasted Revenue'!G39</f>
        <v>-146787.42152277834</v>
      </c>
      <c r="I3" s="16">
        <f>'Forecasted Revenue'!H39</f>
        <v>-272068.10861991521</v>
      </c>
      <c r="J3" s="16">
        <f>'Forecasted Revenue'!I39</f>
        <v>-268872.1332644627</v>
      </c>
      <c r="K3" s="16">
        <f>'Forecasted Revenue'!J39</f>
        <v>-235196.03288219895</v>
      </c>
      <c r="L3" s="16">
        <f>'Forecasted Revenue'!K39</f>
        <v>-251704.82627403832</v>
      </c>
      <c r="M3" s="16">
        <f>'Forecasted Revenue'!L39</f>
        <v>-275671.07566003152</v>
      </c>
      <c r="N3" s="16">
        <f>'Forecasted Revenue'!M39</f>
        <v>-317265.7101645309</v>
      </c>
      <c r="O3" s="16">
        <f>'Forecasted Revenue'!N39</f>
        <v>-313425.84498782019</v>
      </c>
      <c r="P3" s="16">
        <f>'Forecasted Revenue'!O39</f>
        <v>-267641.35563041177</v>
      </c>
      <c r="Q3" s="16">
        <f>'Forecasted Revenue'!P39</f>
        <v>-269582.10343721503</v>
      </c>
      <c r="R3" s="16">
        <f>'Forecasted Revenue'!Q39</f>
        <v>-239911.27669045175</v>
      </c>
      <c r="S3" s="16">
        <f>'Forecasted Revenue'!R39</f>
        <v>-238521.5400737426</v>
      </c>
      <c r="T3" s="16">
        <f>'Forecasted Revenue'!S39</f>
        <v>-241569.37395906364</v>
      </c>
      <c r="U3" s="5"/>
    </row>
    <row r="4" spans="1:21" x14ac:dyDescent="0.2">
      <c r="A4" s="2" t="s">
        <v>92</v>
      </c>
      <c r="B4" s="7">
        <v>0</v>
      </c>
      <c r="C4" s="16">
        <v>635042</v>
      </c>
      <c r="D4" s="16">
        <v>1889</v>
      </c>
      <c r="E4" s="16">
        <f>SUM('3-2017 thru 6-2017 RECs'!F6:F10)*'3-2017 thru 6-2017 RECs'!$E$14</f>
        <v>0</v>
      </c>
      <c r="F4" s="16">
        <f>SUM('3-2017 thru 6-2017 RECs'!G6:G10)*'3-2017 thru 6-2017 RECs'!$E$14</f>
        <v>0</v>
      </c>
      <c r="G4" s="16">
        <f>SUM('3-2017 thru 6-2017 RECs'!H6:H10)*'3-2017 thru 6-2017 RECs'!$E$14</f>
        <v>0</v>
      </c>
      <c r="H4" s="16">
        <f>SUM('3-2017 thru 6-2017 RECs'!I6:I10)*'3-2017 thru 6-2017 RECs'!$E$14</f>
        <v>0</v>
      </c>
      <c r="I4" s="17">
        <f>SUM('7-2017 thru 6-2018 RECs'!F6:F19)*'7-2017 thru 6-2018 RECs'!$E$23</f>
        <v>0</v>
      </c>
      <c r="J4" s="17">
        <f>SUM('7-2017 thru 6-2018 RECs'!G6:G19)*'7-2017 thru 6-2018 RECs'!$E$23</f>
        <v>0</v>
      </c>
      <c r="K4" s="17">
        <f>SUM('7-2017 thru 6-2018 RECs'!H6:H19)*'7-2017 thru 6-2018 RECs'!$E$23</f>
        <v>0</v>
      </c>
      <c r="L4" s="17">
        <f>SUM('7-2017 thru 6-2018 RECs'!I6:I19)*'7-2017 thru 6-2018 RECs'!$E$23</f>
        <v>0</v>
      </c>
      <c r="M4" s="17">
        <f>SUM('7-2017 thru 6-2018 RECs'!J6:J19)*'7-2017 thru 6-2018 RECs'!$E$23</f>
        <v>0</v>
      </c>
      <c r="N4" s="17">
        <f>SUM('7-2017 thru 6-2018 RECs'!K6:K19)*'7-2017 thru 6-2018 RECs'!$E$23</f>
        <v>0</v>
      </c>
      <c r="O4" s="17">
        <f>SUM('7-2017 thru 6-2018 RECs'!L6:L19)*'7-2017 thru 6-2018 RECs'!$E$23</f>
        <v>0</v>
      </c>
      <c r="P4" s="17">
        <f>SUM('7-2017 thru 6-2018 RECs'!M6:M19)*'7-2017 thru 6-2018 RECs'!$E$23</f>
        <v>0</v>
      </c>
      <c r="Q4" s="17">
        <f>SUM('7-2017 thru 6-2018 RECs'!N6:N19)*'7-2017 thru 6-2018 RECs'!$E$23</f>
        <v>0</v>
      </c>
      <c r="R4" s="17">
        <f>SUM('7-2017 thru 6-2018 RECs'!O6:O19)*'7-2017 thru 6-2018 RECs'!$E$23</f>
        <v>0</v>
      </c>
      <c r="S4" s="17">
        <f>SUM('7-2017 thru 6-2018 RECs'!P6:P19)*'7-2017 thru 6-2018 RECs'!$E$23</f>
        <v>0</v>
      </c>
      <c r="T4" s="17">
        <f>SUM('7-2017 thru 6-2018 RECs'!Q6:Q19)*'7-2017 thru 6-2018 RECs'!$E$23</f>
        <v>0</v>
      </c>
      <c r="U4" s="5"/>
    </row>
    <row r="5" spans="1:21" x14ac:dyDescent="0.2">
      <c r="A5" s="2" t="s">
        <v>81</v>
      </c>
      <c r="B5" s="12">
        <v>0</v>
      </c>
      <c r="C5" s="12">
        <f>C3+C4</f>
        <v>421734</v>
      </c>
      <c r="D5" s="12">
        <f>D3+D4</f>
        <v>-183644</v>
      </c>
      <c r="E5" s="12">
        <f t="shared" ref="E5:T5" si="0">E3+E4</f>
        <v>-164872.4706933308</v>
      </c>
      <c r="F5" s="12">
        <f t="shared" si="0"/>
        <v>-147550.30897744905</v>
      </c>
      <c r="G5" s="12">
        <f t="shared" si="0"/>
        <v>-144885.66775740351</v>
      </c>
      <c r="H5" s="12">
        <f>H3+H4</f>
        <v>-146787.42152277834</v>
      </c>
      <c r="I5" s="12">
        <f>I3+I4</f>
        <v>-272068.10861991521</v>
      </c>
      <c r="J5" s="12">
        <f t="shared" si="0"/>
        <v>-268872.1332644627</v>
      </c>
      <c r="K5" s="12">
        <f t="shared" si="0"/>
        <v>-235196.03288219895</v>
      </c>
      <c r="L5" s="12">
        <f t="shared" si="0"/>
        <v>-251704.82627403832</v>
      </c>
      <c r="M5" s="12">
        <f t="shared" si="0"/>
        <v>-275671.07566003152</v>
      </c>
      <c r="N5" s="12">
        <f t="shared" si="0"/>
        <v>-317265.7101645309</v>
      </c>
      <c r="O5" s="12">
        <f t="shared" si="0"/>
        <v>-313425.84498782019</v>
      </c>
      <c r="P5" s="12">
        <f t="shared" si="0"/>
        <v>-267641.35563041177</v>
      </c>
      <c r="Q5" s="12">
        <f t="shared" si="0"/>
        <v>-269582.10343721503</v>
      </c>
      <c r="R5" s="12">
        <f t="shared" si="0"/>
        <v>-239911.27669045175</v>
      </c>
      <c r="S5" s="12">
        <f t="shared" si="0"/>
        <v>-238521.5400737426</v>
      </c>
      <c r="T5" s="15">
        <f t="shared" si="0"/>
        <v>-241569.37395906364</v>
      </c>
      <c r="U5" s="5"/>
    </row>
    <row r="6" spans="1:21" x14ac:dyDescent="0.2">
      <c r="A6" s="2" t="s">
        <v>105</v>
      </c>
      <c r="B6" s="7">
        <v>0</v>
      </c>
      <c r="C6" s="7">
        <f>B8+C5</f>
        <v>-50141</v>
      </c>
      <c r="D6" s="7">
        <f>C6+D5</f>
        <v>-233785</v>
      </c>
      <c r="E6" s="7">
        <f>D6+E5</f>
        <v>-398657.4706933308</v>
      </c>
      <c r="F6" s="7">
        <f>E6+F5</f>
        <v>-546207.77967077983</v>
      </c>
      <c r="G6" s="7">
        <f>F6+G5</f>
        <v>-691093.4474281834</v>
      </c>
      <c r="H6" s="7">
        <f>G6+H5</f>
        <v>-837880.86895096174</v>
      </c>
      <c r="I6" s="7">
        <f>H8+I5</f>
        <v>-1123573.7631666271</v>
      </c>
      <c r="J6" s="7">
        <f>I6+J5</f>
        <v>-1392445.8964310898</v>
      </c>
      <c r="K6" s="7">
        <f>J6+K5</f>
        <v>-1627641.9293132888</v>
      </c>
      <c r="L6" s="7">
        <f>K6+L5</f>
        <v>-1879346.7555873271</v>
      </c>
      <c r="M6" s="7">
        <f>L6+M5</f>
        <v>-2155017.8312473586</v>
      </c>
      <c r="N6" s="7">
        <f>M6+N5</f>
        <v>-2472283.5414118897</v>
      </c>
      <c r="O6" s="7">
        <f>N8+O5</f>
        <v>-2837778.9671606715</v>
      </c>
      <c r="P6" s="7">
        <f>O6+P5</f>
        <v>-3105420.3227910833</v>
      </c>
      <c r="Q6" s="7">
        <f>P6+Q5</f>
        <v>-3375002.4262282983</v>
      </c>
      <c r="R6" s="7">
        <f>Q6+R5</f>
        <v>-3614913.7029187502</v>
      </c>
      <c r="S6" s="7">
        <f>R6+S5</f>
        <v>-3853435.2429924929</v>
      </c>
      <c r="T6" s="7">
        <f>S6+T5</f>
        <v>-4095004.6169515564</v>
      </c>
      <c r="U6" s="5"/>
    </row>
    <row r="7" spans="1:21" x14ac:dyDescent="0.2">
      <c r="A7" s="2" t="s">
        <v>95</v>
      </c>
      <c r="B7" s="13">
        <v>0</v>
      </c>
      <c r="C7" s="12">
        <f>(B8+(0.5*C5))*$C$24</f>
        <v>-1381.1673333333333</v>
      </c>
      <c r="D7" s="12">
        <f>(C6+(0.5*D5))*$C$24</f>
        <v>-751.22087499999998</v>
      </c>
      <c r="E7" s="12">
        <f>(D6+(0.5*E5))*$C$24</f>
        <v>-1673.3373703761042</v>
      </c>
      <c r="F7" s="12">
        <f>(E6+(0.5*F5))*$C$24</f>
        <v>-2499.9559749217096</v>
      </c>
      <c r="G7" s="12">
        <f>(F6+(0.5*G5))*$C$24</f>
        <v>-3273.6928300326736</v>
      </c>
      <c r="H7" s="12">
        <f>(G6+(0.5*H5))*$C$24</f>
        <v>-4045.4112120864884</v>
      </c>
      <c r="I7" s="12">
        <f>(H8+(0.5*I5))*$C$24</f>
        <v>-5225.7309593665432</v>
      </c>
      <c r="J7" s="12">
        <f>(I6+(0.5*J5))*$C$24</f>
        <v>-6656.9686826856268</v>
      </c>
      <c r="K7" s="12">
        <f>(J6+(0.5*K5))*$C$24</f>
        <v>-7990.6490389486689</v>
      </c>
      <c r="L7" s="12">
        <f>(K6+(0.5*L5))*$C$24</f>
        <v>-9278.9075621328793</v>
      </c>
      <c r="M7" s="12">
        <f>(L6+(0.5*M5))*$C$24</f>
        <v>-10674.256302666774</v>
      </c>
      <c r="N7" s="12">
        <f>(M6+(0.5*N5))*$C$24</f>
        <v>-12243.068215160927</v>
      </c>
      <c r="O7" s="12">
        <f>(N8+(0.5*O5))*$C$24</f>
        <v>-14187.307819694945</v>
      </c>
      <c r="P7" s="12">
        <f>(O6+(0.5*P5))*$C$24</f>
        <v>-15724.714787997351</v>
      </c>
      <c r="Q7" s="12">
        <f>(P6+(0.5*Q5))*$C$24</f>
        <v>-17146.118523447112</v>
      </c>
      <c r="R7" s="12">
        <f>(Q6+(0.5*R5))*$C$24</f>
        <v>-18494.153091701566</v>
      </c>
      <c r="S7" s="12">
        <f>(R6+(0.5*S5))*$C$24</f>
        <v>-19760.006586056828</v>
      </c>
      <c r="T7" s="12">
        <f>(S6+(0.5*T5))*$C$24</f>
        <v>-21030.247129435298</v>
      </c>
      <c r="U7" s="146"/>
    </row>
    <row r="8" spans="1:21" x14ac:dyDescent="0.2">
      <c r="A8" s="2" t="s">
        <v>107</v>
      </c>
      <c r="B8" s="7">
        <v>-471875</v>
      </c>
      <c r="C8" s="7">
        <f>C6+C7</f>
        <v>-51522.167333333331</v>
      </c>
      <c r="D8" s="7">
        <f>D6+D7+C7</f>
        <v>-235917.38820833334</v>
      </c>
      <c r="E8" s="7">
        <f>E6+E7+D7+C7</f>
        <v>-402463.19627204025</v>
      </c>
      <c r="F8" s="7">
        <f>F6+F7+E7+D7+C7</f>
        <v>-552513.46122441092</v>
      </c>
      <c r="G8" s="7">
        <f>G6+G7+F7+E7+D7+C7</f>
        <v>-700672.82181184716</v>
      </c>
      <c r="H8" s="7">
        <f>H6+H7+G7+F7+E7+D7+C7</f>
        <v>-851505.65454671194</v>
      </c>
      <c r="I8" s="7">
        <f>I6+I7</f>
        <v>-1128799.4941259937</v>
      </c>
      <c r="J8" s="7">
        <f>J6+J7+I7</f>
        <v>-1404328.596073142</v>
      </c>
      <c r="K8" s="7">
        <f>K6+K7+J7+I7</f>
        <v>-1647515.2779942895</v>
      </c>
      <c r="L8" s="7">
        <f>L6+L7+K7+J7+I7</f>
        <v>-1908499.0118304607</v>
      </c>
      <c r="M8" s="7">
        <f>M6+M7+L7+K7+J7+I7</f>
        <v>-2194844.3437931589</v>
      </c>
      <c r="N8" s="7">
        <f>N6+N7+M7+L7+K7+J7+I7</f>
        <v>-2524353.1221728511</v>
      </c>
      <c r="O8" s="7">
        <f>O6+O7</f>
        <v>-2851966.2749803662</v>
      </c>
      <c r="P8" s="7">
        <f>P6+P7+O7</f>
        <v>-3135332.3453987753</v>
      </c>
      <c r="Q8" s="7">
        <f>Q6+Q7+P7+O7</f>
        <v>-3422060.5673594377</v>
      </c>
      <c r="R8" s="7">
        <f>R6+R7+Q7+P7+O7</f>
        <v>-3680465.9971415913</v>
      </c>
      <c r="S8" s="7">
        <f>S6+S7+R7+Q7+P7+O7</f>
        <v>-3938747.5438013906</v>
      </c>
      <c r="T8" s="7">
        <f>T6+T7+S7+R7+Q7+P7+O7</f>
        <v>-4201347.1648898898</v>
      </c>
      <c r="U8" s="3" t="s">
        <v>99</v>
      </c>
    </row>
    <row r="9" spans="1:21" x14ac:dyDescent="0.2">
      <c r="B9" s="1"/>
      <c r="C9" s="6"/>
      <c r="D9" s="6"/>
      <c r="E9" s="8"/>
      <c r="F9" s="8"/>
      <c r="G9" s="8"/>
      <c r="H9" s="6"/>
      <c r="I9" s="6"/>
      <c r="J9" s="6"/>
      <c r="K9" s="6"/>
      <c r="L9" s="6"/>
      <c r="M9" s="6"/>
      <c r="N9" s="6"/>
      <c r="O9" s="6"/>
      <c r="P9" s="6"/>
      <c r="Q9" s="8"/>
      <c r="R9" s="3"/>
      <c r="S9" s="3"/>
    </row>
    <row r="10" spans="1:21" x14ac:dyDescent="0.2">
      <c r="B10" s="1"/>
      <c r="C10" s="1"/>
      <c r="D10" s="1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1" x14ac:dyDescent="0.2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 t="s">
        <v>132</v>
      </c>
    </row>
    <row r="12" spans="1:21" x14ac:dyDescent="0.2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21" x14ac:dyDescent="0.2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1" x14ac:dyDescent="0.2">
      <c r="A14" s="9"/>
      <c r="B14" s="6"/>
      <c r="C14" s="2"/>
      <c r="D14" s="2"/>
      <c r="E14" s="2"/>
      <c r="F14" s="2"/>
      <c r="G14" s="2"/>
      <c r="H14" s="2"/>
      <c r="I14" s="2"/>
      <c r="J14" s="2"/>
      <c r="K14" s="2"/>
      <c r="L14" s="10"/>
      <c r="M14" s="10"/>
      <c r="N14" s="10"/>
      <c r="O14" s="10"/>
      <c r="P14" s="10"/>
      <c r="Q14" s="2"/>
    </row>
    <row r="15" spans="1:21" x14ac:dyDescent="0.2">
      <c r="A15" s="9"/>
      <c r="B15" s="7"/>
      <c r="C15" s="2"/>
      <c r="D15" s="2"/>
      <c r="E15" s="2"/>
      <c r="F15" s="2"/>
      <c r="G15" s="2"/>
      <c r="H15" s="2"/>
      <c r="I15" s="2"/>
      <c r="J15" s="2"/>
      <c r="K15" s="2"/>
      <c r="L15" s="2"/>
      <c r="M15" s="10"/>
      <c r="N15" s="2"/>
      <c r="O15" s="2"/>
      <c r="P15" s="2"/>
      <c r="Q15" s="2"/>
    </row>
    <row r="16" spans="1:21" x14ac:dyDescent="0.2">
      <c r="A16" s="90" t="s">
        <v>121</v>
      </c>
      <c r="B16" s="91">
        <f>H8</f>
        <v>-851505.65454671194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6" x14ac:dyDescent="0.2">
      <c r="A17" s="92" t="s">
        <v>122</v>
      </c>
      <c r="B17" s="93">
        <f>SUM(I4:T4)</f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">
      <c r="A18" s="92" t="s">
        <v>123</v>
      </c>
      <c r="B18" s="93">
        <f>SUM(I3:T3)</f>
        <v>-3191429.3816438825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2">
      <c r="A19" s="92" t="s">
        <v>82</v>
      </c>
      <c r="B19" s="94">
        <f>SUM(I7:T7)</f>
        <v>-158412.12869929452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x14ac:dyDescent="0.2">
      <c r="A20" s="90" t="s">
        <v>100</v>
      </c>
      <c r="B20" s="95">
        <f>B16+B17+B19+B18</f>
        <v>-4201347.1648898888</v>
      </c>
      <c r="C20" s="1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2">
      <c r="A21" s="96"/>
      <c r="B21" s="9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3.5" thickBot="1" x14ac:dyDescent="0.25">
      <c r="A22" s="96"/>
      <c r="B22" s="96"/>
      <c r="C22" s="96"/>
      <c r="D22" s="96"/>
    </row>
    <row r="23" spans="1:16" x14ac:dyDescent="0.2">
      <c r="A23" s="148" t="s">
        <v>93</v>
      </c>
      <c r="B23" s="152" t="s">
        <v>138</v>
      </c>
      <c r="C23" s="98">
        <v>6.3500000000000001E-2</v>
      </c>
      <c r="D23" s="99" t="s">
        <v>114</v>
      </c>
    </row>
    <row r="24" spans="1:16" ht="13.5" thickBot="1" x14ac:dyDescent="0.25">
      <c r="A24" s="100" t="s">
        <v>94</v>
      </c>
      <c r="B24" s="101"/>
      <c r="C24" s="102">
        <f>C23/12</f>
        <v>5.2916666666666667E-3</v>
      </c>
      <c r="D24" s="103"/>
    </row>
    <row r="30" spans="1:16" ht="15" x14ac:dyDescent="0.25">
      <c r="G30" s="143"/>
    </row>
    <row r="38" spans="2:3" ht="15" x14ac:dyDescent="0.25">
      <c r="B38" s="140"/>
    </row>
    <row r="39" spans="2:3" x14ac:dyDescent="0.2">
      <c r="C39" s="135"/>
    </row>
    <row r="40" spans="2:3" x14ac:dyDescent="0.2">
      <c r="C40" s="139"/>
    </row>
    <row r="41" spans="2:3" x14ac:dyDescent="0.2">
      <c r="C41" s="139"/>
    </row>
    <row r="46" spans="2:3" x14ac:dyDescent="0.2">
      <c r="B46" t="s">
        <v>131</v>
      </c>
    </row>
  </sheetData>
  <pageMargins left="0.7" right="0.7" top="0.75" bottom="0.75" header="0.3" footer="0.3"/>
  <pageSetup scale="49" orientation="landscape" r:id="rId1"/>
  <headerFooter>
    <oddHeader>&amp;CRedacted</oddHeader>
    <oddFooter>&amp;L&amp;F&amp;RPage: &amp;P of &amp;N</oddFooter>
  </headerFooter>
  <customProperties>
    <customPr name="xxe4aPID" r:id="rId2"/>
  </customProperties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topLeftCell="A10" workbookViewId="0">
      <selection activeCell="B29" sqref="B29:B30"/>
    </sheetView>
  </sheetViews>
  <sheetFormatPr defaultRowHeight="15" x14ac:dyDescent="0.25"/>
  <cols>
    <col min="1" max="1" width="8.28515625" style="18" customWidth="1"/>
    <col min="2" max="2" width="29.42578125" style="18" bestFit="1" customWidth="1"/>
    <col min="3" max="3" width="8.5703125" style="18" bestFit="1" customWidth="1"/>
    <col min="4" max="19" width="12.5703125" style="18" bestFit="1" customWidth="1"/>
    <col min="20" max="20" width="9.140625" style="18"/>
    <col min="21" max="21" width="12.5703125" style="18" bestFit="1" customWidth="1"/>
    <col min="22" max="16384" width="9.140625" style="18"/>
  </cols>
  <sheetData>
    <row r="1" spans="1:19" x14ac:dyDescent="0.25">
      <c r="A1" s="71" t="s">
        <v>117</v>
      </c>
      <c r="B1" s="71"/>
    </row>
    <row r="4" spans="1:19" x14ac:dyDescent="0.25">
      <c r="A4" s="18" t="s">
        <v>83</v>
      </c>
      <c r="D4" s="72">
        <v>42809</v>
      </c>
      <c r="E4" s="72">
        <v>42840</v>
      </c>
      <c r="F4" s="72">
        <v>42870</v>
      </c>
      <c r="G4" s="72">
        <v>42901</v>
      </c>
      <c r="H4" s="72">
        <v>42931</v>
      </c>
      <c r="I4" s="72">
        <v>42962</v>
      </c>
      <c r="J4" s="72">
        <v>42993</v>
      </c>
      <c r="K4" s="72">
        <v>43023</v>
      </c>
      <c r="L4" s="72">
        <v>43054</v>
      </c>
      <c r="M4" s="72">
        <v>43084</v>
      </c>
      <c r="N4" s="72">
        <v>43115</v>
      </c>
      <c r="O4" s="72">
        <v>43146</v>
      </c>
      <c r="P4" s="72">
        <v>43174</v>
      </c>
      <c r="Q4" s="72">
        <v>43205</v>
      </c>
      <c r="R4" s="72">
        <v>43235</v>
      </c>
      <c r="S4" s="72">
        <v>43266</v>
      </c>
    </row>
    <row r="5" spans="1:19" x14ac:dyDescent="0.25">
      <c r="B5" s="18" t="s">
        <v>84</v>
      </c>
      <c r="D5" s="73">
        <f>'kWh Forecast'!B18</f>
        <v>226932955.14778516</v>
      </c>
      <c r="E5" s="73">
        <f>'kWh Forecast'!C18</f>
        <v>183010874.77852428</v>
      </c>
      <c r="F5" s="73">
        <f>'kWh Forecast'!D18</f>
        <v>166648763.97904325</v>
      </c>
      <c r="G5" s="73">
        <f>'kWh Forecast'!E18</f>
        <v>160136978.2981317</v>
      </c>
      <c r="H5" s="73">
        <f>'kWh Forecast'!G18</f>
        <v>190905534.05463499</v>
      </c>
      <c r="I5" s="73">
        <f>'kWh Forecast'!H18</f>
        <v>186920972.42530257</v>
      </c>
      <c r="J5" s="73">
        <f>'kWh Forecast'!I18</f>
        <v>155173559.36544532</v>
      </c>
      <c r="K5" s="73">
        <f>'kWh Forecast'!J18</f>
        <v>182466346.40402952</v>
      </c>
      <c r="L5" s="73">
        <f>'kWh Forecast'!K18</f>
        <v>228224854.06331378</v>
      </c>
      <c r="M5" s="73">
        <f>'kWh Forecast'!L18</f>
        <v>290580501.16812932</v>
      </c>
      <c r="N5" s="73">
        <f>'kWh Forecast'!M18</f>
        <v>286401480.48358274</v>
      </c>
      <c r="O5" s="73">
        <f>'kWh Forecast'!N18</f>
        <v>229644687.55598736</v>
      </c>
      <c r="P5" s="73">
        <f>'kWh Forecast'!O18</f>
        <v>227422118.37583858</v>
      </c>
      <c r="Q5" s="73">
        <f>'kWh Forecast'!P18</f>
        <v>182361197.35917878</v>
      </c>
      <c r="R5" s="73">
        <f>'kWh Forecast'!Q18</f>
        <v>169263488.02176791</v>
      </c>
      <c r="S5" s="73">
        <f>'kWh Forecast'!R18</f>
        <v>161836189.55636132</v>
      </c>
    </row>
    <row r="6" spans="1:19" x14ac:dyDescent="0.25">
      <c r="B6" s="18" t="s">
        <v>85</v>
      </c>
      <c r="D6" s="73">
        <f>'kWh Forecast'!B19</f>
        <v>52852003.225876302</v>
      </c>
      <c r="E6" s="73">
        <f>'kWh Forecast'!C19</f>
        <v>45986275.62640202</v>
      </c>
      <c r="F6" s="73">
        <f>'kWh Forecast'!D19</f>
        <v>45379959.738472529</v>
      </c>
      <c r="G6" s="73">
        <f>'kWh Forecast'!E19</f>
        <v>45942304.591979779</v>
      </c>
      <c r="H6" s="73">
        <f>'kWh Forecast'!G19</f>
        <v>53483946.356660247</v>
      </c>
      <c r="I6" s="73">
        <f>'kWh Forecast'!H19</f>
        <v>51807257.636799514</v>
      </c>
      <c r="J6" s="73">
        <f>'kWh Forecast'!I19</f>
        <v>44337553.141887568</v>
      </c>
      <c r="K6" s="73">
        <f>'kWh Forecast'!J19</f>
        <v>49346436.974914998</v>
      </c>
      <c r="L6" s="73">
        <f>'kWh Forecast'!K19</f>
        <v>52823343.053710811</v>
      </c>
      <c r="M6" s="73">
        <f>'kWh Forecast'!L19</f>
        <v>60816570.891031623</v>
      </c>
      <c r="N6" s="73">
        <f>'kWh Forecast'!M19</f>
        <v>60460992.618289672</v>
      </c>
      <c r="O6" s="73">
        <f>'kWh Forecast'!N19</f>
        <v>50727016.567556284</v>
      </c>
      <c r="P6" s="73">
        <f>'kWh Forecast'!O19</f>
        <v>52766448.93408107</v>
      </c>
      <c r="Q6" s="73">
        <f>'kWh Forecast'!P19</f>
        <v>45585758.951957636</v>
      </c>
      <c r="R6" s="73">
        <f>'kWh Forecast'!Q19</f>
        <v>45824366.703657433</v>
      </c>
      <c r="S6" s="73">
        <f>'kWh Forecast'!R19</f>
        <v>46312593.175017297</v>
      </c>
    </row>
    <row r="7" spans="1:19" x14ac:dyDescent="0.25">
      <c r="B7" s="18" t="s">
        <v>86</v>
      </c>
      <c r="D7" s="73">
        <f>'kWh Forecast'!B20</f>
        <v>115464928.80385552</v>
      </c>
      <c r="E7" s="73">
        <f>'kWh Forecast'!C20</f>
        <v>106253494.94866233</v>
      </c>
      <c r="F7" s="73">
        <f>'kWh Forecast'!D20</f>
        <v>111102810.71053214</v>
      </c>
      <c r="G7" s="73">
        <f>'kWh Forecast'!E20</f>
        <v>114680316.83318067</v>
      </c>
      <c r="H7" s="73">
        <f>'kWh Forecast'!G20</f>
        <v>131234584.44109005</v>
      </c>
      <c r="I7" s="73">
        <f>'kWh Forecast'!H20</f>
        <v>128166445.21038838</v>
      </c>
      <c r="J7" s="73">
        <f>'kWh Forecast'!I20</f>
        <v>111078455.1395566</v>
      </c>
      <c r="K7" s="73">
        <f>'kWh Forecast'!J20</f>
        <v>120500860.1789273</v>
      </c>
      <c r="L7" s="73">
        <f>'kWh Forecast'!K20</f>
        <v>119325358.26550061</v>
      </c>
      <c r="M7" s="73">
        <f>'kWh Forecast'!L20</f>
        <v>128715929.51896919</v>
      </c>
      <c r="N7" s="73">
        <f>'kWh Forecast'!M20</f>
        <v>125366098.30915298</v>
      </c>
      <c r="O7" s="73">
        <f>'kWh Forecast'!N20</f>
        <v>107244995.17833839</v>
      </c>
      <c r="P7" s="73">
        <f>'kWh Forecast'!O20</f>
        <v>115008784.31836359</v>
      </c>
      <c r="Q7" s="73">
        <f>'kWh Forecast'!P20</f>
        <v>104931937.16846541</v>
      </c>
      <c r="R7" s="73">
        <f>'kWh Forecast'!Q20</f>
        <v>111840928.51602139</v>
      </c>
      <c r="S7" s="73">
        <f>'kWh Forecast'!R20</f>
        <v>115405539.86026782</v>
      </c>
    </row>
    <row r="8" spans="1:19" x14ac:dyDescent="0.25">
      <c r="B8" s="18" t="s">
        <v>87</v>
      </c>
      <c r="D8" s="73">
        <f>'kWh Forecast'!B21</f>
        <v>88769264.47603935</v>
      </c>
      <c r="E8" s="73">
        <f>'kWh Forecast'!C21</f>
        <v>94010448.082587257</v>
      </c>
      <c r="F8" s="73">
        <f>'kWh Forecast'!D21</f>
        <v>91191638.414562523</v>
      </c>
      <c r="G8" s="73">
        <f>'kWh Forecast'!E21</f>
        <v>93264118.560468197</v>
      </c>
      <c r="H8" s="73">
        <f>'kWh Forecast'!G21</f>
        <v>91899814.941576734</v>
      </c>
      <c r="I8" s="73">
        <f>'kWh Forecast'!H21</f>
        <v>94378515.697783574</v>
      </c>
      <c r="J8" s="73">
        <f>'kWh Forecast'!I21</f>
        <v>97836450.989881769</v>
      </c>
      <c r="K8" s="73">
        <f>'kWh Forecast'!J21</f>
        <v>93268295.925062925</v>
      </c>
      <c r="L8" s="73">
        <f>'kWh Forecast'!K21</f>
        <v>94902018.142556652</v>
      </c>
      <c r="M8" s="73">
        <f>'kWh Forecast'!L21</f>
        <v>91899768.386997655</v>
      </c>
      <c r="N8" s="73">
        <f>'kWh Forecast'!M21</f>
        <v>92837182.020747602</v>
      </c>
      <c r="O8" s="73">
        <f>'kWh Forecast'!N21</f>
        <v>94529993.527695328</v>
      </c>
      <c r="P8" s="73">
        <f>'kWh Forecast'!O21</f>
        <v>89236487.867209762</v>
      </c>
      <c r="Q8" s="73">
        <f>'kWh Forecast'!P21</f>
        <v>94683024.553652436</v>
      </c>
      <c r="R8" s="73">
        <f>'kWh Forecast'!Q21</f>
        <v>91657181.307559013</v>
      </c>
      <c r="S8" s="73">
        <f>'kWh Forecast'!R21</f>
        <v>95067818.96175155</v>
      </c>
    </row>
    <row r="9" spans="1:19" x14ac:dyDescent="0.25">
      <c r="B9" s="18" t="s">
        <v>88</v>
      </c>
      <c r="D9" s="73">
        <f>'kWh Forecast'!B22</f>
        <v>4555568.665236474</v>
      </c>
      <c r="E9" s="73">
        <f>'kWh Forecast'!C22</f>
        <v>7211140.7478169147</v>
      </c>
      <c r="F9" s="73">
        <f>'kWh Forecast'!D22</f>
        <v>12773433.32256023</v>
      </c>
      <c r="G9" s="73">
        <f>'kWh Forecast'!E22</f>
        <v>17638197.90877958</v>
      </c>
      <c r="H9" s="73">
        <f>'kWh Forecast'!G22</f>
        <v>24023313.528504737</v>
      </c>
      <c r="I9" s="73">
        <f>'kWh Forecast'!H22</f>
        <v>24491186.377026077</v>
      </c>
      <c r="J9" s="73">
        <f>'kWh Forecast'!I22</f>
        <v>16578970.962678134</v>
      </c>
      <c r="K9" s="73">
        <f>'kWh Forecast'!J22</f>
        <v>9889503.8979583848</v>
      </c>
      <c r="L9" s="73">
        <f>'kWh Forecast'!K22</f>
        <v>4780585.7713671355</v>
      </c>
      <c r="M9" s="73">
        <f>'kWh Forecast'!L22</f>
        <v>4327969.0313790683</v>
      </c>
      <c r="N9" s="73">
        <f>'kWh Forecast'!M22</f>
        <v>4343011.0857339157</v>
      </c>
      <c r="O9" s="73">
        <f>'kWh Forecast'!N22</f>
        <v>3730284.3516357807</v>
      </c>
      <c r="P9" s="73">
        <f>'kWh Forecast'!O22</f>
        <v>4612194.1865076991</v>
      </c>
      <c r="Q9" s="73">
        <f>'kWh Forecast'!P22</f>
        <v>7074255.6718968954</v>
      </c>
      <c r="R9" s="73">
        <f>'kWh Forecast'!Q22</f>
        <v>12787692.915044105</v>
      </c>
      <c r="S9" s="73">
        <f>'kWh Forecast'!R22</f>
        <v>17855484.348019376</v>
      </c>
    </row>
    <row r="10" spans="1:19" x14ac:dyDescent="0.25">
      <c r="B10" s="18" t="s">
        <v>89</v>
      </c>
      <c r="D10" s="73">
        <f>'kWh Forecast'!B23</f>
        <v>1932066.9701437959</v>
      </c>
      <c r="E10" s="73">
        <f>'kWh Forecast'!C23</f>
        <v>1936384.6124791126</v>
      </c>
      <c r="F10" s="73">
        <f>'kWh Forecast'!D23</f>
        <v>1932276.6040601493</v>
      </c>
      <c r="G10" s="73">
        <f>'kWh Forecast'!E23</f>
        <v>1928522.7133235182</v>
      </c>
      <c r="H10" s="73">
        <f>'kWh Forecast'!G23</f>
        <v>1925474.2281530034</v>
      </c>
      <c r="I10" s="73">
        <f>'kWh Forecast'!H23</f>
        <v>1923458.9686277949</v>
      </c>
      <c r="J10" s="73">
        <f>'kWh Forecast'!I23</f>
        <v>1921778.410532739</v>
      </c>
      <c r="K10" s="73">
        <f>'kWh Forecast'!J23</f>
        <v>1921027.304836717</v>
      </c>
      <c r="L10" s="73">
        <f>'kWh Forecast'!K23</f>
        <v>1920755.4873709911</v>
      </c>
      <c r="M10" s="73">
        <f>'kWh Forecast'!L23</f>
        <v>1921240.9215215563</v>
      </c>
      <c r="N10" s="73">
        <f>'kWh Forecast'!M23</f>
        <v>1922899.9157449869</v>
      </c>
      <c r="O10" s="73">
        <f>'kWh Forecast'!N23</f>
        <v>1921613.082118284</v>
      </c>
      <c r="P10" s="73">
        <f>'kWh Forecast'!O23</f>
        <v>1920831.851576054</v>
      </c>
      <c r="Q10" s="73">
        <f>'kWh Forecast'!P23</f>
        <v>1919682.9250287421</v>
      </c>
      <c r="R10" s="73">
        <f>'kWh Forecast'!Q23</f>
        <v>1917948.9510745448</v>
      </c>
      <c r="S10" s="73">
        <f>'kWh Forecast'!R23</f>
        <v>1916651.0633257441</v>
      </c>
    </row>
    <row r="11" spans="1:19" x14ac:dyDescent="0.25">
      <c r="A11" s="18" t="s">
        <v>90</v>
      </c>
      <c r="D11" s="74">
        <f>SUM(D5:D10)</f>
        <v>490506787.28893661</v>
      </c>
      <c r="E11" s="74">
        <f>SUM(E5:E10)</f>
        <v>438408618.79647189</v>
      </c>
      <c r="F11" s="74">
        <f>SUM(F5:F10)</f>
        <v>429028882.76923084</v>
      </c>
      <c r="G11" s="74">
        <f t="shared" ref="G11:S11" si="0">SUM(G5:G10)</f>
        <v>433590438.9058634</v>
      </c>
      <c r="H11" s="74">
        <f t="shared" si="0"/>
        <v>493472667.55061972</v>
      </c>
      <c r="I11" s="74">
        <f t="shared" si="0"/>
        <v>487687836.31592792</v>
      </c>
      <c r="J11" s="74">
        <f t="shared" si="0"/>
        <v>426926768.00998211</v>
      </c>
      <c r="K11" s="74">
        <f t="shared" si="0"/>
        <v>457392470.6857298</v>
      </c>
      <c r="L11" s="74">
        <f t="shared" si="0"/>
        <v>501976914.78381997</v>
      </c>
      <c r="M11" s="74">
        <f t="shared" si="0"/>
        <v>578261979.91802847</v>
      </c>
      <c r="N11" s="74">
        <f t="shared" si="0"/>
        <v>571331664.43325186</v>
      </c>
      <c r="O11" s="74">
        <f t="shared" si="0"/>
        <v>487798590.26333135</v>
      </c>
      <c r="P11" s="74">
        <f t="shared" si="0"/>
        <v>490966865.53357679</v>
      </c>
      <c r="Q11" s="74">
        <f t="shared" si="0"/>
        <v>436555856.63017988</v>
      </c>
      <c r="R11" s="74">
        <f t="shared" si="0"/>
        <v>433291606.41512442</v>
      </c>
      <c r="S11" s="74">
        <f t="shared" si="0"/>
        <v>438394276.96474314</v>
      </c>
    </row>
    <row r="12" spans="1:19" x14ac:dyDescent="0.25">
      <c r="D12" s="75"/>
      <c r="E12" s="75"/>
      <c r="F12" s="75"/>
      <c r="G12" s="75"/>
      <c r="H12" s="75">
        <f>H11-'kWh Forecast'!G24</f>
        <v>0</v>
      </c>
      <c r="I12" s="75">
        <f>I11-'kWh Forecast'!H24</f>
        <v>0</v>
      </c>
      <c r="J12" s="75">
        <f>J11-'kWh Forecast'!I24</f>
        <v>0</v>
      </c>
      <c r="K12" s="75">
        <f>K11-'kWh Forecast'!J24</f>
        <v>0</v>
      </c>
      <c r="L12" s="75">
        <f>L11-'kWh Forecast'!K24</f>
        <v>0</v>
      </c>
      <c r="M12" s="75">
        <f>M11-'kWh Forecast'!L24</f>
        <v>0</v>
      </c>
      <c r="N12" s="75">
        <f>N11-'kWh Forecast'!M24</f>
        <v>0</v>
      </c>
      <c r="O12" s="75">
        <f>O11-'kWh Forecast'!N24</f>
        <v>0</v>
      </c>
      <c r="P12" s="75">
        <f>P11-'kWh Forecast'!O24</f>
        <v>0</v>
      </c>
      <c r="Q12" s="75">
        <f>Q11-'kWh Forecast'!P24</f>
        <v>0</v>
      </c>
      <c r="R12" s="75">
        <f>R11-'kWh Forecast'!Q24</f>
        <v>0</v>
      </c>
      <c r="S12" s="75">
        <f>S11-'kWh Forecast'!R24</f>
        <v>0</v>
      </c>
    </row>
    <row r="14" spans="1:19" x14ac:dyDescent="0.25">
      <c r="A14" s="18" t="s">
        <v>103</v>
      </c>
    </row>
    <row r="15" spans="1:19" x14ac:dyDescent="0.25">
      <c r="B15" s="18" t="s">
        <v>84</v>
      </c>
      <c r="D15" s="76">
        <f>'Rate Design'!$D$17</f>
        <v>-3.4815057774331432E-4</v>
      </c>
      <c r="E15" s="76">
        <f>'Rate Design'!$D$17</f>
        <v>-3.4815057774331432E-4</v>
      </c>
      <c r="F15" s="76">
        <f>'Rate Design'!$D$17</f>
        <v>-3.4815057774331432E-4</v>
      </c>
      <c r="G15" s="76">
        <f>'Rate Design'!$D$17</f>
        <v>-3.4815057774331432E-4</v>
      </c>
      <c r="H15" s="76">
        <f>'Rate Design'!$D$16</f>
        <v>-5.685280358010635E-4</v>
      </c>
      <c r="I15" s="76">
        <f>'Rate Design'!$D$16</f>
        <v>-5.685280358010635E-4</v>
      </c>
      <c r="J15" s="76">
        <f>'Rate Design'!$D$16</f>
        <v>-5.685280358010635E-4</v>
      </c>
      <c r="K15" s="76">
        <f>'Rate Design'!$D$16</f>
        <v>-5.685280358010635E-4</v>
      </c>
      <c r="L15" s="76">
        <f>'Rate Design'!$D$16</f>
        <v>-5.685280358010635E-4</v>
      </c>
      <c r="M15" s="76">
        <f>'Rate Design'!$D$16</f>
        <v>-5.685280358010635E-4</v>
      </c>
      <c r="N15" s="76">
        <f>'Rate Design'!$D$16</f>
        <v>-5.685280358010635E-4</v>
      </c>
      <c r="O15" s="76">
        <f>'Rate Design'!$D$16</f>
        <v>-5.685280358010635E-4</v>
      </c>
      <c r="P15" s="76">
        <f>'Rate Design'!$D$16</f>
        <v>-5.685280358010635E-4</v>
      </c>
      <c r="Q15" s="76">
        <f>'Rate Design'!$D$16</f>
        <v>-5.685280358010635E-4</v>
      </c>
      <c r="R15" s="76">
        <f>'Rate Design'!$D$16</f>
        <v>-5.685280358010635E-4</v>
      </c>
      <c r="S15" s="76">
        <f>'Rate Design'!$D$16</f>
        <v>-5.685280358010635E-4</v>
      </c>
    </row>
    <row r="16" spans="1:19" x14ac:dyDescent="0.25">
      <c r="B16" s="18" t="s">
        <v>85</v>
      </c>
      <c r="D16" s="76">
        <f>'Rate Design'!$E$17</f>
        <v>-3.6383443490987764E-4</v>
      </c>
      <c r="E16" s="76">
        <f>'Rate Design'!$E$17</f>
        <v>-3.6383443490987764E-4</v>
      </c>
      <c r="F16" s="76">
        <f>'Rate Design'!$E$17</f>
        <v>-3.6383443490987764E-4</v>
      </c>
      <c r="G16" s="76">
        <f>'Rate Design'!$E$17</f>
        <v>-3.6383443490987764E-4</v>
      </c>
      <c r="H16" s="76">
        <f>'Rate Design'!$E$16</f>
        <v>-5.7037438568182536E-4</v>
      </c>
      <c r="I16" s="76">
        <f>'Rate Design'!$E$16</f>
        <v>-5.7037438568182536E-4</v>
      </c>
      <c r="J16" s="76">
        <f>'Rate Design'!$E$16</f>
        <v>-5.7037438568182536E-4</v>
      </c>
      <c r="K16" s="76">
        <f>'Rate Design'!$E$16</f>
        <v>-5.7037438568182536E-4</v>
      </c>
      <c r="L16" s="76">
        <f>'Rate Design'!$E$16</f>
        <v>-5.7037438568182536E-4</v>
      </c>
      <c r="M16" s="76">
        <f>'Rate Design'!$E$16</f>
        <v>-5.7037438568182536E-4</v>
      </c>
      <c r="N16" s="76">
        <f>'Rate Design'!$E$16</f>
        <v>-5.7037438568182536E-4</v>
      </c>
      <c r="O16" s="76">
        <f>'Rate Design'!$E$16</f>
        <v>-5.7037438568182536E-4</v>
      </c>
      <c r="P16" s="76">
        <f>'Rate Design'!$E$16</f>
        <v>-5.7037438568182536E-4</v>
      </c>
      <c r="Q16" s="76">
        <f>'Rate Design'!$E$16</f>
        <v>-5.7037438568182536E-4</v>
      </c>
      <c r="R16" s="76">
        <f>'Rate Design'!$E$16</f>
        <v>-5.7037438568182536E-4</v>
      </c>
      <c r="S16" s="76">
        <f>'Rate Design'!$E$16</f>
        <v>-5.7037438568182536E-4</v>
      </c>
    </row>
    <row r="17" spans="1:21" x14ac:dyDescent="0.25">
      <c r="B17" s="18" t="s">
        <v>86</v>
      </c>
      <c r="D17" s="76">
        <f>'Rate Design'!$F$17</f>
        <v>-3.5849776586677765E-4</v>
      </c>
      <c r="E17" s="76">
        <f>'Rate Design'!$F$17</f>
        <v>-3.5849776586677765E-4</v>
      </c>
      <c r="F17" s="76">
        <f>'Rate Design'!$F$17</f>
        <v>-3.5849776586677765E-4</v>
      </c>
      <c r="G17" s="76">
        <f>'Rate Design'!$F$17</f>
        <v>-3.5849776586677765E-4</v>
      </c>
      <c r="H17" s="76">
        <f>'Rate Design'!$F$16</f>
        <v>-5.943741990068178E-4</v>
      </c>
      <c r="I17" s="76">
        <f>'Rate Design'!$F$16</f>
        <v>-5.943741990068178E-4</v>
      </c>
      <c r="J17" s="76">
        <f>'Rate Design'!$F$16</f>
        <v>-5.943741990068178E-4</v>
      </c>
      <c r="K17" s="76">
        <f>'Rate Design'!$F$16</f>
        <v>-5.943741990068178E-4</v>
      </c>
      <c r="L17" s="76">
        <f>'Rate Design'!$F$16</f>
        <v>-5.943741990068178E-4</v>
      </c>
      <c r="M17" s="76">
        <f>'Rate Design'!$F$16</f>
        <v>-5.943741990068178E-4</v>
      </c>
      <c r="N17" s="76">
        <f>'Rate Design'!$F$16</f>
        <v>-5.943741990068178E-4</v>
      </c>
      <c r="O17" s="76">
        <f>'Rate Design'!$F$16</f>
        <v>-5.943741990068178E-4</v>
      </c>
      <c r="P17" s="76">
        <f>'Rate Design'!$F$16</f>
        <v>-5.943741990068178E-4</v>
      </c>
      <c r="Q17" s="76">
        <f>'Rate Design'!$F$16</f>
        <v>-5.943741990068178E-4</v>
      </c>
      <c r="R17" s="76">
        <f>'Rate Design'!$F$16</f>
        <v>-5.943741990068178E-4</v>
      </c>
      <c r="S17" s="76">
        <f>'Rate Design'!$F$16</f>
        <v>-5.943741990068178E-4</v>
      </c>
    </row>
    <row r="18" spans="1:21" x14ac:dyDescent="0.25">
      <c r="B18" s="18" t="s">
        <v>87</v>
      </c>
      <c r="D18" s="76">
        <f>'Rate Design'!$G$17</f>
        <v>-3.4430998794476668E-4</v>
      </c>
      <c r="E18" s="76">
        <f>'Rate Design'!$G$17</f>
        <v>-3.4430998794476668E-4</v>
      </c>
      <c r="F18" s="76">
        <f>'Rate Design'!$G$17</f>
        <v>-3.4430998794476668E-4</v>
      </c>
      <c r="G18" s="76">
        <f>'Rate Design'!$G$17</f>
        <v>-3.4430998794476668E-4</v>
      </c>
      <c r="H18" s="76">
        <f>'Rate Design'!$G$16</f>
        <v>-5.6955039160979564E-4</v>
      </c>
      <c r="I18" s="76">
        <f>'Rate Design'!$G$16</f>
        <v>-5.6955039160979564E-4</v>
      </c>
      <c r="J18" s="76">
        <f>'Rate Design'!$G$16</f>
        <v>-5.6955039160979564E-4</v>
      </c>
      <c r="K18" s="76">
        <f>'Rate Design'!$G$16</f>
        <v>-5.6955039160979564E-4</v>
      </c>
      <c r="L18" s="76">
        <f>'Rate Design'!$G$16</f>
        <v>-5.6955039160979564E-4</v>
      </c>
      <c r="M18" s="76">
        <f>'Rate Design'!$G$16</f>
        <v>-5.6955039160979564E-4</v>
      </c>
      <c r="N18" s="76">
        <f>'Rate Design'!$G$16</f>
        <v>-5.6955039160979564E-4</v>
      </c>
      <c r="O18" s="76">
        <f>'Rate Design'!$G$16</f>
        <v>-5.6955039160979564E-4</v>
      </c>
      <c r="P18" s="76">
        <f>'Rate Design'!$G$16</f>
        <v>-5.6955039160979564E-4</v>
      </c>
      <c r="Q18" s="76">
        <f>'Rate Design'!$G$16</f>
        <v>-5.6955039160979564E-4</v>
      </c>
      <c r="R18" s="76">
        <f>'Rate Design'!$G$16</f>
        <v>-5.6955039160979564E-4</v>
      </c>
      <c r="S18" s="76">
        <f>'Rate Design'!$G$16</f>
        <v>-5.6955039160979564E-4</v>
      </c>
    </row>
    <row r="19" spans="1:21" x14ac:dyDescent="0.25">
      <c r="B19" s="18" t="s">
        <v>88</v>
      </c>
      <c r="D19" s="76">
        <f>'Rate Design'!$H$17</f>
        <v>-4.2377070183195552E-4</v>
      </c>
      <c r="E19" s="76">
        <f>'Rate Design'!$H$17</f>
        <v>-4.2377070183195552E-4</v>
      </c>
      <c r="F19" s="76">
        <f>'Rate Design'!$H$17</f>
        <v>-4.2377070183195552E-4</v>
      </c>
      <c r="G19" s="76">
        <f>'Rate Design'!$H$17</f>
        <v>-4.2377070183195552E-4</v>
      </c>
      <c r="H19" s="76">
        <f>'Rate Design'!$H$16</f>
        <v>-6.0757072090828965E-4</v>
      </c>
      <c r="I19" s="76">
        <f>'Rate Design'!$H$16</f>
        <v>-6.0757072090828965E-4</v>
      </c>
      <c r="J19" s="76">
        <f>'Rate Design'!$H$16</f>
        <v>-6.0757072090828965E-4</v>
      </c>
      <c r="K19" s="76">
        <f>'Rate Design'!$H$16</f>
        <v>-6.0757072090828965E-4</v>
      </c>
      <c r="L19" s="76">
        <f>'Rate Design'!$H$16</f>
        <v>-6.0757072090828965E-4</v>
      </c>
      <c r="M19" s="76">
        <f>'Rate Design'!$H$16</f>
        <v>-6.0757072090828965E-4</v>
      </c>
      <c r="N19" s="76">
        <f>'Rate Design'!$H$16</f>
        <v>-6.0757072090828965E-4</v>
      </c>
      <c r="O19" s="76">
        <f>'Rate Design'!$H$16</f>
        <v>-6.0757072090828965E-4</v>
      </c>
      <c r="P19" s="76">
        <f>'Rate Design'!$H$16</f>
        <v>-6.0757072090828965E-4</v>
      </c>
      <c r="Q19" s="76">
        <f>'Rate Design'!$H$16</f>
        <v>-6.0757072090828965E-4</v>
      </c>
      <c r="R19" s="76">
        <f>'Rate Design'!$H$16</f>
        <v>-6.0757072090828965E-4</v>
      </c>
      <c r="S19" s="76">
        <f>'Rate Design'!$H$16</f>
        <v>-6.0757072090828965E-4</v>
      </c>
    </row>
    <row r="20" spans="1:21" x14ac:dyDescent="0.25">
      <c r="B20" s="18" t="s">
        <v>89</v>
      </c>
      <c r="D20" s="76">
        <f>'Rate Design'!$I$17</f>
        <v>-3.7479662692358303E-4</v>
      </c>
      <c r="E20" s="76">
        <f>'Rate Design'!$I$17</f>
        <v>-3.7479662692358303E-4</v>
      </c>
      <c r="F20" s="76">
        <f>'Rate Design'!$I$17</f>
        <v>-3.7479662692358303E-4</v>
      </c>
      <c r="G20" s="76">
        <f>'Rate Design'!$I$17</f>
        <v>-3.7479662692358303E-4</v>
      </c>
      <c r="H20" s="76">
        <f>'Rate Design'!$I$16</f>
        <v>-6.4905435702813821E-4</v>
      </c>
      <c r="I20" s="76">
        <f>'Rate Design'!$I$16</f>
        <v>-6.4905435702813821E-4</v>
      </c>
      <c r="J20" s="76">
        <f>'Rate Design'!$I$16</f>
        <v>-6.4905435702813821E-4</v>
      </c>
      <c r="K20" s="76">
        <f>'Rate Design'!$I$16</f>
        <v>-6.4905435702813821E-4</v>
      </c>
      <c r="L20" s="76">
        <f>'Rate Design'!$I$16</f>
        <v>-6.4905435702813821E-4</v>
      </c>
      <c r="M20" s="76">
        <f>'Rate Design'!$I$16</f>
        <v>-6.4905435702813821E-4</v>
      </c>
      <c r="N20" s="76">
        <f>'Rate Design'!$I$16</f>
        <v>-6.4905435702813821E-4</v>
      </c>
      <c r="O20" s="76">
        <f>'Rate Design'!$I$16</f>
        <v>-6.4905435702813821E-4</v>
      </c>
      <c r="P20" s="76">
        <f>'Rate Design'!$I$16</f>
        <v>-6.4905435702813821E-4</v>
      </c>
      <c r="Q20" s="76">
        <f>'Rate Design'!$I$16</f>
        <v>-6.4905435702813821E-4</v>
      </c>
      <c r="R20" s="76">
        <f>'Rate Design'!$I$16</f>
        <v>-6.4905435702813821E-4</v>
      </c>
      <c r="S20" s="76">
        <f>'Rate Design'!$I$16</f>
        <v>-6.4905435702813821E-4</v>
      </c>
    </row>
    <row r="21" spans="1:21" x14ac:dyDescent="0.25"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</row>
    <row r="23" spans="1:21" x14ac:dyDescent="0.25">
      <c r="A23" s="18" t="s">
        <v>101</v>
      </c>
      <c r="D23" s="72">
        <f>D4</f>
        <v>42809</v>
      </c>
      <c r="E23" s="72">
        <f t="shared" ref="E23:S23" si="1">E4</f>
        <v>42840</v>
      </c>
      <c r="F23" s="72">
        <f t="shared" si="1"/>
        <v>42870</v>
      </c>
      <c r="G23" s="72">
        <f t="shared" si="1"/>
        <v>42901</v>
      </c>
      <c r="H23" s="72">
        <f t="shared" si="1"/>
        <v>42931</v>
      </c>
      <c r="I23" s="72">
        <f t="shared" si="1"/>
        <v>42962</v>
      </c>
      <c r="J23" s="72">
        <f t="shared" si="1"/>
        <v>42993</v>
      </c>
      <c r="K23" s="72">
        <f t="shared" si="1"/>
        <v>43023</v>
      </c>
      <c r="L23" s="72">
        <f t="shared" si="1"/>
        <v>43054</v>
      </c>
      <c r="M23" s="72">
        <f t="shared" si="1"/>
        <v>43084</v>
      </c>
      <c r="N23" s="72">
        <f t="shared" si="1"/>
        <v>43115</v>
      </c>
      <c r="O23" s="72">
        <f t="shared" si="1"/>
        <v>43146</v>
      </c>
      <c r="P23" s="72">
        <f t="shared" si="1"/>
        <v>43174</v>
      </c>
      <c r="Q23" s="72">
        <f t="shared" si="1"/>
        <v>43205</v>
      </c>
      <c r="R23" s="72">
        <f t="shared" si="1"/>
        <v>43235</v>
      </c>
      <c r="S23" s="72">
        <f t="shared" si="1"/>
        <v>43266</v>
      </c>
    </row>
    <row r="24" spans="1:21" x14ac:dyDescent="0.25">
      <c r="B24" s="18" t="s">
        <v>84</v>
      </c>
      <c r="D24" s="78">
        <f>D5*D15</f>
        <v>-79006.839443699035</v>
      </c>
      <c r="E24" s="78">
        <f>E5*E15</f>
        <v>-63715.341787452577</v>
      </c>
      <c r="F24" s="78">
        <f>F5*F15</f>
        <v>-58018.863459513137</v>
      </c>
      <c r="G24" s="78">
        <f t="shared" ref="G24:S28" si="2">G5*G15</f>
        <v>-55751.781512563139</v>
      </c>
      <c r="H24" s="78">
        <f t="shared" si="2"/>
        <v>-108535.14829963467</v>
      </c>
      <c r="I24" s="78">
        <f t="shared" si="2"/>
        <v>-106269.81330298202</v>
      </c>
      <c r="J24" s="78">
        <f t="shared" si="2"/>
        <v>-88220.51891429635</v>
      </c>
      <c r="K24" s="78">
        <f t="shared" si="2"/>
        <v>-103737.23352087935</v>
      </c>
      <c r="L24" s="78">
        <f t="shared" si="2"/>
        <v>-129752.22800160015</v>
      </c>
      <c r="M24" s="78">
        <f t="shared" si="2"/>
        <v>-165203.16157120522</v>
      </c>
      <c r="N24" s="78">
        <f t="shared" si="2"/>
        <v>-162827.27114984792</v>
      </c>
      <c r="O24" s="78">
        <f t="shared" si="2"/>
        <v>-130559.44314835442</v>
      </c>
      <c r="P24" s="78">
        <f t="shared" si="2"/>
        <v>-129295.85025793246</v>
      </c>
      <c r="Q24" s="78">
        <f t="shared" si="2"/>
        <v>-103677.453340944</v>
      </c>
      <c r="R24" s="78">
        <f t="shared" si="2"/>
        <v>-96231.038377852557</v>
      </c>
      <c r="S24" s="78">
        <f t="shared" si="2"/>
        <v>-92008.410970006691</v>
      </c>
    </row>
    <row r="25" spans="1:21" x14ac:dyDescent="0.25">
      <c r="B25" s="18" t="s">
        <v>85</v>
      </c>
      <c r="D25" s="78">
        <f>D6*D16</f>
        <v>-19229.378727541734</v>
      </c>
      <c r="E25" s="78">
        <f t="shared" ref="E25:F28" si="3">E6*E16</f>
        <v>-16731.39060614186</v>
      </c>
      <c r="F25" s="78">
        <f t="shared" si="3"/>
        <v>-16510.792007680153</v>
      </c>
      <c r="G25" s="78">
        <f t="shared" si="2"/>
        <v>-16715.39242968044</v>
      </c>
      <c r="H25" s="78">
        <f t="shared" si="2"/>
        <v>-30505.873047019788</v>
      </c>
      <c r="I25" s="78">
        <f t="shared" si="2"/>
        <v>-29549.532748449579</v>
      </c>
      <c r="J25" s="78">
        <f t="shared" si="2"/>
        <v>-25289.004635939407</v>
      </c>
      <c r="K25" s="78">
        <f t="shared" si="2"/>
        <v>-28145.943675154052</v>
      </c>
      <c r="L25" s="78">
        <f t="shared" si="2"/>
        <v>-30129.08184392062</v>
      </c>
      <c r="M25" s="78">
        <f t="shared" si="2"/>
        <v>-34688.214261247347</v>
      </c>
      <c r="N25" s="78">
        <f t="shared" si="2"/>
        <v>-34485.401522370346</v>
      </c>
      <c r="O25" s="78">
        <f t="shared" si="2"/>
        <v>-28933.390912191691</v>
      </c>
      <c r="P25" s="78">
        <f t="shared" si="2"/>
        <v>-30096.630895387898</v>
      </c>
      <c r="Q25" s="78">
        <f t="shared" si="2"/>
        <v>-26000.949258062607</v>
      </c>
      <c r="R25" s="78">
        <f t="shared" si="2"/>
        <v>-26137.045007857301</v>
      </c>
      <c r="S25" s="78">
        <f t="shared" si="2"/>
        <v>-26415.516881532789</v>
      </c>
    </row>
    <row r="26" spans="1:21" x14ac:dyDescent="0.25">
      <c r="B26" s="18" t="s">
        <v>86</v>
      </c>
      <c r="D26" s="78">
        <f>D7*D17</f>
        <v>-41393.919012148748</v>
      </c>
      <c r="E26" s="78">
        <f t="shared" si="3"/>
        <v>-38091.640554632388</v>
      </c>
      <c r="F26" s="78">
        <f t="shared" si="3"/>
        <v>-39830.109421245266</v>
      </c>
      <c r="G26" s="78">
        <f t="shared" si="2"/>
        <v>-41112.637373589481</v>
      </c>
      <c r="H26" s="78">
        <f t="shared" si="2"/>
        <v>-78002.451009165496</v>
      </c>
      <c r="I26" s="78">
        <f t="shared" si="2"/>
        <v>-76178.828211475789</v>
      </c>
      <c r="J26" s="78">
        <f t="shared" si="2"/>
        <v>-66022.167800488693</v>
      </c>
      <c r="K26" s="78">
        <f t="shared" si="2"/>
        <v>-71622.602248482464</v>
      </c>
      <c r="L26" s="78">
        <f t="shared" si="2"/>
        <v>-70923.914240258484</v>
      </c>
      <c r="M26" s="78">
        <f t="shared" si="2"/>
        <v>-76505.427507255328</v>
      </c>
      <c r="N26" s="78">
        <f t="shared" si="2"/>
        <v>-74514.374265112769</v>
      </c>
      <c r="O26" s="78">
        <f t="shared" si="2"/>
        <v>-63743.658106614923</v>
      </c>
      <c r="P26" s="78">
        <f t="shared" si="2"/>
        <v>-68358.254057975224</v>
      </c>
      <c r="Q26" s="78">
        <f t="shared" si="2"/>
        <v>-62368.83610474036</v>
      </c>
      <c r="R26" s="78">
        <f t="shared" si="2"/>
        <v>-66475.362302888985</v>
      </c>
      <c r="S26" s="78">
        <f t="shared" si="2"/>
        <v>-68594.075315396069</v>
      </c>
    </row>
    <row r="27" spans="1:21" x14ac:dyDescent="0.25">
      <c r="B27" s="18" t="s">
        <v>87</v>
      </c>
      <c r="D27" s="78">
        <f>D8*D18</f>
        <v>-30564.144381610913</v>
      </c>
      <c r="E27" s="78">
        <f t="shared" si="3"/>
        <v>-32368.736245997734</v>
      </c>
      <c r="F27" s="78">
        <f t="shared" si="3"/>
        <v>-31398.191923181545</v>
      </c>
      <c r="G27" s="78">
        <f t="shared" si="2"/>
        <v>-32111.767537234096</v>
      </c>
      <c r="H27" s="78">
        <f t="shared" si="2"/>
        <v>-52341.575588842774</v>
      </c>
      <c r="I27" s="78">
        <f t="shared" si="2"/>
        <v>-53753.320575223879</v>
      </c>
      <c r="J27" s="78">
        <f t="shared" si="2"/>
        <v>-55722.788974999741</v>
      </c>
      <c r="K27" s="78">
        <f t="shared" si="2"/>
        <v>-53120.994468897894</v>
      </c>
      <c r="L27" s="78">
        <f t="shared" si="2"/>
        <v>-54051.481597653074</v>
      </c>
      <c r="M27" s="78">
        <f t="shared" si="2"/>
        <v>-52341.549073664035</v>
      </c>
      <c r="N27" s="78">
        <f t="shared" si="2"/>
        <v>-52875.453375866673</v>
      </c>
      <c r="O27" s="78">
        <f t="shared" si="2"/>
        <v>-53839.594832570321</v>
      </c>
      <c r="P27" s="78">
        <f t="shared" si="2"/>
        <v>-50824.676610652095</v>
      </c>
      <c r="Q27" s="78">
        <f t="shared" si="2"/>
        <v>-53926.75371333264</v>
      </c>
      <c r="R27" s="78">
        <f t="shared" si="2"/>
        <v>-52203.383507570274</v>
      </c>
      <c r="S27" s="78">
        <f t="shared" si="2"/>
        <v>-54145.913519154754</v>
      </c>
    </row>
    <row r="28" spans="1:21" x14ac:dyDescent="0.25">
      <c r="B28" s="18" t="s">
        <v>88</v>
      </c>
      <c r="D28" s="78">
        <f>D9*D19</f>
        <v>-1930.5165305109253</v>
      </c>
      <c r="E28" s="78">
        <f t="shared" si="3"/>
        <v>-3055.8701757113868</v>
      </c>
      <c r="F28" s="78">
        <f t="shared" si="3"/>
        <v>-5413.0068039050366</v>
      </c>
      <c r="G28" s="78">
        <f t="shared" si="2"/>
        <v>-7474.5515068544528</v>
      </c>
      <c r="H28" s="78">
        <f t="shared" si="2"/>
        <v>-14595.86191911949</v>
      </c>
      <c r="I28" s="78">
        <f t="shared" si="2"/>
        <v>-14880.127762989016</v>
      </c>
      <c r="J28" s="78">
        <f t="shared" si="2"/>
        <v>-10072.897339711955</v>
      </c>
      <c r="K28" s="78">
        <f t="shared" si="2"/>
        <v>-6008.573012707916</v>
      </c>
      <c r="L28" s="78">
        <f t="shared" si="2"/>
        <v>-2904.5439434734426</v>
      </c>
      <c r="M28" s="78">
        <f t="shared" si="2"/>
        <v>-2629.5472644637325</v>
      </c>
      <c r="N28" s="78">
        <f t="shared" si="2"/>
        <v>-2638.6863762720491</v>
      </c>
      <c r="O28" s="78">
        <f t="shared" si="2"/>
        <v>-2266.411552716263</v>
      </c>
      <c r="P28" s="78">
        <f t="shared" si="2"/>
        <v>-2802.2341468655054</v>
      </c>
      <c r="Q28" s="78">
        <f t="shared" si="2"/>
        <v>-4298.1106184639539</v>
      </c>
      <c r="R28" s="78">
        <f t="shared" si="2"/>
        <v>-7769.4278031471749</v>
      </c>
      <c r="S28" s="78">
        <f t="shared" si="2"/>
        <v>-10848.469497492815</v>
      </c>
    </row>
    <row r="29" spans="1:21" x14ac:dyDescent="0.25">
      <c r="B29" s="18" t="s">
        <v>89</v>
      </c>
      <c r="D29" s="78">
        <f>D10*D20</f>
        <v>-724.13218340036167</v>
      </c>
      <c r="E29" s="78">
        <f t="shared" ref="E29:S29" si="4">E10*E20</f>
        <v>-725.75042118390081</v>
      </c>
      <c r="F29" s="78">
        <f t="shared" si="4"/>
        <v>-724.21075348509976</v>
      </c>
      <c r="G29" s="78">
        <f t="shared" si="4"/>
        <v>-722.80380789917069</v>
      </c>
      <c r="H29" s="78">
        <f t="shared" si="4"/>
        <v>-1249.7374371280982</v>
      </c>
      <c r="I29" s="78">
        <f t="shared" si="4"/>
        <v>-1248.4294241527193</v>
      </c>
      <c r="J29" s="78">
        <f t="shared" si="4"/>
        <v>-1247.3386505988844</v>
      </c>
      <c r="K29" s="78">
        <f t="shared" si="4"/>
        <v>-1246.8511421742926</v>
      </c>
      <c r="L29" s="78">
        <f t="shared" si="4"/>
        <v>-1246.6747178638468</v>
      </c>
      <c r="M29" s="78">
        <f t="shared" si="4"/>
        <v>-1246.9897910143216</v>
      </c>
      <c r="N29" s="78">
        <f t="shared" si="4"/>
        <v>-1248.0665684433236</v>
      </c>
      <c r="O29" s="78">
        <f t="shared" si="4"/>
        <v>-1247.2313434711418</v>
      </c>
      <c r="P29" s="78">
        <f t="shared" si="4"/>
        <v>-1246.724282383864</v>
      </c>
      <c r="Q29" s="78">
        <f t="shared" si="4"/>
        <v>-1245.9785666024259</v>
      </c>
      <c r="R29" s="78">
        <f t="shared" si="4"/>
        <v>-1244.8531232524808</v>
      </c>
      <c r="S29" s="78">
        <f t="shared" si="4"/>
        <v>-1244.0107235541882</v>
      </c>
    </row>
    <row r="30" spans="1:21" x14ac:dyDescent="0.25">
      <c r="B30" s="18" t="s">
        <v>0</v>
      </c>
      <c r="D30" s="78">
        <f t="shared" ref="D30:S30" si="5">SUM(D24:D29)</f>
        <v>-172848.93027891169</v>
      </c>
      <c r="E30" s="78">
        <f t="shared" si="5"/>
        <v>-154688.72979111984</v>
      </c>
      <c r="F30" s="78">
        <f t="shared" si="5"/>
        <v>-151895.17436901023</v>
      </c>
      <c r="G30" s="78">
        <f t="shared" si="5"/>
        <v>-153888.93416782079</v>
      </c>
      <c r="H30" s="78">
        <f t="shared" si="5"/>
        <v>-285230.64730091032</v>
      </c>
      <c r="I30" s="78">
        <f t="shared" si="5"/>
        <v>-281880.05202527303</v>
      </c>
      <c r="J30" s="78">
        <f t="shared" si="5"/>
        <v>-246574.71631603502</v>
      </c>
      <c r="K30" s="78">
        <f t="shared" si="5"/>
        <v>-263882.19806829595</v>
      </c>
      <c r="L30" s="78">
        <f t="shared" si="5"/>
        <v>-289007.92434476962</v>
      </c>
      <c r="M30" s="78">
        <f t="shared" si="5"/>
        <v>-332614.88946884999</v>
      </c>
      <c r="N30" s="78">
        <f t="shared" si="5"/>
        <v>-328589.25325791311</v>
      </c>
      <c r="O30" s="78">
        <f t="shared" si="5"/>
        <v>-280589.7298959188</v>
      </c>
      <c r="P30" s="78">
        <f t="shared" si="5"/>
        <v>-282624.37025119702</v>
      </c>
      <c r="Q30" s="78">
        <f t="shared" si="5"/>
        <v>-251518.08160214601</v>
      </c>
      <c r="R30" s="78">
        <f t="shared" si="5"/>
        <v>-250061.11012256879</v>
      </c>
      <c r="S30" s="78">
        <f t="shared" si="5"/>
        <v>-253256.3969071373</v>
      </c>
      <c r="U30" s="79">
        <f>SUM(H30:S30)-'7-2017 thru 6-2018 RECs'!E37</f>
        <v>0</v>
      </c>
    </row>
    <row r="32" spans="1:21" x14ac:dyDescent="0.25">
      <c r="A32" s="18" t="s">
        <v>102</v>
      </c>
      <c r="C32" s="80">
        <f>'CF WA Elec'!E19</f>
        <v>0.95385299999999995</v>
      </c>
      <c r="D32" s="72">
        <f>D4</f>
        <v>42809</v>
      </c>
      <c r="E32" s="72">
        <f t="shared" ref="E32:S32" si="6">E4</f>
        <v>42840</v>
      </c>
      <c r="F32" s="72">
        <f t="shared" si="6"/>
        <v>42870</v>
      </c>
      <c r="G32" s="72">
        <f t="shared" si="6"/>
        <v>42901</v>
      </c>
      <c r="H32" s="72">
        <f t="shared" si="6"/>
        <v>42931</v>
      </c>
      <c r="I32" s="72">
        <f t="shared" si="6"/>
        <v>42962</v>
      </c>
      <c r="J32" s="72">
        <f t="shared" si="6"/>
        <v>42993</v>
      </c>
      <c r="K32" s="72">
        <f t="shared" si="6"/>
        <v>43023</v>
      </c>
      <c r="L32" s="72">
        <f t="shared" si="6"/>
        <v>43054</v>
      </c>
      <c r="M32" s="72">
        <f t="shared" si="6"/>
        <v>43084</v>
      </c>
      <c r="N32" s="72">
        <f t="shared" si="6"/>
        <v>43115</v>
      </c>
      <c r="O32" s="72">
        <f t="shared" si="6"/>
        <v>43146</v>
      </c>
      <c r="P32" s="72">
        <f t="shared" si="6"/>
        <v>43174</v>
      </c>
      <c r="Q32" s="72">
        <f t="shared" si="6"/>
        <v>43205</v>
      </c>
      <c r="R32" s="72">
        <f t="shared" si="6"/>
        <v>43235</v>
      </c>
      <c r="S32" s="72">
        <f t="shared" si="6"/>
        <v>43266</v>
      </c>
    </row>
    <row r="33" spans="2:21" x14ac:dyDescent="0.25">
      <c r="B33" s="18" t="s">
        <v>84</v>
      </c>
      <c r="D33" s="78">
        <f>D24*$C$32</f>
        <v>-75360.910823890648</v>
      </c>
      <c r="E33" s="78">
        <f>E24*$C$32</f>
        <v>-60775.069909986996</v>
      </c>
      <c r="F33" s="78">
        <f>F24*$C$32</f>
        <v>-55341.466967446984</v>
      </c>
      <c r="G33" s="78">
        <f t="shared" ref="G33:S38" si="7">G24*$C$32</f>
        <v>-53179.004051102886</v>
      </c>
      <c r="H33" s="78">
        <f t="shared" si="7"/>
        <v>-103526.57681105143</v>
      </c>
      <c r="I33" s="78">
        <f t="shared" si="7"/>
        <v>-101365.7802284893</v>
      </c>
      <c r="J33" s="78">
        <f t="shared" si="7"/>
        <v>-84149.406627958306</v>
      </c>
      <c r="K33" s="78">
        <f t="shared" si="7"/>
        <v>-98950.071405591327</v>
      </c>
      <c r="L33" s="78">
        <f t="shared" si="7"/>
        <v>-123764.55193601029</v>
      </c>
      <c r="M33" s="78">
        <f t="shared" si="7"/>
        <v>-157579.53127417879</v>
      </c>
      <c r="N33" s="78">
        <f t="shared" si="7"/>
        <v>-155313.28106809588</v>
      </c>
      <c r="O33" s="78">
        <f t="shared" si="7"/>
        <v>-124534.5165253873</v>
      </c>
      <c r="P33" s="78">
        <f t="shared" si="7"/>
        <v>-123329.23465607964</v>
      </c>
      <c r="Q33" s="78">
        <f t="shared" si="7"/>
        <v>-98893.049901619452</v>
      </c>
      <c r="R33" s="78">
        <f t="shared" si="7"/>
        <v>-91790.264649829784</v>
      </c>
      <c r="S33" s="78">
        <f t="shared" si="7"/>
        <v>-87762.498828973781</v>
      </c>
    </row>
    <row r="34" spans="2:21" x14ac:dyDescent="0.25">
      <c r="B34" s="18" t="s">
        <v>85</v>
      </c>
      <c r="D34" s="78">
        <f>D25*$C$32</f>
        <v>-18342.000587401864</v>
      </c>
      <c r="E34" s="78">
        <f t="shared" ref="E34:F38" si="8">E25*$C$32</f>
        <v>-15959.287123840231</v>
      </c>
      <c r="F34" s="78">
        <f t="shared" si="8"/>
        <v>-15748.868488901737</v>
      </c>
      <c r="G34" s="78">
        <f t="shared" si="7"/>
        <v>-15944.027215227976</v>
      </c>
      <c r="H34" s="78">
        <f t="shared" si="7"/>
        <v>-29098.118523518966</v>
      </c>
      <c r="I34" s="78">
        <f t="shared" si="7"/>
        <v>-28185.910460706877</v>
      </c>
      <c r="J34" s="78">
        <f t="shared" si="7"/>
        <v>-24121.992939004711</v>
      </c>
      <c r="K34" s="78">
        <f t="shared" si="7"/>
        <v>-26847.092812376715</v>
      </c>
      <c r="L34" s="78">
        <f t="shared" si="7"/>
        <v>-28738.715104069212</v>
      </c>
      <c r="M34" s="78">
        <f t="shared" si="7"/>
        <v>-33087.457237733564</v>
      </c>
      <c r="N34" s="78">
        <f t="shared" si="7"/>
        <v>-32894.003698317523</v>
      </c>
      <c r="O34" s="78">
        <f t="shared" si="7"/>
        <v>-27598.201721766782</v>
      </c>
      <c r="P34" s="78">
        <f t="shared" si="7"/>
        <v>-28707.761669458432</v>
      </c>
      <c r="Q34" s="78">
        <f t="shared" si="7"/>
        <v>-24801.08345265079</v>
      </c>
      <c r="R34" s="78">
        <f t="shared" si="7"/>
        <v>-24930.89879187971</v>
      </c>
      <c r="S34" s="78">
        <f t="shared" si="7"/>
        <v>-25196.520024000693</v>
      </c>
    </row>
    <row r="35" spans="2:21" x14ac:dyDescent="0.25">
      <c r="B35" s="18" t="s">
        <v>86</v>
      </c>
      <c r="D35" s="78">
        <f>D26*$C$32</f>
        <v>-39483.713831495115</v>
      </c>
      <c r="E35" s="78">
        <f t="shared" si="8"/>
        <v>-36333.825617957766</v>
      </c>
      <c r="F35" s="78">
        <f t="shared" si="8"/>
        <v>-37992.069361783062</v>
      </c>
      <c r="G35" s="78">
        <f t="shared" si="7"/>
        <v>-39215.412496710444</v>
      </c>
      <c r="H35" s="78">
        <f t="shared" si="7"/>
        <v>-74402.871902445535</v>
      </c>
      <c r="I35" s="78">
        <f t="shared" si="7"/>
        <v>-72663.403826000809</v>
      </c>
      <c r="J35" s="78">
        <f t="shared" si="7"/>
        <v>-62975.442822999539</v>
      </c>
      <c r="K35" s="78">
        <f t="shared" si="7"/>
        <v>-68317.434022521746</v>
      </c>
      <c r="L35" s="78">
        <f t="shared" si="7"/>
        <v>-67650.988369813276</v>
      </c>
      <c r="M35" s="78">
        <f t="shared" si="7"/>
        <v>-72974.931544078019</v>
      </c>
      <c r="N35" s="78">
        <f t="shared" si="7"/>
        <v>-71075.759435900603</v>
      </c>
      <c r="O35" s="78">
        <f t="shared" si="7"/>
        <v>-60802.079515968959</v>
      </c>
      <c r="P35" s="78">
        <f t="shared" si="7"/>
        <v>-65203.725707961836</v>
      </c>
      <c r="Q35" s="78">
        <f t="shared" si="7"/>
        <v>-59490.7014250149</v>
      </c>
      <c r="R35" s="78">
        <f t="shared" si="7"/>
        <v>-63407.723758697561</v>
      </c>
      <c r="S35" s="78">
        <f t="shared" si="7"/>
        <v>-65428.664521816485</v>
      </c>
    </row>
    <row r="36" spans="2:21" x14ac:dyDescent="0.25">
      <c r="B36" s="18" t="s">
        <v>87</v>
      </c>
      <c r="D36" s="78">
        <f>D27*$C$32</f>
        <v>-29153.700810832714</v>
      </c>
      <c r="E36" s="78">
        <f t="shared" si="8"/>
        <v>-30875.016174453674</v>
      </c>
      <c r="F36" s="78">
        <f t="shared" si="8"/>
        <v>-29949.259560502484</v>
      </c>
      <c r="G36" s="78">
        <f t="shared" si="7"/>
        <v>-30629.905800693352</v>
      </c>
      <c r="H36" s="78">
        <f t="shared" si="7"/>
        <v>-49926.168900144447</v>
      </c>
      <c r="I36" s="78">
        <f t="shared" si="7"/>
        <v>-51272.766090639023</v>
      </c>
      <c r="J36" s="78">
        <f t="shared" si="7"/>
        <v>-53151.349432170427</v>
      </c>
      <c r="K36" s="78">
        <f t="shared" si="7"/>
        <v>-50669.619937141659</v>
      </c>
      <c r="L36" s="78">
        <f t="shared" si="7"/>
        <v>-51557.167876366177</v>
      </c>
      <c r="M36" s="78">
        <f t="shared" si="7"/>
        <v>-49926.143608561659</v>
      </c>
      <c r="N36" s="78">
        <f t="shared" si="7"/>
        <v>-50435.409828930548</v>
      </c>
      <c r="O36" s="78">
        <f t="shared" si="7"/>
        <v>-51355.059049831696</v>
      </c>
      <c r="P36" s="78">
        <f t="shared" si="7"/>
        <v>-48479.270259100333</v>
      </c>
      <c r="Q36" s="78">
        <f t="shared" si="7"/>
        <v>-51438.195809723475</v>
      </c>
      <c r="R36" s="78">
        <f t="shared" si="7"/>
        <v>-49794.353968846423</v>
      </c>
      <c r="S36" s="78">
        <f t="shared" si="7"/>
        <v>-51647.242047986314</v>
      </c>
    </row>
    <row r="37" spans="2:21" x14ac:dyDescent="0.25">
      <c r="B37" s="18" t="s">
        <v>88</v>
      </c>
      <c r="D37" s="78">
        <f>D28*$C$32</f>
        <v>-1841.4289841774375</v>
      </c>
      <c r="E37" s="78">
        <f t="shared" si="8"/>
        <v>-2914.8509347128334</v>
      </c>
      <c r="F37" s="78">
        <f t="shared" si="8"/>
        <v>-5163.2127789252309</v>
      </c>
      <c r="G37" s="78">
        <f t="shared" si="7"/>
        <v>-7129.6233784676397</v>
      </c>
      <c r="H37" s="78">
        <f t="shared" si="7"/>
        <v>-13922.306679137882</v>
      </c>
      <c r="I37" s="78">
        <f t="shared" si="7"/>
        <v>-14193.45450711036</v>
      </c>
      <c r="J37" s="78">
        <f t="shared" si="7"/>
        <v>-9608.0633461762664</v>
      </c>
      <c r="K37" s="78">
        <f t="shared" si="7"/>
        <v>-5731.2953938904839</v>
      </c>
      <c r="L37" s="78">
        <f t="shared" si="7"/>
        <v>-2770.5079541139735</v>
      </c>
      <c r="M37" s="78">
        <f t="shared" si="7"/>
        <v>-2508.2015468505247</v>
      </c>
      <c r="N37" s="78">
        <f t="shared" si="7"/>
        <v>-2516.9189160662227</v>
      </c>
      <c r="O37" s="78">
        <f t="shared" si="7"/>
        <v>-2161.8234587930656</v>
      </c>
      <c r="P37" s="78">
        <f t="shared" si="7"/>
        <v>-2672.919447690103</v>
      </c>
      <c r="Q37" s="78">
        <f t="shared" si="7"/>
        <v>-4099.7657077536978</v>
      </c>
      <c r="R37" s="78">
        <f t="shared" si="7"/>
        <v>-7410.8920183153423</v>
      </c>
      <c r="S37" s="78">
        <f t="shared" si="7"/>
        <v>-10347.845175592014</v>
      </c>
    </row>
    <row r="38" spans="2:21" x14ac:dyDescent="0.25">
      <c r="B38" s="140" t="s">
        <v>89</v>
      </c>
      <c r="D38" s="81">
        <f>D29*$C$32</f>
        <v>-690.71565553298512</v>
      </c>
      <c r="E38" s="81">
        <f t="shared" si="8"/>
        <v>-692.25921649752729</v>
      </c>
      <c r="F38" s="81">
        <f t="shared" si="8"/>
        <v>-690.79059984402284</v>
      </c>
      <c r="G38" s="81">
        <f t="shared" si="7"/>
        <v>-689.44858057604768</v>
      </c>
      <c r="H38" s="81">
        <f t="shared" si="7"/>
        <v>-1192.0658036169477</v>
      </c>
      <c r="I38" s="81">
        <f t="shared" si="7"/>
        <v>-1190.8181515163437</v>
      </c>
      <c r="J38" s="81">
        <f t="shared" si="7"/>
        <v>-1189.7777138896977</v>
      </c>
      <c r="K38" s="81">
        <f t="shared" si="7"/>
        <v>-1189.3127025163753</v>
      </c>
      <c r="L38" s="81">
        <f t="shared" si="7"/>
        <v>-1189.1444196585837</v>
      </c>
      <c r="M38" s="81">
        <f t="shared" si="7"/>
        <v>-1189.4449531283835</v>
      </c>
      <c r="N38" s="81">
        <f t="shared" si="7"/>
        <v>-1190.4720405093694</v>
      </c>
      <c r="O38" s="81">
        <f t="shared" si="7"/>
        <v>-1189.6753586639791</v>
      </c>
      <c r="P38" s="81">
        <f t="shared" si="7"/>
        <v>-1189.1916969246956</v>
      </c>
      <c r="Q38" s="81">
        <f t="shared" si="7"/>
        <v>-1188.4803936894236</v>
      </c>
      <c r="R38" s="81">
        <f t="shared" si="7"/>
        <v>-1187.4068861737485</v>
      </c>
      <c r="S38" s="81">
        <f t="shared" si="7"/>
        <v>-1186.6033606943331</v>
      </c>
    </row>
    <row r="39" spans="2:21" x14ac:dyDescent="0.25">
      <c r="B39" s="18" t="s">
        <v>0</v>
      </c>
      <c r="C39" s="53"/>
      <c r="D39" s="79">
        <f>SUM(D33:D38)</f>
        <v>-164872.4706933308</v>
      </c>
      <c r="E39" s="79">
        <f>SUM(E33:E38)</f>
        <v>-147550.30897744905</v>
      </c>
      <c r="F39" s="79">
        <f>SUM(F33:F38)</f>
        <v>-144885.66775740351</v>
      </c>
      <c r="G39" s="79">
        <f t="shared" ref="G39:S39" si="9">SUM(G33:G38)</f>
        <v>-146787.42152277834</v>
      </c>
      <c r="H39" s="79">
        <f t="shared" si="9"/>
        <v>-272068.10861991521</v>
      </c>
      <c r="I39" s="79">
        <f t="shared" si="9"/>
        <v>-268872.1332644627</v>
      </c>
      <c r="J39" s="79">
        <f t="shared" si="9"/>
        <v>-235196.03288219895</v>
      </c>
      <c r="K39" s="79">
        <f t="shared" si="9"/>
        <v>-251704.82627403832</v>
      </c>
      <c r="L39" s="79">
        <f t="shared" si="9"/>
        <v>-275671.07566003152</v>
      </c>
      <c r="M39" s="79">
        <f t="shared" si="9"/>
        <v>-317265.7101645309</v>
      </c>
      <c r="N39" s="79">
        <f t="shared" si="9"/>
        <v>-313425.84498782019</v>
      </c>
      <c r="O39" s="79">
        <f t="shared" si="9"/>
        <v>-267641.35563041177</v>
      </c>
      <c r="P39" s="79">
        <f t="shared" si="9"/>
        <v>-269582.10343721503</v>
      </c>
      <c r="Q39" s="79">
        <f t="shared" si="9"/>
        <v>-239911.27669045175</v>
      </c>
      <c r="R39" s="79">
        <f t="shared" si="9"/>
        <v>-238521.5400737426</v>
      </c>
      <c r="S39" s="79">
        <f t="shared" si="9"/>
        <v>-241569.37395906364</v>
      </c>
      <c r="U39" s="79">
        <f>SUM(H39:S39)-'7-2017 thru 6-2018 RECs'!E33</f>
        <v>0</v>
      </c>
    </row>
    <row r="40" spans="2:21" x14ac:dyDescent="0.25">
      <c r="C40" s="136"/>
    </row>
    <row r="41" spans="2:21" x14ac:dyDescent="0.25">
      <c r="C41" s="136"/>
    </row>
    <row r="46" spans="2:21" x14ac:dyDescent="0.25">
      <c r="B46" s="18" t="s">
        <v>131</v>
      </c>
    </row>
  </sheetData>
  <pageMargins left="0.7" right="0.7" top="0.75" bottom="0.75" header="0.3" footer="0.3"/>
  <pageSetup scale="50" orientation="landscape" r:id="rId1"/>
  <headerFooter>
    <oddHeader>&amp;CRedacted</oddHeader>
    <oddFooter>&amp;L&amp;F&amp;RPage: &amp;P of &amp;N</oddFooter>
  </headerFooter>
  <customProperties>
    <customPr name="xxe4aP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workbookViewId="0">
      <selection activeCell="B29" sqref="B29:B30"/>
    </sheetView>
  </sheetViews>
  <sheetFormatPr defaultRowHeight="15" x14ac:dyDescent="0.25"/>
  <cols>
    <col min="1" max="1" width="12.42578125" style="104" bestFit="1" customWidth="1"/>
    <col min="2" max="4" width="15.140625" style="104" bestFit="1" customWidth="1"/>
    <col min="5" max="5" width="15" style="104" customWidth="1"/>
    <col min="6" max="6" width="3.140625" style="104" customWidth="1"/>
    <col min="7" max="18" width="12.5703125" style="104" bestFit="1" customWidth="1"/>
    <col min="19" max="19" width="14.28515625" style="104" bestFit="1" customWidth="1"/>
    <col min="20" max="20" width="9.28515625" style="104" bestFit="1" customWidth="1"/>
    <col min="21" max="16384" width="9.140625" style="104"/>
  </cols>
  <sheetData>
    <row r="1" spans="1:19" x14ac:dyDescent="0.25">
      <c r="A1" s="104" t="s">
        <v>119</v>
      </c>
    </row>
    <row r="3" spans="1:19" x14ac:dyDescent="0.25">
      <c r="A3" s="19" t="s">
        <v>56</v>
      </c>
      <c r="F3" s="19"/>
    </row>
    <row r="4" spans="1:19" x14ac:dyDescent="0.25">
      <c r="A4" s="104" t="s">
        <v>115</v>
      </c>
    </row>
    <row r="6" spans="1:19" x14ac:dyDescent="0.25">
      <c r="B6" s="105">
        <v>42809</v>
      </c>
      <c r="C6" s="105">
        <v>42840</v>
      </c>
      <c r="D6" s="105">
        <v>42870</v>
      </c>
      <c r="E6" s="105">
        <v>42901</v>
      </c>
      <c r="G6" s="105">
        <v>42932</v>
      </c>
      <c r="H6" s="105">
        <v>42963</v>
      </c>
      <c r="I6" s="105">
        <v>42994</v>
      </c>
      <c r="J6" s="105">
        <v>43024</v>
      </c>
      <c r="K6" s="105">
        <v>43055</v>
      </c>
      <c r="L6" s="105">
        <v>43085</v>
      </c>
      <c r="M6" s="105">
        <v>43116</v>
      </c>
      <c r="N6" s="105">
        <v>43147</v>
      </c>
      <c r="O6" s="105">
        <v>43175</v>
      </c>
      <c r="P6" s="105">
        <v>43206</v>
      </c>
      <c r="Q6" s="105">
        <v>43236</v>
      </c>
      <c r="R6" s="105">
        <v>43267</v>
      </c>
      <c r="S6" s="106" t="s">
        <v>0</v>
      </c>
    </row>
    <row r="7" spans="1:19" x14ac:dyDescent="0.25">
      <c r="A7" s="107" t="s">
        <v>44</v>
      </c>
      <c r="B7" s="108">
        <v>226932955.14778516</v>
      </c>
      <c r="C7" s="108">
        <v>183010874.77852428</v>
      </c>
      <c r="D7" s="108">
        <v>166648763.97904325</v>
      </c>
      <c r="E7" s="108">
        <v>160136978.2981317</v>
      </c>
      <c r="F7" s="109"/>
      <c r="G7" s="110">
        <v>190905534.05463499</v>
      </c>
      <c r="H7" s="110">
        <v>186920972.42530257</v>
      </c>
      <c r="I7" s="110">
        <v>155173559.36544532</v>
      </c>
      <c r="J7" s="110">
        <v>182466346.40402952</v>
      </c>
      <c r="K7" s="110">
        <v>228224854.06331378</v>
      </c>
      <c r="L7" s="110">
        <v>290580501.16812932</v>
      </c>
      <c r="M7" s="110">
        <v>286401480.48358274</v>
      </c>
      <c r="N7" s="110">
        <v>229644687.55598736</v>
      </c>
      <c r="O7" s="110">
        <v>227422118.37583858</v>
      </c>
      <c r="P7" s="110">
        <v>182361197.35917878</v>
      </c>
      <c r="Q7" s="110">
        <v>169263488.02176791</v>
      </c>
      <c r="R7" s="110">
        <v>161836189.55636132</v>
      </c>
      <c r="S7" s="111">
        <f>SUM(G7:R7)</f>
        <v>2491200928.8335719</v>
      </c>
    </row>
    <row r="8" spans="1:19" x14ac:dyDescent="0.25">
      <c r="A8" s="107" t="s">
        <v>45</v>
      </c>
      <c r="B8" s="108">
        <v>47440715.147742234</v>
      </c>
      <c r="C8" s="108">
        <v>41593329.541679397</v>
      </c>
      <c r="D8" s="108">
        <v>41309830.895904876</v>
      </c>
      <c r="E8" s="108">
        <v>42048658.986871734</v>
      </c>
      <c r="F8" s="109"/>
      <c r="G8" s="110">
        <v>49183669.821435682</v>
      </c>
      <c r="H8" s="110">
        <v>47555195.824968241</v>
      </c>
      <c r="I8" s="110">
        <v>40524630.782726482</v>
      </c>
      <c r="J8" s="110">
        <v>44834994.551849522</v>
      </c>
      <c r="K8" s="110">
        <v>47400302.896227963</v>
      </c>
      <c r="L8" s="110">
        <v>54033876.803133987</v>
      </c>
      <c r="M8" s="110">
        <v>53615870.284625933</v>
      </c>
      <c r="N8" s="110">
        <v>45154348.76124838</v>
      </c>
      <c r="O8" s="110">
        <v>47255097.354106143</v>
      </c>
      <c r="P8" s="110">
        <v>41130314.617199481</v>
      </c>
      <c r="Q8" s="110">
        <v>41628715.803414449</v>
      </c>
      <c r="R8" s="110">
        <v>42313232.957457058</v>
      </c>
      <c r="S8" s="111">
        <f t="shared" ref="S8:S26" si="0">SUM(G8:R8)</f>
        <v>554630250.45839334</v>
      </c>
    </row>
    <row r="9" spans="1:19" x14ac:dyDescent="0.25">
      <c r="A9" s="107" t="s">
        <v>46</v>
      </c>
      <c r="B9" s="108">
        <v>5411288.0781340702</v>
      </c>
      <c r="C9" s="108">
        <v>4392946.0847226251</v>
      </c>
      <c r="D9" s="108">
        <v>4070128.8425676501</v>
      </c>
      <c r="E9" s="108">
        <v>3893645.6051080446</v>
      </c>
      <c r="F9" s="109"/>
      <c r="G9" s="110">
        <v>4300276.5352245644</v>
      </c>
      <c r="H9" s="110">
        <v>4252061.8118312722</v>
      </c>
      <c r="I9" s="110">
        <v>3812922.3591610841</v>
      </c>
      <c r="J9" s="110">
        <v>4511442.4230654761</v>
      </c>
      <c r="K9" s="110">
        <v>5423040.1574828476</v>
      </c>
      <c r="L9" s="110">
        <v>6782694.087897636</v>
      </c>
      <c r="M9" s="110">
        <v>6845122.3336637374</v>
      </c>
      <c r="N9" s="110">
        <v>5572667.8063079026</v>
      </c>
      <c r="O9" s="110">
        <v>5511351.5799749251</v>
      </c>
      <c r="P9" s="110">
        <v>4455444.3347581541</v>
      </c>
      <c r="Q9" s="110">
        <v>4195650.9002429843</v>
      </c>
      <c r="R9" s="110">
        <v>3999360.2175602429</v>
      </c>
      <c r="S9" s="111">
        <f t="shared" si="0"/>
        <v>59662034.547170833</v>
      </c>
    </row>
    <row r="10" spans="1:19" x14ac:dyDescent="0.25">
      <c r="A10" s="107" t="s">
        <v>47</v>
      </c>
      <c r="B10" s="108">
        <v>112578001.13663848</v>
      </c>
      <c r="C10" s="108">
        <v>103745397.41466542</v>
      </c>
      <c r="D10" s="108">
        <v>108646026.03777699</v>
      </c>
      <c r="E10" s="108">
        <v>112275750.7498526</v>
      </c>
      <c r="F10" s="109"/>
      <c r="G10" s="110">
        <v>128515166.73993191</v>
      </c>
      <c r="H10" s="110">
        <v>125502352.1837962</v>
      </c>
      <c r="I10" s="110">
        <v>108760519.84110917</v>
      </c>
      <c r="J10" s="110">
        <v>117890553.92186306</v>
      </c>
      <c r="K10" s="110">
        <v>116492745.59812383</v>
      </c>
      <c r="L10" s="110">
        <v>125357914.06918187</v>
      </c>
      <c r="M10" s="110">
        <v>121964413.11487824</v>
      </c>
      <c r="N10" s="110">
        <v>104417467.12027037</v>
      </c>
      <c r="O10" s="110">
        <v>112112631.91324171</v>
      </c>
      <c r="P10" s="110">
        <v>102459620.03564179</v>
      </c>
      <c r="Q10" s="110">
        <v>109388560.01021917</v>
      </c>
      <c r="R10" s="110">
        <v>113001486.39283054</v>
      </c>
      <c r="S10" s="111">
        <f t="shared" si="0"/>
        <v>1385863430.941088</v>
      </c>
    </row>
    <row r="11" spans="1:19" x14ac:dyDescent="0.25">
      <c r="A11" s="107" t="s">
        <v>48</v>
      </c>
      <c r="B11" s="108">
        <v>2886927.6672170507</v>
      </c>
      <c r="C11" s="108">
        <v>2508097.5339969168</v>
      </c>
      <c r="D11" s="108">
        <v>2456784.6727551548</v>
      </c>
      <c r="E11" s="108">
        <v>2404566.0833280738</v>
      </c>
      <c r="F11" s="109"/>
      <c r="G11" s="110">
        <v>2719417.7011581408</v>
      </c>
      <c r="H11" s="110">
        <v>2664093.026592182</v>
      </c>
      <c r="I11" s="110">
        <v>2317935.2984474311</v>
      </c>
      <c r="J11" s="110">
        <v>2610306.2570642396</v>
      </c>
      <c r="K11" s="110">
        <v>2832612.6673767669</v>
      </c>
      <c r="L11" s="110">
        <v>3358015.4497873243</v>
      </c>
      <c r="M11" s="110">
        <v>3401685.1942747347</v>
      </c>
      <c r="N11" s="110">
        <v>2827528.0580680184</v>
      </c>
      <c r="O11" s="110">
        <v>2896152.4051218722</v>
      </c>
      <c r="P11" s="110">
        <v>2472317.1328236144</v>
      </c>
      <c r="Q11" s="110">
        <v>2452368.5058022114</v>
      </c>
      <c r="R11" s="110">
        <v>2404053.4674372878</v>
      </c>
      <c r="S11" s="111">
        <f t="shared" si="0"/>
        <v>32956485.163953826</v>
      </c>
    </row>
    <row r="12" spans="1:19" x14ac:dyDescent="0.25">
      <c r="A12" s="112" t="s">
        <v>49</v>
      </c>
      <c r="B12" s="110">
        <v>88769264.47603935</v>
      </c>
      <c r="C12" s="110">
        <v>94010448.082587257</v>
      </c>
      <c r="D12" s="110">
        <v>91191638.414562523</v>
      </c>
      <c r="E12" s="110">
        <v>93264118.560468197</v>
      </c>
      <c r="F12" s="113"/>
      <c r="G12" s="110">
        <v>91899814.941576734</v>
      </c>
      <c r="H12" s="110">
        <v>94378515.697783574</v>
      </c>
      <c r="I12" s="110">
        <v>97836450.989881769</v>
      </c>
      <c r="J12" s="110">
        <v>93268295.925062925</v>
      </c>
      <c r="K12" s="110">
        <v>94902018.142556652</v>
      </c>
      <c r="L12" s="110">
        <v>91899768.386997655</v>
      </c>
      <c r="M12" s="110">
        <v>92837182.020747602</v>
      </c>
      <c r="N12" s="110">
        <v>94529993.527695328</v>
      </c>
      <c r="O12" s="110">
        <v>89236487.867209762</v>
      </c>
      <c r="P12" s="110">
        <v>94683024.553652436</v>
      </c>
      <c r="Q12" s="110">
        <v>91657181.307559013</v>
      </c>
      <c r="R12" s="110">
        <v>95067818.96175155</v>
      </c>
      <c r="S12" s="111">
        <f t="shared" si="0"/>
        <v>1122196552.322475</v>
      </c>
    </row>
    <row r="13" spans="1:19" x14ac:dyDescent="0.25">
      <c r="A13" s="107" t="s">
        <v>50</v>
      </c>
      <c r="B13" s="110">
        <v>4277044.793077996</v>
      </c>
      <c r="C13" s="110">
        <v>6713350.85347436</v>
      </c>
      <c r="D13" s="110">
        <v>11968593.85753266</v>
      </c>
      <c r="E13" s="110">
        <v>16480517.95931866</v>
      </c>
      <c r="F13" s="109"/>
      <c r="G13" s="110">
        <v>22270371.111033928</v>
      </c>
      <c r="H13" s="110">
        <v>22894879.811527867</v>
      </c>
      <c r="I13" s="110">
        <v>15575825.720690526</v>
      </c>
      <c r="J13" s="110">
        <v>9305546.0095792972</v>
      </c>
      <c r="K13" s="110">
        <v>4467614.4607774001</v>
      </c>
      <c r="L13" s="110">
        <v>4039163.3345751311</v>
      </c>
      <c r="M13" s="110">
        <v>4044970.4212320084</v>
      </c>
      <c r="N13" s="110">
        <v>3482614.8590729316</v>
      </c>
      <c r="O13" s="110">
        <v>4337166.8453389592</v>
      </c>
      <c r="P13" s="110">
        <v>6589279.3975663586</v>
      </c>
      <c r="Q13" s="110">
        <v>11988768.608875206</v>
      </c>
      <c r="R13" s="110">
        <v>16707525.285193644</v>
      </c>
      <c r="S13" s="111">
        <f t="shared" si="0"/>
        <v>125703725.86546326</v>
      </c>
    </row>
    <row r="14" spans="1:19" x14ac:dyDescent="0.25">
      <c r="A14" s="107" t="s">
        <v>51</v>
      </c>
      <c r="B14" s="110">
        <v>278523.87215847831</v>
      </c>
      <c r="C14" s="110">
        <v>497789.89434255438</v>
      </c>
      <c r="D14" s="110">
        <v>804839.46502756991</v>
      </c>
      <c r="E14" s="110">
        <v>1157679.9494609216</v>
      </c>
      <c r="F14" s="109"/>
      <c r="G14" s="110">
        <v>1752942.4174708095</v>
      </c>
      <c r="H14" s="110">
        <v>1596306.5654982096</v>
      </c>
      <c r="I14" s="110">
        <v>1003145.2419876081</v>
      </c>
      <c r="J14" s="110">
        <v>583957.88837908837</v>
      </c>
      <c r="K14" s="110">
        <v>312971.3105897354</v>
      </c>
      <c r="L14" s="110">
        <v>288805.69680393767</v>
      </c>
      <c r="M14" s="110">
        <v>298040.66450190719</v>
      </c>
      <c r="N14" s="110">
        <v>247669.49256284907</v>
      </c>
      <c r="O14" s="110">
        <v>275027.34116873972</v>
      </c>
      <c r="P14" s="110">
        <v>484976.27433053695</v>
      </c>
      <c r="Q14" s="110">
        <v>798924.30616889929</v>
      </c>
      <c r="R14" s="110">
        <v>1147959.0628257331</v>
      </c>
      <c r="S14" s="111">
        <f t="shared" si="0"/>
        <v>8790726.2622880545</v>
      </c>
    </row>
    <row r="15" spans="1:19" x14ac:dyDescent="0.25">
      <c r="A15" s="114" t="s">
        <v>52</v>
      </c>
      <c r="B15" s="110">
        <v>1932066.9701437959</v>
      </c>
      <c r="C15" s="110">
        <v>1936384.6124791126</v>
      </c>
      <c r="D15" s="110">
        <v>1932276.6040601493</v>
      </c>
      <c r="E15" s="110">
        <v>1928522.7133235182</v>
      </c>
      <c r="F15" s="115"/>
      <c r="G15" s="110">
        <v>1925474.2281530034</v>
      </c>
      <c r="H15" s="110">
        <v>1923458.9686277949</v>
      </c>
      <c r="I15" s="110">
        <v>1921778.410532739</v>
      </c>
      <c r="J15" s="110">
        <v>1921027.304836717</v>
      </c>
      <c r="K15" s="110">
        <v>1920755.4873709911</v>
      </c>
      <c r="L15" s="110">
        <v>1921240.9215215563</v>
      </c>
      <c r="M15" s="110">
        <v>1922899.9157449869</v>
      </c>
      <c r="N15" s="110">
        <v>1921613.082118284</v>
      </c>
      <c r="O15" s="110">
        <v>1920831.851576054</v>
      </c>
      <c r="P15" s="110">
        <v>1919682.9250287421</v>
      </c>
      <c r="Q15" s="110">
        <v>1917948.9510745448</v>
      </c>
      <c r="R15" s="110">
        <v>1916651.0633257441</v>
      </c>
      <c r="S15" s="111">
        <f t="shared" si="0"/>
        <v>23053363.109911155</v>
      </c>
    </row>
    <row r="16" spans="1:19" x14ac:dyDescent="0.25">
      <c r="A16" s="116" t="s">
        <v>0</v>
      </c>
      <c r="B16" s="119">
        <f>SUM(B7:B15)</f>
        <v>490506787.28893661</v>
      </c>
      <c r="C16" s="119">
        <f t="shared" ref="C16:S16" si="1">SUM(C7:C15)</f>
        <v>438408618.79647189</v>
      </c>
      <c r="D16" s="119">
        <f t="shared" si="1"/>
        <v>429028882.7692309</v>
      </c>
      <c r="E16" s="119">
        <f t="shared" si="1"/>
        <v>433590438.90586346</v>
      </c>
      <c r="F16" s="119"/>
      <c r="G16" s="119">
        <f t="shared" si="1"/>
        <v>493472667.55061972</v>
      </c>
      <c r="H16" s="119">
        <f t="shared" si="1"/>
        <v>487687836.31592792</v>
      </c>
      <c r="I16" s="119">
        <f t="shared" si="1"/>
        <v>426926768.00998205</v>
      </c>
      <c r="J16" s="119">
        <f t="shared" si="1"/>
        <v>457392470.6857298</v>
      </c>
      <c r="K16" s="119">
        <f t="shared" si="1"/>
        <v>501976914.78381997</v>
      </c>
      <c r="L16" s="119">
        <f t="shared" si="1"/>
        <v>578261979.91802847</v>
      </c>
      <c r="M16" s="119">
        <f t="shared" si="1"/>
        <v>571331664.43325186</v>
      </c>
      <c r="N16" s="119">
        <f t="shared" si="1"/>
        <v>487798590.26333135</v>
      </c>
      <c r="O16" s="119">
        <f t="shared" si="1"/>
        <v>490966865.53357667</v>
      </c>
      <c r="P16" s="119">
        <f t="shared" si="1"/>
        <v>436555856.63017994</v>
      </c>
      <c r="Q16" s="119">
        <f t="shared" si="1"/>
        <v>433291606.41512442</v>
      </c>
      <c r="R16" s="119">
        <f t="shared" si="1"/>
        <v>438394276.96474314</v>
      </c>
      <c r="S16" s="119">
        <f t="shared" si="1"/>
        <v>5804057497.5043154</v>
      </c>
    </row>
    <row r="17" spans="1:20" x14ac:dyDescent="0.25">
      <c r="A17" s="117"/>
      <c r="B17" s="117"/>
      <c r="F17" s="117"/>
      <c r="G17" s="117"/>
      <c r="S17" s="118"/>
    </row>
    <row r="18" spans="1:20" x14ac:dyDescent="0.25">
      <c r="A18" s="116" t="s">
        <v>44</v>
      </c>
      <c r="B18" s="119">
        <f>B7</f>
        <v>226932955.14778516</v>
      </c>
      <c r="C18" s="118">
        <f>C7</f>
        <v>183010874.77852428</v>
      </c>
      <c r="D18" s="118">
        <f>D7</f>
        <v>166648763.97904325</v>
      </c>
      <c r="E18" s="118">
        <f>E7</f>
        <v>160136978.2981317</v>
      </c>
      <c r="F18" s="116"/>
      <c r="G18" s="119">
        <f t="shared" ref="G18:R18" si="2">G7</f>
        <v>190905534.05463499</v>
      </c>
      <c r="H18" s="118">
        <f t="shared" si="2"/>
        <v>186920972.42530257</v>
      </c>
      <c r="I18" s="118">
        <f t="shared" si="2"/>
        <v>155173559.36544532</v>
      </c>
      <c r="J18" s="118">
        <f t="shared" si="2"/>
        <v>182466346.40402952</v>
      </c>
      <c r="K18" s="118">
        <f t="shared" si="2"/>
        <v>228224854.06331378</v>
      </c>
      <c r="L18" s="118">
        <f t="shared" si="2"/>
        <v>290580501.16812932</v>
      </c>
      <c r="M18" s="118">
        <f t="shared" si="2"/>
        <v>286401480.48358274</v>
      </c>
      <c r="N18" s="118">
        <f t="shared" si="2"/>
        <v>229644687.55598736</v>
      </c>
      <c r="O18" s="118">
        <f t="shared" si="2"/>
        <v>227422118.37583858</v>
      </c>
      <c r="P18" s="118">
        <f t="shared" si="2"/>
        <v>182361197.35917878</v>
      </c>
      <c r="Q18" s="118">
        <f t="shared" si="2"/>
        <v>169263488.02176791</v>
      </c>
      <c r="R18" s="118">
        <f t="shared" si="2"/>
        <v>161836189.55636132</v>
      </c>
      <c r="S18" s="118">
        <f t="shared" si="0"/>
        <v>2491200928.8335719</v>
      </c>
      <c r="T18" s="120"/>
    </row>
    <row r="19" spans="1:20" x14ac:dyDescent="0.25">
      <c r="A19" s="116" t="s">
        <v>53</v>
      </c>
      <c r="B19" s="119">
        <f>B8+B9</f>
        <v>52852003.225876302</v>
      </c>
      <c r="C19" s="118">
        <f>C8+C9</f>
        <v>45986275.62640202</v>
      </c>
      <c r="D19" s="118">
        <f>D8+D9</f>
        <v>45379959.738472529</v>
      </c>
      <c r="E19" s="118">
        <f>E8+E9</f>
        <v>45942304.591979779</v>
      </c>
      <c r="F19" s="116"/>
      <c r="G19" s="119">
        <f t="shared" ref="G19:R19" si="3">G8+G9</f>
        <v>53483946.356660247</v>
      </c>
      <c r="H19" s="118">
        <f t="shared" si="3"/>
        <v>51807257.636799514</v>
      </c>
      <c r="I19" s="118">
        <f t="shared" si="3"/>
        <v>44337553.141887568</v>
      </c>
      <c r="J19" s="118">
        <f t="shared" si="3"/>
        <v>49346436.974914998</v>
      </c>
      <c r="K19" s="118">
        <f t="shared" si="3"/>
        <v>52823343.053710811</v>
      </c>
      <c r="L19" s="118">
        <f t="shared" si="3"/>
        <v>60816570.891031623</v>
      </c>
      <c r="M19" s="118">
        <f t="shared" si="3"/>
        <v>60460992.618289672</v>
      </c>
      <c r="N19" s="118">
        <f t="shared" si="3"/>
        <v>50727016.567556284</v>
      </c>
      <c r="O19" s="118">
        <f t="shared" si="3"/>
        <v>52766448.93408107</v>
      </c>
      <c r="P19" s="118">
        <f t="shared" si="3"/>
        <v>45585758.951957636</v>
      </c>
      <c r="Q19" s="118">
        <f t="shared" si="3"/>
        <v>45824366.703657433</v>
      </c>
      <c r="R19" s="118">
        <f t="shared" si="3"/>
        <v>46312593.175017297</v>
      </c>
      <c r="S19" s="118">
        <f t="shared" si="0"/>
        <v>614292285.00556421</v>
      </c>
    </row>
    <row r="20" spans="1:20" x14ac:dyDescent="0.25">
      <c r="A20" s="116" t="s">
        <v>54</v>
      </c>
      <c r="B20" s="119">
        <f>B10+B11</f>
        <v>115464928.80385552</v>
      </c>
      <c r="C20" s="118">
        <f>C10+C11</f>
        <v>106253494.94866233</v>
      </c>
      <c r="D20" s="118">
        <f>D10+D11</f>
        <v>111102810.71053214</v>
      </c>
      <c r="E20" s="118">
        <f>E10+E11</f>
        <v>114680316.83318067</v>
      </c>
      <c r="F20" s="116"/>
      <c r="G20" s="119">
        <f t="shared" ref="G20:R20" si="4">G10+G11</f>
        <v>131234584.44109005</v>
      </c>
      <c r="H20" s="118">
        <f t="shared" si="4"/>
        <v>128166445.21038838</v>
      </c>
      <c r="I20" s="118">
        <f t="shared" si="4"/>
        <v>111078455.1395566</v>
      </c>
      <c r="J20" s="118">
        <f t="shared" si="4"/>
        <v>120500860.1789273</v>
      </c>
      <c r="K20" s="118">
        <f t="shared" si="4"/>
        <v>119325358.26550061</v>
      </c>
      <c r="L20" s="118">
        <f t="shared" si="4"/>
        <v>128715929.51896919</v>
      </c>
      <c r="M20" s="118">
        <f t="shared" si="4"/>
        <v>125366098.30915298</v>
      </c>
      <c r="N20" s="118">
        <f t="shared" si="4"/>
        <v>107244995.17833839</v>
      </c>
      <c r="O20" s="118">
        <f t="shared" si="4"/>
        <v>115008784.31836359</v>
      </c>
      <c r="P20" s="118">
        <f t="shared" si="4"/>
        <v>104931937.16846541</v>
      </c>
      <c r="Q20" s="118">
        <f t="shared" si="4"/>
        <v>111840928.51602139</v>
      </c>
      <c r="R20" s="118">
        <f t="shared" si="4"/>
        <v>115405539.86026782</v>
      </c>
      <c r="S20" s="118">
        <f t="shared" si="0"/>
        <v>1418819916.1050417</v>
      </c>
    </row>
    <row r="21" spans="1:20" x14ac:dyDescent="0.25">
      <c r="A21" s="116" t="s">
        <v>49</v>
      </c>
      <c r="B21" s="119">
        <f>B12</f>
        <v>88769264.47603935</v>
      </c>
      <c r="C21" s="118">
        <f>C12</f>
        <v>94010448.082587257</v>
      </c>
      <c r="D21" s="118">
        <f>D12</f>
        <v>91191638.414562523</v>
      </c>
      <c r="E21" s="118">
        <f>E12</f>
        <v>93264118.560468197</v>
      </c>
      <c r="F21" s="116"/>
      <c r="G21" s="119">
        <f t="shared" ref="G21:R21" si="5">G12</f>
        <v>91899814.941576734</v>
      </c>
      <c r="H21" s="118">
        <f t="shared" si="5"/>
        <v>94378515.697783574</v>
      </c>
      <c r="I21" s="118">
        <f t="shared" si="5"/>
        <v>97836450.989881769</v>
      </c>
      <c r="J21" s="118">
        <f t="shared" si="5"/>
        <v>93268295.925062925</v>
      </c>
      <c r="K21" s="118">
        <f t="shared" si="5"/>
        <v>94902018.142556652</v>
      </c>
      <c r="L21" s="118">
        <f t="shared" si="5"/>
        <v>91899768.386997655</v>
      </c>
      <c r="M21" s="118">
        <f t="shared" si="5"/>
        <v>92837182.020747602</v>
      </c>
      <c r="N21" s="118">
        <f t="shared" si="5"/>
        <v>94529993.527695328</v>
      </c>
      <c r="O21" s="118">
        <f t="shared" si="5"/>
        <v>89236487.867209762</v>
      </c>
      <c r="P21" s="118">
        <f t="shared" si="5"/>
        <v>94683024.553652436</v>
      </c>
      <c r="Q21" s="118">
        <f t="shared" si="5"/>
        <v>91657181.307559013</v>
      </c>
      <c r="R21" s="118">
        <f t="shared" si="5"/>
        <v>95067818.96175155</v>
      </c>
      <c r="S21" s="118">
        <f t="shared" si="0"/>
        <v>1122196552.322475</v>
      </c>
    </row>
    <row r="22" spans="1:20" x14ac:dyDescent="0.25">
      <c r="A22" s="116" t="s">
        <v>55</v>
      </c>
      <c r="B22" s="119">
        <f>B13+B14</f>
        <v>4555568.665236474</v>
      </c>
      <c r="C22" s="118">
        <f>C13+C14</f>
        <v>7211140.7478169147</v>
      </c>
      <c r="D22" s="118">
        <f>D13+D14</f>
        <v>12773433.32256023</v>
      </c>
      <c r="E22" s="118">
        <f>E13+E14</f>
        <v>17638197.90877958</v>
      </c>
      <c r="F22" s="116"/>
      <c r="G22" s="119">
        <f>G13+G14</f>
        <v>24023313.528504737</v>
      </c>
      <c r="H22" s="118">
        <f t="shared" ref="H22:R22" si="6">H13+H14</f>
        <v>24491186.377026077</v>
      </c>
      <c r="I22" s="118">
        <f t="shared" si="6"/>
        <v>16578970.962678134</v>
      </c>
      <c r="J22" s="118">
        <f t="shared" si="6"/>
        <v>9889503.8979583848</v>
      </c>
      <c r="K22" s="118">
        <f t="shared" si="6"/>
        <v>4780585.7713671355</v>
      </c>
      <c r="L22" s="118">
        <f t="shared" si="6"/>
        <v>4327969.0313790683</v>
      </c>
      <c r="M22" s="118">
        <f t="shared" si="6"/>
        <v>4343011.0857339157</v>
      </c>
      <c r="N22" s="118">
        <f t="shared" si="6"/>
        <v>3730284.3516357807</v>
      </c>
      <c r="O22" s="118">
        <f t="shared" si="6"/>
        <v>4612194.1865076991</v>
      </c>
      <c r="P22" s="118">
        <f t="shared" si="6"/>
        <v>7074255.6718968954</v>
      </c>
      <c r="Q22" s="118">
        <f t="shared" si="6"/>
        <v>12787692.915044105</v>
      </c>
      <c r="R22" s="118">
        <f t="shared" si="6"/>
        <v>17855484.348019376</v>
      </c>
      <c r="S22" s="118">
        <f t="shared" si="0"/>
        <v>134494452.12775129</v>
      </c>
    </row>
    <row r="23" spans="1:20" x14ac:dyDescent="0.25">
      <c r="A23" s="116" t="s">
        <v>52</v>
      </c>
      <c r="B23" s="119">
        <f>B15</f>
        <v>1932066.9701437959</v>
      </c>
      <c r="C23" s="118">
        <f>C15</f>
        <v>1936384.6124791126</v>
      </c>
      <c r="D23" s="118">
        <f>D15</f>
        <v>1932276.6040601493</v>
      </c>
      <c r="E23" s="118">
        <f>E15</f>
        <v>1928522.7133235182</v>
      </c>
      <c r="F23" s="116"/>
      <c r="G23" s="119">
        <f>G15</f>
        <v>1925474.2281530034</v>
      </c>
      <c r="H23" s="118">
        <f t="shared" ref="H23:R23" si="7">H15</f>
        <v>1923458.9686277949</v>
      </c>
      <c r="I23" s="118">
        <f t="shared" si="7"/>
        <v>1921778.410532739</v>
      </c>
      <c r="J23" s="118">
        <f t="shared" si="7"/>
        <v>1921027.304836717</v>
      </c>
      <c r="K23" s="118">
        <f t="shared" si="7"/>
        <v>1920755.4873709911</v>
      </c>
      <c r="L23" s="118">
        <f t="shared" si="7"/>
        <v>1921240.9215215563</v>
      </c>
      <c r="M23" s="118">
        <f t="shared" si="7"/>
        <v>1922899.9157449869</v>
      </c>
      <c r="N23" s="118">
        <f t="shared" si="7"/>
        <v>1921613.082118284</v>
      </c>
      <c r="O23" s="118">
        <f t="shared" si="7"/>
        <v>1920831.851576054</v>
      </c>
      <c r="P23" s="118">
        <f t="shared" si="7"/>
        <v>1919682.9250287421</v>
      </c>
      <c r="Q23" s="118">
        <f t="shared" si="7"/>
        <v>1917948.9510745448</v>
      </c>
      <c r="R23" s="118">
        <f t="shared" si="7"/>
        <v>1916651.0633257441</v>
      </c>
      <c r="S23" s="118">
        <f t="shared" si="0"/>
        <v>23053363.109911155</v>
      </c>
    </row>
    <row r="24" spans="1:20" x14ac:dyDescent="0.25">
      <c r="A24" s="116" t="s">
        <v>0</v>
      </c>
      <c r="B24" s="119">
        <f>SUM(B18:B23)</f>
        <v>490506787.28893661</v>
      </c>
      <c r="C24" s="118">
        <f>SUM(C18:C23)</f>
        <v>438408618.79647189</v>
      </c>
      <c r="D24" s="118">
        <f>SUM(D18:D23)</f>
        <v>429028882.76923084</v>
      </c>
      <c r="E24" s="118">
        <f>SUM(E18:E23)</f>
        <v>433590438.9058634</v>
      </c>
      <c r="F24" s="116"/>
      <c r="G24" s="119">
        <f>SUM(G18:G23)</f>
        <v>493472667.55061972</v>
      </c>
      <c r="H24" s="118">
        <f t="shared" ref="H24:S24" si="8">SUM(H18:H23)</f>
        <v>487687836.31592792</v>
      </c>
      <c r="I24" s="118">
        <f t="shared" si="8"/>
        <v>426926768.00998211</v>
      </c>
      <c r="J24" s="118">
        <f t="shared" si="8"/>
        <v>457392470.6857298</v>
      </c>
      <c r="K24" s="118">
        <f t="shared" si="8"/>
        <v>501976914.78381997</v>
      </c>
      <c r="L24" s="118">
        <f t="shared" si="8"/>
        <v>578261979.91802847</v>
      </c>
      <c r="M24" s="118">
        <f t="shared" si="8"/>
        <v>571331664.43325186</v>
      </c>
      <c r="N24" s="118">
        <f t="shared" si="8"/>
        <v>487798590.26333135</v>
      </c>
      <c r="O24" s="118">
        <f t="shared" si="8"/>
        <v>490966865.53357679</v>
      </c>
      <c r="P24" s="118">
        <f t="shared" si="8"/>
        <v>436555856.63017988</v>
      </c>
      <c r="Q24" s="118">
        <f t="shared" si="8"/>
        <v>433291606.41512442</v>
      </c>
      <c r="R24" s="118">
        <f t="shared" si="8"/>
        <v>438394276.96474314</v>
      </c>
      <c r="S24" s="118">
        <f t="shared" si="8"/>
        <v>5804057497.5043154</v>
      </c>
    </row>
    <row r="25" spans="1:20" x14ac:dyDescent="0.25">
      <c r="A25" s="117"/>
      <c r="B25" s="117"/>
      <c r="F25" s="117"/>
      <c r="G25" s="117"/>
      <c r="S25" s="118">
        <f t="shared" si="0"/>
        <v>0</v>
      </c>
    </row>
    <row r="26" spans="1:20" x14ac:dyDescent="0.25">
      <c r="A26" s="116" t="s">
        <v>130</v>
      </c>
      <c r="B26" s="118">
        <f>SUM(B7:B15)-SUM(B18:B23)</f>
        <v>0</v>
      </c>
      <c r="C26" s="118">
        <f>SUM(C7:C15)-SUM(C18:C23)</f>
        <v>0</v>
      </c>
      <c r="D26" s="118">
        <f>SUM(D7:D15)-SUM(D18:D23)</f>
        <v>0</v>
      </c>
      <c r="E26" s="118">
        <f>SUM(E7:E15)-SUM(E18:E23)</f>
        <v>0</v>
      </c>
      <c r="G26" s="118">
        <f t="shared" ref="G26:R26" si="9">SUM(G7:G15)-SUM(G18:G23)</f>
        <v>0</v>
      </c>
      <c r="H26" s="118">
        <f t="shared" si="9"/>
        <v>0</v>
      </c>
      <c r="I26" s="118">
        <f t="shared" si="9"/>
        <v>0</v>
      </c>
      <c r="J26" s="118">
        <f t="shared" si="9"/>
        <v>0</v>
      </c>
      <c r="K26" s="118">
        <f t="shared" si="9"/>
        <v>0</v>
      </c>
      <c r="L26" s="118">
        <f t="shared" si="9"/>
        <v>0</v>
      </c>
      <c r="M26" s="118">
        <f t="shared" si="9"/>
        <v>0</v>
      </c>
      <c r="N26" s="118">
        <f t="shared" si="9"/>
        <v>0</v>
      </c>
      <c r="O26" s="118">
        <f t="shared" si="9"/>
        <v>0</v>
      </c>
      <c r="P26" s="118">
        <f t="shared" si="9"/>
        <v>0</v>
      </c>
      <c r="Q26" s="118">
        <f t="shared" si="9"/>
        <v>0</v>
      </c>
      <c r="R26" s="118">
        <f t="shared" si="9"/>
        <v>0</v>
      </c>
      <c r="S26" s="118">
        <f t="shared" si="0"/>
        <v>0</v>
      </c>
    </row>
    <row r="29" spans="1:20" x14ac:dyDescent="0.25">
      <c r="A29" s="19" t="s">
        <v>57</v>
      </c>
      <c r="F29" s="19"/>
    </row>
    <row r="30" spans="1:20" x14ac:dyDescent="0.25">
      <c r="A30" s="104" t="s">
        <v>116</v>
      </c>
      <c r="G30" s="143"/>
    </row>
    <row r="32" spans="1:20" x14ac:dyDescent="0.25">
      <c r="B32" s="105">
        <f>B6</f>
        <v>42809</v>
      </c>
      <c r="C32" s="105">
        <f>C6</f>
        <v>42840</v>
      </c>
      <c r="D32" s="105">
        <f>D6</f>
        <v>42870</v>
      </c>
      <c r="E32" s="105">
        <f>E6</f>
        <v>42901</v>
      </c>
      <c r="F32" s="105"/>
      <c r="G32" s="105">
        <f t="shared" ref="G32:R32" si="10">G6</f>
        <v>42932</v>
      </c>
      <c r="H32" s="105">
        <f t="shared" si="10"/>
        <v>42963</v>
      </c>
      <c r="I32" s="105">
        <f t="shared" si="10"/>
        <v>42994</v>
      </c>
      <c r="J32" s="105">
        <f t="shared" si="10"/>
        <v>43024</v>
      </c>
      <c r="K32" s="105">
        <f t="shared" si="10"/>
        <v>43055</v>
      </c>
      <c r="L32" s="105">
        <f t="shared" si="10"/>
        <v>43085</v>
      </c>
      <c r="M32" s="105">
        <f t="shared" si="10"/>
        <v>43116</v>
      </c>
      <c r="N32" s="105">
        <f t="shared" si="10"/>
        <v>43147</v>
      </c>
      <c r="O32" s="105">
        <f t="shared" si="10"/>
        <v>43175</v>
      </c>
      <c r="P32" s="105">
        <f t="shared" si="10"/>
        <v>43206</v>
      </c>
      <c r="Q32" s="105">
        <f t="shared" si="10"/>
        <v>43236</v>
      </c>
      <c r="R32" s="105">
        <f t="shared" si="10"/>
        <v>43267</v>
      </c>
      <c r="S32" s="106" t="s">
        <v>0</v>
      </c>
    </row>
    <row r="33" spans="1:19" x14ac:dyDescent="0.25">
      <c r="A33" s="107" t="s">
        <v>44</v>
      </c>
      <c r="B33" s="121">
        <v>211553</v>
      </c>
      <c r="C33" s="121">
        <v>211407</v>
      </c>
      <c r="D33" s="121">
        <v>211316</v>
      </c>
      <c r="E33" s="121">
        <v>210710</v>
      </c>
      <c r="F33" s="109"/>
      <c r="G33" s="121">
        <v>211180</v>
      </c>
      <c r="H33" s="121">
        <v>211052</v>
      </c>
      <c r="I33" s="121">
        <v>211879</v>
      </c>
      <c r="J33" s="121">
        <v>212559</v>
      </c>
      <c r="K33" s="121">
        <v>213016</v>
      </c>
      <c r="L33" s="121">
        <v>213475</v>
      </c>
      <c r="M33" s="121">
        <v>213577</v>
      </c>
      <c r="N33" s="121">
        <v>213788</v>
      </c>
      <c r="O33" s="121">
        <v>213475</v>
      </c>
      <c r="P33" s="121">
        <v>213474</v>
      </c>
      <c r="Q33" s="121">
        <v>213208</v>
      </c>
      <c r="R33" s="121">
        <v>212659</v>
      </c>
      <c r="S33" s="111">
        <f>SUM(G33:R33)</f>
        <v>2553342</v>
      </c>
    </row>
    <row r="34" spans="1:19" x14ac:dyDescent="0.25">
      <c r="A34" s="107" t="s">
        <v>45</v>
      </c>
      <c r="B34" s="121">
        <v>22521.927153221332</v>
      </c>
      <c r="C34" s="121">
        <v>22557.921082656441</v>
      </c>
      <c r="D34" s="121">
        <v>22565.886728433365</v>
      </c>
      <c r="E34" s="121">
        <v>22576.861085432443</v>
      </c>
      <c r="F34" s="109"/>
      <c r="G34" s="121">
        <v>22554.852788539469</v>
      </c>
      <c r="H34" s="121">
        <v>22584.851017959936</v>
      </c>
      <c r="I34" s="121">
        <v>22604.849974585628</v>
      </c>
      <c r="J34" s="121">
        <v>22652.8497919131</v>
      </c>
      <c r="K34" s="121">
        <v>22682.85062063831</v>
      </c>
      <c r="L34" s="121">
        <v>22748.873463929431</v>
      </c>
      <c r="M34" s="121">
        <v>22756.894207347977</v>
      </c>
      <c r="N34" s="121">
        <v>22822.898453392325</v>
      </c>
      <c r="O34" s="121">
        <v>22805.876364004147</v>
      </c>
      <c r="P34" s="121">
        <v>22844.87213156938</v>
      </c>
      <c r="Q34" s="121">
        <v>22851.868052312126</v>
      </c>
      <c r="R34" s="121">
        <v>22869.86649596869</v>
      </c>
      <c r="S34" s="111">
        <f t="shared" ref="S34:S41" si="11">SUM(G34:R34)</f>
        <v>272781.40336216049</v>
      </c>
    </row>
    <row r="35" spans="1:19" x14ac:dyDescent="0.25">
      <c r="A35" s="107" t="s">
        <v>46</v>
      </c>
      <c r="B35" s="121">
        <v>9159</v>
      </c>
      <c r="C35" s="121">
        <v>9167</v>
      </c>
      <c r="D35" s="121">
        <v>9180</v>
      </c>
      <c r="E35" s="121">
        <v>9192</v>
      </c>
      <c r="F35" s="109"/>
      <c r="G35" s="121">
        <v>9206</v>
      </c>
      <c r="H35" s="121">
        <v>9239</v>
      </c>
      <c r="I35" s="121">
        <v>9252</v>
      </c>
      <c r="J35" s="121">
        <v>9277</v>
      </c>
      <c r="K35" s="121">
        <v>9295</v>
      </c>
      <c r="L35" s="121">
        <v>9327</v>
      </c>
      <c r="M35" s="121">
        <v>9343</v>
      </c>
      <c r="N35" s="121">
        <v>9353</v>
      </c>
      <c r="O35" s="121">
        <v>9353</v>
      </c>
      <c r="P35" s="121">
        <v>9361</v>
      </c>
      <c r="Q35" s="121">
        <v>9373</v>
      </c>
      <c r="R35" s="121">
        <v>9384</v>
      </c>
      <c r="S35" s="111">
        <f t="shared" si="11"/>
        <v>111763</v>
      </c>
    </row>
    <row r="36" spans="1:19" x14ac:dyDescent="0.25">
      <c r="A36" s="107" t="s">
        <v>47</v>
      </c>
      <c r="B36" s="121">
        <v>1855.2490847752144</v>
      </c>
      <c r="C36" s="121">
        <v>1855.6031751731489</v>
      </c>
      <c r="D36" s="121">
        <v>1855.5492731042448</v>
      </c>
      <c r="E36" s="121">
        <v>1855.5030319740429</v>
      </c>
      <c r="F36" s="109"/>
      <c r="G36" s="121">
        <v>1855.4661029255835</v>
      </c>
      <c r="H36" s="121">
        <v>1855.4403590914501</v>
      </c>
      <c r="I36" s="121">
        <v>1855.420976681311</v>
      </c>
      <c r="J36" s="121">
        <v>1855.3953058202362</v>
      </c>
      <c r="K36" s="121">
        <v>1855.383266366473</v>
      </c>
      <c r="L36" s="121">
        <v>1855.3942529355531</v>
      </c>
      <c r="M36" s="121">
        <v>1855.4044090274906</v>
      </c>
      <c r="N36" s="121">
        <v>1855.4135199338095</v>
      </c>
      <c r="O36" s="121">
        <v>1855.4352298173799</v>
      </c>
      <c r="P36" s="121">
        <v>1855.450741904227</v>
      </c>
      <c r="Q36" s="121">
        <v>1855.4380391318168</v>
      </c>
      <c r="R36" s="121">
        <v>1855.4287696341144</v>
      </c>
      <c r="S36" s="111">
        <f t="shared" si="11"/>
        <v>22265.070973269445</v>
      </c>
    </row>
    <row r="37" spans="1:19" x14ac:dyDescent="0.25">
      <c r="A37" s="107" t="s">
        <v>48</v>
      </c>
      <c r="B37" s="121">
        <v>49.249400000000001</v>
      </c>
      <c r="C37" s="121">
        <v>49.245100000000001</v>
      </c>
      <c r="D37" s="121">
        <v>49.241</v>
      </c>
      <c r="E37" s="121">
        <v>49.236899999999999</v>
      </c>
      <c r="F37" s="109"/>
      <c r="G37" s="121">
        <v>49.232700000000001</v>
      </c>
      <c r="H37" s="121">
        <v>49.2286</v>
      </c>
      <c r="I37" s="121">
        <v>49.224400000000003</v>
      </c>
      <c r="J37" s="121">
        <v>49.220300000000002</v>
      </c>
      <c r="K37" s="121">
        <v>49.216099999999997</v>
      </c>
      <c r="L37" s="121">
        <v>49.212000000000003</v>
      </c>
      <c r="M37" s="121">
        <v>49.207799999999999</v>
      </c>
      <c r="N37" s="121">
        <v>49.203699999999998</v>
      </c>
      <c r="O37" s="121">
        <v>49.1995</v>
      </c>
      <c r="P37" s="121">
        <v>49.195399999999999</v>
      </c>
      <c r="Q37" s="121">
        <v>49.191200000000002</v>
      </c>
      <c r="R37" s="121">
        <v>49.187100000000001</v>
      </c>
      <c r="S37" s="111">
        <f t="shared" si="11"/>
        <v>590.51879999999994</v>
      </c>
    </row>
    <row r="38" spans="1:19" x14ac:dyDescent="0.25">
      <c r="A38" s="112" t="s">
        <v>49</v>
      </c>
      <c r="B38" s="142">
        <v>21.060955922985176</v>
      </c>
      <c r="C38" s="121">
        <v>21.066035583233941</v>
      </c>
      <c r="D38" s="121">
        <v>21.071538548503437</v>
      </c>
      <c r="E38" s="121">
        <v>21.070555649767613</v>
      </c>
      <c r="F38" s="113"/>
      <c r="G38" s="121">
        <v>21.075856583544542</v>
      </c>
      <c r="H38" s="121">
        <v>21.074606592049797</v>
      </c>
      <c r="I38" s="121">
        <v>21.072621486809091</v>
      </c>
      <c r="J38" s="121">
        <v>21.076731873805699</v>
      </c>
      <c r="K38" s="121">
        <v>21.081023009421124</v>
      </c>
      <c r="L38" s="121">
        <v>21.078552029626582</v>
      </c>
      <c r="M38" s="121">
        <v>21.082051004523077</v>
      </c>
      <c r="N38" s="121">
        <v>21.078643197252134</v>
      </c>
      <c r="O38" s="121">
        <v>21.074097623460183</v>
      </c>
      <c r="P38" s="121">
        <v>21.075192765166435</v>
      </c>
      <c r="Q38" s="121">
        <v>21.075955863660809</v>
      </c>
      <c r="R38" s="121">
        <v>21.07632397325726</v>
      </c>
      <c r="S38" s="111">
        <f t="shared" si="11"/>
        <v>252.92165600257675</v>
      </c>
    </row>
    <row r="39" spans="1:19" x14ac:dyDescent="0.25">
      <c r="A39" s="107" t="s">
        <v>50</v>
      </c>
      <c r="B39" s="110">
        <v>1247.7348329257075</v>
      </c>
      <c r="C39" s="134">
        <v>1253.2197190028496</v>
      </c>
      <c r="D39" s="110">
        <v>1258.9049094753095</v>
      </c>
      <c r="E39" s="110">
        <v>1263.319328783437</v>
      </c>
      <c r="F39" s="109"/>
      <c r="G39" s="110">
        <v>1267.5980234660074</v>
      </c>
      <c r="H39" s="110">
        <v>1262.4919344235655</v>
      </c>
      <c r="I39" s="110">
        <v>1263.7953741277584</v>
      </c>
      <c r="J39" s="110">
        <v>1268.7025993769312</v>
      </c>
      <c r="K39" s="110">
        <v>1269.6559623473006</v>
      </c>
      <c r="L39" s="110">
        <v>1262.4537705392809</v>
      </c>
      <c r="M39" s="110">
        <v>1260.3696984136241</v>
      </c>
      <c r="N39" s="110">
        <v>1263.0429165549458</v>
      </c>
      <c r="O39" s="110">
        <v>1260.7950391197264</v>
      </c>
      <c r="P39" s="110">
        <v>1263.211347969228</v>
      </c>
      <c r="Q39" s="110">
        <v>1271.4694003830928</v>
      </c>
      <c r="R39" s="110">
        <v>1276.5306079587417</v>
      </c>
      <c r="S39" s="111">
        <f t="shared" si="11"/>
        <v>15190.116674680201</v>
      </c>
    </row>
    <row r="40" spans="1:19" x14ac:dyDescent="0.25">
      <c r="A40" s="107" t="s">
        <v>51</v>
      </c>
      <c r="B40" s="110">
        <v>1174.4014999999999</v>
      </c>
      <c r="C40" s="138">
        <v>1175.2823000000001</v>
      </c>
      <c r="D40" s="110">
        <v>1176.2798</v>
      </c>
      <c r="E40" s="110">
        <v>1175.3589999999999</v>
      </c>
      <c r="F40" s="109"/>
      <c r="G40" s="110">
        <v>1177.3359</v>
      </c>
      <c r="H40" s="110">
        <v>1175.2733000000001</v>
      </c>
      <c r="I40" s="110">
        <v>1178.2637999999999</v>
      </c>
      <c r="J40" s="110">
        <v>1178.2679000000001</v>
      </c>
      <c r="K40" s="110">
        <v>1176.2131999999999</v>
      </c>
      <c r="L40" s="110">
        <v>1174.1619000000001</v>
      </c>
      <c r="M40" s="110">
        <v>1173.1534999999999</v>
      </c>
      <c r="N40" s="110">
        <v>1171.1524999999999</v>
      </c>
      <c r="O40" s="110">
        <v>1170.1271999999999</v>
      </c>
      <c r="P40" s="110">
        <v>1170.1084000000001</v>
      </c>
      <c r="Q40" s="110">
        <v>1170.1089999999999</v>
      </c>
      <c r="R40" s="110">
        <v>1170.1068</v>
      </c>
      <c r="S40" s="111">
        <f t="shared" si="11"/>
        <v>14084.2734</v>
      </c>
    </row>
    <row r="41" spans="1:19" x14ac:dyDescent="0.25">
      <c r="A41" s="114" t="s">
        <v>52</v>
      </c>
      <c r="B41" s="110">
        <v>405.63720000000001</v>
      </c>
      <c r="C41" s="138">
        <v>406.0009</v>
      </c>
      <c r="D41" s="110">
        <v>406.3657</v>
      </c>
      <c r="E41" s="110">
        <v>406.73079999999999</v>
      </c>
      <c r="F41" s="115"/>
      <c r="G41" s="110">
        <v>407.09620000000001</v>
      </c>
      <c r="H41" s="110">
        <v>407.46179999999998</v>
      </c>
      <c r="I41" s="110">
        <v>407.82760000000002</v>
      </c>
      <c r="J41" s="110">
        <v>408.1934</v>
      </c>
      <c r="K41" s="110">
        <v>408.55919999999998</v>
      </c>
      <c r="L41" s="110">
        <v>408.92509999999999</v>
      </c>
      <c r="M41" s="110">
        <v>409.291</v>
      </c>
      <c r="N41" s="110">
        <v>409.65690000000001</v>
      </c>
      <c r="O41" s="110">
        <v>410.02280000000002</v>
      </c>
      <c r="P41" s="110">
        <v>410.3888</v>
      </c>
      <c r="Q41" s="110">
        <v>410.75470000000001</v>
      </c>
      <c r="R41" s="110">
        <v>411.12060000000002</v>
      </c>
      <c r="S41" s="111">
        <f t="shared" si="11"/>
        <v>4909.2981000000009</v>
      </c>
    </row>
    <row r="42" spans="1:19" x14ac:dyDescent="0.25">
      <c r="A42" s="116" t="s">
        <v>0</v>
      </c>
      <c r="B42" s="119">
        <f>SUM(B33:B41)</f>
        <v>247987.26012684524</v>
      </c>
      <c r="C42" s="119">
        <f t="shared" ref="C42:S42" si="12">SUM(C33:C41)</f>
        <v>247892.33831241567</v>
      </c>
      <c r="D42" s="119">
        <f t="shared" si="12"/>
        <v>247829.2989495614</v>
      </c>
      <c r="E42" s="119">
        <f t="shared" si="12"/>
        <v>247250.08070183964</v>
      </c>
      <c r="F42" s="119"/>
      <c r="G42" s="119">
        <f t="shared" si="12"/>
        <v>247718.6575715146</v>
      </c>
      <c r="H42" s="119">
        <f t="shared" si="12"/>
        <v>247646.82161806698</v>
      </c>
      <c r="I42" s="119">
        <f t="shared" si="12"/>
        <v>248511.4547468815</v>
      </c>
      <c r="J42" s="119">
        <f t="shared" si="12"/>
        <v>249269.70602898404</v>
      </c>
      <c r="K42" s="119">
        <f t="shared" si="12"/>
        <v>249773.95937236148</v>
      </c>
      <c r="L42" s="119">
        <f t="shared" si="12"/>
        <v>250322.09903943387</v>
      </c>
      <c r="M42" s="119">
        <f t="shared" si="12"/>
        <v>250445.40266579358</v>
      </c>
      <c r="N42" s="119">
        <f t="shared" si="12"/>
        <v>250733.44663307836</v>
      </c>
      <c r="O42" s="119">
        <f t="shared" si="12"/>
        <v>250400.53023056471</v>
      </c>
      <c r="P42" s="119">
        <f t="shared" si="12"/>
        <v>250449.30201420796</v>
      </c>
      <c r="Q42" s="119">
        <f t="shared" si="12"/>
        <v>250210.90634769067</v>
      </c>
      <c r="R42" s="119">
        <f t="shared" si="12"/>
        <v>249696.31669753478</v>
      </c>
      <c r="S42" s="119">
        <f t="shared" si="12"/>
        <v>2995178.602966113</v>
      </c>
    </row>
    <row r="43" spans="1:19" x14ac:dyDescent="0.25">
      <c r="A43" s="117"/>
      <c r="F43" s="117"/>
      <c r="S43" s="118"/>
    </row>
    <row r="44" spans="1:19" x14ac:dyDescent="0.25">
      <c r="A44" s="116" t="s">
        <v>44</v>
      </c>
      <c r="B44" s="118">
        <f>B33</f>
        <v>211553</v>
      </c>
      <c r="C44" s="118">
        <f>C33</f>
        <v>211407</v>
      </c>
      <c r="D44" s="118">
        <f>D33</f>
        <v>211316</v>
      </c>
      <c r="E44" s="118">
        <f>E33</f>
        <v>210710</v>
      </c>
      <c r="F44" s="116"/>
      <c r="G44" s="118">
        <f t="shared" ref="G44:R44" si="13">G33</f>
        <v>211180</v>
      </c>
      <c r="H44" s="118">
        <f t="shared" si="13"/>
        <v>211052</v>
      </c>
      <c r="I44" s="118">
        <f t="shared" si="13"/>
        <v>211879</v>
      </c>
      <c r="J44" s="118">
        <f t="shared" si="13"/>
        <v>212559</v>
      </c>
      <c r="K44" s="118">
        <f t="shared" si="13"/>
        <v>213016</v>
      </c>
      <c r="L44" s="118">
        <f t="shared" si="13"/>
        <v>213475</v>
      </c>
      <c r="M44" s="118">
        <f t="shared" si="13"/>
        <v>213577</v>
      </c>
      <c r="N44" s="118">
        <f t="shared" si="13"/>
        <v>213788</v>
      </c>
      <c r="O44" s="118">
        <f t="shared" si="13"/>
        <v>213475</v>
      </c>
      <c r="P44" s="118">
        <f t="shared" si="13"/>
        <v>213474</v>
      </c>
      <c r="Q44" s="118">
        <f t="shared" si="13"/>
        <v>213208</v>
      </c>
      <c r="R44" s="118">
        <f t="shared" si="13"/>
        <v>212659</v>
      </c>
      <c r="S44" s="118">
        <f t="shared" ref="S44:S49" si="14">SUM(G44:R44)</f>
        <v>2553342</v>
      </c>
    </row>
    <row r="45" spans="1:19" x14ac:dyDescent="0.25">
      <c r="A45" s="116" t="s">
        <v>53</v>
      </c>
      <c r="B45" s="118">
        <f>B34+B35</f>
        <v>31680.927153221332</v>
      </c>
      <c r="C45" s="118">
        <f>C34+C35</f>
        <v>31724.921082656441</v>
      </c>
      <c r="D45" s="118">
        <f>D34+D35</f>
        <v>31745.886728433365</v>
      </c>
      <c r="E45" s="118">
        <f>E34+E35</f>
        <v>31768.861085432443</v>
      </c>
      <c r="F45" s="116"/>
      <c r="G45" s="118">
        <f t="shared" ref="G45:R45" si="15">G34+G35</f>
        <v>31760.852788539469</v>
      </c>
      <c r="H45" s="118">
        <f t="shared" si="15"/>
        <v>31823.851017959936</v>
      </c>
      <c r="I45" s="118">
        <f t="shared" si="15"/>
        <v>31856.849974585628</v>
      </c>
      <c r="J45" s="118">
        <f t="shared" si="15"/>
        <v>31929.8497919131</v>
      </c>
      <c r="K45" s="118">
        <f t="shared" si="15"/>
        <v>31977.85062063831</v>
      </c>
      <c r="L45" s="118">
        <f t="shared" si="15"/>
        <v>32075.873463929431</v>
      </c>
      <c r="M45" s="118">
        <f t="shared" si="15"/>
        <v>32099.894207347977</v>
      </c>
      <c r="N45" s="118">
        <f t="shared" si="15"/>
        <v>32175.898453392325</v>
      </c>
      <c r="O45" s="118">
        <f t="shared" si="15"/>
        <v>32158.876364004147</v>
      </c>
      <c r="P45" s="118">
        <f t="shared" si="15"/>
        <v>32205.87213156938</v>
      </c>
      <c r="Q45" s="118">
        <f t="shared" si="15"/>
        <v>32224.868052312126</v>
      </c>
      <c r="R45" s="118">
        <f t="shared" si="15"/>
        <v>32253.86649596869</v>
      </c>
      <c r="S45" s="118">
        <f t="shared" si="14"/>
        <v>384544.40336216049</v>
      </c>
    </row>
    <row r="46" spans="1:19" x14ac:dyDescent="0.25">
      <c r="A46" s="116" t="s">
        <v>54</v>
      </c>
      <c r="B46" s="118" t="s">
        <v>131</v>
      </c>
      <c r="C46" s="118">
        <f>C36+C37</f>
        <v>1904.848275173149</v>
      </c>
      <c r="D46" s="118">
        <f>D36+D37</f>
        <v>1904.7902731042448</v>
      </c>
      <c r="E46" s="118">
        <f>E36+E37</f>
        <v>1904.739931974043</v>
      </c>
      <c r="F46" s="116"/>
      <c r="G46" s="118">
        <f t="shared" ref="G46:R46" si="16">G36+G37</f>
        <v>1904.6988029255835</v>
      </c>
      <c r="H46" s="118">
        <f t="shared" si="16"/>
        <v>1904.66895909145</v>
      </c>
      <c r="I46" s="118">
        <f t="shared" si="16"/>
        <v>1904.6453766813111</v>
      </c>
      <c r="J46" s="118">
        <f t="shared" si="16"/>
        <v>1904.6156058202362</v>
      </c>
      <c r="K46" s="118">
        <f t="shared" si="16"/>
        <v>1904.5993663664731</v>
      </c>
      <c r="L46" s="118">
        <f t="shared" si="16"/>
        <v>1904.6062529355531</v>
      </c>
      <c r="M46" s="118">
        <f t="shared" si="16"/>
        <v>1904.6122090274905</v>
      </c>
      <c r="N46" s="118">
        <f t="shared" si="16"/>
        <v>1904.6172199338096</v>
      </c>
      <c r="O46" s="118">
        <f t="shared" si="16"/>
        <v>1904.6347298173798</v>
      </c>
      <c r="P46" s="118">
        <f t="shared" si="16"/>
        <v>1904.6461419042271</v>
      </c>
      <c r="Q46" s="118">
        <f t="shared" si="16"/>
        <v>1904.6292391318168</v>
      </c>
      <c r="R46" s="118">
        <f t="shared" si="16"/>
        <v>1904.6158696341145</v>
      </c>
      <c r="S46" s="118">
        <f t="shared" si="14"/>
        <v>22855.589773269447</v>
      </c>
    </row>
    <row r="47" spans="1:19" x14ac:dyDescent="0.25">
      <c r="A47" s="116" t="s">
        <v>49</v>
      </c>
      <c r="B47" s="118">
        <f>B38</f>
        <v>21.060955922985176</v>
      </c>
      <c r="C47" s="118">
        <f>C38</f>
        <v>21.066035583233941</v>
      </c>
      <c r="D47" s="118">
        <f>D38</f>
        <v>21.071538548503437</v>
      </c>
      <c r="E47" s="118">
        <f>E38</f>
        <v>21.070555649767613</v>
      </c>
      <c r="F47" s="116"/>
      <c r="G47" s="118">
        <f t="shared" ref="G47:R47" si="17">G38</f>
        <v>21.075856583544542</v>
      </c>
      <c r="H47" s="118">
        <f t="shared" si="17"/>
        <v>21.074606592049797</v>
      </c>
      <c r="I47" s="118">
        <f t="shared" si="17"/>
        <v>21.072621486809091</v>
      </c>
      <c r="J47" s="118">
        <f t="shared" si="17"/>
        <v>21.076731873805699</v>
      </c>
      <c r="K47" s="118">
        <f t="shared" si="17"/>
        <v>21.081023009421124</v>
      </c>
      <c r="L47" s="118">
        <f t="shared" si="17"/>
        <v>21.078552029626582</v>
      </c>
      <c r="M47" s="118">
        <f t="shared" si="17"/>
        <v>21.082051004523077</v>
      </c>
      <c r="N47" s="118">
        <f t="shared" si="17"/>
        <v>21.078643197252134</v>
      </c>
      <c r="O47" s="118">
        <f t="shared" si="17"/>
        <v>21.074097623460183</v>
      </c>
      <c r="P47" s="118">
        <f t="shared" si="17"/>
        <v>21.075192765166435</v>
      </c>
      <c r="Q47" s="118">
        <f t="shared" si="17"/>
        <v>21.075955863660809</v>
      </c>
      <c r="R47" s="118">
        <f t="shared" si="17"/>
        <v>21.07632397325726</v>
      </c>
      <c r="S47" s="118">
        <f t="shared" si="14"/>
        <v>252.92165600257675</v>
      </c>
    </row>
    <row r="48" spans="1:19" x14ac:dyDescent="0.25">
      <c r="A48" s="116" t="s">
        <v>55</v>
      </c>
      <c r="B48" s="118">
        <f>B39+B40</f>
        <v>2422.1363329257074</v>
      </c>
      <c r="C48" s="118">
        <f>C39+C40</f>
        <v>2428.5020190028499</v>
      </c>
      <c r="D48" s="118">
        <f>D39+D40</f>
        <v>2435.1847094753093</v>
      </c>
      <c r="E48" s="118">
        <f>E39+E40</f>
        <v>2438.6783287834369</v>
      </c>
      <c r="F48" s="116"/>
      <c r="G48" s="118">
        <f>G39+G40</f>
        <v>2444.9339234660074</v>
      </c>
      <c r="H48" s="118">
        <f t="shared" ref="H48:R48" si="18">H39+H40</f>
        <v>2437.7652344235657</v>
      </c>
      <c r="I48" s="118">
        <f t="shared" si="18"/>
        <v>2442.0591741277585</v>
      </c>
      <c r="J48" s="118">
        <f t="shared" si="18"/>
        <v>2446.970499376931</v>
      </c>
      <c r="K48" s="118">
        <f t="shared" si="18"/>
        <v>2445.8691623473005</v>
      </c>
      <c r="L48" s="118">
        <f t="shared" si="18"/>
        <v>2436.6156705392809</v>
      </c>
      <c r="M48" s="118">
        <f t="shared" si="18"/>
        <v>2433.523198413624</v>
      </c>
      <c r="N48" s="118">
        <f t="shared" si="18"/>
        <v>2434.195416554946</v>
      </c>
      <c r="O48" s="118">
        <f t="shared" si="18"/>
        <v>2430.9222391197263</v>
      </c>
      <c r="P48" s="118">
        <f t="shared" si="18"/>
        <v>2433.319747969228</v>
      </c>
      <c r="Q48" s="118">
        <f t="shared" si="18"/>
        <v>2441.5784003830927</v>
      </c>
      <c r="R48" s="118">
        <f t="shared" si="18"/>
        <v>2446.6374079587417</v>
      </c>
      <c r="S48" s="118">
        <f t="shared" si="14"/>
        <v>29274.390074680199</v>
      </c>
    </row>
    <row r="49" spans="1:19" x14ac:dyDescent="0.25">
      <c r="A49" s="116" t="s">
        <v>52</v>
      </c>
      <c r="B49" s="118">
        <f>B41</f>
        <v>405.63720000000001</v>
      </c>
      <c r="C49" s="118">
        <f>C41</f>
        <v>406.0009</v>
      </c>
      <c r="D49" s="118">
        <f>D41</f>
        <v>406.3657</v>
      </c>
      <c r="E49" s="118">
        <f>E41</f>
        <v>406.73079999999999</v>
      </c>
      <c r="F49" s="116"/>
      <c r="G49" s="118">
        <f>G41</f>
        <v>407.09620000000001</v>
      </c>
      <c r="H49" s="118">
        <f t="shared" ref="H49:R49" si="19">H41</f>
        <v>407.46179999999998</v>
      </c>
      <c r="I49" s="118">
        <f t="shared" si="19"/>
        <v>407.82760000000002</v>
      </c>
      <c r="J49" s="118">
        <f t="shared" si="19"/>
        <v>408.1934</v>
      </c>
      <c r="K49" s="118">
        <f t="shared" si="19"/>
        <v>408.55919999999998</v>
      </c>
      <c r="L49" s="118">
        <f t="shared" si="19"/>
        <v>408.92509999999999</v>
      </c>
      <c r="M49" s="118">
        <f t="shared" si="19"/>
        <v>409.291</v>
      </c>
      <c r="N49" s="118">
        <f t="shared" si="19"/>
        <v>409.65690000000001</v>
      </c>
      <c r="O49" s="118">
        <f t="shared" si="19"/>
        <v>410.02280000000002</v>
      </c>
      <c r="P49" s="118">
        <f t="shared" si="19"/>
        <v>410.3888</v>
      </c>
      <c r="Q49" s="118">
        <f t="shared" si="19"/>
        <v>410.75470000000001</v>
      </c>
      <c r="R49" s="118">
        <f t="shared" si="19"/>
        <v>411.12060000000002</v>
      </c>
      <c r="S49" s="118">
        <f t="shared" si="14"/>
        <v>4909.2981000000009</v>
      </c>
    </row>
    <row r="50" spans="1:19" x14ac:dyDescent="0.25">
      <c r="A50" s="116" t="s">
        <v>0</v>
      </c>
      <c r="B50" s="118">
        <f>SUM(B44:B49)</f>
        <v>246082.76164207002</v>
      </c>
      <c r="C50" s="118">
        <f>SUM(C44:C49)</f>
        <v>247892.3383124157</v>
      </c>
      <c r="D50" s="118">
        <f>SUM(D44:D49)</f>
        <v>247829.29894956143</v>
      </c>
      <c r="E50" s="118">
        <f>SUM(E44:E49)</f>
        <v>247250.08070183964</v>
      </c>
      <c r="F50" s="116"/>
      <c r="G50" s="118">
        <f t="shared" ref="G50:S50" si="20">SUM(G44:G49)</f>
        <v>247718.6575715146</v>
      </c>
      <c r="H50" s="118">
        <f t="shared" si="20"/>
        <v>247646.82161806698</v>
      </c>
      <c r="I50" s="118">
        <f t="shared" si="20"/>
        <v>248511.45474688153</v>
      </c>
      <c r="J50" s="118">
        <f t="shared" si="20"/>
        <v>249269.70602898404</v>
      </c>
      <c r="K50" s="118">
        <f t="shared" si="20"/>
        <v>249773.95937236151</v>
      </c>
      <c r="L50" s="118">
        <f t="shared" si="20"/>
        <v>250322.09903943387</v>
      </c>
      <c r="M50" s="118">
        <f t="shared" si="20"/>
        <v>250445.4026657936</v>
      </c>
      <c r="N50" s="118">
        <f t="shared" si="20"/>
        <v>250733.44663307833</v>
      </c>
      <c r="O50" s="118">
        <f t="shared" si="20"/>
        <v>250400.53023056476</v>
      </c>
      <c r="P50" s="118">
        <f t="shared" si="20"/>
        <v>250449.30201420796</v>
      </c>
      <c r="Q50" s="118">
        <f t="shared" si="20"/>
        <v>250210.90634769067</v>
      </c>
      <c r="R50" s="118">
        <f t="shared" si="20"/>
        <v>249696.31669753478</v>
      </c>
      <c r="S50" s="118">
        <f t="shared" si="20"/>
        <v>2995178.6029661126</v>
      </c>
    </row>
    <row r="51" spans="1:19" x14ac:dyDescent="0.25">
      <c r="S51" s="118">
        <f>SUM(G51:R51)</f>
        <v>0</v>
      </c>
    </row>
    <row r="52" spans="1:19" x14ac:dyDescent="0.25">
      <c r="A52" s="116" t="s">
        <v>130</v>
      </c>
      <c r="B52" s="118">
        <f>SUM(B33:B41)-SUM(B44:B49)</f>
        <v>1904.4984847752203</v>
      </c>
      <c r="C52" s="118">
        <f>SUM(C33:C41)-SUM(C44:C49)</f>
        <v>0</v>
      </c>
      <c r="D52" s="118">
        <f>SUM(D33:D41)-SUM(D44:D49)</f>
        <v>0</v>
      </c>
      <c r="E52" s="118">
        <f>SUM(E33:E41)-SUM(E44:E49)</f>
        <v>0</v>
      </c>
      <c r="G52" s="118">
        <f t="shared" ref="G52:R52" si="21">SUM(G33:G41)-SUM(G44:G49)</f>
        <v>0</v>
      </c>
      <c r="H52" s="118">
        <f t="shared" si="21"/>
        <v>0</v>
      </c>
      <c r="I52" s="118">
        <f t="shared" si="21"/>
        <v>0</v>
      </c>
      <c r="J52" s="118">
        <f t="shared" si="21"/>
        <v>0</v>
      </c>
      <c r="K52" s="118">
        <f t="shared" si="21"/>
        <v>0</v>
      </c>
      <c r="L52" s="118">
        <f t="shared" si="21"/>
        <v>0</v>
      </c>
      <c r="M52" s="118">
        <f t="shared" si="21"/>
        <v>0</v>
      </c>
      <c r="N52" s="118">
        <f t="shared" si="21"/>
        <v>0</v>
      </c>
      <c r="O52" s="118">
        <f t="shared" si="21"/>
        <v>0</v>
      </c>
      <c r="P52" s="118">
        <f t="shared" si="21"/>
        <v>0</v>
      </c>
      <c r="Q52" s="118">
        <f t="shared" si="21"/>
        <v>0</v>
      </c>
      <c r="R52" s="118">
        <f t="shared" si="21"/>
        <v>0</v>
      </c>
      <c r="S52" s="118">
        <f>SUM(G52:R52)</f>
        <v>0</v>
      </c>
    </row>
  </sheetData>
  <pageMargins left="0.7" right="0.7" top="0.75" bottom="0.75" header="0.3" footer="0.3"/>
  <pageSetup scale="51" orientation="landscape" r:id="rId1"/>
  <headerFooter>
    <oddHeader>&amp;CRedacted</oddHeader>
    <oddFooter>&amp;L&amp;F&amp;RPage: &amp;P of &amp;N</oddFooter>
  </headerFooter>
  <customProperties>
    <customPr name="xxe4aP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zoomScaleNormal="100" workbookViewId="0">
      <selection activeCell="B29" sqref="B29:B30"/>
    </sheetView>
  </sheetViews>
  <sheetFormatPr defaultRowHeight="15" x14ac:dyDescent="0.25"/>
  <cols>
    <col min="1" max="1" width="30.85546875" style="127" customWidth="1"/>
    <col min="2" max="2" width="9.140625" style="127" customWidth="1"/>
    <col min="3" max="3" width="9.7109375" style="127" customWidth="1"/>
    <col min="4" max="4" width="15.140625" style="127" customWidth="1"/>
    <col min="5" max="5" width="12" style="127" customWidth="1"/>
    <col min="6" max="9" width="9.140625" style="127"/>
    <col min="10" max="10" width="9.42578125" style="127" customWidth="1"/>
    <col min="11" max="256" width="9.140625" style="127"/>
    <col min="257" max="257" width="30.85546875" style="127" customWidth="1"/>
    <col min="258" max="258" width="9.140625" style="127" customWidth="1"/>
    <col min="259" max="259" width="9.7109375" style="127" customWidth="1"/>
    <col min="260" max="260" width="15.140625" style="127" customWidth="1"/>
    <col min="261" max="261" width="12" style="127" customWidth="1"/>
    <col min="262" max="265" width="9.140625" style="127"/>
    <col min="266" max="266" width="9.42578125" style="127" customWidth="1"/>
    <col min="267" max="512" width="9.140625" style="127"/>
    <col min="513" max="513" width="30.85546875" style="127" customWidth="1"/>
    <col min="514" max="514" width="9.140625" style="127" customWidth="1"/>
    <col min="515" max="515" width="9.7109375" style="127" customWidth="1"/>
    <col min="516" max="516" width="15.140625" style="127" customWidth="1"/>
    <col min="517" max="517" width="12" style="127" customWidth="1"/>
    <col min="518" max="521" width="9.140625" style="127"/>
    <col min="522" max="522" width="9.42578125" style="127" customWidth="1"/>
    <col min="523" max="768" width="9.140625" style="127"/>
    <col min="769" max="769" width="30.85546875" style="127" customWidth="1"/>
    <col min="770" max="770" width="9.140625" style="127" customWidth="1"/>
    <col min="771" max="771" width="9.7109375" style="127" customWidth="1"/>
    <col min="772" max="772" width="15.140625" style="127" customWidth="1"/>
    <col min="773" max="773" width="12" style="127" customWidth="1"/>
    <col min="774" max="777" width="9.140625" style="127"/>
    <col min="778" max="778" width="9.42578125" style="127" customWidth="1"/>
    <col min="779" max="1024" width="9.140625" style="127"/>
    <col min="1025" max="1025" width="30.85546875" style="127" customWidth="1"/>
    <col min="1026" max="1026" width="9.140625" style="127" customWidth="1"/>
    <col min="1027" max="1027" width="9.7109375" style="127" customWidth="1"/>
    <col min="1028" max="1028" width="15.140625" style="127" customWidth="1"/>
    <col min="1029" max="1029" width="12" style="127" customWidth="1"/>
    <col min="1030" max="1033" width="9.140625" style="127"/>
    <col min="1034" max="1034" width="9.42578125" style="127" customWidth="1"/>
    <col min="1035" max="1280" width="9.140625" style="127"/>
    <col min="1281" max="1281" width="30.85546875" style="127" customWidth="1"/>
    <col min="1282" max="1282" width="9.140625" style="127" customWidth="1"/>
    <col min="1283" max="1283" width="9.7109375" style="127" customWidth="1"/>
    <col min="1284" max="1284" width="15.140625" style="127" customWidth="1"/>
    <col min="1285" max="1285" width="12" style="127" customWidth="1"/>
    <col min="1286" max="1289" width="9.140625" style="127"/>
    <col min="1290" max="1290" width="9.42578125" style="127" customWidth="1"/>
    <col min="1291" max="1536" width="9.140625" style="127"/>
    <col min="1537" max="1537" width="30.85546875" style="127" customWidth="1"/>
    <col min="1538" max="1538" width="9.140625" style="127" customWidth="1"/>
    <col min="1539" max="1539" width="9.7109375" style="127" customWidth="1"/>
    <col min="1540" max="1540" width="15.140625" style="127" customWidth="1"/>
    <col min="1541" max="1541" width="12" style="127" customWidth="1"/>
    <col min="1542" max="1545" width="9.140625" style="127"/>
    <col min="1546" max="1546" width="9.42578125" style="127" customWidth="1"/>
    <col min="1547" max="1792" width="9.140625" style="127"/>
    <col min="1793" max="1793" width="30.85546875" style="127" customWidth="1"/>
    <col min="1794" max="1794" width="9.140625" style="127" customWidth="1"/>
    <col min="1795" max="1795" width="9.7109375" style="127" customWidth="1"/>
    <col min="1796" max="1796" width="15.140625" style="127" customWidth="1"/>
    <col min="1797" max="1797" width="12" style="127" customWidth="1"/>
    <col min="1798" max="1801" width="9.140625" style="127"/>
    <col min="1802" max="1802" width="9.42578125" style="127" customWidth="1"/>
    <col min="1803" max="2048" width="9.140625" style="127"/>
    <col min="2049" max="2049" width="30.85546875" style="127" customWidth="1"/>
    <col min="2050" max="2050" width="9.140625" style="127" customWidth="1"/>
    <col min="2051" max="2051" width="9.7109375" style="127" customWidth="1"/>
    <col min="2052" max="2052" width="15.140625" style="127" customWidth="1"/>
    <col min="2053" max="2053" width="12" style="127" customWidth="1"/>
    <col min="2054" max="2057" width="9.140625" style="127"/>
    <col min="2058" max="2058" width="9.42578125" style="127" customWidth="1"/>
    <col min="2059" max="2304" width="9.140625" style="127"/>
    <col min="2305" max="2305" width="30.85546875" style="127" customWidth="1"/>
    <col min="2306" max="2306" width="9.140625" style="127" customWidth="1"/>
    <col min="2307" max="2307" width="9.7109375" style="127" customWidth="1"/>
    <col min="2308" max="2308" width="15.140625" style="127" customWidth="1"/>
    <col min="2309" max="2309" width="12" style="127" customWidth="1"/>
    <col min="2310" max="2313" width="9.140625" style="127"/>
    <col min="2314" max="2314" width="9.42578125" style="127" customWidth="1"/>
    <col min="2315" max="2560" width="9.140625" style="127"/>
    <col min="2561" max="2561" width="30.85546875" style="127" customWidth="1"/>
    <col min="2562" max="2562" width="9.140625" style="127" customWidth="1"/>
    <col min="2563" max="2563" width="9.7109375" style="127" customWidth="1"/>
    <col min="2564" max="2564" width="15.140625" style="127" customWidth="1"/>
    <col min="2565" max="2565" width="12" style="127" customWidth="1"/>
    <col min="2566" max="2569" width="9.140625" style="127"/>
    <col min="2570" max="2570" width="9.42578125" style="127" customWidth="1"/>
    <col min="2571" max="2816" width="9.140625" style="127"/>
    <col min="2817" max="2817" width="30.85546875" style="127" customWidth="1"/>
    <col min="2818" max="2818" width="9.140625" style="127" customWidth="1"/>
    <col min="2819" max="2819" width="9.7109375" style="127" customWidth="1"/>
    <col min="2820" max="2820" width="15.140625" style="127" customWidth="1"/>
    <col min="2821" max="2821" width="12" style="127" customWidth="1"/>
    <col min="2822" max="2825" width="9.140625" style="127"/>
    <col min="2826" max="2826" width="9.42578125" style="127" customWidth="1"/>
    <col min="2827" max="3072" width="9.140625" style="127"/>
    <col min="3073" max="3073" width="30.85546875" style="127" customWidth="1"/>
    <col min="3074" max="3074" width="9.140625" style="127" customWidth="1"/>
    <col min="3075" max="3075" width="9.7109375" style="127" customWidth="1"/>
    <col min="3076" max="3076" width="15.140625" style="127" customWidth="1"/>
    <col min="3077" max="3077" width="12" style="127" customWidth="1"/>
    <col min="3078" max="3081" width="9.140625" style="127"/>
    <col min="3082" max="3082" width="9.42578125" style="127" customWidth="1"/>
    <col min="3083" max="3328" width="9.140625" style="127"/>
    <col min="3329" max="3329" width="30.85546875" style="127" customWidth="1"/>
    <col min="3330" max="3330" width="9.140625" style="127" customWidth="1"/>
    <col min="3331" max="3331" width="9.7109375" style="127" customWidth="1"/>
    <col min="3332" max="3332" width="15.140625" style="127" customWidth="1"/>
    <col min="3333" max="3333" width="12" style="127" customWidth="1"/>
    <col min="3334" max="3337" width="9.140625" style="127"/>
    <col min="3338" max="3338" width="9.42578125" style="127" customWidth="1"/>
    <col min="3339" max="3584" width="9.140625" style="127"/>
    <col min="3585" max="3585" width="30.85546875" style="127" customWidth="1"/>
    <col min="3586" max="3586" width="9.140625" style="127" customWidth="1"/>
    <col min="3587" max="3587" width="9.7109375" style="127" customWidth="1"/>
    <col min="3588" max="3588" width="15.140625" style="127" customWidth="1"/>
    <col min="3589" max="3589" width="12" style="127" customWidth="1"/>
    <col min="3590" max="3593" width="9.140625" style="127"/>
    <col min="3594" max="3594" width="9.42578125" style="127" customWidth="1"/>
    <col min="3595" max="3840" width="9.140625" style="127"/>
    <col min="3841" max="3841" width="30.85546875" style="127" customWidth="1"/>
    <col min="3842" max="3842" width="9.140625" style="127" customWidth="1"/>
    <col min="3843" max="3843" width="9.7109375" style="127" customWidth="1"/>
    <col min="3844" max="3844" width="15.140625" style="127" customWidth="1"/>
    <col min="3845" max="3845" width="12" style="127" customWidth="1"/>
    <col min="3846" max="3849" width="9.140625" style="127"/>
    <col min="3850" max="3850" width="9.42578125" style="127" customWidth="1"/>
    <col min="3851" max="4096" width="9.140625" style="127"/>
    <col min="4097" max="4097" width="30.85546875" style="127" customWidth="1"/>
    <col min="4098" max="4098" width="9.140625" style="127" customWidth="1"/>
    <col min="4099" max="4099" width="9.7109375" style="127" customWidth="1"/>
    <col min="4100" max="4100" width="15.140625" style="127" customWidth="1"/>
    <col min="4101" max="4101" width="12" style="127" customWidth="1"/>
    <col min="4102" max="4105" width="9.140625" style="127"/>
    <col min="4106" max="4106" width="9.42578125" style="127" customWidth="1"/>
    <col min="4107" max="4352" width="9.140625" style="127"/>
    <col min="4353" max="4353" width="30.85546875" style="127" customWidth="1"/>
    <col min="4354" max="4354" width="9.140625" style="127" customWidth="1"/>
    <col min="4355" max="4355" width="9.7109375" style="127" customWidth="1"/>
    <col min="4356" max="4356" width="15.140625" style="127" customWidth="1"/>
    <col min="4357" max="4357" width="12" style="127" customWidth="1"/>
    <col min="4358" max="4361" width="9.140625" style="127"/>
    <col min="4362" max="4362" width="9.42578125" style="127" customWidth="1"/>
    <col min="4363" max="4608" width="9.140625" style="127"/>
    <col min="4609" max="4609" width="30.85546875" style="127" customWidth="1"/>
    <col min="4610" max="4610" width="9.140625" style="127" customWidth="1"/>
    <col min="4611" max="4611" width="9.7109375" style="127" customWidth="1"/>
    <col min="4612" max="4612" width="15.140625" style="127" customWidth="1"/>
    <col min="4613" max="4613" width="12" style="127" customWidth="1"/>
    <col min="4614" max="4617" width="9.140625" style="127"/>
    <col min="4618" max="4618" width="9.42578125" style="127" customWidth="1"/>
    <col min="4619" max="4864" width="9.140625" style="127"/>
    <col min="4865" max="4865" width="30.85546875" style="127" customWidth="1"/>
    <col min="4866" max="4866" width="9.140625" style="127" customWidth="1"/>
    <col min="4867" max="4867" width="9.7109375" style="127" customWidth="1"/>
    <col min="4868" max="4868" width="15.140625" style="127" customWidth="1"/>
    <col min="4869" max="4869" width="12" style="127" customWidth="1"/>
    <col min="4870" max="4873" width="9.140625" style="127"/>
    <col min="4874" max="4874" width="9.42578125" style="127" customWidth="1"/>
    <col min="4875" max="5120" width="9.140625" style="127"/>
    <col min="5121" max="5121" width="30.85546875" style="127" customWidth="1"/>
    <col min="5122" max="5122" width="9.140625" style="127" customWidth="1"/>
    <col min="5123" max="5123" width="9.7109375" style="127" customWidth="1"/>
    <col min="5124" max="5124" width="15.140625" style="127" customWidth="1"/>
    <col min="5125" max="5125" width="12" style="127" customWidth="1"/>
    <col min="5126" max="5129" width="9.140625" style="127"/>
    <col min="5130" max="5130" width="9.42578125" style="127" customWidth="1"/>
    <col min="5131" max="5376" width="9.140625" style="127"/>
    <col min="5377" max="5377" width="30.85546875" style="127" customWidth="1"/>
    <col min="5378" max="5378" width="9.140625" style="127" customWidth="1"/>
    <col min="5379" max="5379" width="9.7109375" style="127" customWidth="1"/>
    <col min="5380" max="5380" width="15.140625" style="127" customWidth="1"/>
    <col min="5381" max="5381" width="12" style="127" customWidth="1"/>
    <col min="5382" max="5385" width="9.140625" style="127"/>
    <col min="5386" max="5386" width="9.42578125" style="127" customWidth="1"/>
    <col min="5387" max="5632" width="9.140625" style="127"/>
    <col min="5633" max="5633" width="30.85546875" style="127" customWidth="1"/>
    <col min="5634" max="5634" width="9.140625" style="127" customWidth="1"/>
    <col min="5635" max="5635" width="9.7109375" style="127" customWidth="1"/>
    <col min="5636" max="5636" width="15.140625" style="127" customWidth="1"/>
    <col min="5637" max="5637" width="12" style="127" customWidth="1"/>
    <col min="5638" max="5641" width="9.140625" style="127"/>
    <col min="5642" max="5642" width="9.42578125" style="127" customWidth="1"/>
    <col min="5643" max="5888" width="9.140625" style="127"/>
    <col min="5889" max="5889" width="30.85546875" style="127" customWidth="1"/>
    <col min="5890" max="5890" width="9.140625" style="127" customWidth="1"/>
    <col min="5891" max="5891" width="9.7109375" style="127" customWidth="1"/>
    <col min="5892" max="5892" width="15.140625" style="127" customWidth="1"/>
    <col min="5893" max="5893" width="12" style="127" customWidth="1"/>
    <col min="5894" max="5897" width="9.140625" style="127"/>
    <col min="5898" max="5898" width="9.42578125" style="127" customWidth="1"/>
    <col min="5899" max="6144" width="9.140625" style="127"/>
    <col min="6145" max="6145" width="30.85546875" style="127" customWidth="1"/>
    <col min="6146" max="6146" width="9.140625" style="127" customWidth="1"/>
    <col min="6147" max="6147" width="9.7109375" style="127" customWidth="1"/>
    <col min="6148" max="6148" width="15.140625" style="127" customWidth="1"/>
    <col min="6149" max="6149" width="12" style="127" customWidth="1"/>
    <col min="6150" max="6153" width="9.140625" style="127"/>
    <col min="6154" max="6154" width="9.42578125" style="127" customWidth="1"/>
    <col min="6155" max="6400" width="9.140625" style="127"/>
    <col min="6401" max="6401" width="30.85546875" style="127" customWidth="1"/>
    <col min="6402" max="6402" width="9.140625" style="127" customWidth="1"/>
    <col min="6403" max="6403" width="9.7109375" style="127" customWidth="1"/>
    <col min="6404" max="6404" width="15.140625" style="127" customWidth="1"/>
    <col min="6405" max="6405" width="12" style="127" customWidth="1"/>
    <col min="6406" max="6409" width="9.140625" style="127"/>
    <col min="6410" max="6410" width="9.42578125" style="127" customWidth="1"/>
    <col min="6411" max="6656" width="9.140625" style="127"/>
    <col min="6657" max="6657" width="30.85546875" style="127" customWidth="1"/>
    <col min="6658" max="6658" width="9.140625" style="127" customWidth="1"/>
    <col min="6659" max="6659" width="9.7109375" style="127" customWidth="1"/>
    <col min="6660" max="6660" width="15.140625" style="127" customWidth="1"/>
    <col min="6661" max="6661" width="12" style="127" customWidth="1"/>
    <col min="6662" max="6665" width="9.140625" style="127"/>
    <col min="6666" max="6666" width="9.42578125" style="127" customWidth="1"/>
    <col min="6667" max="6912" width="9.140625" style="127"/>
    <col min="6913" max="6913" width="30.85546875" style="127" customWidth="1"/>
    <col min="6914" max="6914" width="9.140625" style="127" customWidth="1"/>
    <col min="6915" max="6915" width="9.7109375" style="127" customWidth="1"/>
    <col min="6916" max="6916" width="15.140625" style="127" customWidth="1"/>
    <col min="6917" max="6917" width="12" style="127" customWidth="1"/>
    <col min="6918" max="6921" width="9.140625" style="127"/>
    <col min="6922" max="6922" width="9.42578125" style="127" customWidth="1"/>
    <col min="6923" max="7168" width="9.140625" style="127"/>
    <col min="7169" max="7169" width="30.85546875" style="127" customWidth="1"/>
    <col min="7170" max="7170" width="9.140625" style="127" customWidth="1"/>
    <col min="7171" max="7171" width="9.7109375" style="127" customWidth="1"/>
    <col min="7172" max="7172" width="15.140625" style="127" customWidth="1"/>
    <col min="7173" max="7173" width="12" style="127" customWidth="1"/>
    <col min="7174" max="7177" width="9.140625" style="127"/>
    <col min="7178" max="7178" width="9.42578125" style="127" customWidth="1"/>
    <col min="7179" max="7424" width="9.140625" style="127"/>
    <col min="7425" max="7425" width="30.85546875" style="127" customWidth="1"/>
    <col min="7426" max="7426" width="9.140625" style="127" customWidth="1"/>
    <col min="7427" max="7427" width="9.7109375" style="127" customWidth="1"/>
    <col min="7428" max="7428" width="15.140625" style="127" customWidth="1"/>
    <col min="7429" max="7429" width="12" style="127" customWidth="1"/>
    <col min="7430" max="7433" width="9.140625" style="127"/>
    <col min="7434" max="7434" width="9.42578125" style="127" customWidth="1"/>
    <col min="7435" max="7680" width="9.140625" style="127"/>
    <col min="7681" max="7681" width="30.85546875" style="127" customWidth="1"/>
    <col min="7682" max="7682" width="9.140625" style="127" customWidth="1"/>
    <col min="7683" max="7683" width="9.7109375" style="127" customWidth="1"/>
    <col min="7684" max="7684" width="15.140625" style="127" customWidth="1"/>
    <col min="7685" max="7685" width="12" style="127" customWidth="1"/>
    <col min="7686" max="7689" width="9.140625" style="127"/>
    <col min="7690" max="7690" width="9.42578125" style="127" customWidth="1"/>
    <col min="7691" max="7936" width="9.140625" style="127"/>
    <col min="7937" max="7937" width="30.85546875" style="127" customWidth="1"/>
    <col min="7938" max="7938" width="9.140625" style="127" customWidth="1"/>
    <col min="7939" max="7939" width="9.7109375" style="127" customWidth="1"/>
    <col min="7940" max="7940" width="15.140625" style="127" customWidth="1"/>
    <col min="7941" max="7941" width="12" style="127" customWidth="1"/>
    <col min="7942" max="7945" width="9.140625" style="127"/>
    <col min="7946" max="7946" width="9.42578125" style="127" customWidth="1"/>
    <col min="7947" max="8192" width="9.140625" style="127"/>
    <col min="8193" max="8193" width="30.85546875" style="127" customWidth="1"/>
    <col min="8194" max="8194" width="9.140625" style="127" customWidth="1"/>
    <col min="8195" max="8195" width="9.7109375" style="127" customWidth="1"/>
    <col min="8196" max="8196" width="15.140625" style="127" customWidth="1"/>
    <col min="8197" max="8197" width="12" style="127" customWidth="1"/>
    <col min="8198" max="8201" width="9.140625" style="127"/>
    <col min="8202" max="8202" width="9.42578125" style="127" customWidth="1"/>
    <col min="8203" max="8448" width="9.140625" style="127"/>
    <col min="8449" max="8449" width="30.85546875" style="127" customWidth="1"/>
    <col min="8450" max="8450" width="9.140625" style="127" customWidth="1"/>
    <col min="8451" max="8451" width="9.7109375" style="127" customWidth="1"/>
    <col min="8452" max="8452" width="15.140625" style="127" customWidth="1"/>
    <col min="8453" max="8453" width="12" style="127" customWidth="1"/>
    <col min="8454" max="8457" width="9.140625" style="127"/>
    <col min="8458" max="8458" width="9.42578125" style="127" customWidth="1"/>
    <col min="8459" max="8704" width="9.140625" style="127"/>
    <col min="8705" max="8705" width="30.85546875" style="127" customWidth="1"/>
    <col min="8706" max="8706" width="9.140625" style="127" customWidth="1"/>
    <col min="8707" max="8707" width="9.7109375" style="127" customWidth="1"/>
    <col min="8708" max="8708" width="15.140625" style="127" customWidth="1"/>
    <col min="8709" max="8709" width="12" style="127" customWidth="1"/>
    <col min="8710" max="8713" width="9.140625" style="127"/>
    <col min="8714" max="8714" width="9.42578125" style="127" customWidth="1"/>
    <col min="8715" max="8960" width="9.140625" style="127"/>
    <col min="8961" max="8961" width="30.85546875" style="127" customWidth="1"/>
    <col min="8962" max="8962" width="9.140625" style="127" customWidth="1"/>
    <col min="8963" max="8963" width="9.7109375" style="127" customWidth="1"/>
    <col min="8964" max="8964" width="15.140625" style="127" customWidth="1"/>
    <col min="8965" max="8965" width="12" style="127" customWidth="1"/>
    <col min="8966" max="8969" width="9.140625" style="127"/>
    <col min="8970" max="8970" width="9.42578125" style="127" customWidth="1"/>
    <col min="8971" max="9216" width="9.140625" style="127"/>
    <col min="9217" max="9217" width="30.85546875" style="127" customWidth="1"/>
    <col min="9218" max="9218" width="9.140625" style="127" customWidth="1"/>
    <col min="9219" max="9219" width="9.7109375" style="127" customWidth="1"/>
    <col min="9220" max="9220" width="15.140625" style="127" customWidth="1"/>
    <col min="9221" max="9221" width="12" style="127" customWidth="1"/>
    <col min="9222" max="9225" width="9.140625" style="127"/>
    <col min="9226" max="9226" width="9.42578125" style="127" customWidth="1"/>
    <col min="9227" max="9472" width="9.140625" style="127"/>
    <col min="9473" max="9473" width="30.85546875" style="127" customWidth="1"/>
    <col min="9474" max="9474" width="9.140625" style="127" customWidth="1"/>
    <col min="9475" max="9475" width="9.7109375" style="127" customWidth="1"/>
    <col min="9476" max="9476" width="15.140625" style="127" customWidth="1"/>
    <col min="9477" max="9477" width="12" style="127" customWidth="1"/>
    <col min="9478" max="9481" width="9.140625" style="127"/>
    <col min="9482" max="9482" width="9.42578125" style="127" customWidth="1"/>
    <col min="9483" max="9728" width="9.140625" style="127"/>
    <col min="9729" max="9729" width="30.85546875" style="127" customWidth="1"/>
    <col min="9730" max="9730" width="9.140625" style="127" customWidth="1"/>
    <col min="9731" max="9731" width="9.7109375" style="127" customWidth="1"/>
    <col min="9732" max="9732" width="15.140625" style="127" customWidth="1"/>
    <col min="9733" max="9733" width="12" style="127" customWidth="1"/>
    <col min="9734" max="9737" width="9.140625" style="127"/>
    <col min="9738" max="9738" width="9.42578125" style="127" customWidth="1"/>
    <col min="9739" max="9984" width="9.140625" style="127"/>
    <col min="9985" max="9985" width="30.85546875" style="127" customWidth="1"/>
    <col min="9986" max="9986" width="9.140625" style="127" customWidth="1"/>
    <col min="9987" max="9987" width="9.7109375" style="127" customWidth="1"/>
    <col min="9988" max="9988" width="15.140625" style="127" customWidth="1"/>
    <col min="9989" max="9989" width="12" style="127" customWidth="1"/>
    <col min="9990" max="9993" width="9.140625" style="127"/>
    <col min="9994" max="9994" width="9.42578125" style="127" customWidth="1"/>
    <col min="9995" max="10240" width="9.140625" style="127"/>
    <col min="10241" max="10241" width="30.85546875" style="127" customWidth="1"/>
    <col min="10242" max="10242" width="9.140625" style="127" customWidth="1"/>
    <col min="10243" max="10243" width="9.7109375" style="127" customWidth="1"/>
    <col min="10244" max="10244" width="15.140625" style="127" customWidth="1"/>
    <col min="10245" max="10245" width="12" style="127" customWidth="1"/>
    <col min="10246" max="10249" width="9.140625" style="127"/>
    <col min="10250" max="10250" width="9.42578125" style="127" customWidth="1"/>
    <col min="10251" max="10496" width="9.140625" style="127"/>
    <col min="10497" max="10497" width="30.85546875" style="127" customWidth="1"/>
    <col min="10498" max="10498" width="9.140625" style="127" customWidth="1"/>
    <col min="10499" max="10499" width="9.7109375" style="127" customWidth="1"/>
    <col min="10500" max="10500" width="15.140625" style="127" customWidth="1"/>
    <col min="10501" max="10501" width="12" style="127" customWidth="1"/>
    <col min="10502" max="10505" width="9.140625" style="127"/>
    <col min="10506" max="10506" width="9.42578125" style="127" customWidth="1"/>
    <col min="10507" max="10752" width="9.140625" style="127"/>
    <col min="10753" max="10753" width="30.85546875" style="127" customWidth="1"/>
    <col min="10754" max="10754" width="9.140625" style="127" customWidth="1"/>
    <col min="10755" max="10755" width="9.7109375" style="127" customWidth="1"/>
    <col min="10756" max="10756" width="15.140625" style="127" customWidth="1"/>
    <col min="10757" max="10757" width="12" style="127" customWidth="1"/>
    <col min="10758" max="10761" width="9.140625" style="127"/>
    <col min="10762" max="10762" width="9.42578125" style="127" customWidth="1"/>
    <col min="10763" max="11008" width="9.140625" style="127"/>
    <col min="11009" max="11009" width="30.85546875" style="127" customWidth="1"/>
    <col min="11010" max="11010" width="9.140625" style="127" customWidth="1"/>
    <col min="11011" max="11011" width="9.7109375" style="127" customWidth="1"/>
    <col min="11012" max="11012" width="15.140625" style="127" customWidth="1"/>
    <col min="11013" max="11013" width="12" style="127" customWidth="1"/>
    <col min="11014" max="11017" width="9.140625" style="127"/>
    <col min="11018" max="11018" width="9.42578125" style="127" customWidth="1"/>
    <col min="11019" max="11264" width="9.140625" style="127"/>
    <col min="11265" max="11265" width="30.85546875" style="127" customWidth="1"/>
    <col min="11266" max="11266" width="9.140625" style="127" customWidth="1"/>
    <col min="11267" max="11267" width="9.7109375" style="127" customWidth="1"/>
    <col min="11268" max="11268" width="15.140625" style="127" customWidth="1"/>
    <col min="11269" max="11269" width="12" style="127" customWidth="1"/>
    <col min="11270" max="11273" width="9.140625" style="127"/>
    <col min="11274" max="11274" width="9.42578125" style="127" customWidth="1"/>
    <col min="11275" max="11520" width="9.140625" style="127"/>
    <col min="11521" max="11521" width="30.85546875" style="127" customWidth="1"/>
    <col min="11522" max="11522" width="9.140625" style="127" customWidth="1"/>
    <col min="11523" max="11523" width="9.7109375" style="127" customWidth="1"/>
    <col min="11524" max="11524" width="15.140625" style="127" customWidth="1"/>
    <col min="11525" max="11525" width="12" style="127" customWidth="1"/>
    <col min="11526" max="11529" width="9.140625" style="127"/>
    <col min="11530" max="11530" width="9.42578125" style="127" customWidth="1"/>
    <col min="11531" max="11776" width="9.140625" style="127"/>
    <col min="11777" max="11777" width="30.85546875" style="127" customWidth="1"/>
    <col min="11778" max="11778" width="9.140625" style="127" customWidth="1"/>
    <col min="11779" max="11779" width="9.7109375" style="127" customWidth="1"/>
    <col min="11780" max="11780" width="15.140625" style="127" customWidth="1"/>
    <col min="11781" max="11781" width="12" style="127" customWidth="1"/>
    <col min="11782" max="11785" width="9.140625" style="127"/>
    <col min="11786" max="11786" width="9.42578125" style="127" customWidth="1"/>
    <col min="11787" max="12032" width="9.140625" style="127"/>
    <col min="12033" max="12033" width="30.85546875" style="127" customWidth="1"/>
    <col min="12034" max="12034" width="9.140625" style="127" customWidth="1"/>
    <col min="12035" max="12035" width="9.7109375" style="127" customWidth="1"/>
    <col min="12036" max="12036" width="15.140625" style="127" customWidth="1"/>
    <col min="12037" max="12037" width="12" style="127" customWidth="1"/>
    <col min="12038" max="12041" width="9.140625" style="127"/>
    <col min="12042" max="12042" width="9.42578125" style="127" customWidth="1"/>
    <col min="12043" max="12288" width="9.140625" style="127"/>
    <col min="12289" max="12289" width="30.85546875" style="127" customWidth="1"/>
    <col min="12290" max="12290" width="9.140625" style="127" customWidth="1"/>
    <col min="12291" max="12291" width="9.7109375" style="127" customWidth="1"/>
    <col min="12292" max="12292" width="15.140625" style="127" customWidth="1"/>
    <col min="12293" max="12293" width="12" style="127" customWidth="1"/>
    <col min="12294" max="12297" width="9.140625" style="127"/>
    <col min="12298" max="12298" width="9.42578125" style="127" customWidth="1"/>
    <col min="12299" max="12544" width="9.140625" style="127"/>
    <col min="12545" max="12545" width="30.85546875" style="127" customWidth="1"/>
    <col min="12546" max="12546" width="9.140625" style="127" customWidth="1"/>
    <col min="12547" max="12547" width="9.7109375" style="127" customWidth="1"/>
    <col min="12548" max="12548" width="15.140625" style="127" customWidth="1"/>
    <col min="12549" max="12549" width="12" style="127" customWidth="1"/>
    <col min="12550" max="12553" width="9.140625" style="127"/>
    <col min="12554" max="12554" width="9.42578125" style="127" customWidth="1"/>
    <col min="12555" max="12800" width="9.140625" style="127"/>
    <col min="12801" max="12801" width="30.85546875" style="127" customWidth="1"/>
    <col min="12802" max="12802" width="9.140625" style="127" customWidth="1"/>
    <col min="12803" max="12803" width="9.7109375" style="127" customWidth="1"/>
    <col min="12804" max="12804" width="15.140625" style="127" customWidth="1"/>
    <col min="12805" max="12805" width="12" style="127" customWidth="1"/>
    <col min="12806" max="12809" width="9.140625" style="127"/>
    <col min="12810" max="12810" width="9.42578125" style="127" customWidth="1"/>
    <col min="12811" max="13056" width="9.140625" style="127"/>
    <col min="13057" max="13057" width="30.85546875" style="127" customWidth="1"/>
    <col min="13058" max="13058" width="9.140625" style="127" customWidth="1"/>
    <col min="13059" max="13059" width="9.7109375" style="127" customWidth="1"/>
    <col min="13060" max="13060" width="15.140625" style="127" customWidth="1"/>
    <col min="13061" max="13061" width="12" style="127" customWidth="1"/>
    <col min="13062" max="13065" width="9.140625" style="127"/>
    <col min="13066" max="13066" width="9.42578125" style="127" customWidth="1"/>
    <col min="13067" max="13312" width="9.140625" style="127"/>
    <col min="13313" max="13313" width="30.85546875" style="127" customWidth="1"/>
    <col min="13314" max="13314" width="9.140625" style="127" customWidth="1"/>
    <col min="13315" max="13315" width="9.7109375" style="127" customWidth="1"/>
    <col min="13316" max="13316" width="15.140625" style="127" customWidth="1"/>
    <col min="13317" max="13317" width="12" style="127" customWidth="1"/>
    <col min="13318" max="13321" width="9.140625" style="127"/>
    <col min="13322" max="13322" width="9.42578125" style="127" customWidth="1"/>
    <col min="13323" max="13568" width="9.140625" style="127"/>
    <col min="13569" max="13569" width="30.85546875" style="127" customWidth="1"/>
    <col min="13570" max="13570" width="9.140625" style="127" customWidth="1"/>
    <col min="13571" max="13571" width="9.7109375" style="127" customWidth="1"/>
    <col min="13572" max="13572" width="15.140625" style="127" customWidth="1"/>
    <col min="13573" max="13573" width="12" style="127" customWidth="1"/>
    <col min="13574" max="13577" width="9.140625" style="127"/>
    <col min="13578" max="13578" width="9.42578125" style="127" customWidth="1"/>
    <col min="13579" max="13824" width="9.140625" style="127"/>
    <col min="13825" max="13825" width="30.85546875" style="127" customWidth="1"/>
    <col min="13826" max="13826" width="9.140625" style="127" customWidth="1"/>
    <col min="13827" max="13827" width="9.7109375" style="127" customWidth="1"/>
    <col min="13828" max="13828" width="15.140625" style="127" customWidth="1"/>
    <col min="13829" max="13829" width="12" style="127" customWidth="1"/>
    <col min="13830" max="13833" width="9.140625" style="127"/>
    <col min="13834" max="13834" width="9.42578125" style="127" customWidth="1"/>
    <col min="13835" max="14080" width="9.140625" style="127"/>
    <col min="14081" max="14081" width="30.85546875" style="127" customWidth="1"/>
    <col min="14082" max="14082" width="9.140625" style="127" customWidth="1"/>
    <col min="14083" max="14083" width="9.7109375" style="127" customWidth="1"/>
    <col min="14084" max="14084" width="15.140625" style="127" customWidth="1"/>
    <col min="14085" max="14085" width="12" style="127" customWidth="1"/>
    <col min="14086" max="14089" width="9.140625" style="127"/>
    <col min="14090" max="14090" width="9.42578125" style="127" customWidth="1"/>
    <col min="14091" max="14336" width="9.140625" style="127"/>
    <col min="14337" max="14337" width="30.85546875" style="127" customWidth="1"/>
    <col min="14338" max="14338" width="9.140625" style="127" customWidth="1"/>
    <col min="14339" max="14339" width="9.7109375" style="127" customWidth="1"/>
    <col min="14340" max="14340" width="15.140625" style="127" customWidth="1"/>
    <col min="14341" max="14341" width="12" style="127" customWidth="1"/>
    <col min="14342" max="14345" width="9.140625" style="127"/>
    <col min="14346" max="14346" width="9.42578125" style="127" customWidth="1"/>
    <col min="14347" max="14592" width="9.140625" style="127"/>
    <col min="14593" max="14593" width="30.85546875" style="127" customWidth="1"/>
    <col min="14594" max="14594" width="9.140625" style="127" customWidth="1"/>
    <col min="14595" max="14595" width="9.7109375" style="127" customWidth="1"/>
    <col min="14596" max="14596" width="15.140625" style="127" customWidth="1"/>
    <col min="14597" max="14597" width="12" style="127" customWidth="1"/>
    <col min="14598" max="14601" width="9.140625" style="127"/>
    <col min="14602" max="14602" width="9.42578125" style="127" customWidth="1"/>
    <col min="14603" max="14848" width="9.140625" style="127"/>
    <col min="14849" max="14849" width="30.85546875" style="127" customWidth="1"/>
    <col min="14850" max="14850" width="9.140625" style="127" customWidth="1"/>
    <col min="14851" max="14851" width="9.7109375" style="127" customWidth="1"/>
    <col min="14852" max="14852" width="15.140625" style="127" customWidth="1"/>
    <col min="14853" max="14853" width="12" style="127" customWidth="1"/>
    <col min="14854" max="14857" width="9.140625" style="127"/>
    <col min="14858" max="14858" width="9.42578125" style="127" customWidth="1"/>
    <col min="14859" max="15104" width="9.140625" style="127"/>
    <col min="15105" max="15105" width="30.85546875" style="127" customWidth="1"/>
    <col min="15106" max="15106" width="9.140625" style="127" customWidth="1"/>
    <col min="15107" max="15107" width="9.7109375" style="127" customWidth="1"/>
    <col min="15108" max="15108" width="15.140625" style="127" customWidth="1"/>
    <col min="15109" max="15109" width="12" style="127" customWidth="1"/>
    <col min="15110" max="15113" width="9.140625" style="127"/>
    <col min="15114" max="15114" width="9.42578125" style="127" customWidth="1"/>
    <col min="15115" max="15360" width="9.140625" style="127"/>
    <col min="15361" max="15361" width="30.85546875" style="127" customWidth="1"/>
    <col min="15362" max="15362" width="9.140625" style="127" customWidth="1"/>
    <col min="15363" max="15363" width="9.7109375" style="127" customWidth="1"/>
    <col min="15364" max="15364" width="15.140625" style="127" customWidth="1"/>
    <col min="15365" max="15365" width="12" style="127" customWidth="1"/>
    <col min="15366" max="15369" width="9.140625" style="127"/>
    <col min="15370" max="15370" width="9.42578125" style="127" customWidth="1"/>
    <col min="15371" max="15616" width="9.140625" style="127"/>
    <col min="15617" max="15617" width="30.85546875" style="127" customWidth="1"/>
    <col min="15618" max="15618" width="9.140625" style="127" customWidth="1"/>
    <col min="15619" max="15619" width="9.7109375" style="127" customWidth="1"/>
    <col min="15620" max="15620" width="15.140625" style="127" customWidth="1"/>
    <col min="15621" max="15621" width="12" style="127" customWidth="1"/>
    <col min="15622" max="15625" width="9.140625" style="127"/>
    <col min="15626" max="15626" width="9.42578125" style="127" customWidth="1"/>
    <col min="15627" max="15872" width="9.140625" style="127"/>
    <col min="15873" max="15873" width="30.85546875" style="127" customWidth="1"/>
    <col min="15874" max="15874" width="9.140625" style="127" customWidth="1"/>
    <col min="15875" max="15875" width="9.7109375" style="127" customWidth="1"/>
    <col min="15876" max="15876" width="15.140625" style="127" customWidth="1"/>
    <col min="15877" max="15877" width="12" style="127" customWidth="1"/>
    <col min="15878" max="15881" width="9.140625" style="127"/>
    <col min="15882" max="15882" width="9.42578125" style="127" customWidth="1"/>
    <col min="15883" max="16128" width="9.140625" style="127"/>
    <col min="16129" max="16129" width="30.85546875" style="127" customWidth="1"/>
    <col min="16130" max="16130" width="9.140625" style="127" customWidth="1"/>
    <col min="16131" max="16131" width="9.7109375" style="127" customWidth="1"/>
    <col min="16132" max="16132" width="15.140625" style="127" customWidth="1"/>
    <col min="16133" max="16133" width="12" style="127" customWidth="1"/>
    <col min="16134" max="16137" width="9.140625" style="127"/>
    <col min="16138" max="16138" width="9.42578125" style="127" customWidth="1"/>
    <col min="16139" max="16384" width="9.140625" style="127"/>
  </cols>
  <sheetData>
    <row r="1" spans="1:6" s="124" customFormat="1" x14ac:dyDescent="0.25">
      <c r="A1" s="122" t="str">
        <f>[2]SharedInputs!B4</f>
        <v>AVISTA UTILITIES</v>
      </c>
      <c r="B1" s="122"/>
      <c r="C1" s="122"/>
      <c r="D1" s="122"/>
      <c r="E1" s="123"/>
      <c r="F1" s="122"/>
    </row>
    <row r="2" spans="1:6" s="124" customFormat="1" x14ac:dyDescent="0.25">
      <c r="A2" s="122" t="s">
        <v>124</v>
      </c>
      <c r="B2" s="122"/>
      <c r="C2" s="122"/>
      <c r="D2" s="122"/>
      <c r="E2" s="125"/>
      <c r="F2" s="122"/>
    </row>
    <row r="3" spans="1:6" s="124" customFormat="1" x14ac:dyDescent="0.25">
      <c r="A3" s="122" t="s">
        <v>133</v>
      </c>
      <c r="B3" s="122"/>
      <c r="C3" s="122"/>
      <c r="D3" s="122"/>
      <c r="E3" s="122"/>
      <c r="F3" s="122"/>
    </row>
    <row r="4" spans="1:6" x14ac:dyDescent="0.25">
      <c r="A4" s="122" t="s">
        <v>134</v>
      </c>
      <c r="B4" s="126"/>
      <c r="C4" s="126"/>
      <c r="E4" s="126"/>
      <c r="F4" s="126"/>
    </row>
    <row r="5" spans="1:6" x14ac:dyDescent="0.25">
      <c r="A5" s="126"/>
      <c r="B5" s="126"/>
      <c r="C5" s="126"/>
      <c r="E5" s="126"/>
      <c r="F5" s="126"/>
    </row>
    <row r="6" spans="1:6" x14ac:dyDescent="0.25">
      <c r="A6" s="126" t="s">
        <v>125</v>
      </c>
      <c r="B6" s="126"/>
      <c r="C6" s="126"/>
      <c r="E6" s="126">
        <v>1</v>
      </c>
      <c r="F6" s="126"/>
    </row>
    <row r="7" spans="1:6" x14ac:dyDescent="0.25">
      <c r="A7" s="126"/>
      <c r="B7" s="126"/>
      <c r="C7" s="126"/>
      <c r="E7" s="126"/>
      <c r="F7" s="126"/>
    </row>
    <row r="8" spans="1:6" x14ac:dyDescent="0.25">
      <c r="A8" s="126" t="s">
        <v>59</v>
      </c>
      <c r="B8" s="126"/>
      <c r="C8" s="126"/>
      <c r="E8" s="126"/>
      <c r="F8" s="126"/>
    </row>
    <row r="9" spans="1:6" x14ac:dyDescent="0.25">
      <c r="A9" s="126"/>
      <c r="B9" s="126"/>
      <c r="C9" s="126"/>
      <c r="E9" s="126"/>
      <c r="F9" s="126"/>
    </row>
    <row r="10" spans="1:6" x14ac:dyDescent="0.25">
      <c r="A10" s="126" t="s">
        <v>126</v>
      </c>
      <c r="B10" s="126"/>
      <c r="C10" s="126"/>
      <c r="E10" s="126">
        <v>5.6309999999999997E-3</v>
      </c>
      <c r="F10" s="126"/>
    </row>
    <row r="11" spans="1:6" x14ac:dyDescent="0.25">
      <c r="A11" s="126"/>
      <c r="B11" s="126"/>
      <c r="C11" s="126"/>
      <c r="E11" s="126"/>
      <c r="F11" s="126"/>
    </row>
    <row r="12" spans="1:6" x14ac:dyDescent="0.25">
      <c r="A12" s="126" t="s">
        <v>127</v>
      </c>
      <c r="B12" s="126"/>
      <c r="C12" s="126"/>
      <c r="E12" s="126">
        <v>2E-3</v>
      </c>
      <c r="F12" s="126"/>
    </row>
    <row r="13" spans="1:6" x14ac:dyDescent="0.25">
      <c r="A13" s="126"/>
      <c r="B13" s="126"/>
      <c r="C13" s="126"/>
      <c r="E13" s="126"/>
      <c r="F13" s="126"/>
    </row>
    <row r="14" spans="1:6" x14ac:dyDescent="0.25">
      <c r="A14" s="126" t="s">
        <v>128</v>
      </c>
      <c r="B14" s="126"/>
      <c r="C14" s="126"/>
      <c r="E14" s="126">
        <v>3.8516000000000002E-2</v>
      </c>
      <c r="F14" s="126"/>
    </row>
    <row r="15" spans="1:6" x14ac:dyDescent="0.25">
      <c r="A15" s="126"/>
      <c r="B15" s="126"/>
      <c r="C15" s="126"/>
      <c r="E15" s="126"/>
      <c r="F15" s="126"/>
    </row>
    <row r="16" spans="1:6" x14ac:dyDescent="0.25">
      <c r="A16" s="126"/>
      <c r="B16" s="126"/>
      <c r="C16" s="126"/>
      <c r="E16" s="126"/>
    </row>
    <row r="17" spans="1:11" x14ac:dyDescent="0.25">
      <c r="A17" s="126" t="s">
        <v>60</v>
      </c>
      <c r="B17" s="126"/>
      <c r="C17" s="126"/>
      <c r="E17" s="128">
        <f>SUM(E9:E15)</f>
        <v>4.6147000000000001E-2</v>
      </c>
      <c r="F17" s="126"/>
      <c r="K17" s="129"/>
    </row>
    <row r="18" spans="1:11" x14ac:dyDescent="0.25">
      <c r="A18" s="126"/>
      <c r="B18" s="126"/>
      <c r="C18" s="126"/>
      <c r="E18" s="126"/>
    </row>
    <row r="19" spans="1:11" x14ac:dyDescent="0.25">
      <c r="A19" s="126" t="s">
        <v>61</v>
      </c>
      <c r="B19" s="126"/>
      <c r="C19" s="126"/>
      <c r="E19" s="149">
        <f>E6-E17</f>
        <v>0.95385299999999995</v>
      </c>
      <c r="F19" s="126"/>
    </row>
    <row r="20" spans="1:11" x14ac:dyDescent="0.25">
      <c r="A20" s="126"/>
      <c r="B20" s="126"/>
      <c r="C20" s="126"/>
      <c r="E20" s="126"/>
      <c r="F20" s="126"/>
    </row>
    <row r="21" spans="1:11" x14ac:dyDescent="0.25">
      <c r="A21" s="126" t="s">
        <v>129</v>
      </c>
      <c r="B21" s="130">
        <f>[2]SharedInputs!B10</f>
        <v>0.35</v>
      </c>
      <c r="C21" s="131"/>
      <c r="E21" s="126">
        <f>E19*$B$21</f>
        <v>0.33384854999999997</v>
      </c>
      <c r="F21" s="126"/>
    </row>
    <row r="22" spans="1:11" x14ac:dyDescent="0.25">
      <c r="A22" s="126"/>
      <c r="B22" s="126"/>
      <c r="C22" s="126"/>
      <c r="E22" s="126"/>
      <c r="F22" s="126"/>
    </row>
    <row r="23" spans="1:11" x14ac:dyDescent="0.25">
      <c r="A23" s="126" t="s">
        <v>58</v>
      </c>
      <c r="B23" s="126"/>
      <c r="C23" s="126"/>
      <c r="E23" s="128">
        <f>E19-E21</f>
        <v>0.62000444999999993</v>
      </c>
      <c r="F23" s="126"/>
    </row>
    <row r="24" spans="1:11" x14ac:dyDescent="0.25">
      <c r="A24" s="126"/>
      <c r="B24" s="126"/>
      <c r="C24" s="126"/>
      <c r="E24" s="126"/>
      <c r="F24" s="126"/>
    </row>
    <row r="25" spans="1:11" x14ac:dyDescent="0.25">
      <c r="A25" s="126"/>
      <c r="B25" s="126"/>
      <c r="C25" s="126"/>
      <c r="E25" s="126"/>
      <c r="F25" s="126"/>
    </row>
    <row r="26" spans="1:11" x14ac:dyDescent="0.25">
      <c r="A26" s="126"/>
      <c r="B26" s="126"/>
      <c r="C26" s="126"/>
      <c r="D26" s="126"/>
      <c r="E26" s="126"/>
      <c r="F26" s="126"/>
    </row>
    <row r="31" spans="1:11" x14ac:dyDescent="0.25">
      <c r="G31" s="144"/>
    </row>
    <row r="39" spans="2:3" x14ac:dyDescent="0.25">
      <c r="B39" s="141"/>
    </row>
    <row r="40" spans="2:3" x14ac:dyDescent="0.25">
      <c r="C40" s="133"/>
    </row>
    <row r="41" spans="2:3" x14ac:dyDescent="0.25">
      <c r="C41" s="137"/>
    </row>
    <row r="42" spans="2:3" x14ac:dyDescent="0.25">
      <c r="C42" s="137"/>
    </row>
    <row r="47" spans="2:3" x14ac:dyDescent="0.25">
      <c r="B47" s="127" t="s">
        <v>131</v>
      </c>
    </row>
  </sheetData>
  <pageMargins left="0.7" right="0.7" top="0.75" bottom="0.75" header="0.3" footer="0.3"/>
  <pageSetup scale="73" orientation="landscape" r:id="rId1"/>
  <headerFooter>
    <oddHeader>&amp;CRedacted</oddHeader>
    <oddFooter>&amp;L&amp;F&amp;RPage: 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2017-03-30T07:00:00+00:00</OpenedDate>
    <Date1 xmlns="dc463f71-b30c-4ab2-9473-d307f9d35888">2017-05-04T07:00:00+00:00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170214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xxe4awand xmlns="http://www.excel4apps.com"><![CDATA[rO0ABXfiCMCtii8CBwIDAh4AAERjb20uZXhjZWw0YXBwcy53YW5kLm9yYWNsZS5n
bHdhbmQuY2FsY3VsYXRpb25zLmdldGJhbGFuY2UuR2V0QmFsYW5jZQIBAAkxNjU5
OTEyODACAgABMAIDAAYyMDE3MDECBAADWVREAgUAA1VTRAIGAAVUb3RhbAIHAAFB
AggAAAIJAAMwMDECCgAUMTg2MzIyLDE4NjMyMywxODYzMjQCCwABJQILAgwAAkRM
AggCCAIIAggCCAIIAggCCAIIAggCCAIIAggCCAIIAggCCAIBAgMCDXNyAg4AFGph
dmEubWF0aC5CaWdEZWNpbWFsVMcVV/mBKE8DAAJJAg8ABXNjYWxlTAIQAAZpbnRW
YWx0ABZMamF2YS9tYXRoL0JpZ0ludGVnZXI7eHICEQAQamF2YS5sYW5nLk51bWJl
coaslR0LlOCLAgAAeHAAAAACc3ICEgAUamF2YS5tYXRoLkJpZ0ludGVnZXKM/J8f
qTv7HQMABkkCEwAIYml0Q291bnRJAhQACWJpdExlbmd0aEkCFQATZmlyc3ROb256
ZXJvQnl0ZU51bUkCFgAMbG93ZXN0U2V0Qml0SQIXAAZzaWdudW1bAhgACW1hZ25p
dHVkZXQAAltCeHEAfgAC///////////////+/////gAAAAF1cgIZAAJbQqzzF/gG
CFTgAgAAeHAAAAADTp3SeHh3TQIeAAIBAgICGgAGMjAxNzAyAgQCBQIGAgcCCAIJ
AgoCCwILAgwCCAIIAggCCAIIAggCCAIIAggCCAIIAggCCAIIAggCCAIIAgECAwIb
c3EAfgAAAAAAAnNxAH4ABP///////////////v////4AAAABdXEAfgAHAAAABAFn
+x54eHdNAh4AAgECAgIcAAYyMDE2MTICBAIFAgYCBwIIAgkCCgILAgsCDAIIAggC
CAIIAggCCAIIAggCCAIIAggCCAIIAggCCAIIAggCAQIDAh1zcQB+AAAAAAACc3EA
fgAE///////////////+/////gAAAAF1cQB+AAcAAAAEAtAGNnh4]]></xxe4awand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FC3D7CBCBA9A840B95E1341F03A6B85" ma:contentTypeVersion="92" ma:contentTypeDescription="" ma:contentTypeScope="" ma:versionID="8b0a849911be38246b3323014f058f8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3EAE5C-29C2-4F16-92C1-4D5557213FA0}">
  <ds:schemaRefs>
    <ds:schemaRef ds:uri="http://purl.org/dc/elements/1.1/"/>
    <ds:schemaRef ds:uri="http://schemas.microsoft.com/office/2006/metadata/properties"/>
    <ds:schemaRef ds:uri="6a7bd91e-004b-490a-8704-e368d63d59a0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93C2302-DE3F-48F4-B00B-DC4D3A79BA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3E864F-DC4A-4AE4-BBFA-67549B9E1421}"/>
</file>

<file path=customXml/itemProps4.xml><?xml version="1.0" encoding="utf-8"?>
<ds:datastoreItem xmlns:ds="http://schemas.openxmlformats.org/officeDocument/2006/customXml" ds:itemID="{D6A92EDB-1E1F-4518-94D6-F337E804A242}">
  <ds:schemaRefs>
    <ds:schemaRef ds:uri="http://www.excel4apps.com"/>
  </ds:schemaRefs>
</ds:datastoreItem>
</file>

<file path=customXml/itemProps5.xml><?xml version="1.0" encoding="utf-8"?>
<ds:datastoreItem xmlns:ds="http://schemas.openxmlformats.org/officeDocument/2006/customXml" ds:itemID="{BB2BD2A3-2F93-4098-AF10-7CDD98AB25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Rate Design</vt:lpstr>
      <vt:lpstr>7-2017 thru 6-2018 RECs</vt:lpstr>
      <vt:lpstr>3-2017 thru 6-2017 RECs</vt:lpstr>
      <vt:lpstr>Forecast Balance</vt:lpstr>
      <vt:lpstr>Forecasted Revenue</vt:lpstr>
      <vt:lpstr>kWh Forecast</vt:lpstr>
      <vt:lpstr>CF WA Elec</vt:lpstr>
      <vt:lpstr>'Forecast Balance'!Print_Area</vt:lpstr>
      <vt:lpstr>'Forecasted Revenue'!Print_Area</vt:lpstr>
      <vt:lpstr>'kWh Forecast'!Print_Area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bj4046</dc:creator>
  <cp:lastModifiedBy>Huff, Ashley (UTC)</cp:lastModifiedBy>
  <cp:lastPrinted>2017-05-04T16:45:28Z</cp:lastPrinted>
  <dcterms:created xsi:type="dcterms:W3CDTF">2016-02-09T19:01:57Z</dcterms:created>
  <dcterms:modified xsi:type="dcterms:W3CDTF">2017-05-08T20:56:19Z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0x0101006E56B4D1795A2E4DB2F0B01679ED314A001FC3D7CBCBA9A840B95E1341F03A6B85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