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 8 Effective 1.1.12\7.1.15 Commodity and Disposal Fee\"/>
    </mc:Choice>
  </mc:AlternateContent>
  <bookViews>
    <workbookView xWindow="0" yWindow="48" windowWidth="15576" windowHeight="11820" firstSheet="1" activeTab="3"/>
  </bookViews>
  <sheets>
    <sheet name="G-14 Residential" sheetId="1" r:id="rId1"/>
    <sheet name="G-14 Multi" sheetId="2" r:id="rId2"/>
    <sheet name="Single Family Commodities" sheetId="5" r:id="rId3"/>
    <sheet name="Multi Family Commodities" sheetId="6" r:id="rId4"/>
  </sheets>
  <definedNames>
    <definedName name="_xlnm.Print_Area" localSheetId="1">'G-14 Multi'!$A$1:$J$57</definedName>
    <definedName name="_xlnm.Print_Area" localSheetId="0">'G-14 Residential'!$A$1:$J$57</definedName>
  </definedNames>
  <calcPr calcId="152511"/>
</workbook>
</file>

<file path=xl/calcChain.xml><?xml version="1.0" encoding="utf-8"?>
<calcChain xmlns="http://schemas.openxmlformats.org/spreadsheetml/2006/main">
  <c r="O30" i="5" l="1"/>
  <c r="H30" i="5"/>
  <c r="G30" i="5"/>
  <c r="F30" i="5"/>
  <c r="H30" i="6" l="1"/>
  <c r="F30" i="6"/>
  <c r="B30" i="6"/>
  <c r="H28" i="6"/>
  <c r="F28" i="6"/>
  <c r="H24" i="6"/>
  <c r="H26" i="6"/>
  <c r="F26" i="6"/>
  <c r="F24" i="6"/>
  <c r="H22" i="6"/>
  <c r="F22" i="6"/>
  <c r="H20" i="6"/>
  <c r="F20" i="6"/>
  <c r="H18" i="6"/>
  <c r="F18" i="6"/>
  <c r="H16" i="6"/>
  <c r="F16" i="6"/>
  <c r="H14" i="6"/>
  <c r="F14" i="6"/>
  <c r="H12" i="6"/>
  <c r="F12" i="6"/>
  <c r="H10" i="6"/>
  <c r="G10" i="6"/>
  <c r="F10" i="6"/>
  <c r="I8" i="6"/>
  <c r="E8" i="6" s="1"/>
  <c r="H8" i="6"/>
  <c r="G8" i="6"/>
  <c r="F8" i="6"/>
  <c r="F28" i="5" l="1"/>
  <c r="H28" i="5"/>
  <c r="G28" i="5"/>
  <c r="H26" i="5"/>
  <c r="G26" i="5"/>
  <c r="F26" i="5"/>
  <c r="H24" i="5"/>
  <c r="G24" i="5"/>
  <c r="F24" i="5"/>
  <c r="H22" i="5" l="1"/>
  <c r="G22" i="5"/>
  <c r="F22" i="5"/>
  <c r="K20" i="5" l="1"/>
  <c r="J20" i="5"/>
  <c r="H20" i="5"/>
  <c r="G20" i="5"/>
  <c r="F20" i="5"/>
  <c r="H18" i="5"/>
  <c r="G18" i="5"/>
  <c r="F18" i="5"/>
  <c r="H16" i="5"/>
  <c r="G16" i="5"/>
  <c r="F16" i="5"/>
  <c r="L14" i="5"/>
  <c r="K14" i="5"/>
  <c r="H14" i="5"/>
  <c r="G14" i="5"/>
  <c r="F14" i="5"/>
  <c r="I12" i="5"/>
  <c r="H12" i="5"/>
  <c r="G12" i="5"/>
  <c r="F12" i="5"/>
  <c r="H10" i="5"/>
  <c r="G10" i="5"/>
  <c r="F10" i="5"/>
  <c r="H8" i="5"/>
  <c r="G8" i="5"/>
  <c r="F8" i="5"/>
  <c r="B28" i="6" l="1"/>
  <c r="O28" i="5"/>
  <c r="G22" i="6"/>
  <c r="D30" i="5" l="1"/>
  <c r="C30" i="5"/>
  <c r="B30" i="5"/>
  <c r="D28" i="6" l="1"/>
  <c r="D30" i="6"/>
  <c r="D26" i="6" l="1"/>
  <c r="B26" i="6"/>
  <c r="D24" i="6"/>
  <c r="B24" i="6"/>
  <c r="D28" i="5" l="1"/>
  <c r="C28" i="5"/>
  <c r="B28" i="5"/>
  <c r="D26" i="5"/>
  <c r="C26" i="5"/>
  <c r="B26" i="5"/>
  <c r="D24" i="5"/>
  <c r="C24" i="5"/>
  <c r="B24" i="5"/>
  <c r="D22" i="6"/>
  <c r="B22" i="6"/>
  <c r="D20" i="6"/>
  <c r="B20" i="6"/>
  <c r="O20" i="6"/>
  <c r="J20" i="6"/>
  <c r="D18" i="6"/>
  <c r="B18" i="6"/>
  <c r="D16" i="6"/>
  <c r="B16" i="6"/>
  <c r="D14" i="6"/>
  <c r="B14" i="6"/>
  <c r="D12" i="6"/>
  <c r="B12" i="6"/>
  <c r="J30" i="6"/>
  <c r="J28" i="6"/>
  <c r="J26" i="6"/>
  <c r="J24" i="6"/>
  <c r="J22" i="6"/>
  <c r="J14" i="6"/>
  <c r="J12" i="6"/>
  <c r="J10" i="6"/>
  <c r="J8" i="6"/>
  <c r="D10" i="6"/>
  <c r="B10" i="6"/>
  <c r="D8" i="6"/>
  <c r="B8" i="6"/>
  <c r="C22" i="5"/>
  <c r="D22" i="5"/>
  <c r="B22" i="5"/>
  <c r="C20" i="5"/>
  <c r="D20" i="5"/>
  <c r="B20" i="5"/>
  <c r="C18" i="5"/>
  <c r="D18" i="5"/>
  <c r="B18" i="5"/>
  <c r="D16" i="5"/>
  <c r="C16" i="5"/>
  <c r="B16" i="5"/>
  <c r="D14" i="5"/>
  <c r="C14" i="5"/>
  <c r="B14" i="5"/>
  <c r="C12" i="5"/>
  <c r="D12" i="5"/>
  <c r="E12" i="5"/>
  <c r="B12" i="5"/>
  <c r="J18" i="6" l="1"/>
  <c r="J16" i="6"/>
  <c r="C10" i="5" l="1"/>
  <c r="D10" i="5"/>
  <c r="B10" i="5"/>
  <c r="D8" i="5"/>
  <c r="C8" i="5"/>
  <c r="B8" i="5"/>
  <c r="I32" i="6" l="1"/>
  <c r="H32" i="6"/>
  <c r="G32" i="6"/>
  <c r="F32" i="6"/>
  <c r="N30" i="6"/>
  <c r="L30" i="6"/>
  <c r="N28" i="6"/>
  <c r="N26" i="6"/>
  <c r="L26" i="6"/>
  <c r="J32" i="6"/>
  <c r="I32" i="5"/>
  <c r="H32" i="5"/>
  <c r="G32" i="5"/>
  <c r="F32" i="5"/>
  <c r="J30" i="5"/>
  <c r="J28" i="5"/>
  <c r="J26" i="5"/>
  <c r="J24" i="5"/>
  <c r="J22" i="5"/>
  <c r="J18" i="5"/>
  <c r="J16" i="5"/>
  <c r="J14" i="5"/>
  <c r="J12" i="5"/>
  <c r="J10" i="5"/>
  <c r="J8" i="5"/>
  <c r="E21" i="1" l="1"/>
  <c r="O24" i="5"/>
  <c r="E19" i="1" s="1"/>
  <c r="O20" i="5"/>
  <c r="E17" i="1" s="1"/>
  <c r="O14" i="6"/>
  <c r="E14" i="2" s="1"/>
  <c r="O30" i="6"/>
  <c r="E22" i="2" s="1"/>
  <c r="M32" i="6"/>
  <c r="O12" i="6"/>
  <c r="E13" i="2" s="1"/>
  <c r="E17" i="2"/>
  <c r="O28" i="6"/>
  <c r="E21" i="2" s="1"/>
  <c r="O18" i="6"/>
  <c r="E16" i="2" s="1"/>
  <c r="O26" i="6"/>
  <c r="E20" i="2" s="1"/>
  <c r="K32" i="6"/>
  <c r="O16" i="6"/>
  <c r="E15" i="2" s="1"/>
  <c r="O24" i="6"/>
  <c r="E19" i="2" s="1"/>
  <c r="O12" i="5"/>
  <c r="E13" i="1" s="1"/>
  <c r="N32" i="5"/>
  <c r="O16" i="5"/>
  <c r="E15" i="1" s="1"/>
  <c r="E22" i="1"/>
  <c r="M32" i="5"/>
  <c r="O10" i="5"/>
  <c r="O26" i="5"/>
  <c r="E20" i="1" s="1"/>
  <c r="O22" i="5"/>
  <c r="E18" i="1" s="1"/>
  <c r="O18" i="5"/>
  <c r="E16" i="1" s="1"/>
  <c r="O14" i="5"/>
  <c r="E14" i="1" s="1"/>
  <c r="L32" i="5"/>
  <c r="K32" i="5"/>
  <c r="O8" i="5"/>
  <c r="E8" i="1" s="1"/>
  <c r="J32" i="5"/>
  <c r="E9" i="1" l="1"/>
  <c r="O32" i="5"/>
  <c r="C24" i="2" l="1"/>
  <c r="G38" i="2" s="1"/>
  <c r="G22" i="2" l="1"/>
  <c r="G21" i="2"/>
  <c r="G20" i="2"/>
  <c r="G19" i="2"/>
  <c r="G17" i="2"/>
  <c r="G16" i="2"/>
  <c r="G15" i="2"/>
  <c r="G14" i="2"/>
  <c r="G13" i="2"/>
  <c r="C11" i="2"/>
  <c r="C26" i="2" s="1"/>
  <c r="E24" i="1" l="1"/>
  <c r="C24" i="1"/>
  <c r="G38" i="1" s="1"/>
  <c r="G22" i="1"/>
  <c r="G21" i="1"/>
  <c r="G20" i="1"/>
  <c r="G19" i="1"/>
  <c r="G18" i="1"/>
  <c r="G17" i="1"/>
  <c r="G16" i="1"/>
  <c r="G15" i="1"/>
  <c r="G14" i="1"/>
  <c r="G13" i="1"/>
  <c r="E11" i="1"/>
  <c r="C11" i="1"/>
  <c r="G9" i="1"/>
  <c r="G8" i="1"/>
  <c r="C26" i="1" l="1"/>
  <c r="E26" i="1"/>
  <c r="G26" i="1" l="1"/>
  <c r="H30" i="1"/>
  <c r="H54" i="1" l="1"/>
  <c r="J54" i="1" s="1"/>
  <c r="H48" i="1"/>
  <c r="G39" i="1"/>
  <c r="H48" i="2" l="1"/>
  <c r="G39" i="2"/>
  <c r="G33" i="2" l="1"/>
  <c r="G34" i="2" s="1"/>
  <c r="H39" i="2" s="1"/>
  <c r="G33" i="1"/>
  <c r="G34" i="1" s="1"/>
  <c r="H39" i="1" s="1"/>
  <c r="H41" i="1" s="1"/>
  <c r="H49" i="1" s="1"/>
  <c r="H51" i="1" s="1"/>
  <c r="J51" i="1" s="1"/>
  <c r="J57" i="1" s="1"/>
  <c r="N32" i="6"/>
  <c r="O22" i="6"/>
  <c r="E18" i="2" s="1"/>
  <c r="G18" i="2" l="1"/>
  <c r="E24" i="2"/>
  <c r="C8" i="6" l="1"/>
  <c r="O8" i="6"/>
  <c r="E8" i="2" s="1"/>
  <c r="G8" i="2" s="1"/>
  <c r="L32" i="6"/>
  <c r="C10" i="6"/>
  <c r="O10" i="6"/>
  <c r="O32" i="6" s="1"/>
  <c r="E9" i="2"/>
  <c r="E11" i="2" s="1"/>
  <c r="E26" i="2" s="1"/>
  <c r="G26" i="2" l="1"/>
  <c r="H54" i="2" s="1"/>
  <c r="J54" i="2" s="1"/>
  <c r="H30" i="2"/>
  <c r="H41" i="2" s="1"/>
  <c r="H49" i="2" s="1"/>
  <c r="H51" i="2" s="1"/>
  <c r="J51" i="2" s="1"/>
  <c r="G9" i="2"/>
  <c r="J57" i="2" l="1"/>
</calcChain>
</file>

<file path=xl/sharedStrings.xml><?xml version="1.0" encoding="utf-8"?>
<sst xmlns="http://schemas.openxmlformats.org/spreadsheetml/2006/main" count="150" uniqueCount="74">
  <si>
    <t>Sanitary Service Company, Inc.</t>
  </si>
  <si>
    <t>Commodity Price Adjustment</t>
  </si>
  <si>
    <t>Total</t>
  </si>
  <si>
    <t>Commodity</t>
  </si>
  <si>
    <t>Revenue</t>
  </si>
  <si>
    <t>Customers</t>
  </si>
  <si>
    <t>per customer</t>
  </si>
  <si>
    <t>Month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</si>
  <si>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</si>
  <si>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</si>
  <si>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</si>
  <si>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</si>
  <si>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</si>
  <si>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</si>
  <si>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</si>
  <si>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</si>
  <si>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</si>
  <si>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</si>
  <si>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</si>
  <si>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</si>
  <si>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Commodity Gain/Loss calculation</t>
  </si>
  <si>
    <t>Actual Commodity Revenues</t>
  </si>
  <si>
    <t>Monthly Base Credit per Customer</t>
  </si>
  <si>
    <t>Base Credits Billed</t>
  </si>
  <si>
    <t>Excess Commodity Credits</t>
  </si>
  <si>
    <t>Total Annual Customers</t>
  </si>
  <si>
    <t>12 month running average BASE CREDIT</t>
  </si>
  <si>
    <t>Monthly Base Credit per Yard</t>
  </si>
  <si>
    <t>Total Annual Yards</t>
  </si>
  <si>
    <t>Sanitary Service Company</t>
  </si>
  <si>
    <t>Glass/Cans</t>
  </si>
  <si>
    <t>Cardboard</t>
  </si>
  <si>
    <t>Mixed Paper</t>
  </si>
  <si>
    <t>Newspaper</t>
  </si>
  <si>
    <t>Multi-family</t>
  </si>
  <si>
    <t>Price per ton</t>
  </si>
  <si>
    <t>Tons</t>
  </si>
  <si>
    <t>Revenue (loss)</t>
  </si>
  <si>
    <t>Single Family</t>
  </si>
  <si>
    <t>Yards</t>
  </si>
  <si>
    <t>Commodity Price Adjustment - Single Family</t>
  </si>
  <si>
    <t>Commodity Price Adjustment - Multi Family</t>
  </si>
  <si>
    <t>May-June 2013</t>
  </si>
  <si>
    <t>July-13- April 14</t>
  </si>
  <si>
    <t>Customers from 5/13-06/13</t>
  </si>
  <si>
    <t>Customers from 07/13-04/14</t>
  </si>
  <si>
    <t>July 1, 2014 Commodity Price Adjustment</t>
  </si>
  <si>
    <t>2013-14 True-up Calculation</t>
  </si>
  <si>
    <t>2013-14 monthly True-up Charge</t>
  </si>
  <si>
    <t>2014-15 Projected Credit</t>
  </si>
  <si>
    <t>2014-15 Commodity Price Adjustment</t>
  </si>
  <si>
    <t>For the year ending April 30, 2015</t>
  </si>
  <si>
    <t>May 2014-April 2015</t>
  </si>
  <si>
    <t xml:space="preserve"> May-14</t>
  </si>
  <si>
    <t xml:space="preserve"> Jun-14</t>
  </si>
  <si>
    <t xml:space="preserve"> Jul-14</t>
  </si>
  <si>
    <t xml:space="preserve"> Aug-14</t>
  </si>
  <si>
    <t xml:space="preserve"> Sep-14</t>
  </si>
  <si>
    <t xml:space="preserve"> Oct-14</t>
  </si>
  <si>
    <t xml:space="preserve"> Nov-14</t>
  </si>
  <si>
    <t xml:space="preserve"> Dec-14</t>
  </si>
  <si>
    <t xml:space="preserve"> Jan 15</t>
  </si>
  <si>
    <t xml:space="preserve"> Feb-15</t>
  </si>
  <si>
    <t xml:space="preserve"> Mar-15</t>
  </si>
  <si>
    <t>May-June 2014</t>
  </si>
  <si>
    <t>July 14- April 15</t>
  </si>
  <si>
    <t>Yards from 05/14-06/14</t>
  </si>
  <si>
    <t>Yards from 07/14-04/15</t>
  </si>
  <si>
    <t>July 1, 2015 Commodity Price Adjustment</t>
  </si>
  <si>
    <t>2014-15 True-up Calculation</t>
  </si>
  <si>
    <t>2014-15 monthly True-up Charge</t>
  </si>
  <si>
    <t>2015-16 Projected Credit</t>
  </si>
  <si>
    <t>2015-16 Commodity Price Adjustment</t>
  </si>
  <si>
    <t xml:space="preserve"> Apr-15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</si>
</sst>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1" fontId="0" fillId="0" borderId="0" xfId="0" applyNumberFormat="1"/>
    <xf numFmtId="0" fontId="6" fillId="0" borderId="0" xfId="1"/>
    <xf numFmtId="2" fontId="6" fillId="0" borderId="0" xfId="1" applyNumberFormat="1"/>
    <xf numFmtId="1" fontId="6" fillId="0" borderId="0" xfId="1" applyNumberFormat="1"/>
    <xf numFmtId="2" fontId="0" fillId="2" borderId="0" xfId="0" applyNumberFormat="1" applyFill="1"/>
    <xf numFmtId="2" fontId="6" fillId="2" borderId="0" xfId="1" applyNumberFormat="1" applyFill="1"/>
    <xf numFmtId="0" fontId="4" fillId="0" borderId="0" xfId="4" applyFill="1"/>
    <xf numFmtId="0" fontId="6" fillId="0" borderId="0" xfId="1" applyFont="1"/>
    <xf numFmtId="0" fontId="6" fillId="0" borderId="0" xfId="1" applyAlignment="1">
      <alignment horizontal="center"/>
    </xf>
    <xf numFmtId="43" fontId="4" fillId="0" borderId="0" xfId="4" applyNumberFormat="1" applyFill="1"/>
    <xf numFmtId="0" fontId="7" fillId="0" borderId="1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/>
    </xf>
    <xf numFmtId="43" fontId="0" fillId="0" borderId="5" xfId="5" applyFont="1" applyFill="1" applyBorder="1"/>
    <xf numFmtId="43" fontId="0" fillId="0" borderId="0" xfId="5" applyFont="1" applyFill="1" applyBorder="1"/>
    <xf numFmtId="43" fontId="0" fillId="0" borderId="6" xfId="5" applyFont="1" applyFill="1" applyBorder="1"/>
    <xf numFmtId="43" fontId="0" fillId="0" borderId="7" xfId="5" applyFont="1" applyFill="1" applyBorder="1"/>
    <xf numFmtId="43" fontId="0" fillId="0" borderId="8" xfId="5" applyFont="1" applyFill="1" applyBorder="1"/>
    <xf numFmtId="43" fontId="0" fillId="0" borderId="9" xfId="5" applyFont="1" applyFill="1" applyBorder="1"/>
    <xf numFmtId="43" fontId="0" fillId="0" borderId="0" xfId="5" applyFont="1" applyFill="1"/>
    <xf numFmtId="43" fontId="0" fillId="0" borderId="13" xfId="5" applyFont="1" applyFill="1" applyBorder="1"/>
    <xf numFmtId="2" fontId="4" fillId="0" borderId="0" xfId="4" applyNumberFormat="1" applyFill="1"/>
    <xf numFmtId="0" fontId="5" fillId="0" borderId="0" xfId="2" applyFill="1"/>
    <xf numFmtId="0" fontId="0" fillId="0" borderId="0" xfId="0" applyFill="1"/>
    <xf numFmtId="0" fontId="6" fillId="0" borderId="0" xfId="1" applyFill="1"/>
    <xf numFmtId="43" fontId="0" fillId="0" borderId="10" xfId="5" applyFont="1" applyFill="1" applyBorder="1"/>
    <xf numFmtId="43" fontId="0" fillId="0" borderId="11" xfId="5" applyFont="1" applyFill="1" applyBorder="1"/>
    <xf numFmtId="43" fontId="0" fillId="0" borderId="12" xfId="5" applyFont="1" applyFill="1" applyBorder="1"/>
    <xf numFmtId="0" fontId="6" fillId="0" borderId="0" xfId="0" applyFont="1"/>
    <xf numFmtId="0" fontId="3" fillId="0" borderId="0" xfId="4" applyFont="1" applyFill="1"/>
    <xf numFmtId="0" fontId="7" fillId="0" borderId="4" xfId="4" applyFont="1" applyFill="1" applyBorder="1" applyAlignment="1">
      <alignment horizontal="center"/>
    </xf>
    <xf numFmtId="16" fontId="1" fillId="0" borderId="0" xfId="4" applyNumberFormat="1" applyFont="1" applyFill="1"/>
    <xf numFmtId="0" fontId="1" fillId="0" borderId="0" xfId="4" applyFont="1" applyFill="1"/>
    <xf numFmtId="16" fontId="3" fillId="0" borderId="0" xfId="4" applyNumberFormat="1" applyFont="1" applyFill="1"/>
    <xf numFmtId="0" fontId="2" fillId="0" borderId="0" xfId="4" applyFont="1" applyFill="1"/>
    <xf numFmtId="0" fontId="0" fillId="0" borderId="0" xfId="0" applyAlignment="1">
      <alignment horizontal="center"/>
    </xf>
    <xf numFmtId="0" fontId="7" fillId="0" borderId="2" xfId="4" applyFont="1" applyFill="1" applyBorder="1" applyAlignment="1">
      <alignment horizontal="center"/>
    </xf>
    <xf numFmtId="0" fontId="7" fillId="0" borderId="3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/>
    </xf>
  </cellXfs>
  <cellStyles count="7">
    <cellStyle name="Comma 2" xfId="3"/>
    <cellStyle name="Comma 2 2" xfId="5"/>
    <cellStyle name="Comma 3" xfId="6"/>
    <cellStyle name="Normal" xfId="0" builtinId="0"/>
    <cellStyle name="Normal 2" xfId="1"/>
    <cellStyle name="Normal 3" xfId="2"/>
    <cellStyle name="Normal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"/>
  <sheetViews>
    <sheetView workbookViewId="0">
      <selection activeCell="M21" sqref="M21"/>
    </sheetView>
  </sheetViews>
  <sheetFormatPr defaultRowHeight="13.2" x14ac:dyDescent="0.25"/>
  <cols>
    <col min="2" max="2" width="10.44140625" customWidth="1"/>
    <col min="5" max="5" width="10.109375" bestFit="1" customWidth="1"/>
    <col min="7" max="8" width="14.33203125" bestFit="1" customWidth="1"/>
    <col min="9" max="9" width="6" customWidth="1"/>
    <col min="10" max="10" width="9.33203125" bestFit="1" customWidth="1"/>
  </cols>
  <sheetData>
    <row r="1" spans="1:10" x14ac:dyDescent="0.25">
      <c r="A1" t="s">
        <v>0</v>
      </c>
    </row>
    <row r="2" spans="1:10" x14ac:dyDescent="0.25">
      <c r="A2" s="29" t="s">
        <v>51</v>
      </c>
    </row>
    <row r="3" spans="1:10" x14ac:dyDescent="0.25">
      <c r="A3" t="s">
        <v>40</v>
      </c>
    </row>
    <row r="4" spans="1:10" x14ac:dyDescent="0.25">
      <c r="B4" s="36"/>
      <c r="C4" s="36"/>
      <c r="D4" s="36"/>
      <c r="E4" s="36"/>
      <c r="F4" s="36"/>
      <c r="G4" s="36"/>
    </row>
    <row r="5" spans="1:10" x14ac:dyDescent="0.25">
      <c r="G5" t="s">
        <v>3</v>
      </c>
    </row>
    <row r="6" spans="1:10" x14ac:dyDescent="0.25">
      <c r="E6" t="s">
        <v>3</v>
      </c>
      <c r="G6" t="s">
        <v>4</v>
      </c>
    </row>
    <row r="7" spans="1:10" x14ac:dyDescent="0.25">
      <c r="C7" t="s">
        <v>5</v>
      </c>
      <c r="E7" t="s">
        <v>4</v>
      </c>
      <c r="G7" t="s">
        <v>6</v>
      </c>
    </row>
    <row r="8" spans="1:10" x14ac:dyDescent="0.25">
      <c r="A8" t="s">
        <v>7</v>
      </c>
      <c r="B8" t="s">
        <v>8</v>
      </c>
      <c r="C8">
        <v>20577</v>
      </c>
      <c r="E8" s="1">
        <f>'Single Family Commodities'!O8</f>
        <v>-3881.7799999999997</v>
      </c>
      <c r="G8" s="1">
        <f>+E8/C8</f>
        <v>-0.18864654711571172</v>
      </c>
      <c r="H8" s="1"/>
      <c r="I8" s="1"/>
      <c r="J8" s="1"/>
    </row>
    <row r="9" spans="1:10" x14ac:dyDescent="0.25">
      <c r="B9" t="s">
        <v>9</v>
      </c>
      <c r="C9">
        <v>20749</v>
      </c>
      <c r="E9" s="1">
        <f>'Single Family Commodities'!O10</f>
        <v>-4041.8099999999995</v>
      </c>
      <c r="G9" s="1">
        <f>+E9/C9</f>
        <v>-0.19479541182707599</v>
      </c>
      <c r="H9" s="1"/>
      <c r="I9" s="1"/>
      <c r="J9" s="1"/>
    </row>
    <row r="10" spans="1:10" x14ac:dyDescent="0.25">
      <c r="E10" s="1"/>
      <c r="G10" s="1"/>
      <c r="H10" s="1"/>
      <c r="I10" s="1"/>
      <c r="J10" s="1"/>
    </row>
    <row r="11" spans="1:10" x14ac:dyDescent="0.25">
      <c r="A11" t="s">
        <v>42</v>
      </c>
      <c r="C11">
        <f>+C9+C8</f>
        <v>41326</v>
      </c>
      <c r="E11" s="1">
        <f>+E9+E8</f>
        <v>-7923.5899999999992</v>
      </c>
      <c r="G11" s="1"/>
      <c r="H11" s="1"/>
      <c r="I11" s="1"/>
      <c r="J11" s="1"/>
    </row>
    <row r="12" spans="1:10" x14ac:dyDescent="0.25">
      <c r="E12" s="1"/>
      <c r="G12" s="1"/>
      <c r="H12" s="1"/>
      <c r="I12" s="1"/>
      <c r="J12" s="1"/>
    </row>
    <row r="13" spans="1:10" x14ac:dyDescent="0.25">
      <c r="B13" t="s">
        <v>10</v>
      </c>
      <c r="C13">
        <v>20800</v>
      </c>
      <c r="E13" s="1">
        <f>'Single Family Commodities'!O12</f>
        <v>-5048.4500000000007</v>
      </c>
      <c r="G13" s="1">
        <f t="shared" ref="G13:G22" si="0">+E13/C13</f>
        <v>-0.24271394230769233</v>
      </c>
      <c r="H13" s="1"/>
      <c r="I13" s="1"/>
      <c r="J13" s="1"/>
    </row>
    <row r="14" spans="1:10" x14ac:dyDescent="0.25">
      <c r="B14" t="s">
        <v>11</v>
      </c>
      <c r="C14">
        <v>20870</v>
      </c>
      <c r="E14" s="1">
        <f>'Single Family Commodities'!O14</f>
        <v>-4085.62</v>
      </c>
      <c r="G14" s="1">
        <f t="shared" si="0"/>
        <v>-0.19576521322472448</v>
      </c>
      <c r="H14" s="1"/>
      <c r="I14" s="1"/>
      <c r="J14" s="1"/>
    </row>
    <row r="15" spans="1:10" x14ac:dyDescent="0.25">
      <c r="B15" t="s">
        <v>12</v>
      </c>
      <c r="C15">
        <v>20898</v>
      </c>
      <c r="E15" s="1">
        <f>'Single Family Commodities'!O16</f>
        <v>-2890.9299999999994</v>
      </c>
      <c r="G15" s="1">
        <f t="shared" si="0"/>
        <v>-0.13833524739209491</v>
      </c>
      <c r="H15" s="1"/>
      <c r="I15" s="1"/>
      <c r="J15" s="1"/>
    </row>
    <row r="16" spans="1:10" x14ac:dyDescent="0.25">
      <c r="B16" t="s">
        <v>13</v>
      </c>
      <c r="C16">
        <v>20874</v>
      </c>
      <c r="E16" s="1">
        <f>'Single Family Commodities'!O18</f>
        <v>-2097.1399999999994</v>
      </c>
      <c r="G16" s="1">
        <f t="shared" si="0"/>
        <v>-0.1004666091788828</v>
      </c>
      <c r="H16" s="1"/>
      <c r="I16" s="1"/>
      <c r="J16" s="1"/>
    </row>
    <row r="17" spans="1:10" x14ac:dyDescent="0.25">
      <c r="B17" t="s">
        <v>14</v>
      </c>
      <c r="C17">
        <v>20688</v>
      </c>
      <c r="E17" s="1">
        <f>'Single Family Commodities'!O20</f>
        <v>-1332.2299999999996</v>
      </c>
      <c r="G17" s="1">
        <f t="shared" si="0"/>
        <v>-6.4396268368136098E-2</v>
      </c>
      <c r="H17" s="1"/>
      <c r="I17" s="1"/>
      <c r="J17" s="1"/>
    </row>
    <row r="18" spans="1:10" x14ac:dyDescent="0.25">
      <c r="B18" t="s">
        <v>15</v>
      </c>
      <c r="C18">
        <v>20538</v>
      </c>
      <c r="E18" s="1">
        <f>'Single Family Commodities'!O22</f>
        <v>-2489.9899999999998</v>
      </c>
      <c r="G18" s="1">
        <f t="shared" si="0"/>
        <v>-0.12123819261856071</v>
      </c>
      <c r="H18" s="1"/>
      <c r="I18" s="1"/>
      <c r="J18" s="1"/>
    </row>
    <row r="19" spans="1:10" x14ac:dyDescent="0.25">
      <c r="B19" t="s">
        <v>16</v>
      </c>
      <c r="C19">
        <v>20472</v>
      </c>
      <c r="E19" s="1">
        <f>'Single Family Commodities'!O24</f>
        <v>-3570.4700000000003</v>
      </c>
      <c r="G19" s="1">
        <f t="shared" si="0"/>
        <v>-0.17440748339195</v>
      </c>
      <c r="H19" s="1"/>
      <c r="I19" s="1"/>
      <c r="J19" s="1"/>
    </row>
    <row r="20" spans="1:10" x14ac:dyDescent="0.25">
      <c r="B20" t="s">
        <v>17</v>
      </c>
      <c r="C20">
        <v>20454</v>
      </c>
      <c r="E20" s="1">
        <f>'Single Family Commodities'!O26</f>
        <v>-3770.7599999999993</v>
      </c>
      <c r="G20" s="1">
        <f t="shared" si="0"/>
        <v>-0.18435318275154</v>
      </c>
      <c r="H20" s="1"/>
      <c r="I20" s="1"/>
      <c r="J20" s="1"/>
    </row>
    <row r="21" spans="1:10" x14ac:dyDescent="0.25">
      <c r="B21" t="s">
        <v>18</v>
      </c>
      <c r="C21">
        <v>20611</v>
      </c>
      <c r="E21" s="1">
        <f>'Single Family Commodities'!O28</f>
        <v>-4349.3399999999992</v>
      </c>
      <c r="G21" s="1">
        <f t="shared" si="0"/>
        <v>-0.21102032895056033</v>
      </c>
      <c r="H21" s="1"/>
      <c r="I21" s="1"/>
      <c r="J21" s="1"/>
    </row>
    <row r="22" spans="1:10" x14ac:dyDescent="0.25">
      <c r="B22" t="s">
        <v>19</v>
      </c>
      <c r="C22" s="24">
        <v>20739</v>
      </c>
      <c r="E22" s="1">
        <f>'Single Family Commodities'!O30</f>
        <v>-4959.9099999999989</v>
      </c>
      <c r="G22" s="1">
        <f t="shared" si="0"/>
        <v>-0.23915859009595444</v>
      </c>
      <c r="H22" s="1"/>
      <c r="I22" s="1"/>
      <c r="J22" s="1"/>
    </row>
    <row r="23" spans="1:10" x14ac:dyDescent="0.25">
      <c r="E23" s="1"/>
      <c r="G23" s="1"/>
      <c r="H23" s="1"/>
      <c r="I23" s="1"/>
      <c r="J23" s="1"/>
    </row>
    <row r="24" spans="1:10" x14ac:dyDescent="0.25">
      <c r="A24" t="s">
        <v>43</v>
      </c>
      <c r="C24">
        <f>SUM(C13:C22)</f>
        <v>206944</v>
      </c>
      <c r="E24" s="1">
        <f>SUM(E13:E22)</f>
        <v>-34594.839999999997</v>
      </c>
      <c r="G24" s="1"/>
      <c r="H24" s="1"/>
      <c r="I24" s="1"/>
      <c r="J24" s="1"/>
    </row>
    <row r="25" spans="1:10" x14ac:dyDescent="0.25">
      <c r="E25" s="1"/>
      <c r="G25" s="1"/>
      <c r="H25" s="1"/>
      <c r="I25" s="1"/>
      <c r="J25" s="1"/>
    </row>
    <row r="26" spans="1:10" x14ac:dyDescent="0.25">
      <c r="A26" t="s">
        <v>2</v>
      </c>
      <c r="C26">
        <f>+C24+C11</f>
        <v>248270</v>
      </c>
      <c r="E26" s="1">
        <f>+E24+E11</f>
        <v>-42518.429999999993</v>
      </c>
      <c r="G26" s="1">
        <f>+E26/C26</f>
        <v>-0.17125883111129009</v>
      </c>
      <c r="H26" s="1"/>
      <c r="I26" s="1"/>
      <c r="J26" s="1"/>
    </row>
    <row r="27" spans="1:10" x14ac:dyDescent="0.25">
      <c r="E27" s="1"/>
      <c r="G27" s="1"/>
      <c r="H27" s="1"/>
      <c r="I27" s="1"/>
      <c r="J27" s="1"/>
    </row>
    <row r="28" spans="1:10" x14ac:dyDescent="0.25">
      <c r="B28" t="s">
        <v>20</v>
      </c>
      <c r="E28" s="1"/>
      <c r="G28" s="1"/>
      <c r="H28" s="1"/>
      <c r="I28" s="1"/>
      <c r="J28" s="1"/>
    </row>
    <row r="29" spans="1:10" x14ac:dyDescent="0.25">
      <c r="E29" s="1"/>
      <c r="G29" s="1"/>
      <c r="H29" s="1"/>
      <c r="I29" s="1"/>
      <c r="J29" s="1"/>
    </row>
    <row r="30" spans="1:10" x14ac:dyDescent="0.25">
      <c r="D30" t="s">
        <v>21</v>
      </c>
      <c r="E30" s="1"/>
      <c r="G30" s="1"/>
      <c r="H30" s="1">
        <f>+E26</f>
        <v>-42518.429999999993</v>
      </c>
      <c r="I30" s="1"/>
      <c r="J30" s="1"/>
    </row>
    <row r="31" spans="1:10" x14ac:dyDescent="0.25">
      <c r="E31" s="1"/>
      <c r="G31" s="1"/>
      <c r="H31" s="1"/>
      <c r="I31" s="1"/>
      <c r="J31" s="1"/>
    </row>
    <row r="32" spans="1:10" x14ac:dyDescent="0.25">
      <c r="B32" t="s">
        <v>22</v>
      </c>
      <c r="E32" s="1"/>
      <c r="G32" s="6">
        <v>0</v>
      </c>
      <c r="H32" s="1"/>
      <c r="I32" s="1"/>
      <c r="J32" s="1"/>
    </row>
    <row r="33" spans="2:10" x14ac:dyDescent="0.25">
      <c r="C33" t="s">
        <v>44</v>
      </c>
      <c r="E33" s="1"/>
      <c r="G33" s="2">
        <f>+C11</f>
        <v>41326</v>
      </c>
      <c r="H33" s="1"/>
      <c r="I33" s="1"/>
      <c r="J33" s="1"/>
    </row>
    <row r="34" spans="2:10" x14ac:dyDescent="0.25">
      <c r="B34" t="s">
        <v>23</v>
      </c>
      <c r="E34" s="1"/>
      <c r="G34" s="1">
        <f>+G33*G32</f>
        <v>0</v>
      </c>
      <c r="H34" s="1"/>
      <c r="I34" s="1"/>
      <c r="J34" s="1"/>
    </row>
    <row r="35" spans="2:10" x14ac:dyDescent="0.25">
      <c r="E35" s="1"/>
      <c r="G35" s="1"/>
      <c r="H35" s="1"/>
      <c r="I35" s="1"/>
      <c r="J35" s="1"/>
    </row>
    <row r="36" spans="2:10" x14ac:dyDescent="0.25">
      <c r="E36" s="1"/>
      <c r="G36" s="1"/>
      <c r="H36" s="1"/>
      <c r="I36" s="1"/>
      <c r="J36" s="1"/>
    </row>
    <row r="37" spans="2:10" x14ac:dyDescent="0.25">
      <c r="B37" t="s">
        <v>22</v>
      </c>
      <c r="E37" s="1"/>
      <c r="G37" s="6">
        <v>-0.22</v>
      </c>
      <c r="H37" s="1"/>
      <c r="I37" s="1"/>
      <c r="J37" s="1"/>
    </row>
    <row r="38" spans="2:10" x14ac:dyDescent="0.25">
      <c r="C38" t="s">
        <v>45</v>
      </c>
      <c r="E38" s="1"/>
      <c r="G38" s="2">
        <f>+C24</f>
        <v>206944</v>
      </c>
      <c r="H38" s="1"/>
      <c r="I38" s="1"/>
      <c r="J38" s="1"/>
    </row>
    <row r="39" spans="2:10" x14ac:dyDescent="0.25">
      <c r="B39" t="s">
        <v>23</v>
      </c>
      <c r="E39" s="1"/>
      <c r="G39" s="1">
        <f>+G38*G37</f>
        <v>-45527.68</v>
      </c>
      <c r="H39" s="1">
        <f>+G39+G34</f>
        <v>-45527.68</v>
      </c>
      <c r="I39" s="1"/>
      <c r="J39" s="1"/>
    </row>
    <row r="40" spans="2:10" x14ac:dyDescent="0.25">
      <c r="E40" s="1"/>
      <c r="G40" s="1"/>
      <c r="H40" s="1"/>
      <c r="I40" s="1"/>
      <c r="J40" s="1"/>
    </row>
    <row r="41" spans="2:10" x14ac:dyDescent="0.25">
      <c r="B41" t="s">
        <v>24</v>
      </c>
      <c r="E41" s="1"/>
      <c r="G41" s="1"/>
      <c r="H41" s="1">
        <f>+H30-H39</f>
        <v>3009.2500000000073</v>
      </c>
      <c r="I41" s="1"/>
      <c r="J41" s="1"/>
    </row>
    <row r="42" spans="2:10" x14ac:dyDescent="0.25">
      <c r="E42" s="1"/>
      <c r="G42" s="1"/>
      <c r="H42" s="1"/>
      <c r="I42" s="1"/>
      <c r="J42" s="1"/>
    </row>
    <row r="43" spans="2:10" x14ac:dyDescent="0.25">
      <c r="E43" s="1"/>
      <c r="G43" s="1"/>
      <c r="H43" s="1"/>
      <c r="I43" s="1"/>
      <c r="J43" s="1"/>
    </row>
    <row r="44" spans="2:10" x14ac:dyDescent="0.25">
      <c r="B44" t="s">
        <v>46</v>
      </c>
      <c r="E44" s="1"/>
      <c r="G44" s="1"/>
      <c r="H44" s="1"/>
      <c r="I44" s="1"/>
      <c r="J44" s="1"/>
    </row>
    <row r="45" spans="2:10" x14ac:dyDescent="0.25">
      <c r="E45" s="1"/>
      <c r="G45" s="1"/>
      <c r="H45" s="1"/>
      <c r="I45" s="1"/>
      <c r="J45" s="1"/>
    </row>
    <row r="46" spans="2:10" x14ac:dyDescent="0.25">
      <c r="B46" t="s">
        <v>47</v>
      </c>
      <c r="E46" s="1"/>
      <c r="G46" s="1"/>
      <c r="H46" s="1"/>
      <c r="I46" s="1"/>
      <c r="J46" s="1"/>
    </row>
    <row r="47" spans="2:10" x14ac:dyDescent="0.25">
      <c r="E47" s="1"/>
      <c r="G47" s="1"/>
      <c r="H47" s="1"/>
      <c r="I47" s="1"/>
      <c r="J47" s="1"/>
    </row>
    <row r="48" spans="2:10" x14ac:dyDescent="0.25">
      <c r="D48" t="s">
        <v>25</v>
      </c>
      <c r="E48" s="1"/>
      <c r="G48" s="1"/>
      <c r="H48" s="2">
        <f>+C26</f>
        <v>248270</v>
      </c>
      <c r="I48" s="1"/>
      <c r="J48" s="1"/>
    </row>
    <row r="49" spans="2:10" x14ac:dyDescent="0.25">
      <c r="D49" t="s">
        <v>24</v>
      </c>
      <c r="E49" s="1"/>
      <c r="G49" s="1"/>
      <c r="H49" s="1">
        <f>+H41</f>
        <v>3009.2500000000073</v>
      </c>
      <c r="I49" s="1"/>
      <c r="J49" s="1"/>
    </row>
    <row r="50" spans="2:10" x14ac:dyDescent="0.25">
      <c r="E50" s="1"/>
      <c r="G50" s="1"/>
      <c r="H50" s="1"/>
      <c r="I50" s="1"/>
      <c r="J50" s="1"/>
    </row>
    <row r="51" spans="2:10" x14ac:dyDescent="0.25">
      <c r="D51" t="s">
        <v>48</v>
      </c>
      <c r="E51" s="1"/>
      <c r="G51" s="1"/>
      <c r="H51" s="1">
        <f>+H49/H48</f>
        <v>1.212087646513879E-2</v>
      </c>
      <c r="I51" s="1"/>
      <c r="J51" s="1">
        <f>+H51</f>
        <v>1.212087646513879E-2</v>
      </c>
    </row>
    <row r="52" spans="2:10" x14ac:dyDescent="0.25">
      <c r="E52" s="1"/>
      <c r="G52" s="1"/>
      <c r="H52" s="1"/>
      <c r="I52" s="1"/>
      <c r="J52" s="1"/>
    </row>
    <row r="53" spans="2:10" x14ac:dyDescent="0.25">
      <c r="B53" t="s">
        <v>49</v>
      </c>
      <c r="E53" s="1"/>
      <c r="G53" s="1"/>
      <c r="H53" s="1"/>
      <c r="I53" s="1"/>
      <c r="J53" s="1"/>
    </row>
    <row r="54" spans="2:10" x14ac:dyDescent="0.25">
      <c r="B54" t="s">
        <v>26</v>
      </c>
      <c r="E54" s="1"/>
      <c r="G54" s="1"/>
      <c r="H54" s="1">
        <f>+G26</f>
        <v>-0.17125883111129009</v>
      </c>
      <c r="I54" s="1"/>
      <c r="J54" s="1">
        <f>+H54</f>
        <v>-0.17125883111129009</v>
      </c>
    </row>
    <row r="55" spans="2:10" x14ac:dyDescent="0.25">
      <c r="E55" s="1"/>
      <c r="G55" s="1"/>
      <c r="H55" s="1"/>
      <c r="I55" s="1"/>
      <c r="J55" s="1"/>
    </row>
    <row r="56" spans="2:10" x14ac:dyDescent="0.25">
      <c r="E56" s="1"/>
      <c r="G56" s="1"/>
      <c r="H56" s="1"/>
      <c r="I56" s="1"/>
      <c r="J56" s="1"/>
    </row>
    <row r="57" spans="2:10" x14ac:dyDescent="0.25">
      <c r="B57" t="s">
        <v>50</v>
      </c>
      <c r="E57" s="1"/>
      <c r="G57" s="1"/>
      <c r="H57" s="1"/>
      <c r="I57" s="1"/>
      <c r="J57" s="6">
        <f>+J54+J51</f>
        <v>-0.1591379546461513</v>
      </c>
    </row>
    <row r="58" spans="2:10" x14ac:dyDescent="0.25">
      <c r="E58" s="1"/>
      <c r="G58" s="1"/>
      <c r="H58" s="1"/>
      <c r="I58" s="1"/>
      <c r="J58" s="1"/>
    </row>
    <row r="59" spans="2:10" x14ac:dyDescent="0.25">
      <c r="E59" s="1"/>
      <c r="G59" s="1"/>
      <c r="H59" s="1"/>
      <c r="I59" s="1"/>
      <c r="J59" s="1"/>
    </row>
    <row r="60" spans="2:10" x14ac:dyDescent="0.25">
      <c r="E60" s="1"/>
      <c r="G60" s="1"/>
      <c r="H60" s="1"/>
      <c r="I60" s="1"/>
      <c r="J60" s="1"/>
    </row>
    <row r="61" spans="2:10" x14ac:dyDescent="0.25">
      <c r="E61" s="1"/>
      <c r="G61" s="1"/>
      <c r="H61" s="1"/>
      <c r="I61" s="1"/>
      <c r="J61" s="1"/>
    </row>
    <row r="62" spans="2:10" x14ac:dyDescent="0.25">
      <c r="E62" s="1"/>
      <c r="G62" s="1"/>
      <c r="H62" s="1"/>
      <c r="I62" s="1"/>
      <c r="J62" s="1"/>
    </row>
    <row r="63" spans="2:10" x14ac:dyDescent="0.25">
      <c r="E63" s="1"/>
      <c r="G63" s="1"/>
      <c r="H63" s="1"/>
      <c r="I63" s="1"/>
      <c r="J63" s="1"/>
    </row>
    <row r="64" spans="2:10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</sheetData>
  <mergeCells count="1">
    <mergeCell ref="B4:G4"/>
  </mergeCells>
  <pageMargins left="0.75" right="0.75" top="1" bottom="1" header="0.5" footer="0.5"/>
  <pageSetup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opLeftCell="A54" workbookViewId="0">
      <selection activeCell="D60" sqref="D60"/>
    </sheetView>
  </sheetViews>
  <sheetFormatPr defaultColWidth="9.109375" defaultRowHeight="13.2" x14ac:dyDescent="0.25"/>
  <cols>
    <col min="1" max="1" width="6.33203125" style="3" customWidth="1"/>
    <col min="2" max="2" width="9.109375" style="3"/>
    <col min="3" max="3" width="11.5546875" style="3" customWidth="1"/>
    <col min="4" max="4" width="9.109375" style="3"/>
    <col min="5" max="5" width="10.109375" style="3" bestFit="1" customWidth="1"/>
    <col min="6" max="6" width="9.109375" style="3"/>
    <col min="7" max="8" width="10.5546875" style="3" bestFit="1" customWidth="1"/>
    <col min="9" max="9" width="9.109375" style="3"/>
    <col min="10" max="10" width="9.33203125" style="3" bestFit="1" customWidth="1"/>
    <col min="11" max="16384" width="9.109375" style="3"/>
  </cols>
  <sheetData>
    <row r="1" spans="1:12" x14ac:dyDescent="0.25">
      <c r="A1" s="9" t="s">
        <v>0</v>
      </c>
    </row>
    <row r="2" spans="1:12" x14ac:dyDescent="0.25">
      <c r="A2" s="3" t="s">
        <v>51</v>
      </c>
    </row>
    <row r="3" spans="1:12" x14ac:dyDescent="0.25">
      <c r="A3" s="3" t="s">
        <v>41</v>
      </c>
    </row>
    <row r="5" spans="1:12" x14ac:dyDescent="0.25">
      <c r="G5" s="3" t="s">
        <v>3</v>
      </c>
    </row>
    <row r="6" spans="1:12" x14ac:dyDescent="0.25">
      <c r="E6" s="3" t="s">
        <v>3</v>
      </c>
      <c r="G6" s="3" t="s">
        <v>4</v>
      </c>
    </row>
    <row r="7" spans="1:12" x14ac:dyDescent="0.25">
      <c r="C7" s="10" t="s">
        <v>39</v>
      </c>
      <c r="E7" s="3" t="s">
        <v>4</v>
      </c>
      <c r="G7" s="3" t="s">
        <v>6</v>
      </c>
    </row>
    <row r="8" spans="1:12" x14ac:dyDescent="0.25">
      <c r="A8" s="3" t="s">
        <v>7</v>
      </c>
      <c r="B8" s="3" t="s">
        <v>8</v>
      </c>
      <c r="C8" s="3">
        <v>11917</v>
      </c>
      <c r="E8" s="4">
        <f>'Multi Family Commodities'!O8</f>
        <v>-2480.58</v>
      </c>
      <c r="F8" s="4"/>
      <c r="G8" s="4">
        <f>+E8/C8</f>
        <v>-0.20815473693043551</v>
      </c>
      <c r="H8" s="4"/>
      <c r="I8" s="4"/>
      <c r="J8" s="4"/>
      <c r="K8" s="4"/>
      <c r="L8" s="4"/>
    </row>
    <row r="9" spans="1:12" x14ac:dyDescent="0.25">
      <c r="B9" s="3" t="s">
        <v>9</v>
      </c>
      <c r="C9" s="3">
        <v>12140</v>
      </c>
      <c r="E9" s="4">
        <f>'Multi Family Commodities'!O10</f>
        <v>-2297.2200000000003</v>
      </c>
      <c r="F9" s="4"/>
      <c r="G9" s="4">
        <f>+E9/C9</f>
        <v>-0.18922734761120266</v>
      </c>
      <c r="H9" s="4"/>
      <c r="I9" s="4"/>
      <c r="J9" s="4"/>
      <c r="K9" s="4"/>
      <c r="L9" s="4"/>
    </row>
    <row r="10" spans="1:12" x14ac:dyDescent="0.25"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3" t="s">
        <v>64</v>
      </c>
      <c r="C11" s="3">
        <f>+C9+C8</f>
        <v>24057</v>
      </c>
      <c r="E11" s="4">
        <f>+E9+E8</f>
        <v>-4777.8</v>
      </c>
      <c r="F11" s="4"/>
      <c r="G11" s="4"/>
      <c r="H11" s="4"/>
      <c r="I11" s="4"/>
      <c r="J11" s="4"/>
      <c r="K11" s="4"/>
      <c r="L11" s="4"/>
    </row>
    <row r="12" spans="1:12" x14ac:dyDescent="0.25">
      <c r="E12" s="4"/>
      <c r="F12" s="4"/>
      <c r="G12" s="4"/>
      <c r="H12" s="4"/>
      <c r="I12" s="4"/>
      <c r="J12" s="4"/>
      <c r="K12" s="4"/>
      <c r="L12" s="4"/>
    </row>
    <row r="13" spans="1:12" x14ac:dyDescent="0.25">
      <c r="B13" s="3" t="s">
        <v>10</v>
      </c>
      <c r="C13" s="3">
        <v>12213</v>
      </c>
      <c r="E13" s="4">
        <f>'Multi Family Commodities'!O12</f>
        <v>-2552.58</v>
      </c>
      <c r="F13" s="4"/>
      <c r="G13" s="4">
        <f t="shared" ref="G13:G22" si="0">+E13/C13</f>
        <v>-0.20900515843773029</v>
      </c>
      <c r="H13" s="4"/>
      <c r="I13" s="4"/>
      <c r="J13" s="4"/>
      <c r="K13" s="4"/>
      <c r="L13" s="4"/>
    </row>
    <row r="14" spans="1:12" x14ac:dyDescent="0.25">
      <c r="B14" s="3" t="s">
        <v>11</v>
      </c>
      <c r="C14" s="3">
        <v>12209</v>
      </c>
      <c r="E14" s="4">
        <f>'Multi Family Commodities'!O14</f>
        <v>-2378.3000000000002</v>
      </c>
      <c r="F14" s="4"/>
      <c r="G14" s="4">
        <f t="shared" si="0"/>
        <v>-0.19479891883037107</v>
      </c>
      <c r="H14" s="4"/>
      <c r="I14" s="4"/>
      <c r="J14" s="4"/>
      <c r="K14" s="4"/>
      <c r="L14" s="4"/>
    </row>
    <row r="15" spans="1:12" x14ac:dyDescent="0.25">
      <c r="B15" s="3" t="s">
        <v>12</v>
      </c>
      <c r="C15" s="3">
        <v>12254</v>
      </c>
      <c r="E15" s="4">
        <f>'Multi Family Commodities'!O16</f>
        <v>-2004.84</v>
      </c>
      <c r="F15" s="4"/>
      <c r="G15" s="4">
        <f t="shared" si="0"/>
        <v>-0.16360698547413088</v>
      </c>
      <c r="H15" s="4"/>
      <c r="I15" s="4"/>
      <c r="J15" s="4"/>
      <c r="K15" s="4"/>
      <c r="L15" s="4"/>
    </row>
    <row r="16" spans="1:12" x14ac:dyDescent="0.25">
      <c r="B16" s="3" t="s">
        <v>13</v>
      </c>
      <c r="C16" s="3">
        <v>12183</v>
      </c>
      <c r="E16" s="4">
        <f>'Multi Family Commodities'!O18</f>
        <v>-1918</v>
      </c>
      <c r="F16" s="4"/>
      <c r="G16" s="4">
        <f t="shared" si="0"/>
        <v>-0.1574324878929656</v>
      </c>
      <c r="H16" s="4"/>
      <c r="I16" s="4"/>
      <c r="J16" s="4"/>
      <c r="K16" s="4"/>
      <c r="L16" s="4"/>
    </row>
    <row r="17" spans="1:12" x14ac:dyDescent="0.25">
      <c r="B17" s="3" t="s">
        <v>14</v>
      </c>
      <c r="C17" s="3">
        <v>12119</v>
      </c>
      <c r="E17" s="4">
        <f>'Multi Family Commodities'!O20</f>
        <v>-1542.7</v>
      </c>
      <c r="F17" s="4"/>
      <c r="G17" s="4">
        <f t="shared" si="0"/>
        <v>-0.1272959815166268</v>
      </c>
      <c r="H17" s="4"/>
      <c r="I17" s="4"/>
      <c r="J17" s="4"/>
      <c r="K17" s="4"/>
      <c r="L17" s="4"/>
    </row>
    <row r="18" spans="1:12" x14ac:dyDescent="0.25">
      <c r="B18" s="3" t="s">
        <v>15</v>
      </c>
      <c r="C18" s="3">
        <v>12179</v>
      </c>
      <c r="E18" s="4">
        <f>'Multi Family Commodities'!O22</f>
        <v>-1729.32</v>
      </c>
      <c r="F18" s="4"/>
      <c r="G18" s="4">
        <f t="shared" si="0"/>
        <v>-0.14199195336234502</v>
      </c>
      <c r="H18" s="4"/>
      <c r="I18" s="4"/>
      <c r="J18" s="4"/>
      <c r="K18" s="4"/>
      <c r="L18" s="4"/>
    </row>
    <row r="19" spans="1:12" x14ac:dyDescent="0.25">
      <c r="B19" s="3" t="s">
        <v>16</v>
      </c>
      <c r="C19" s="3">
        <v>12777</v>
      </c>
      <c r="E19" s="4">
        <f>'Multi Family Commodities'!O24</f>
        <v>-2118.3999999999996</v>
      </c>
      <c r="F19" s="4"/>
      <c r="G19" s="4">
        <f t="shared" si="0"/>
        <v>-0.16579791813414727</v>
      </c>
      <c r="H19" s="4"/>
      <c r="I19" s="4"/>
      <c r="J19" s="4"/>
      <c r="K19" s="4"/>
      <c r="L19" s="4"/>
    </row>
    <row r="20" spans="1:12" x14ac:dyDescent="0.25">
      <c r="B20" s="3" t="s">
        <v>17</v>
      </c>
      <c r="C20" s="3">
        <v>12768</v>
      </c>
      <c r="E20" s="4">
        <f>'Multi Family Commodities'!O26</f>
        <v>-2252</v>
      </c>
      <c r="F20" s="4"/>
      <c r="G20" s="4">
        <f t="shared" si="0"/>
        <v>-0.17637844611528822</v>
      </c>
      <c r="H20" s="4"/>
      <c r="I20" s="4"/>
      <c r="J20" s="4"/>
      <c r="K20" s="4"/>
      <c r="L20" s="4"/>
    </row>
    <row r="21" spans="1:12" x14ac:dyDescent="0.25">
      <c r="B21" s="3" t="s">
        <v>18</v>
      </c>
      <c r="C21" s="3">
        <v>12805</v>
      </c>
      <c r="E21" s="4">
        <f>'Multi Family Commodities'!O28</f>
        <v>-2083.38</v>
      </c>
      <c r="F21" s="4"/>
      <c r="G21" s="4">
        <f t="shared" si="0"/>
        <v>-0.1627005076142132</v>
      </c>
      <c r="H21" s="4"/>
      <c r="I21" s="4"/>
      <c r="J21" s="4"/>
      <c r="K21" s="4"/>
      <c r="L21" s="4"/>
    </row>
    <row r="22" spans="1:12" x14ac:dyDescent="0.25">
      <c r="B22" s="3" t="s">
        <v>19</v>
      </c>
      <c r="C22" s="25">
        <v>12895</v>
      </c>
      <c r="E22" s="4">
        <f>'Multi Family Commodities'!O30</f>
        <v>-2194.92</v>
      </c>
      <c r="F22" s="4"/>
      <c r="G22" s="4">
        <f t="shared" si="0"/>
        <v>-0.17021481194261343</v>
      </c>
      <c r="H22" s="4"/>
      <c r="I22" s="4"/>
      <c r="J22" s="4"/>
      <c r="K22" s="4"/>
      <c r="L22" s="4"/>
    </row>
    <row r="23" spans="1:12" x14ac:dyDescent="0.25"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3" t="s">
        <v>65</v>
      </c>
      <c r="C24" s="3">
        <f>SUM(C13:C22)</f>
        <v>124402</v>
      </c>
      <c r="E24" s="4">
        <f>SUM(E13:E22)</f>
        <v>-20774.440000000002</v>
      </c>
      <c r="F24" s="4"/>
      <c r="G24" s="4"/>
      <c r="H24" s="4"/>
      <c r="I24" s="4"/>
      <c r="J24" s="4"/>
      <c r="K24" s="4"/>
      <c r="L24" s="4"/>
    </row>
    <row r="25" spans="1:12" x14ac:dyDescent="0.25"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 t="s">
        <v>2</v>
      </c>
      <c r="C26" s="3">
        <f>+C24+C11</f>
        <v>148459</v>
      </c>
      <c r="E26" s="4">
        <f>+E24+E11</f>
        <v>-25552.240000000002</v>
      </c>
      <c r="F26" s="4"/>
      <c r="G26" s="4">
        <f>+E26/C26</f>
        <v>-0.17211647660296783</v>
      </c>
      <c r="H26" s="4"/>
      <c r="I26" s="4"/>
      <c r="J26" s="4"/>
      <c r="K26" s="4"/>
      <c r="L26" s="4"/>
    </row>
    <row r="27" spans="1:12" x14ac:dyDescent="0.25">
      <c r="E27" s="4"/>
      <c r="F27" s="4"/>
      <c r="G27" s="4"/>
      <c r="H27" s="4"/>
      <c r="I27" s="4"/>
      <c r="J27" s="4"/>
      <c r="K27" s="4"/>
      <c r="L27" s="4"/>
    </row>
    <row r="28" spans="1:12" x14ac:dyDescent="0.25">
      <c r="B28" s="3" t="s">
        <v>20</v>
      </c>
      <c r="E28" s="4"/>
      <c r="F28" s="4"/>
      <c r="G28" s="4"/>
      <c r="H28" s="4"/>
      <c r="I28" s="4"/>
      <c r="J28" s="4"/>
      <c r="K28" s="4"/>
      <c r="L28" s="4"/>
    </row>
    <row r="29" spans="1:12" x14ac:dyDescent="0.25">
      <c r="E29" s="4"/>
      <c r="F29" s="4"/>
      <c r="G29" s="4"/>
      <c r="H29" s="4"/>
      <c r="I29" s="4"/>
      <c r="J29" s="4"/>
      <c r="K29" s="4"/>
      <c r="L29" s="4"/>
    </row>
    <row r="30" spans="1:12" x14ac:dyDescent="0.25">
      <c r="D30" s="3" t="s">
        <v>21</v>
      </c>
      <c r="E30" s="4"/>
      <c r="F30" s="4"/>
      <c r="G30" s="4"/>
      <c r="H30" s="4">
        <f>+E26</f>
        <v>-25552.240000000002</v>
      </c>
      <c r="I30" s="4"/>
      <c r="J30" s="4"/>
      <c r="K30" s="4"/>
      <c r="L30" s="4"/>
    </row>
    <row r="31" spans="1:12" x14ac:dyDescent="0.25">
      <c r="E31" s="4"/>
      <c r="F31" s="4"/>
      <c r="G31" s="4"/>
      <c r="H31" s="4"/>
      <c r="I31" s="4"/>
      <c r="J31" s="4"/>
      <c r="K31" s="4"/>
      <c r="L31" s="4"/>
    </row>
    <row r="32" spans="1:12" x14ac:dyDescent="0.25">
      <c r="B32" s="3" t="s">
        <v>27</v>
      </c>
      <c r="E32" s="4"/>
      <c r="F32" s="4"/>
      <c r="G32" s="4">
        <v>-0.13</v>
      </c>
      <c r="H32" s="4"/>
      <c r="I32" s="4"/>
      <c r="J32" s="4"/>
      <c r="K32" s="4"/>
      <c r="L32" s="4"/>
    </row>
    <row r="33" spans="2:12" x14ac:dyDescent="0.25">
      <c r="C33" s="3" t="s">
        <v>66</v>
      </c>
      <c r="E33" s="4"/>
      <c r="F33" s="4"/>
      <c r="G33" s="5">
        <f>+C11</f>
        <v>24057</v>
      </c>
      <c r="H33" s="4"/>
      <c r="I33" s="4"/>
      <c r="J33" s="4"/>
      <c r="K33" s="4"/>
      <c r="L33" s="4"/>
    </row>
    <row r="34" spans="2:12" x14ac:dyDescent="0.25">
      <c r="B34" s="3" t="s">
        <v>23</v>
      </c>
      <c r="E34" s="4"/>
      <c r="F34" s="4"/>
      <c r="G34" s="4">
        <f>+G33*G32</f>
        <v>-3127.4100000000003</v>
      </c>
      <c r="H34" s="4"/>
      <c r="I34" s="4"/>
      <c r="J34" s="4"/>
      <c r="K34" s="4"/>
      <c r="L34" s="4"/>
    </row>
    <row r="35" spans="2:12" x14ac:dyDescent="0.25">
      <c r="E35" s="4"/>
      <c r="F35" s="4"/>
      <c r="G35" s="4"/>
      <c r="H35" s="4"/>
      <c r="I35" s="4"/>
      <c r="J35" s="4"/>
      <c r="K35" s="4"/>
      <c r="L35" s="4"/>
    </row>
    <row r="36" spans="2:12" x14ac:dyDescent="0.25">
      <c r="E36" s="4"/>
      <c r="F36" s="4"/>
      <c r="G36" s="4"/>
      <c r="H36" s="4"/>
      <c r="I36" s="4"/>
      <c r="J36" s="4"/>
      <c r="K36" s="4"/>
      <c r="L36" s="4"/>
    </row>
    <row r="37" spans="2:12" x14ac:dyDescent="0.25">
      <c r="B37" s="3" t="s">
        <v>27</v>
      </c>
      <c r="E37" s="4"/>
      <c r="F37" s="4"/>
      <c r="G37" s="4">
        <v>-0.22</v>
      </c>
      <c r="H37" s="4"/>
      <c r="I37" s="4"/>
      <c r="J37" s="4"/>
      <c r="K37" s="4"/>
      <c r="L37" s="4"/>
    </row>
    <row r="38" spans="2:12" x14ac:dyDescent="0.25">
      <c r="C38" s="3" t="s">
        <v>67</v>
      </c>
      <c r="E38" s="4"/>
      <c r="F38" s="4"/>
      <c r="G38" s="5">
        <f>+C24</f>
        <v>124402</v>
      </c>
      <c r="H38" s="4"/>
      <c r="I38" s="4"/>
      <c r="J38" s="4"/>
      <c r="K38" s="4"/>
      <c r="L38" s="4"/>
    </row>
    <row r="39" spans="2:12" x14ac:dyDescent="0.25">
      <c r="B39" s="3" t="s">
        <v>23</v>
      </c>
      <c r="E39" s="4"/>
      <c r="F39" s="4"/>
      <c r="G39" s="4">
        <f>+G38*G37</f>
        <v>-27368.44</v>
      </c>
      <c r="H39" s="4">
        <f>+G39+G34</f>
        <v>-30495.85</v>
      </c>
      <c r="I39" s="4"/>
      <c r="J39" s="4"/>
      <c r="K39" s="4"/>
      <c r="L39" s="4"/>
    </row>
    <row r="40" spans="2:12" x14ac:dyDescent="0.25"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3" t="s">
        <v>24</v>
      </c>
      <c r="E41" s="4"/>
      <c r="F41" s="4"/>
      <c r="G41" s="4"/>
      <c r="H41" s="4">
        <f>+H30-H39</f>
        <v>4943.6099999999969</v>
      </c>
      <c r="I41" s="4"/>
      <c r="J41" s="4"/>
      <c r="K41" s="4"/>
      <c r="L41" s="4"/>
    </row>
    <row r="42" spans="2:12" x14ac:dyDescent="0.25">
      <c r="E42" s="4"/>
      <c r="F42" s="4"/>
      <c r="G42" s="4"/>
      <c r="H42" s="4"/>
      <c r="I42" s="4"/>
      <c r="J42" s="4"/>
      <c r="K42" s="4"/>
      <c r="L42" s="4"/>
    </row>
    <row r="43" spans="2:12" x14ac:dyDescent="0.25"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3" t="s">
        <v>68</v>
      </c>
      <c r="E44" s="4"/>
      <c r="F44" s="4"/>
      <c r="G44" s="4"/>
      <c r="H44" s="4"/>
      <c r="I44" s="4"/>
      <c r="J44" s="4"/>
      <c r="K44" s="4"/>
      <c r="L44" s="4"/>
    </row>
    <row r="45" spans="2:12" x14ac:dyDescent="0.25"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3" t="s">
        <v>69</v>
      </c>
      <c r="E46" s="4"/>
      <c r="F46" s="4"/>
      <c r="G46" s="4"/>
      <c r="H46" s="4"/>
      <c r="I46" s="4"/>
      <c r="J46" s="4"/>
      <c r="K46" s="4"/>
      <c r="L46" s="4"/>
    </row>
    <row r="47" spans="2:12" x14ac:dyDescent="0.25">
      <c r="E47" s="4"/>
      <c r="F47" s="4"/>
      <c r="G47" s="4"/>
      <c r="H47" s="4"/>
      <c r="I47" s="4"/>
      <c r="J47" s="4"/>
      <c r="K47" s="4"/>
      <c r="L47" s="4"/>
    </row>
    <row r="48" spans="2:12" x14ac:dyDescent="0.25">
      <c r="D48" s="3" t="s">
        <v>28</v>
      </c>
      <c r="E48" s="4"/>
      <c r="F48" s="4"/>
      <c r="G48" s="4"/>
      <c r="H48" s="5">
        <f>+C26</f>
        <v>148459</v>
      </c>
      <c r="I48" s="4"/>
      <c r="J48" s="4"/>
      <c r="K48" s="4"/>
      <c r="L48" s="4"/>
    </row>
    <row r="49" spans="2:12" x14ac:dyDescent="0.25">
      <c r="D49" s="3" t="s">
        <v>24</v>
      </c>
      <c r="E49" s="4"/>
      <c r="F49" s="4"/>
      <c r="G49" s="4"/>
      <c r="H49" s="4">
        <f>+H41</f>
        <v>4943.6099999999969</v>
      </c>
      <c r="I49" s="4"/>
      <c r="J49" s="4"/>
      <c r="K49" s="4"/>
      <c r="L49" s="4"/>
    </row>
    <row r="50" spans="2:12" x14ac:dyDescent="0.25">
      <c r="E50" s="4"/>
      <c r="F50" s="4"/>
      <c r="G50" s="4"/>
      <c r="H50" s="4"/>
      <c r="I50" s="4"/>
      <c r="J50" s="4"/>
      <c r="K50" s="4"/>
      <c r="L50" s="4"/>
    </row>
    <row r="51" spans="2:12" x14ac:dyDescent="0.25">
      <c r="D51" s="3" t="s">
        <v>70</v>
      </c>
      <c r="E51" s="4"/>
      <c r="F51" s="4"/>
      <c r="G51" s="4"/>
      <c r="H51" s="4">
        <f>+H49/H48</f>
        <v>3.3299496830774808E-2</v>
      </c>
      <c r="I51" s="4"/>
      <c r="J51" s="4">
        <f>+H51</f>
        <v>3.3299496830774808E-2</v>
      </c>
      <c r="K51" s="4"/>
      <c r="L51" s="4"/>
    </row>
    <row r="52" spans="2:12" x14ac:dyDescent="0.25"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3" t="s">
        <v>71</v>
      </c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3" t="s">
        <v>26</v>
      </c>
      <c r="E54" s="4"/>
      <c r="F54" s="4"/>
      <c r="G54" s="4"/>
      <c r="H54" s="4">
        <f>+G26</f>
        <v>-0.17211647660296783</v>
      </c>
      <c r="I54" s="4"/>
      <c r="J54" s="4">
        <f>+H54</f>
        <v>-0.17211647660296783</v>
      </c>
      <c r="K54" s="4"/>
      <c r="L54" s="4"/>
    </row>
    <row r="55" spans="2:12" x14ac:dyDescent="0.25">
      <c r="E55" s="4"/>
      <c r="F55" s="4"/>
      <c r="G55" s="4"/>
      <c r="H55" s="4"/>
      <c r="I55" s="4"/>
      <c r="J55" s="4"/>
      <c r="K55" s="4"/>
      <c r="L55" s="4"/>
    </row>
    <row r="56" spans="2:12" x14ac:dyDescent="0.25">
      <c r="E56" s="4"/>
      <c r="F56" s="4"/>
      <c r="G56" s="4"/>
      <c r="H56" s="4"/>
      <c r="I56" s="4"/>
      <c r="J56" s="4"/>
      <c r="K56" s="4"/>
      <c r="L56" s="4"/>
    </row>
    <row r="57" spans="2:12" x14ac:dyDescent="0.25">
      <c r="B57" s="3" t="s">
        <v>72</v>
      </c>
      <c r="E57" s="4"/>
      <c r="F57" s="4"/>
      <c r="G57" s="4"/>
      <c r="H57" s="4"/>
      <c r="I57" s="4"/>
      <c r="J57" s="7">
        <f>+J54+J51</f>
        <v>-0.13881697977219304</v>
      </c>
      <c r="K57" s="4"/>
      <c r="L57" s="4"/>
    </row>
    <row r="58" spans="2:12" x14ac:dyDescent="0.25">
      <c r="E58" s="4"/>
      <c r="F58" s="4"/>
      <c r="G58" s="4"/>
      <c r="H58" s="4"/>
      <c r="I58" s="4"/>
      <c r="J58" s="4"/>
    </row>
    <row r="59" spans="2:12" x14ac:dyDescent="0.25">
      <c r="E59" s="4"/>
      <c r="F59" s="4"/>
      <c r="G59" s="4"/>
      <c r="H59" s="4"/>
      <c r="I59" s="4"/>
      <c r="J59" s="4"/>
    </row>
    <row r="60" spans="2:12" x14ac:dyDescent="0.25">
      <c r="E60" s="4"/>
      <c r="F60" s="4"/>
      <c r="G60" s="4"/>
      <c r="H60" s="4"/>
      <c r="I60" s="4"/>
      <c r="J60" s="4"/>
    </row>
    <row r="61" spans="2:12" x14ac:dyDescent="0.25">
      <c r="E61" s="4"/>
      <c r="F61" s="4"/>
      <c r="G61" s="4"/>
      <c r="H61" s="4"/>
      <c r="I61" s="4"/>
      <c r="J61" s="4"/>
    </row>
    <row r="62" spans="2:12" x14ac:dyDescent="0.25">
      <c r="E62" s="4"/>
      <c r="F62" s="4"/>
      <c r="G62" s="4"/>
      <c r="H62" s="4"/>
      <c r="I62" s="4"/>
      <c r="J62" s="4"/>
    </row>
    <row r="63" spans="2:12" x14ac:dyDescent="0.25">
      <c r="E63" s="4"/>
      <c r="F63" s="4"/>
      <c r="G63" s="4"/>
      <c r="H63" s="4"/>
      <c r="I63" s="4"/>
      <c r="J63" s="4"/>
    </row>
    <row r="64" spans="2:12" x14ac:dyDescent="0.25">
      <c r="E64" s="4"/>
      <c r="F64" s="4"/>
      <c r="G64" s="4"/>
      <c r="H64" s="4"/>
      <c r="I64" s="4"/>
      <c r="J64" s="4"/>
    </row>
    <row r="65" spans="5:10" x14ac:dyDescent="0.25">
      <c r="E65" s="4"/>
      <c r="F65" s="4"/>
      <c r="G65" s="4"/>
      <c r="H65" s="4"/>
      <c r="I65" s="4"/>
      <c r="J65" s="4"/>
    </row>
    <row r="66" spans="5:10" x14ac:dyDescent="0.25">
      <c r="E66" s="4"/>
      <c r="F66" s="4"/>
      <c r="G66" s="4"/>
      <c r="H66" s="4"/>
      <c r="I66" s="4"/>
      <c r="J66" s="4"/>
    </row>
    <row r="67" spans="5:10" x14ac:dyDescent="0.25">
      <c r="E67" s="4"/>
      <c r="F67" s="4"/>
      <c r="G67" s="4"/>
      <c r="H67" s="4"/>
      <c r="I67" s="4"/>
      <c r="J67" s="4"/>
    </row>
    <row r="68" spans="5:10" x14ac:dyDescent="0.25">
      <c r="E68" s="4"/>
      <c r="F68" s="4"/>
      <c r="G68" s="4"/>
      <c r="H68" s="4"/>
      <c r="I68" s="4"/>
      <c r="J68" s="4"/>
    </row>
    <row r="69" spans="5:10" x14ac:dyDescent="0.25">
      <c r="E69" s="4"/>
      <c r="F69" s="4"/>
      <c r="G69" s="4"/>
      <c r="H69" s="4"/>
      <c r="I69" s="4"/>
      <c r="J69" s="4"/>
    </row>
    <row r="70" spans="5:10" x14ac:dyDescent="0.25">
      <c r="E70" s="4"/>
      <c r="F70" s="4"/>
      <c r="G70" s="4"/>
      <c r="H70" s="4"/>
      <c r="I70" s="4"/>
      <c r="J70" s="4"/>
    </row>
    <row r="71" spans="5:10" x14ac:dyDescent="0.25">
      <c r="E71" s="4"/>
      <c r="F71" s="4"/>
      <c r="G71" s="4"/>
      <c r="H71" s="4"/>
      <c r="I71" s="4"/>
      <c r="J71" s="4"/>
    </row>
    <row r="72" spans="5:10" x14ac:dyDescent="0.25">
      <c r="E72" s="4"/>
      <c r="F72" s="4"/>
      <c r="G72" s="4"/>
      <c r="H72" s="4"/>
      <c r="I72" s="4"/>
      <c r="J72" s="4"/>
    </row>
    <row r="73" spans="5:10" x14ac:dyDescent="0.25">
      <c r="E73" s="4"/>
      <c r="F73" s="4"/>
      <c r="G73" s="4"/>
      <c r="H73" s="4"/>
      <c r="I73" s="4"/>
      <c r="J73" s="4"/>
    </row>
    <row r="74" spans="5:10" x14ac:dyDescent="0.25">
      <c r="E74" s="4"/>
      <c r="F74" s="4"/>
      <c r="G74" s="4"/>
      <c r="H74" s="4"/>
      <c r="I74" s="4"/>
      <c r="J74" s="4"/>
    </row>
    <row r="75" spans="5:10" x14ac:dyDescent="0.25">
      <c r="E75" s="4"/>
      <c r="F75" s="4"/>
      <c r="G75" s="4"/>
      <c r="H75" s="4"/>
      <c r="I75" s="4"/>
      <c r="J75" s="4"/>
    </row>
    <row r="76" spans="5:10" x14ac:dyDescent="0.25">
      <c r="E76" s="4"/>
      <c r="F76" s="4"/>
      <c r="G76" s="4"/>
      <c r="H76" s="4"/>
      <c r="I76" s="4"/>
      <c r="J76" s="4"/>
    </row>
    <row r="77" spans="5:10" x14ac:dyDescent="0.25">
      <c r="E77" s="4"/>
      <c r="F77" s="4"/>
      <c r="G77" s="4"/>
      <c r="H77" s="4"/>
      <c r="I77" s="4"/>
      <c r="J77" s="4"/>
    </row>
    <row r="78" spans="5:10" x14ac:dyDescent="0.25">
      <c r="E78" s="4"/>
      <c r="F78" s="4"/>
      <c r="G78" s="4"/>
      <c r="H78" s="4"/>
      <c r="I78" s="4"/>
      <c r="J78" s="4"/>
    </row>
    <row r="79" spans="5:10" x14ac:dyDescent="0.25">
      <c r="E79" s="4"/>
      <c r="F79" s="4"/>
      <c r="G79" s="4"/>
      <c r="H79" s="4"/>
      <c r="I79" s="4"/>
      <c r="J79" s="4"/>
    </row>
    <row r="80" spans="5:10" x14ac:dyDescent="0.25">
      <c r="E80" s="4"/>
      <c r="F80" s="4"/>
      <c r="G80" s="4"/>
      <c r="H80" s="4"/>
      <c r="I80" s="4"/>
      <c r="J80" s="4"/>
    </row>
    <row r="81" spans="5:10" x14ac:dyDescent="0.25">
      <c r="E81" s="4"/>
      <c r="F81" s="4"/>
      <c r="G81" s="4"/>
      <c r="H81" s="4"/>
      <c r="I81" s="4"/>
      <c r="J81" s="4"/>
    </row>
    <row r="82" spans="5:10" x14ac:dyDescent="0.25">
      <c r="E82" s="4"/>
      <c r="F82" s="4"/>
      <c r="G82" s="4"/>
      <c r="H82" s="4"/>
      <c r="I82" s="4"/>
      <c r="J82" s="4"/>
    </row>
    <row r="83" spans="5:10" x14ac:dyDescent="0.25">
      <c r="E83" s="4"/>
      <c r="F83" s="4"/>
      <c r="G83" s="4"/>
      <c r="H83" s="4"/>
      <c r="I83" s="4"/>
      <c r="J83" s="4"/>
    </row>
    <row r="84" spans="5:10" x14ac:dyDescent="0.25">
      <c r="E84" s="4"/>
      <c r="F84" s="4"/>
      <c r="G84" s="4"/>
      <c r="H84" s="4"/>
      <c r="I84" s="4"/>
      <c r="J84" s="4"/>
    </row>
    <row r="85" spans="5:10" x14ac:dyDescent="0.25">
      <c r="E85" s="4"/>
      <c r="F85" s="4"/>
      <c r="G85" s="4"/>
      <c r="H85" s="4"/>
      <c r="I85" s="4"/>
      <c r="J85" s="4"/>
    </row>
    <row r="86" spans="5:10" x14ac:dyDescent="0.25">
      <c r="E86" s="4"/>
      <c r="F86" s="4"/>
      <c r="G86" s="4"/>
      <c r="H86" s="4"/>
      <c r="I86" s="4"/>
      <c r="J86" s="4"/>
    </row>
    <row r="87" spans="5:10" x14ac:dyDescent="0.25">
      <c r="E87" s="4"/>
      <c r="F87" s="4"/>
      <c r="G87" s="4"/>
      <c r="H87" s="4"/>
      <c r="I87" s="4"/>
      <c r="J87" s="4"/>
    </row>
    <row r="88" spans="5:10" x14ac:dyDescent="0.25">
      <c r="E88" s="4"/>
      <c r="F88" s="4"/>
      <c r="G88" s="4"/>
      <c r="H88" s="4"/>
      <c r="I88" s="4"/>
      <c r="J88" s="4"/>
    </row>
    <row r="89" spans="5:10" x14ac:dyDescent="0.25">
      <c r="E89" s="4"/>
      <c r="F89" s="4"/>
      <c r="G89" s="4"/>
      <c r="H89" s="4"/>
      <c r="I89" s="4"/>
      <c r="J89" s="4"/>
    </row>
    <row r="90" spans="5:10" x14ac:dyDescent="0.25">
      <c r="E90" s="4"/>
      <c r="F90" s="4"/>
      <c r="G90" s="4"/>
      <c r="H90" s="4"/>
      <c r="I90" s="4"/>
      <c r="J90" s="4"/>
    </row>
    <row r="91" spans="5:10" x14ac:dyDescent="0.25">
      <c r="E91" s="4"/>
      <c r="F91" s="4"/>
      <c r="G91" s="4"/>
      <c r="H91" s="4"/>
      <c r="I91" s="4"/>
      <c r="J91" s="4"/>
    </row>
    <row r="92" spans="5:10" x14ac:dyDescent="0.25">
      <c r="E92" s="4"/>
      <c r="F92" s="4"/>
      <c r="G92" s="4"/>
      <c r="H92" s="4"/>
      <c r="I92" s="4"/>
      <c r="J92" s="4"/>
    </row>
    <row r="93" spans="5:10" x14ac:dyDescent="0.25">
      <c r="E93" s="4"/>
      <c r="F93" s="4"/>
      <c r="G93" s="4"/>
      <c r="H93" s="4"/>
      <c r="I93" s="4"/>
      <c r="J93" s="4"/>
    </row>
    <row r="94" spans="5:10" x14ac:dyDescent="0.25">
      <c r="E94" s="4"/>
      <c r="F94" s="4"/>
      <c r="G94" s="4"/>
      <c r="H94" s="4"/>
      <c r="I94" s="4"/>
      <c r="J94" s="4"/>
    </row>
    <row r="95" spans="5:10" x14ac:dyDescent="0.25">
      <c r="E95" s="4"/>
      <c r="F95" s="4"/>
      <c r="G95" s="4"/>
      <c r="H95" s="4"/>
      <c r="I95" s="4"/>
      <c r="J95" s="4"/>
    </row>
    <row r="96" spans="5:10" x14ac:dyDescent="0.25">
      <c r="E96" s="4"/>
      <c r="F96" s="4"/>
      <c r="G96" s="4"/>
      <c r="H96" s="4"/>
      <c r="I96" s="4"/>
      <c r="J96" s="4"/>
    </row>
    <row r="97" spans="5:10" x14ac:dyDescent="0.25">
      <c r="E97" s="4"/>
      <c r="F97" s="4"/>
      <c r="G97" s="4"/>
      <c r="H97" s="4"/>
      <c r="I97" s="4"/>
      <c r="J97" s="4"/>
    </row>
    <row r="98" spans="5:10" x14ac:dyDescent="0.25">
      <c r="E98" s="4"/>
      <c r="F98" s="4"/>
      <c r="G98" s="4"/>
      <c r="H98" s="4"/>
      <c r="I98" s="4"/>
      <c r="J98" s="4"/>
    </row>
    <row r="99" spans="5:10" x14ac:dyDescent="0.25">
      <c r="E99" s="4"/>
      <c r="F99" s="4"/>
      <c r="G99" s="4"/>
      <c r="H99" s="4"/>
      <c r="I99" s="4"/>
      <c r="J99" s="4"/>
    </row>
    <row r="100" spans="5:10" x14ac:dyDescent="0.25">
      <c r="E100" s="4"/>
      <c r="F100" s="4"/>
      <c r="G100" s="4"/>
      <c r="H100" s="4"/>
      <c r="I100" s="4"/>
      <c r="J100" s="4"/>
    </row>
    <row r="101" spans="5:10" x14ac:dyDescent="0.25">
      <c r="E101" s="4"/>
      <c r="F101" s="4"/>
      <c r="G101" s="4"/>
      <c r="H101" s="4"/>
      <c r="I101" s="4"/>
      <c r="J101" s="4"/>
    </row>
    <row r="102" spans="5:10" x14ac:dyDescent="0.25">
      <c r="E102" s="4"/>
      <c r="F102" s="4"/>
      <c r="G102" s="4"/>
      <c r="H102" s="4"/>
      <c r="I102" s="4"/>
      <c r="J102" s="4"/>
    </row>
    <row r="103" spans="5:10" x14ac:dyDescent="0.25">
      <c r="E103" s="4"/>
      <c r="F103" s="4"/>
      <c r="G103" s="4"/>
      <c r="H103" s="4"/>
      <c r="I103" s="4"/>
      <c r="J103" s="4"/>
    </row>
    <row r="104" spans="5:10" x14ac:dyDescent="0.25">
      <c r="E104" s="4"/>
      <c r="F104" s="4"/>
      <c r="G104" s="4"/>
      <c r="H104" s="4"/>
      <c r="I104" s="4"/>
      <c r="J104" s="4"/>
    </row>
    <row r="105" spans="5:10" x14ac:dyDescent="0.25">
      <c r="E105" s="4"/>
      <c r="F105" s="4"/>
      <c r="G105" s="4"/>
      <c r="H105" s="4"/>
      <c r="I105" s="4"/>
      <c r="J105" s="4"/>
    </row>
    <row r="106" spans="5:10" x14ac:dyDescent="0.25">
      <c r="E106" s="4"/>
      <c r="F106" s="4"/>
      <c r="G106" s="4"/>
      <c r="H106" s="4"/>
      <c r="I106" s="4"/>
      <c r="J106" s="4"/>
    </row>
    <row r="107" spans="5:10" x14ac:dyDescent="0.25">
      <c r="E107" s="4"/>
      <c r="F107" s="4"/>
      <c r="G107" s="4"/>
      <c r="H107" s="4"/>
      <c r="I107" s="4"/>
      <c r="J107" s="4"/>
    </row>
    <row r="108" spans="5:10" x14ac:dyDescent="0.25">
      <c r="E108" s="4"/>
      <c r="F108" s="4"/>
      <c r="G108" s="4"/>
      <c r="H108" s="4"/>
      <c r="I108" s="4"/>
      <c r="J108" s="4"/>
    </row>
    <row r="109" spans="5:10" x14ac:dyDescent="0.25">
      <c r="E109" s="4"/>
      <c r="F109" s="4"/>
      <c r="G109" s="4"/>
      <c r="H109" s="4"/>
      <c r="I109" s="4"/>
      <c r="J109" s="4"/>
    </row>
    <row r="110" spans="5:10" x14ac:dyDescent="0.25">
      <c r="E110" s="4"/>
      <c r="F110" s="4"/>
      <c r="G110" s="4"/>
      <c r="H110" s="4"/>
      <c r="I110" s="4"/>
      <c r="J110" s="4"/>
    </row>
    <row r="111" spans="5:10" x14ac:dyDescent="0.25">
      <c r="E111" s="4"/>
      <c r="F111" s="4"/>
      <c r="G111" s="4"/>
      <c r="H111" s="4"/>
      <c r="I111" s="4"/>
      <c r="J111" s="4"/>
    </row>
    <row r="112" spans="5:10" x14ac:dyDescent="0.25">
      <c r="E112" s="4"/>
      <c r="F112" s="4"/>
      <c r="G112" s="4"/>
      <c r="H112" s="4"/>
      <c r="I112" s="4"/>
      <c r="J112" s="4"/>
    </row>
    <row r="113" spans="5:10" x14ac:dyDescent="0.25">
      <c r="E113" s="4"/>
      <c r="F113" s="4"/>
      <c r="G113" s="4"/>
      <c r="H113" s="4"/>
      <c r="I113" s="4"/>
      <c r="J113" s="4"/>
    </row>
    <row r="114" spans="5:10" x14ac:dyDescent="0.25">
      <c r="E114" s="4"/>
      <c r="F114" s="4"/>
      <c r="G114" s="4"/>
      <c r="H114" s="4"/>
      <c r="I114" s="4"/>
      <c r="J114" s="4"/>
    </row>
    <row r="115" spans="5:10" x14ac:dyDescent="0.25">
      <c r="E115" s="4"/>
      <c r="F115" s="4"/>
      <c r="G115" s="4"/>
      <c r="H115" s="4"/>
      <c r="I115" s="4"/>
      <c r="J115" s="4"/>
    </row>
    <row r="116" spans="5:10" x14ac:dyDescent="0.25">
      <c r="E116" s="4"/>
      <c r="F116" s="4"/>
      <c r="G116" s="4"/>
      <c r="H116" s="4"/>
      <c r="I116" s="4"/>
      <c r="J116" s="4"/>
    </row>
    <row r="117" spans="5:10" x14ac:dyDescent="0.25">
      <c r="E117" s="4"/>
      <c r="F117" s="4"/>
      <c r="G117" s="4"/>
      <c r="H117" s="4"/>
      <c r="I117" s="4"/>
      <c r="J117" s="4"/>
    </row>
    <row r="118" spans="5:10" x14ac:dyDescent="0.25">
      <c r="E118" s="4"/>
      <c r="F118" s="4"/>
      <c r="G118" s="4"/>
      <c r="H118" s="4"/>
      <c r="I118" s="4"/>
      <c r="J118" s="4"/>
    </row>
    <row r="119" spans="5:10" x14ac:dyDescent="0.25">
      <c r="E119" s="4"/>
      <c r="F119" s="4"/>
      <c r="G119" s="4"/>
      <c r="H119" s="4"/>
      <c r="I119" s="4"/>
      <c r="J119" s="4"/>
    </row>
    <row r="120" spans="5:10" x14ac:dyDescent="0.25">
      <c r="E120" s="4"/>
      <c r="F120" s="4"/>
      <c r="G120" s="4"/>
      <c r="H120" s="4"/>
      <c r="I120" s="4"/>
      <c r="J120" s="4"/>
    </row>
    <row r="121" spans="5:10" x14ac:dyDescent="0.25">
      <c r="E121" s="4"/>
      <c r="F121" s="4"/>
      <c r="G121" s="4"/>
      <c r="H121" s="4"/>
      <c r="I121" s="4"/>
      <c r="J121" s="4"/>
    </row>
    <row r="122" spans="5:10" x14ac:dyDescent="0.25">
      <c r="E122" s="4"/>
      <c r="F122" s="4"/>
      <c r="G122" s="4"/>
      <c r="H122" s="4"/>
      <c r="I122" s="4"/>
      <c r="J122" s="4"/>
    </row>
    <row r="123" spans="5:10" x14ac:dyDescent="0.25">
      <c r="E123" s="4"/>
      <c r="F123" s="4"/>
      <c r="G123" s="4"/>
      <c r="H123" s="4"/>
      <c r="I123" s="4"/>
      <c r="J123" s="4"/>
    </row>
    <row r="124" spans="5:10" x14ac:dyDescent="0.25">
      <c r="E124" s="4"/>
      <c r="F124" s="4"/>
      <c r="G124" s="4"/>
      <c r="H124" s="4"/>
      <c r="I124" s="4"/>
      <c r="J124" s="4"/>
    </row>
    <row r="125" spans="5:10" x14ac:dyDescent="0.25">
      <c r="E125" s="4"/>
      <c r="F125" s="4"/>
      <c r="G125" s="4"/>
      <c r="H125" s="4"/>
      <c r="I125" s="4"/>
      <c r="J125" s="4"/>
    </row>
    <row r="126" spans="5:10" x14ac:dyDescent="0.25">
      <c r="E126" s="4"/>
      <c r="F126" s="4"/>
      <c r="G126" s="4"/>
      <c r="H126" s="4"/>
      <c r="I126" s="4"/>
      <c r="J126" s="4"/>
    </row>
    <row r="127" spans="5:10" x14ac:dyDescent="0.25">
      <c r="E127" s="4"/>
      <c r="F127" s="4"/>
      <c r="G127" s="4"/>
      <c r="H127" s="4"/>
      <c r="I127" s="4"/>
      <c r="J127" s="4"/>
    </row>
    <row r="128" spans="5:10" x14ac:dyDescent="0.25">
      <c r="E128" s="4"/>
      <c r="F128" s="4"/>
      <c r="G128" s="4"/>
      <c r="H128" s="4"/>
      <c r="I128" s="4"/>
      <c r="J128" s="4"/>
    </row>
    <row r="129" spans="5:10" x14ac:dyDescent="0.25">
      <c r="E129" s="4"/>
      <c r="F129" s="4"/>
      <c r="G129" s="4"/>
      <c r="H129" s="4"/>
      <c r="I129" s="4"/>
      <c r="J129" s="4"/>
    </row>
    <row r="130" spans="5:10" x14ac:dyDescent="0.25">
      <c r="E130" s="4"/>
      <c r="F130" s="4"/>
      <c r="G130" s="4"/>
      <c r="H130" s="4"/>
      <c r="I130" s="4"/>
      <c r="J130" s="4"/>
    </row>
    <row r="131" spans="5:10" x14ac:dyDescent="0.25">
      <c r="E131" s="4"/>
      <c r="F131" s="4"/>
      <c r="G131" s="4"/>
      <c r="H131" s="4"/>
      <c r="I131" s="4"/>
      <c r="J131" s="4"/>
    </row>
    <row r="132" spans="5:10" x14ac:dyDescent="0.25">
      <c r="E132" s="4"/>
      <c r="F132" s="4"/>
      <c r="G132" s="4"/>
      <c r="H132" s="4"/>
      <c r="I132" s="4"/>
      <c r="J132" s="4"/>
    </row>
    <row r="133" spans="5:10" x14ac:dyDescent="0.25">
      <c r="E133" s="4"/>
      <c r="F133" s="4"/>
      <c r="G133" s="4"/>
      <c r="H133" s="4"/>
      <c r="I133" s="4"/>
      <c r="J133" s="4"/>
    </row>
    <row r="134" spans="5:10" x14ac:dyDescent="0.25">
      <c r="E134" s="4"/>
      <c r="F134" s="4"/>
      <c r="G134" s="4"/>
      <c r="H134" s="4"/>
      <c r="I134" s="4"/>
      <c r="J134" s="4"/>
    </row>
    <row r="135" spans="5:10" x14ac:dyDescent="0.25">
      <c r="E135" s="4"/>
      <c r="F135" s="4"/>
      <c r="G135" s="4"/>
      <c r="H135" s="4"/>
      <c r="I135" s="4"/>
      <c r="J135" s="4"/>
    </row>
    <row r="136" spans="5:10" x14ac:dyDescent="0.25">
      <c r="E136" s="4"/>
      <c r="F136" s="4"/>
      <c r="G136" s="4"/>
      <c r="H136" s="4"/>
      <c r="I136" s="4"/>
      <c r="J136" s="4"/>
    </row>
    <row r="137" spans="5:10" x14ac:dyDescent="0.25">
      <c r="E137" s="4"/>
      <c r="F137" s="4"/>
      <c r="G137" s="4"/>
      <c r="H137" s="4"/>
      <c r="I137" s="4"/>
      <c r="J137" s="4"/>
    </row>
    <row r="138" spans="5:10" x14ac:dyDescent="0.25">
      <c r="E138" s="4"/>
      <c r="F138" s="4"/>
      <c r="G138" s="4"/>
      <c r="H138" s="4"/>
      <c r="I138" s="4"/>
      <c r="J138" s="4"/>
    </row>
    <row r="139" spans="5:10" x14ac:dyDescent="0.25">
      <c r="E139" s="4"/>
      <c r="F139" s="4"/>
      <c r="G139" s="4"/>
      <c r="H139" s="4"/>
      <c r="I139" s="4"/>
      <c r="J139" s="4"/>
    </row>
    <row r="140" spans="5:10" x14ac:dyDescent="0.25">
      <c r="E140" s="4"/>
      <c r="F140" s="4"/>
      <c r="G140" s="4"/>
      <c r="H140" s="4"/>
      <c r="I140" s="4"/>
      <c r="J140" s="4"/>
    </row>
    <row r="141" spans="5:10" x14ac:dyDescent="0.25">
      <c r="E141" s="4"/>
      <c r="F141" s="4"/>
      <c r="G141" s="4"/>
      <c r="H141" s="4"/>
      <c r="I141" s="4"/>
      <c r="J141" s="4"/>
    </row>
    <row r="142" spans="5:10" x14ac:dyDescent="0.25">
      <c r="E142" s="4"/>
      <c r="F142" s="4"/>
      <c r="G142" s="4"/>
      <c r="H142" s="4"/>
      <c r="I142" s="4"/>
      <c r="J142" s="4"/>
    </row>
    <row r="143" spans="5:10" x14ac:dyDescent="0.25">
      <c r="E143" s="4"/>
      <c r="F143" s="4"/>
      <c r="G143" s="4"/>
      <c r="H143" s="4"/>
      <c r="I143" s="4"/>
      <c r="J143" s="4"/>
    </row>
    <row r="144" spans="5:10" x14ac:dyDescent="0.25">
      <c r="E144" s="4"/>
      <c r="F144" s="4"/>
      <c r="G144" s="4"/>
      <c r="H144" s="4"/>
      <c r="I144" s="4"/>
      <c r="J144" s="4"/>
    </row>
    <row r="145" spans="5:10" x14ac:dyDescent="0.25">
      <c r="E145" s="4"/>
      <c r="F145" s="4"/>
      <c r="G145" s="4"/>
      <c r="H145" s="4"/>
      <c r="I145" s="4"/>
      <c r="J145" s="4"/>
    </row>
    <row r="146" spans="5:10" x14ac:dyDescent="0.25">
      <c r="E146" s="4"/>
      <c r="F146" s="4"/>
      <c r="G146" s="4"/>
      <c r="H146" s="4"/>
      <c r="I146" s="4"/>
      <c r="J146" s="4"/>
    </row>
    <row r="147" spans="5:10" x14ac:dyDescent="0.25">
      <c r="E147" s="4"/>
      <c r="F147" s="4"/>
      <c r="G147" s="4"/>
      <c r="H147" s="4"/>
      <c r="I147" s="4"/>
      <c r="J147" s="4"/>
    </row>
    <row r="148" spans="5:10" x14ac:dyDescent="0.25">
      <c r="E148" s="4"/>
      <c r="F148" s="4"/>
      <c r="G148" s="4"/>
      <c r="H148" s="4"/>
      <c r="I148" s="4"/>
      <c r="J148" s="4"/>
    </row>
    <row r="149" spans="5:10" x14ac:dyDescent="0.25">
      <c r="E149" s="4"/>
      <c r="F149" s="4"/>
      <c r="G149" s="4"/>
      <c r="H149" s="4"/>
      <c r="I149" s="4"/>
      <c r="J149" s="4"/>
    </row>
    <row r="150" spans="5:10" x14ac:dyDescent="0.25">
      <c r="E150" s="4"/>
      <c r="F150" s="4"/>
      <c r="G150" s="4"/>
      <c r="H150" s="4"/>
      <c r="I150" s="4"/>
      <c r="J150" s="4"/>
    </row>
    <row r="151" spans="5:10" x14ac:dyDescent="0.25">
      <c r="E151" s="4"/>
      <c r="F151" s="4"/>
      <c r="G151" s="4"/>
      <c r="H151" s="4"/>
      <c r="I151" s="4"/>
      <c r="J151" s="4"/>
    </row>
    <row r="152" spans="5:10" x14ac:dyDescent="0.25">
      <c r="E152" s="4"/>
      <c r="F152" s="4"/>
      <c r="G152" s="4"/>
      <c r="H152" s="4"/>
      <c r="I152" s="4"/>
      <c r="J152" s="4"/>
    </row>
    <row r="153" spans="5:10" x14ac:dyDescent="0.25">
      <c r="E153" s="4"/>
      <c r="F153" s="4"/>
      <c r="G153" s="4"/>
      <c r="H153" s="4"/>
      <c r="I153" s="4"/>
      <c r="J153" s="4"/>
    </row>
    <row r="154" spans="5:10" x14ac:dyDescent="0.25">
      <c r="E154" s="4"/>
      <c r="F154" s="4"/>
      <c r="G154" s="4"/>
      <c r="H154" s="4"/>
      <c r="I154" s="4"/>
      <c r="J154" s="4"/>
    </row>
    <row r="155" spans="5:10" x14ac:dyDescent="0.25">
      <c r="E155" s="4"/>
      <c r="F155" s="4"/>
      <c r="G155" s="4"/>
      <c r="H155" s="4"/>
      <c r="I155" s="4"/>
      <c r="J155" s="4"/>
    </row>
    <row r="156" spans="5:10" x14ac:dyDescent="0.25">
      <c r="E156" s="4"/>
      <c r="F156" s="4"/>
      <c r="G156" s="4"/>
      <c r="H156" s="4"/>
      <c r="I156" s="4"/>
      <c r="J156" s="4"/>
    </row>
    <row r="157" spans="5:10" x14ac:dyDescent="0.25">
      <c r="E157" s="4"/>
      <c r="F157" s="4"/>
      <c r="G157" s="4"/>
      <c r="H157" s="4"/>
      <c r="I157" s="4"/>
      <c r="J157" s="4"/>
    </row>
    <row r="158" spans="5:10" x14ac:dyDescent="0.25">
      <c r="E158" s="4"/>
      <c r="F158" s="4"/>
      <c r="G158" s="4"/>
      <c r="H158" s="4"/>
      <c r="I158" s="4"/>
      <c r="J158" s="4"/>
    </row>
    <row r="159" spans="5:10" x14ac:dyDescent="0.25">
      <c r="E159" s="4"/>
      <c r="F159" s="4"/>
      <c r="G159" s="4"/>
      <c r="H159" s="4"/>
      <c r="I159" s="4"/>
      <c r="J159" s="4"/>
    </row>
    <row r="160" spans="5:10" x14ac:dyDescent="0.25">
      <c r="E160" s="4"/>
      <c r="F160" s="4"/>
      <c r="G160" s="4"/>
      <c r="H160" s="4"/>
      <c r="I160" s="4"/>
      <c r="J160" s="4"/>
    </row>
    <row r="161" spans="5:10" x14ac:dyDescent="0.25">
      <c r="E161" s="4"/>
      <c r="F161" s="4"/>
      <c r="G161" s="4"/>
      <c r="H161" s="4"/>
      <c r="I161" s="4"/>
      <c r="J161" s="4"/>
    </row>
    <row r="162" spans="5:10" x14ac:dyDescent="0.25">
      <c r="E162" s="4"/>
      <c r="F162" s="4"/>
      <c r="G162" s="4"/>
      <c r="H162" s="4"/>
      <c r="I162" s="4"/>
      <c r="J162" s="4"/>
    </row>
    <row r="163" spans="5:10" x14ac:dyDescent="0.25">
      <c r="E163" s="4"/>
      <c r="F163" s="4"/>
      <c r="G163" s="4"/>
      <c r="H163" s="4"/>
      <c r="I163" s="4"/>
      <c r="J163" s="4"/>
    </row>
    <row r="164" spans="5:10" x14ac:dyDescent="0.25">
      <c r="E164" s="4"/>
      <c r="F164" s="4"/>
      <c r="G164" s="4"/>
      <c r="H164" s="4"/>
      <c r="I164" s="4"/>
      <c r="J164" s="4"/>
    </row>
    <row r="165" spans="5:10" x14ac:dyDescent="0.25">
      <c r="E165" s="4"/>
      <c r="F165" s="4"/>
      <c r="G165" s="4"/>
      <c r="H165" s="4"/>
      <c r="I165" s="4"/>
      <c r="J165" s="4"/>
    </row>
    <row r="166" spans="5:10" x14ac:dyDescent="0.25">
      <c r="E166" s="4"/>
      <c r="F166" s="4"/>
      <c r="G166" s="4"/>
      <c r="H166" s="4"/>
      <c r="I166" s="4"/>
      <c r="J166" s="4"/>
    </row>
    <row r="167" spans="5:10" x14ac:dyDescent="0.25">
      <c r="E167" s="4"/>
      <c r="F167" s="4"/>
      <c r="G167" s="4"/>
      <c r="H167" s="4"/>
      <c r="I167" s="4"/>
      <c r="J167" s="4"/>
    </row>
    <row r="168" spans="5:10" x14ac:dyDescent="0.25">
      <c r="E168" s="4"/>
      <c r="F168" s="4"/>
      <c r="G168" s="4"/>
      <c r="H168" s="4"/>
      <c r="I168" s="4"/>
      <c r="J168" s="4"/>
    </row>
    <row r="169" spans="5:10" x14ac:dyDescent="0.25">
      <c r="E169" s="4"/>
      <c r="F169" s="4"/>
      <c r="G169" s="4"/>
      <c r="H169" s="4"/>
      <c r="I169" s="4"/>
      <c r="J169" s="4"/>
    </row>
    <row r="170" spans="5:10" x14ac:dyDescent="0.25">
      <c r="E170" s="4"/>
      <c r="F170" s="4"/>
      <c r="G170" s="4"/>
      <c r="H170" s="4"/>
      <c r="I170" s="4"/>
      <c r="J170" s="4"/>
    </row>
  </sheetData>
  <pageMargins left="0.75" right="0.75" top="1" bottom="1" header="0.5" footer="0.5"/>
  <pageSetup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A12" workbookViewId="0">
      <selection activeCell="C32" sqref="C32"/>
    </sheetView>
  </sheetViews>
  <sheetFormatPr defaultColWidth="9.109375" defaultRowHeight="14.4" x14ac:dyDescent="0.3"/>
  <cols>
    <col min="1" max="1" width="8.109375" style="8" customWidth="1"/>
    <col min="2" max="2" width="10.6640625" style="8" bestFit="1" customWidth="1"/>
    <col min="3" max="3" width="10.109375" style="8" bestFit="1" customWidth="1"/>
    <col min="4" max="4" width="12.33203125" style="8" bestFit="1" customWidth="1"/>
    <col min="5" max="5" width="11.109375" style="8" bestFit="1" customWidth="1"/>
    <col min="6" max="6" width="10.6640625" style="8" bestFit="1" customWidth="1"/>
    <col min="7" max="7" width="10.109375" style="8" bestFit="1" customWidth="1"/>
    <col min="8" max="8" width="12.33203125" style="8" bestFit="1" customWidth="1"/>
    <col min="9" max="9" width="11.109375" style="8" bestFit="1" customWidth="1"/>
    <col min="10" max="10" width="9.33203125" style="8" bestFit="1" customWidth="1"/>
    <col min="11" max="11" width="11.88671875" style="8" bestFit="1" customWidth="1"/>
    <col min="12" max="12" width="10.33203125" style="8" bestFit="1" customWidth="1"/>
    <col min="13" max="13" width="12.33203125" style="8" bestFit="1" customWidth="1"/>
    <col min="14" max="15" width="11.109375" style="8" bestFit="1" customWidth="1"/>
    <col min="16" max="16" width="9.6640625" style="8" bestFit="1" customWidth="1"/>
    <col min="17" max="16384" width="9.109375" style="8"/>
  </cols>
  <sheetData>
    <row r="1" spans="1:16" x14ac:dyDescent="0.3">
      <c r="A1" s="8" t="s">
        <v>29</v>
      </c>
    </row>
    <row r="2" spans="1:16" x14ac:dyDescent="0.3">
      <c r="A2" s="8" t="s">
        <v>1</v>
      </c>
    </row>
    <row r="3" spans="1:16" x14ac:dyDescent="0.3">
      <c r="A3" s="8" t="s">
        <v>38</v>
      </c>
    </row>
    <row r="4" spans="1:16" x14ac:dyDescent="0.3">
      <c r="A4" s="30" t="s">
        <v>52</v>
      </c>
    </row>
    <row r="5" spans="1:16" x14ac:dyDescent="0.3">
      <c r="K5" s="11"/>
    </row>
    <row r="6" spans="1:16" x14ac:dyDescent="0.3">
      <c r="B6" s="37" t="s">
        <v>35</v>
      </c>
      <c r="C6" s="38"/>
      <c r="D6" s="38"/>
      <c r="E6" s="39"/>
      <c r="F6" s="37" t="s">
        <v>36</v>
      </c>
      <c r="G6" s="38"/>
      <c r="H6" s="38"/>
      <c r="I6" s="38"/>
      <c r="J6" s="39"/>
      <c r="K6" s="37" t="s">
        <v>37</v>
      </c>
      <c r="L6" s="38"/>
      <c r="M6" s="38"/>
      <c r="N6" s="38"/>
      <c r="O6" s="39"/>
    </row>
    <row r="7" spans="1:16" x14ac:dyDescent="0.3">
      <c r="B7" s="12" t="s">
        <v>30</v>
      </c>
      <c r="C7" s="12" t="s">
        <v>31</v>
      </c>
      <c r="D7" s="12" t="s">
        <v>32</v>
      </c>
      <c r="E7" s="12" t="s">
        <v>33</v>
      </c>
      <c r="F7" s="31" t="s">
        <v>30</v>
      </c>
      <c r="G7" s="12" t="s">
        <v>31</v>
      </c>
      <c r="H7" s="12" t="s">
        <v>32</v>
      </c>
      <c r="I7" s="12" t="s">
        <v>33</v>
      </c>
      <c r="J7" s="12" t="s">
        <v>2</v>
      </c>
      <c r="K7" s="12" t="s">
        <v>30</v>
      </c>
      <c r="L7" s="12" t="s">
        <v>31</v>
      </c>
      <c r="M7" s="12" t="s">
        <v>32</v>
      </c>
      <c r="N7" s="12" t="s">
        <v>33</v>
      </c>
      <c r="O7" s="12" t="s">
        <v>2</v>
      </c>
    </row>
    <row r="8" spans="1:16" x14ac:dyDescent="0.3">
      <c r="A8" s="34" t="s">
        <v>53</v>
      </c>
      <c r="B8" s="26">
        <f>K8/F8</f>
        <v>-64</v>
      </c>
      <c r="C8" s="27">
        <f>L8/G8</f>
        <v>54.000000000000007</v>
      </c>
      <c r="D8" s="27">
        <f>M8/H8</f>
        <v>34</v>
      </c>
      <c r="E8" s="27">
        <v>0</v>
      </c>
      <c r="F8" s="26">
        <f>390680/2000</f>
        <v>195.34</v>
      </c>
      <c r="G8" s="27">
        <f>90640/2000</f>
        <v>45.32</v>
      </c>
      <c r="H8" s="27">
        <f>363100/2000</f>
        <v>181.55</v>
      </c>
      <c r="I8" s="27">
        <v>0</v>
      </c>
      <c r="J8" s="28">
        <f>SUM(F8:I8)</f>
        <v>422.21000000000004</v>
      </c>
      <c r="K8" s="26">
        <v>-12501.76</v>
      </c>
      <c r="L8" s="27">
        <v>2447.2800000000002</v>
      </c>
      <c r="M8" s="27">
        <v>6172.7</v>
      </c>
      <c r="N8" s="27">
        <v>0</v>
      </c>
      <c r="O8" s="28">
        <f>SUM(K8:N8)</f>
        <v>-3881.7799999999997</v>
      </c>
      <c r="P8" s="11"/>
    </row>
    <row r="9" spans="1:16" x14ac:dyDescent="0.3">
      <c r="B9" s="14"/>
      <c r="C9" s="15"/>
      <c r="D9" s="15"/>
      <c r="E9" s="16"/>
      <c r="F9" s="14"/>
      <c r="G9" s="15"/>
      <c r="H9" s="15"/>
      <c r="I9" s="15"/>
      <c r="J9" s="16"/>
      <c r="K9" s="14"/>
      <c r="L9" s="15"/>
      <c r="M9" s="15"/>
      <c r="N9" s="15"/>
      <c r="O9" s="16"/>
    </row>
    <row r="10" spans="1:16" x14ac:dyDescent="0.3">
      <c r="A10" s="30" t="s">
        <v>54</v>
      </c>
      <c r="B10" s="14">
        <f>K10/F10</f>
        <v>-64</v>
      </c>
      <c r="C10" s="15">
        <f t="shared" ref="C10:D10" si="0">L10/G10</f>
        <v>52.632155301144856</v>
      </c>
      <c r="D10" s="15">
        <f t="shared" si="0"/>
        <v>34</v>
      </c>
      <c r="E10" s="15">
        <v>0</v>
      </c>
      <c r="F10" s="14">
        <f>367870/2000</f>
        <v>183.935</v>
      </c>
      <c r="G10" s="15">
        <f>80360/2000</f>
        <v>40.18</v>
      </c>
      <c r="H10" s="15">
        <f>330310/2000</f>
        <v>165.155</v>
      </c>
      <c r="I10" s="15">
        <v>0</v>
      </c>
      <c r="J10" s="16">
        <f>SUM(F10:I10)</f>
        <v>389.27</v>
      </c>
      <c r="K10" s="14">
        <v>-11771.84</v>
      </c>
      <c r="L10" s="15">
        <v>2114.7600000000002</v>
      </c>
      <c r="M10" s="15">
        <v>5615.27</v>
      </c>
      <c r="N10" s="15">
        <v>0</v>
      </c>
      <c r="O10" s="16">
        <f>SUM(K10:N10)</f>
        <v>-4041.8099999999995</v>
      </c>
      <c r="P10" s="11"/>
    </row>
    <row r="11" spans="1:16" x14ac:dyDescent="0.3">
      <c r="B11" s="14"/>
      <c r="C11" s="15"/>
      <c r="D11" s="15"/>
      <c r="E11" s="16"/>
      <c r="F11" s="14"/>
      <c r="G11" s="15"/>
      <c r="H11" s="15"/>
      <c r="I11" s="15"/>
      <c r="J11" s="16"/>
      <c r="K11" s="14"/>
      <c r="L11" s="15"/>
      <c r="M11" s="15"/>
      <c r="N11" s="15"/>
      <c r="O11" s="16"/>
    </row>
    <row r="12" spans="1:16" x14ac:dyDescent="0.3">
      <c r="A12" s="30" t="s">
        <v>55</v>
      </c>
      <c r="B12" s="14">
        <f>K12/F12</f>
        <v>-62.700980392156865</v>
      </c>
      <c r="C12" s="15">
        <f t="shared" ref="C12:E12" si="1">L12/G12</f>
        <v>53.327739151282671</v>
      </c>
      <c r="D12" s="15">
        <f t="shared" si="1"/>
        <v>34</v>
      </c>
      <c r="E12" s="15">
        <f t="shared" si="1"/>
        <v>37</v>
      </c>
      <c r="F12" s="14">
        <f>399840/2000</f>
        <v>199.92</v>
      </c>
      <c r="G12" s="15">
        <f>83420/2000</f>
        <v>41.71</v>
      </c>
      <c r="H12" s="15">
        <f>308140/2000</f>
        <v>154.07</v>
      </c>
      <c r="I12" s="15">
        <f>1300/2000</f>
        <v>0.65</v>
      </c>
      <c r="J12" s="16">
        <f>SUM(F12:I12)</f>
        <v>396.34999999999997</v>
      </c>
      <c r="K12" s="14">
        <v>-12535.18</v>
      </c>
      <c r="L12" s="15">
        <v>2224.3000000000002</v>
      </c>
      <c r="M12" s="15">
        <v>5238.38</v>
      </c>
      <c r="N12" s="15">
        <v>24.05</v>
      </c>
      <c r="O12" s="16">
        <f>SUM(K12:N12)</f>
        <v>-5048.4500000000007</v>
      </c>
      <c r="P12" s="11"/>
    </row>
    <row r="13" spans="1:16" x14ac:dyDescent="0.3">
      <c r="B13" s="14"/>
      <c r="C13" s="15"/>
      <c r="D13" s="15"/>
      <c r="E13" s="16"/>
      <c r="F13" s="14"/>
      <c r="G13" s="15"/>
      <c r="H13" s="15"/>
      <c r="I13" s="15"/>
      <c r="J13" s="16"/>
      <c r="K13" s="14"/>
      <c r="L13" s="15"/>
      <c r="M13" s="15"/>
      <c r="N13" s="15"/>
      <c r="O13" s="16"/>
    </row>
    <row r="14" spans="1:16" x14ac:dyDescent="0.3">
      <c r="A14" s="30" t="s">
        <v>56</v>
      </c>
      <c r="B14" s="14">
        <f>K14/F14</f>
        <v>-59.613977434549234</v>
      </c>
      <c r="C14" s="15">
        <f>L14/G14</f>
        <v>52.795870967741934</v>
      </c>
      <c r="D14" s="15">
        <f>M14/H14</f>
        <v>34</v>
      </c>
      <c r="E14" s="16">
        <v>0</v>
      </c>
      <c r="F14" s="14">
        <f>365160/2000</f>
        <v>182.58</v>
      </c>
      <c r="G14" s="15">
        <f>77500/2000</f>
        <v>38.75</v>
      </c>
      <c r="H14" s="15">
        <f>279580/2000</f>
        <v>139.79</v>
      </c>
      <c r="I14" s="15">
        <v>0</v>
      </c>
      <c r="J14" s="16">
        <f>SUM(F14:I14)</f>
        <v>361.12</v>
      </c>
      <c r="K14" s="14">
        <f>-10884.32</f>
        <v>-10884.32</v>
      </c>
      <c r="L14" s="15">
        <f>2045.84</f>
        <v>2045.84</v>
      </c>
      <c r="M14" s="15">
        <v>4752.8599999999997</v>
      </c>
      <c r="N14" s="15">
        <v>0</v>
      </c>
      <c r="O14" s="16">
        <f>SUM(K14:N14)</f>
        <v>-4085.62</v>
      </c>
      <c r="P14" s="11"/>
    </row>
    <row r="15" spans="1:16" x14ac:dyDescent="0.3">
      <c r="B15" s="14"/>
      <c r="C15" s="15"/>
      <c r="D15" s="15"/>
      <c r="E15" s="16"/>
      <c r="F15" s="14"/>
      <c r="G15" s="15"/>
      <c r="H15" s="15"/>
      <c r="I15" s="15"/>
      <c r="J15" s="16"/>
      <c r="K15" s="14"/>
      <c r="L15" s="15"/>
      <c r="M15" s="15"/>
      <c r="N15" s="15"/>
      <c r="O15" s="16"/>
    </row>
    <row r="16" spans="1:16" x14ac:dyDescent="0.3">
      <c r="A16" s="34" t="s">
        <v>57</v>
      </c>
      <c r="B16" s="14">
        <f>K16/F16</f>
        <v>-57.999999999999993</v>
      </c>
      <c r="C16" s="15">
        <f>L16/G16</f>
        <v>48.756361179914435</v>
      </c>
      <c r="D16" s="15">
        <f>M16/H16</f>
        <v>33.999999999999993</v>
      </c>
      <c r="E16" s="16">
        <v>0</v>
      </c>
      <c r="F16" s="14">
        <f>349100/2000</f>
        <v>174.55</v>
      </c>
      <c r="G16" s="15">
        <f>88820/2000</f>
        <v>44.41</v>
      </c>
      <c r="H16" s="15">
        <f>298100/2000</f>
        <v>149.05000000000001</v>
      </c>
      <c r="I16" s="15">
        <v>0</v>
      </c>
      <c r="J16" s="16">
        <f>SUM(F16:I16)</f>
        <v>368.01</v>
      </c>
      <c r="K16" s="14">
        <v>-10123.9</v>
      </c>
      <c r="L16" s="15">
        <v>2165.27</v>
      </c>
      <c r="M16" s="15">
        <v>5067.7</v>
      </c>
      <c r="N16" s="15">
        <v>0</v>
      </c>
      <c r="O16" s="16">
        <f>SUM(K16:N16)</f>
        <v>-2890.9299999999994</v>
      </c>
      <c r="P16" s="11"/>
    </row>
    <row r="17" spans="1:16" x14ac:dyDescent="0.3">
      <c r="B17" s="14"/>
      <c r="C17" s="15"/>
      <c r="D17" s="15"/>
      <c r="E17" s="16"/>
      <c r="F17" s="14"/>
      <c r="G17" s="15"/>
      <c r="H17" s="15"/>
      <c r="I17" s="15"/>
      <c r="J17" s="16"/>
      <c r="K17" s="14"/>
      <c r="L17" s="15"/>
      <c r="M17" s="15"/>
      <c r="N17" s="15"/>
      <c r="O17" s="16"/>
    </row>
    <row r="18" spans="1:16" x14ac:dyDescent="0.3">
      <c r="A18" s="30" t="s">
        <v>58</v>
      </c>
      <c r="B18" s="14">
        <f>K18/F18</f>
        <v>-57.999999999999993</v>
      </c>
      <c r="C18" s="15">
        <f t="shared" ref="C18:D18" si="2">L18/G18</f>
        <v>47</v>
      </c>
      <c r="D18" s="15">
        <f t="shared" si="2"/>
        <v>34</v>
      </c>
      <c r="E18" s="16">
        <v>0</v>
      </c>
      <c r="F18" s="14">
        <f>344180/2000</f>
        <v>172.09</v>
      </c>
      <c r="G18" s="15">
        <f>103280/2000</f>
        <v>51.64</v>
      </c>
      <c r="H18" s="15">
        <f>321000/2000</f>
        <v>160.5</v>
      </c>
      <c r="I18" s="15">
        <v>0</v>
      </c>
      <c r="J18" s="16">
        <f>SUM(F18:I18)</f>
        <v>384.23</v>
      </c>
      <c r="K18" s="14">
        <v>-9981.2199999999993</v>
      </c>
      <c r="L18" s="15">
        <v>2427.08</v>
      </c>
      <c r="M18" s="15">
        <v>5457</v>
      </c>
      <c r="N18" s="15">
        <v>0</v>
      </c>
      <c r="O18" s="16">
        <f>SUM(K18:N18)</f>
        <v>-2097.1399999999994</v>
      </c>
      <c r="P18" s="11"/>
    </row>
    <row r="19" spans="1:16" x14ac:dyDescent="0.3">
      <c r="B19" s="14"/>
      <c r="C19" s="15"/>
      <c r="D19" s="15"/>
      <c r="E19" s="16"/>
      <c r="F19" s="14"/>
      <c r="G19" s="15"/>
      <c r="H19" s="15"/>
      <c r="I19" s="15"/>
      <c r="J19" s="16"/>
      <c r="K19" s="14"/>
      <c r="L19" s="15"/>
      <c r="M19" s="15"/>
      <c r="N19" s="15"/>
      <c r="O19" s="16"/>
    </row>
    <row r="20" spans="1:16" x14ac:dyDescent="0.3">
      <c r="A20" s="30" t="s">
        <v>59</v>
      </c>
      <c r="B20" s="14">
        <f>K20/F20</f>
        <v>-57.999999999999993</v>
      </c>
      <c r="C20" s="15">
        <f t="shared" ref="C20:D20" si="3">L20/G20</f>
        <v>47</v>
      </c>
      <c r="D20" s="15">
        <f t="shared" si="3"/>
        <v>34</v>
      </c>
      <c r="E20" s="16">
        <v>0</v>
      </c>
      <c r="F20" s="14">
        <f>299660/2000</f>
        <v>149.83000000000001</v>
      </c>
      <c r="G20" s="15">
        <f>86460/2000</f>
        <v>43.23</v>
      </c>
      <c r="H20" s="15">
        <f>313300/2000</f>
        <v>156.65</v>
      </c>
      <c r="I20" s="15">
        <v>0</v>
      </c>
      <c r="J20" s="16">
        <f>SUM(F20:I20)</f>
        <v>349.71000000000004</v>
      </c>
      <c r="K20" s="14">
        <f>-8690.14</f>
        <v>-8690.14</v>
      </c>
      <c r="L20" s="15">
        <v>2031.81</v>
      </c>
      <c r="M20" s="15">
        <v>5326.1</v>
      </c>
      <c r="N20" s="15">
        <v>0</v>
      </c>
      <c r="O20" s="16">
        <f>SUM(K20:N20)</f>
        <v>-1332.2299999999996</v>
      </c>
      <c r="P20" s="11"/>
    </row>
    <row r="21" spans="1:16" x14ac:dyDescent="0.3">
      <c r="B21" s="14"/>
      <c r="C21" s="15"/>
      <c r="D21" s="15"/>
      <c r="E21" s="16"/>
      <c r="F21" s="14"/>
      <c r="G21" s="15"/>
      <c r="H21" s="15"/>
      <c r="I21" s="15"/>
      <c r="J21" s="16"/>
      <c r="K21" s="14"/>
      <c r="L21" s="15"/>
      <c r="M21" s="15"/>
      <c r="N21" s="15"/>
      <c r="O21" s="16"/>
    </row>
    <row r="22" spans="1:16" x14ac:dyDescent="0.3">
      <c r="A22" s="35" t="s">
        <v>60</v>
      </c>
      <c r="B22" s="14">
        <f>K22/F22</f>
        <v>-58</v>
      </c>
      <c r="C22" s="15">
        <f t="shared" ref="C22:D22" si="4">L22/G22</f>
        <v>42.620170268500324</v>
      </c>
      <c r="D22" s="15">
        <f t="shared" si="4"/>
        <v>33.000516795865636</v>
      </c>
      <c r="E22" s="16">
        <v>0</v>
      </c>
      <c r="F22" s="14">
        <f>373380/2000</f>
        <v>186.69</v>
      </c>
      <c r="G22" s="15">
        <f>91620/2000</f>
        <v>45.81</v>
      </c>
      <c r="H22" s="15">
        <f>387000/2000</f>
        <v>193.5</v>
      </c>
      <c r="I22" s="15">
        <v>0</v>
      </c>
      <c r="J22" s="16">
        <f>SUM(F22:I22)</f>
        <v>426</v>
      </c>
      <c r="K22" s="14">
        <v>-10828.02</v>
      </c>
      <c r="L22" s="15">
        <v>1952.43</v>
      </c>
      <c r="M22" s="15">
        <v>6385.6</v>
      </c>
      <c r="N22" s="15">
        <v>0</v>
      </c>
      <c r="O22" s="16">
        <f>SUM(K22:N22)</f>
        <v>-2489.9899999999998</v>
      </c>
      <c r="P22" s="11"/>
    </row>
    <row r="23" spans="1:16" x14ac:dyDescent="0.3">
      <c r="B23" s="14"/>
      <c r="C23" s="15"/>
      <c r="D23" s="15"/>
      <c r="E23" s="16"/>
      <c r="F23" s="14"/>
      <c r="G23" s="15"/>
      <c r="H23" s="15"/>
      <c r="I23" s="15"/>
      <c r="J23" s="16"/>
      <c r="K23" s="14"/>
      <c r="L23" s="15"/>
      <c r="M23" s="15"/>
      <c r="N23" s="15"/>
      <c r="O23" s="16"/>
    </row>
    <row r="24" spans="1:16" x14ac:dyDescent="0.3">
      <c r="A24" s="35" t="s">
        <v>61</v>
      </c>
      <c r="B24" s="14">
        <f>K24/F24</f>
        <v>-57.999999999999993</v>
      </c>
      <c r="C24" s="15">
        <f>L24/G24</f>
        <v>37.757676165230833</v>
      </c>
      <c r="D24" s="15">
        <f>M24/H24</f>
        <v>32</v>
      </c>
      <c r="E24" s="16">
        <v>0</v>
      </c>
      <c r="F24" s="14">
        <f>368720/2000</f>
        <v>184.36</v>
      </c>
      <c r="G24" s="15">
        <f>90540/2000</f>
        <v>45.27</v>
      </c>
      <c r="H24" s="15">
        <f>338320/2000</f>
        <v>169.16</v>
      </c>
      <c r="I24" s="15">
        <v>0</v>
      </c>
      <c r="J24" s="16">
        <f>SUM(F24:I24)</f>
        <v>398.79</v>
      </c>
      <c r="K24" s="14">
        <v>-10692.88</v>
      </c>
      <c r="L24" s="15">
        <v>1709.29</v>
      </c>
      <c r="M24" s="15">
        <v>5413.12</v>
      </c>
      <c r="N24" s="15">
        <v>0</v>
      </c>
      <c r="O24" s="16">
        <f>SUM(K24:N24)</f>
        <v>-3570.4700000000003</v>
      </c>
      <c r="P24" s="11"/>
    </row>
    <row r="25" spans="1:16" x14ac:dyDescent="0.3">
      <c r="B25" s="14"/>
      <c r="C25" s="15"/>
      <c r="D25" s="15"/>
      <c r="E25" s="16"/>
      <c r="F25" s="14"/>
      <c r="G25" s="15"/>
      <c r="H25" s="15"/>
      <c r="I25" s="15"/>
      <c r="J25" s="16"/>
      <c r="K25" s="14"/>
      <c r="L25" s="15"/>
      <c r="M25" s="15"/>
      <c r="N25" s="15"/>
      <c r="O25" s="16"/>
    </row>
    <row r="26" spans="1:16" x14ac:dyDescent="0.3">
      <c r="A26" s="35" t="s">
        <v>62</v>
      </c>
      <c r="B26" s="14">
        <f>K26/F26</f>
        <v>-61.04704446854663</v>
      </c>
      <c r="C26" s="15">
        <f>L26/G26</f>
        <v>33.418660287081345</v>
      </c>
      <c r="D26" s="15">
        <f>M26/H26</f>
        <v>30.825634498764696</v>
      </c>
      <c r="E26" s="16">
        <v>0</v>
      </c>
      <c r="F26" s="14">
        <f>295040/2000</f>
        <v>147.52000000000001</v>
      </c>
      <c r="G26" s="15">
        <f>66880/2000</f>
        <v>33.44</v>
      </c>
      <c r="H26" s="15">
        <f>267140/2000</f>
        <v>133.57</v>
      </c>
      <c r="I26" s="15">
        <v>0</v>
      </c>
      <c r="J26" s="16">
        <f>SUM(F26:I26)</f>
        <v>314.52999999999997</v>
      </c>
      <c r="K26" s="14">
        <v>-9005.66</v>
      </c>
      <c r="L26" s="15">
        <v>1117.52</v>
      </c>
      <c r="M26" s="15">
        <v>4117.38</v>
      </c>
      <c r="N26" s="15">
        <v>0</v>
      </c>
      <c r="O26" s="16">
        <f>SUM(K26:N26)</f>
        <v>-3770.7599999999993</v>
      </c>
      <c r="P26" s="11"/>
    </row>
    <row r="27" spans="1:16" x14ac:dyDescent="0.3">
      <c r="B27" s="14"/>
      <c r="C27" s="15"/>
      <c r="D27" s="15"/>
      <c r="E27" s="16"/>
      <c r="F27" s="14"/>
      <c r="G27" s="15"/>
      <c r="H27" s="15"/>
      <c r="I27" s="15"/>
      <c r="J27" s="16"/>
      <c r="K27" s="14"/>
      <c r="L27" s="15"/>
      <c r="M27" s="15"/>
      <c r="N27" s="15"/>
      <c r="O27" s="16"/>
    </row>
    <row r="28" spans="1:16" x14ac:dyDescent="0.3">
      <c r="A28" s="35" t="s">
        <v>63</v>
      </c>
      <c r="B28" s="14">
        <f>K28/F28</f>
        <v>-63</v>
      </c>
      <c r="C28" s="15">
        <f>L28/G28</f>
        <v>31</v>
      </c>
      <c r="D28" s="15">
        <f>M28/H28</f>
        <v>30</v>
      </c>
      <c r="E28" s="16">
        <v>0</v>
      </c>
      <c r="F28" s="14">
        <f>309820/2000</f>
        <v>154.91</v>
      </c>
      <c r="G28" s="15">
        <f>67980/2000</f>
        <v>33.99</v>
      </c>
      <c r="H28" s="15">
        <f>290420/2000</f>
        <v>145.21</v>
      </c>
      <c r="I28" s="15">
        <v>0</v>
      </c>
      <c r="J28" s="16">
        <f>SUM(F28:I28)</f>
        <v>334.11</v>
      </c>
      <c r="K28" s="14">
        <v>-9759.33</v>
      </c>
      <c r="L28" s="15">
        <v>1053.69</v>
      </c>
      <c r="M28" s="15">
        <v>4356.3</v>
      </c>
      <c r="N28" s="15">
        <v>0</v>
      </c>
      <c r="O28" s="16">
        <f>SUM(K28:N28)</f>
        <v>-4349.3399999999992</v>
      </c>
      <c r="P28" s="11"/>
    </row>
    <row r="29" spans="1:16" x14ac:dyDescent="0.3">
      <c r="B29" s="14"/>
      <c r="C29" s="15"/>
      <c r="D29" s="15"/>
      <c r="E29" s="16"/>
      <c r="F29" s="14"/>
      <c r="G29" s="15"/>
      <c r="H29" s="15"/>
      <c r="I29" s="15"/>
      <c r="J29" s="16"/>
      <c r="K29" s="14"/>
      <c r="L29" s="15"/>
      <c r="M29" s="15"/>
      <c r="N29" s="15"/>
      <c r="O29" s="16"/>
    </row>
    <row r="30" spans="1:16" x14ac:dyDescent="0.3">
      <c r="A30" s="33" t="s">
        <v>73</v>
      </c>
      <c r="B30" s="17">
        <f>K30/F30</f>
        <v>-63</v>
      </c>
      <c r="C30" s="18">
        <f>L30/G30</f>
        <v>33.135719347980157</v>
      </c>
      <c r="D30" s="18">
        <f>M30/H30</f>
        <v>30.000000000000004</v>
      </c>
      <c r="E30" s="19">
        <v>0</v>
      </c>
      <c r="F30" s="17">
        <f>334200/2000</f>
        <v>167.1</v>
      </c>
      <c r="G30" s="18">
        <f>56440/2000</f>
        <v>28.22</v>
      </c>
      <c r="H30" s="18">
        <f>308820/2000</f>
        <v>154.41</v>
      </c>
      <c r="I30" s="18">
        <v>0</v>
      </c>
      <c r="J30" s="19">
        <f>SUM(F30:I30)</f>
        <v>349.73</v>
      </c>
      <c r="K30" s="17">
        <v>-10527.3</v>
      </c>
      <c r="L30" s="18">
        <v>935.09</v>
      </c>
      <c r="M30" s="18">
        <v>4632.3</v>
      </c>
      <c r="N30" s="18">
        <v>0</v>
      </c>
      <c r="O30" s="19">
        <f>SUM(K30:N30)</f>
        <v>-4959.9099999999989</v>
      </c>
      <c r="P30" s="11"/>
    </row>
    <row r="31" spans="1:16" x14ac:dyDescent="0.3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6" ht="15" thickBot="1" x14ac:dyDescent="0.35">
      <c r="B32" s="20"/>
      <c r="C32" s="20"/>
      <c r="D32" s="20"/>
      <c r="E32" s="20"/>
      <c r="F32" s="21">
        <f>SUM(F8:F31)</f>
        <v>2098.8250000000003</v>
      </c>
      <c r="G32" s="21">
        <f t="shared" ref="G32:J32" si="5">SUM(G8:G31)</f>
        <v>491.97</v>
      </c>
      <c r="H32" s="21">
        <f t="shared" si="5"/>
        <v>1902.6150000000002</v>
      </c>
      <c r="I32" s="21">
        <f t="shared" si="5"/>
        <v>0.65</v>
      </c>
      <c r="J32" s="21">
        <f t="shared" si="5"/>
        <v>4494.0599999999995</v>
      </c>
      <c r="K32" s="21">
        <f>SUM(K8:K31)</f>
        <v>-127301.55000000002</v>
      </c>
      <c r="L32" s="21">
        <f t="shared" ref="L32:N32" si="6">SUM(L8:L31)</f>
        <v>22224.36</v>
      </c>
      <c r="M32" s="21">
        <f t="shared" si="6"/>
        <v>62534.710000000006</v>
      </c>
      <c r="N32" s="21">
        <f t="shared" si="6"/>
        <v>24.05</v>
      </c>
      <c r="O32" s="21">
        <f>SUM(O8:O30)</f>
        <v>-42518.429999999993</v>
      </c>
    </row>
    <row r="33" spans="2:15" ht="15" thickTop="1" x14ac:dyDescent="0.3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2:15" x14ac:dyDescent="0.3">
      <c r="B34" s="20"/>
      <c r="C34" s="20"/>
      <c r="D34" s="20"/>
      <c r="E34" s="20"/>
      <c r="F34" s="20"/>
      <c r="G34" s="20"/>
      <c r="H34" s="20"/>
      <c r="I34" s="20"/>
      <c r="J34" s="20"/>
      <c r="K34" s="20"/>
      <c r="O34" s="11"/>
    </row>
    <row r="35" spans="2:15" x14ac:dyDescent="0.3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2:15" x14ac:dyDescent="0.3">
      <c r="B36" s="20"/>
      <c r="C36" s="20"/>
      <c r="D36" s="20"/>
      <c r="E36" s="20"/>
      <c r="F36" s="20"/>
      <c r="G36" s="20"/>
      <c r="H36" s="20"/>
      <c r="I36" s="20"/>
      <c r="J36" s="20"/>
      <c r="K36" s="20"/>
      <c r="O36" s="22"/>
    </row>
  </sheetData>
  <mergeCells count="3">
    <mergeCell ref="B6:E6"/>
    <mergeCell ref="F6:J6"/>
    <mergeCell ref="K6:O6"/>
  </mergeCells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topLeftCell="A12" workbookViewId="0">
      <selection activeCell="B26" sqref="B26"/>
    </sheetView>
  </sheetViews>
  <sheetFormatPr defaultColWidth="9.109375" defaultRowHeight="14.4" x14ac:dyDescent="0.3"/>
  <cols>
    <col min="1" max="1" width="8.109375" style="8" customWidth="1"/>
    <col min="2" max="2" width="10.6640625" style="8" bestFit="1" customWidth="1"/>
    <col min="3" max="3" width="10.109375" style="8" bestFit="1" customWidth="1"/>
    <col min="4" max="4" width="12.33203125" style="8" bestFit="1" customWidth="1"/>
    <col min="5" max="5" width="11.109375" style="8" bestFit="1" customWidth="1"/>
    <col min="6" max="6" width="10.6640625" style="8" bestFit="1" customWidth="1"/>
    <col min="7" max="7" width="10.109375" style="8" bestFit="1" customWidth="1"/>
    <col min="8" max="8" width="12.33203125" style="8" bestFit="1" customWidth="1"/>
    <col min="9" max="9" width="11.109375" style="8" bestFit="1" customWidth="1"/>
    <col min="10" max="10" width="9.33203125" style="8" bestFit="1" customWidth="1"/>
    <col min="11" max="11" width="11.88671875" style="8" bestFit="1" customWidth="1"/>
    <col min="12" max="12" width="10.33203125" style="8" bestFit="1" customWidth="1"/>
    <col min="13" max="13" width="12.33203125" style="8" bestFit="1" customWidth="1"/>
    <col min="14" max="15" width="11.109375" style="8" bestFit="1" customWidth="1"/>
    <col min="16" max="16" width="9.6640625" style="8" bestFit="1" customWidth="1"/>
    <col min="17" max="16384" width="9.109375" style="8"/>
  </cols>
  <sheetData>
    <row r="1" spans="1:15" x14ac:dyDescent="0.3">
      <c r="A1" s="8" t="s">
        <v>29</v>
      </c>
    </row>
    <row r="2" spans="1:15" x14ac:dyDescent="0.3">
      <c r="A2" s="8" t="s">
        <v>1</v>
      </c>
    </row>
    <row r="3" spans="1:15" x14ac:dyDescent="0.3">
      <c r="A3" s="23" t="s">
        <v>34</v>
      </c>
    </row>
    <row r="4" spans="1:15" x14ac:dyDescent="0.3">
      <c r="A4" s="30" t="s">
        <v>52</v>
      </c>
    </row>
    <row r="5" spans="1:15" x14ac:dyDescent="0.3">
      <c r="K5" s="11"/>
    </row>
    <row r="6" spans="1:15" x14ac:dyDescent="0.3">
      <c r="B6" s="37" t="s">
        <v>35</v>
      </c>
      <c r="C6" s="38"/>
      <c r="D6" s="38"/>
      <c r="E6" s="39"/>
      <c r="F6" s="37" t="s">
        <v>36</v>
      </c>
      <c r="G6" s="38"/>
      <c r="H6" s="38"/>
      <c r="I6" s="38"/>
      <c r="J6" s="39"/>
      <c r="K6" s="37" t="s">
        <v>37</v>
      </c>
      <c r="L6" s="38"/>
      <c r="M6" s="38"/>
      <c r="N6" s="38"/>
      <c r="O6" s="39"/>
    </row>
    <row r="7" spans="1:15" x14ac:dyDescent="0.3">
      <c r="B7" s="12" t="s">
        <v>30</v>
      </c>
      <c r="C7" s="12" t="s">
        <v>31</v>
      </c>
      <c r="D7" s="12" t="s">
        <v>32</v>
      </c>
      <c r="E7" s="12" t="s">
        <v>33</v>
      </c>
      <c r="F7" s="13" t="s">
        <v>30</v>
      </c>
      <c r="G7" s="12" t="s">
        <v>31</v>
      </c>
      <c r="H7" s="12" t="s">
        <v>32</v>
      </c>
      <c r="I7" s="12" t="s">
        <v>33</v>
      </c>
      <c r="J7" s="12" t="s">
        <v>2</v>
      </c>
      <c r="K7" s="12" t="s">
        <v>30</v>
      </c>
      <c r="L7" s="12" t="s">
        <v>31</v>
      </c>
      <c r="M7" s="12" t="s">
        <v>32</v>
      </c>
      <c r="N7" s="12" t="s">
        <v>33</v>
      </c>
      <c r="O7" s="12" t="s">
        <v>2</v>
      </c>
    </row>
    <row r="8" spans="1:15" x14ac:dyDescent="0.3">
      <c r="A8" s="32" t="s">
        <v>53</v>
      </c>
      <c r="B8" s="14">
        <f>K8/F8</f>
        <v>-64</v>
      </c>
      <c r="C8" s="15">
        <f>L8/G8</f>
        <v>54</v>
      </c>
      <c r="D8" s="15">
        <f t="shared" ref="D8:E8" si="0">M8/H8</f>
        <v>34</v>
      </c>
      <c r="E8" s="15">
        <f t="shared" si="0"/>
        <v>37</v>
      </c>
      <c r="F8" s="26">
        <f>129220/2000</f>
        <v>64.61</v>
      </c>
      <c r="G8" s="27">
        <f>1960/2000</f>
        <v>0.98</v>
      </c>
      <c r="H8" s="27">
        <f>92380/2000</f>
        <v>46.19</v>
      </c>
      <c r="I8" s="27">
        <f>1680/2000</f>
        <v>0.84</v>
      </c>
      <c r="J8" s="28">
        <f>SUM(F8:I8)</f>
        <v>112.62</v>
      </c>
      <c r="K8" s="26">
        <v>-4135.04</v>
      </c>
      <c r="L8" s="27">
        <v>52.92</v>
      </c>
      <c r="M8" s="27">
        <v>1570.46</v>
      </c>
      <c r="N8" s="27">
        <v>31.08</v>
      </c>
      <c r="O8" s="28">
        <f>SUM(K8:N8)</f>
        <v>-2480.58</v>
      </c>
    </row>
    <row r="9" spans="1:15" x14ac:dyDescent="0.3">
      <c r="B9" s="14"/>
      <c r="C9" s="15"/>
      <c r="D9" s="15"/>
      <c r="E9" s="16"/>
      <c r="F9" s="14"/>
      <c r="G9" s="15"/>
      <c r="H9" s="15"/>
      <c r="I9" s="15"/>
      <c r="J9" s="16"/>
      <c r="K9" s="14"/>
      <c r="L9" s="15"/>
      <c r="M9" s="15"/>
      <c r="N9" s="15"/>
      <c r="O9" s="16"/>
    </row>
    <row r="10" spans="1:15" x14ac:dyDescent="0.3">
      <c r="A10" s="33" t="s">
        <v>54</v>
      </c>
      <c r="B10" s="14">
        <f>K10/F10</f>
        <v>-64</v>
      </c>
      <c r="C10" s="15">
        <f>L10/G10</f>
        <v>52</v>
      </c>
      <c r="D10" s="15">
        <f t="shared" ref="D10" si="1">M10/H10</f>
        <v>34</v>
      </c>
      <c r="E10" s="16">
        <v>0</v>
      </c>
      <c r="F10" s="14">
        <f>121960/2000</f>
        <v>60.98</v>
      </c>
      <c r="G10" s="15">
        <f>720/2000</f>
        <v>0.36</v>
      </c>
      <c r="H10" s="15">
        <f>93340/2000</f>
        <v>46.67</v>
      </c>
      <c r="I10" s="15">
        <v>0</v>
      </c>
      <c r="J10" s="16">
        <f>SUM(F10:I10)</f>
        <v>108.00999999999999</v>
      </c>
      <c r="K10" s="14">
        <v>-3902.72</v>
      </c>
      <c r="L10" s="15">
        <v>18.72</v>
      </c>
      <c r="M10" s="15">
        <v>1586.78</v>
      </c>
      <c r="N10" s="15">
        <v>0</v>
      </c>
      <c r="O10" s="16">
        <f>SUM(K10:N10)</f>
        <v>-2297.2200000000003</v>
      </c>
    </row>
    <row r="11" spans="1:15" x14ac:dyDescent="0.3">
      <c r="B11" s="14"/>
      <c r="C11" s="15"/>
      <c r="D11" s="15"/>
      <c r="E11" s="16"/>
      <c r="F11" s="14"/>
      <c r="G11" s="15"/>
      <c r="H11" s="15"/>
      <c r="I11" s="15"/>
      <c r="J11" s="16"/>
      <c r="K11" s="14"/>
      <c r="L11" s="15"/>
      <c r="M11" s="15"/>
      <c r="N11" s="15"/>
      <c r="O11" s="16"/>
    </row>
    <row r="12" spans="1:15" x14ac:dyDescent="0.3">
      <c r="A12" s="33" t="s">
        <v>55</v>
      </c>
      <c r="B12" s="14">
        <f>K12/F12</f>
        <v>-62.696061140505584</v>
      </c>
      <c r="C12" s="15">
        <v>0</v>
      </c>
      <c r="D12" s="15">
        <f t="shared" ref="D12" si="2">M12/H12</f>
        <v>34</v>
      </c>
      <c r="E12" s="16">
        <v>0</v>
      </c>
      <c r="F12" s="14">
        <f>136080/2000</f>
        <v>68.040000000000006</v>
      </c>
      <c r="G12" s="15">
        <v>0</v>
      </c>
      <c r="H12" s="15">
        <f>100780/2000</f>
        <v>50.39</v>
      </c>
      <c r="I12" s="15">
        <v>0</v>
      </c>
      <c r="J12" s="16">
        <f>SUM(F12:I12)</f>
        <v>118.43</v>
      </c>
      <c r="K12" s="14">
        <v>-4265.84</v>
      </c>
      <c r="L12" s="15">
        <v>0</v>
      </c>
      <c r="M12" s="15">
        <v>1713.26</v>
      </c>
      <c r="N12" s="15">
        <v>0</v>
      </c>
      <c r="O12" s="16">
        <f>SUM(K12:N12)</f>
        <v>-2552.58</v>
      </c>
    </row>
    <row r="13" spans="1:15" x14ac:dyDescent="0.3">
      <c r="B13" s="14"/>
      <c r="C13" s="15"/>
      <c r="D13" s="15"/>
      <c r="E13" s="16"/>
      <c r="F13" s="14"/>
      <c r="G13" s="15"/>
      <c r="H13" s="15"/>
      <c r="I13" s="15"/>
      <c r="J13" s="16"/>
      <c r="K13" s="14"/>
      <c r="L13" s="15"/>
      <c r="M13" s="15"/>
      <c r="N13" s="15"/>
      <c r="O13" s="16"/>
    </row>
    <row r="14" spans="1:15" x14ac:dyDescent="0.3">
      <c r="A14" s="33" t="s">
        <v>56</v>
      </c>
      <c r="B14" s="14">
        <f>K14/F14</f>
        <v>-59.696420480289994</v>
      </c>
      <c r="C14" s="15">
        <v>0</v>
      </c>
      <c r="D14" s="15">
        <f t="shared" ref="D14" si="3">M14/H14</f>
        <v>34</v>
      </c>
      <c r="E14" s="16">
        <v>0</v>
      </c>
      <c r="F14" s="14">
        <f>132420/2000</f>
        <v>66.209999999999994</v>
      </c>
      <c r="G14" s="15">
        <v>0</v>
      </c>
      <c r="H14" s="15">
        <f>92600/2000</f>
        <v>46.3</v>
      </c>
      <c r="I14" s="15">
        <v>0</v>
      </c>
      <c r="J14" s="16">
        <f>SUM(F14:I14)</f>
        <v>112.50999999999999</v>
      </c>
      <c r="K14" s="14">
        <v>-3952.5</v>
      </c>
      <c r="L14" s="15">
        <v>0</v>
      </c>
      <c r="M14" s="15">
        <v>1574.2</v>
      </c>
      <c r="N14" s="15">
        <v>0</v>
      </c>
      <c r="O14" s="16">
        <f>SUM(K14:N14)</f>
        <v>-2378.3000000000002</v>
      </c>
    </row>
    <row r="15" spans="1:15" x14ac:dyDescent="0.3">
      <c r="B15" s="14"/>
      <c r="C15" s="15"/>
      <c r="D15" s="15"/>
      <c r="E15" s="16"/>
      <c r="F15" s="14"/>
      <c r="G15" s="15"/>
      <c r="H15" s="15"/>
      <c r="I15" s="15"/>
      <c r="J15" s="16"/>
      <c r="K15" s="14"/>
      <c r="L15" s="15"/>
      <c r="M15" s="15"/>
      <c r="N15" s="15"/>
      <c r="O15" s="16"/>
    </row>
    <row r="16" spans="1:15" x14ac:dyDescent="0.3">
      <c r="A16" s="32" t="s">
        <v>57</v>
      </c>
      <c r="B16" s="14">
        <f>K16/F16</f>
        <v>-58</v>
      </c>
      <c r="C16" s="15">
        <v>0</v>
      </c>
      <c r="D16" s="15">
        <f t="shared" ref="D16" si="4">M16/H16</f>
        <v>34</v>
      </c>
      <c r="E16" s="16">
        <v>0</v>
      </c>
      <c r="F16" s="14">
        <f>126780/2000</f>
        <v>63.39</v>
      </c>
      <c r="G16" s="15">
        <v>0</v>
      </c>
      <c r="H16" s="15">
        <f>98340/2000</f>
        <v>49.17</v>
      </c>
      <c r="I16" s="15">
        <v>0</v>
      </c>
      <c r="J16" s="16">
        <f>SUM(F16:I16)</f>
        <v>112.56</v>
      </c>
      <c r="K16" s="14">
        <v>-3676.62</v>
      </c>
      <c r="L16" s="15">
        <v>0</v>
      </c>
      <c r="M16" s="15">
        <v>1671.78</v>
      </c>
      <c r="N16" s="15">
        <v>0</v>
      </c>
      <c r="O16" s="16">
        <f>SUM(K16:N16)</f>
        <v>-2004.84</v>
      </c>
    </row>
    <row r="17" spans="1:16" x14ac:dyDescent="0.3">
      <c r="B17" s="14"/>
      <c r="C17" s="15"/>
      <c r="D17" s="15"/>
      <c r="E17" s="16"/>
      <c r="F17" s="14"/>
      <c r="G17" s="15"/>
      <c r="H17" s="15"/>
      <c r="I17" s="15"/>
      <c r="J17" s="16"/>
      <c r="K17" s="14"/>
      <c r="L17" s="15"/>
      <c r="M17" s="15"/>
      <c r="N17" s="15"/>
      <c r="O17" s="16"/>
    </row>
    <row r="18" spans="1:16" x14ac:dyDescent="0.3">
      <c r="A18" s="33" t="s">
        <v>58</v>
      </c>
      <c r="B18" s="14">
        <f>K18/F18</f>
        <v>-58</v>
      </c>
      <c r="C18" s="15">
        <v>0</v>
      </c>
      <c r="D18" s="15">
        <f t="shared" ref="D18" si="5">M18/H18</f>
        <v>34</v>
      </c>
      <c r="E18" s="16">
        <v>0</v>
      </c>
      <c r="F18" s="14">
        <f>125380/2000</f>
        <v>62.69</v>
      </c>
      <c r="G18" s="15">
        <v>0</v>
      </c>
      <c r="H18" s="15">
        <f>101060/2000</f>
        <v>50.53</v>
      </c>
      <c r="I18" s="15">
        <v>0</v>
      </c>
      <c r="J18" s="16">
        <f>SUM(F18:I18)</f>
        <v>113.22</v>
      </c>
      <c r="K18" s="14">
        <v>-3636.02</v>
      </c>
      <c r="L18" s="15">
        <v>0</v>
      </c>
      <c r="M18" s="15">
        <v>1718.02</v>
      </c>
      <c r="N18" s="15">
        <v>0</v>
      </c>
      <c r="O18" s="16">
        <f>SUM(K18:N18)</f>
        <v>-1918</v>
      </c>
    </row>
    <row r="19" spans="1:16" x14ac:dyDescent="0.3">
      <c r="B19" s="14"/>
      <c r="C19" s="15"/>
      <c r="D19" s="15"/>
      <c r="E19" s="16"/>
      <c r="F19" s="14"/>
      <c r="G19" s="15"/>
      <c r="H19" s="15"/>
      <c r="I19" s="15"/>
      <c r="J19" s="16"/>
      <c r="K19" s="14"/>
      <c r="L19" s="15"/>
      <c r="M19" s="15"/>
      <c r="N19" s="15"/>
      <c r="O19" s="16"/>
    </row>
    <row r="20" spans="1:16" x14ac:dyDescent="0.3">
      <c r="A20" s="33" t="s">
        <v>59</v>
      </c>
      <c r="B20" s="14">
        <f>K20/F20</f>
        <v>-58</v>
      </c>
      <c r="C20" s="15">
        <v>0</v>
      </c>
      <c r="D20" s="15">
        <f t="shared" ref="D20" si="6">M20/H20</f>
        <v>34</v>
      </c>
      <c r="E20" s="16">
        <v>0</v>
      </c>
      <c r="F20" s="14">
        <f>100480/2000</f>
        <v>50.24</v>
      </c>
      <c r="G20" s="15">
        <v>0</v>
      </c>
      <c r="H20" s="15">
        <f>80660/2000</f>
        <v>40.33</v>
      </c>
      <c r="I20" s="15">
        <v>0</v>
      </c>
      <c r="J20" s="16">
        <f>SUM(F20:I20)</f>
        <v>90.57</v>
      </c>
      <c r="K20" s="14">
        <v>-2913.92</v>
      </c>
      <c r="L20" s="15">
        <v>0</v>
      </c>
      <c r="M20" s="15">
        <v>1371.22</v>
      </c>
      <c r="N20" s="15">
        <v>0</v>
      </c>
      <c r="O20" s="16">
        <f>SUM(K20:N20)</f>
        <v>-1542.7</v>
      </c>
    </row>
    <row r="21" spans="1:16" x14ac:dyDescent="0.3">
      <c r="B21" s="14"/>
      <c r="C21" s="15"/>
      <c r="D21" s="15"/>
      <c r="E21" s="16"/>
      <c r="F21" s="14"/>
      <c r="G21" s="15"/>
      <c r="H21" s="15"/>
      <c r="I21" s="15"/>
      <c r="J21" s="16"/>
      <c r="K21" s="14"/>
      <c r="L21" s="15"/>
      <c r="M21" s="15"/>
      <c r="N21" s="15"/>
      <c r="O21" s="16"/>
    </row>
    <row r="22" spans="1:16" x14ac:dyDescent="0.3">
      <c r="A22" s="33" t="s">
        <v>60</v>
      </c>
      <c r="B22" s="14">
        <f>K22/F22</f>
        <v>-58</v>
      </c>
      <c r="C22" s="15">
        <v>0</v>
      </c>
      <c r="D22" s="15">
        <f t="shared" ref="D22" si="7">M22/H22</f>
        <v>32.91570073761855</v>
      </c>
      <c r="E22" s="16">
        <v>0</v>
      </c>
      <c r="F22" s="14">
        <f>124260/2000</f>
        <v>62.13</v>
      </c>
      <c r="G22" s="15">
        <f>0</f>
        <v>0</v>
      </c>
      <c r="H22" s="15">
        <f>113880/2000</f>
        <v>56.94</v>
      </c>
      <c r="I22" s="15">
        <v>0</v>
      </c>
      <c r="J22" s="16">
        <f>SUM(F22:I22)</f>
        <v>119.07</v>
      </c>
      <c r="K22" s="14">
        <v>-3603.54</v>
      </c>
      <c r="L22" s="15">
        <v>0</v>
      </c>
      <c r="M22" s="15">
        <v>1874.22</v>
      </c>
      <c r="N22" s="15">
        <v>0</v>
      </c>
      <c r="O22" s="16">
        <f>SUM(K22:N22)</f>
        <v>-1729.32</v>
      </c>
    </row>
    <row r="23" spans="1:16" x14ac:dyDescent="0.3">
      <c r="B23" s="14"/>
      <c r="C23" s="15"/>
      <c r="D23" s="15"/>
      <c r="E23" s="16"/>
      <c r="F23" s="14"/>
      <c r="G23" s="15"/>
      <c r="H23" s="15"/>
      <c r="I23" s="15"/>
      <c r="J23" s="16"/>
      <c r="K23" s="14"/>
      <c r="L23" s="15"/>
      <c r="M23" s="15"/>
      <c r="N23" s="15"/>
      <c r="O23" s="16"/>
    </row>
    <row r="24" spans="1:16" x14ac:dyDescent="0.3">
      <c r="A24" s="33" t="s">
        <v>61</v>
      </c>
      <c r="B24" s="14">
        <f>K24/F24</f>
        <v>-57.999999999999993</v>
      </c>
      <c r="C24" s="15">
        <v>0</v>
      </c>
      <c r="D24" s="15">
        <f>M24/H24</f>
        <v>32</v>
      </c>
      <c r="E24" s="16">
        <v>0</v>
      </c>
      <c r="F24" s="14">
        <f>134400/2000</f>
        <v>67.2</v>
      </c>
      <c r="G24" s="15">
        <v>0</v>
      </c>
      <c r="H24" s="15">
        <f>111200/2000</f>
        <v>55.6</v>
      </c>
      <c r="I24" s="15">
        <v>0</v>
      </c>
      <c r="J24" s="16">
        <f>SUM(F24:I24)</f>
        <v>122.80000000000001</v>
      </c>
      <c r="K24" s="14">
        <v>-3897.6</v>
      </c>
      <c r="L24" s="15">
        <v>0</v>
      </c>
      <c r="M24" s="15">
        <v>1779.2</v>
      </c>
      <c r="N24" s="15">
        <v>0</v>
      </c>
      <c r="O24" s="16">
        <f>SUM(K24:N24)</f>
        <v>-2118.3999999999996</v>
      </c>
      <c r="P24" s="11"/>
    </row>
    <row r="25" spans="1:16" x14ac:dyDescent="0.3">
      <c r="B25" s="14"/>
      <c r="C25" s="15"/>
      <c r="D25" s="15"/>
      <c r="E25" s="16"/>
      <c r="F25" s="14"/>
      <c r="G25" s="15"/>
      <c r="H25" s="15"/>
      <c r="I25" s="15"/>
      <c r="J25" s="16"/>
      <c r="K25" s="14"/>
      <c r="L25" s="15"/>
      <c r="M25" s="15"/>
      <c r="N25" s="15"/>
      <c r="O25" s="16"/>
    </row>
    <row r="26" spans="1:16" x14ac:dyDescent="0.3">
      <c r="A26" s="33" t="s">
        <v>62</v>
      </c>
      <c r="B26" s="14">
        <f>K26/F26</f>
        <v>-61.000845308537613</v>
      </c>
      <c r="C26" s="15">
        <v>0</v>
      </c>
      <c r="D26" s="15">
        <f>M26/H26</f>
        <v>30.87887067395264</v>
      </c>
      <c r="E26" s="16">
        <v>0</v>
      </c>
      <c r="F26" s="14">
        <f>118300/2000</f>
        <v>59.15</v>
      </c>
      <c r="G26" s="15">
        <v>0</v>
      </c>
      <c r="H26" s="15">
        <f>87840/2000</f>
        <v>43.92</v>
      </c>
      <c r="I26" s="15">
        <v>0</v>
      </c>
      <c r="J26" s="16">
        <f>SUM(F26:I26)</f>
        <v>103.07</v>
      </c>
      <c r="K26" s="14">
        <v>-3608.2</v>
      </c>
      <c r="L26" s="15">
        <f t="shared" ref="L26:L30" si="8">C26*G26</f>
        <v>0</v>
      </c>
      <c r="M26" s="15">
        <v>1356.2</v>
      </c>
      <c r="N26" s="15">
        <f>I26*E26</f>
        <v>0</v>
      </c>
      <c r="O26" s="16">
        <f>SUM(K26:N26)</f>
        <v>-2252</v>
      </c>
    </row>
    <row r="27" spans="1:16" x14ac:dyDescent="0.3">
      <c r="B27" s="14"/>
      <c r="C27" s="15"/>
      <c r="D27" s="15"/>
      <c r="E27" s="16"/>
      <c r="F27" s="14"/>
      <c r="G27" s="15"/>
      <c r="H27" s="15"/>
      <c r="I27" s="15"/>
      <c r="J27" s="16"/>
      <c r="K27" s="14"/>
      <c r="L27" s="15"/>
      <c r="M27" s="15"/>
      <c r="N27" s="15"/>
      <c r="O27" s="16"/>
    </row>
    <row r="28" spans="1:16" x14ac:dyDescent="0.3">
      <c r="A28" s="33" t="s">
        <v>63</v>
      </c>
      <c r="B28" s="14">
        <f>K28/F28</f>
        <v>-63</v>
      </c>
      <c r="C28" s="15">
        <v>0</v>
      </c>
      <c r="D28" s="15">
        <f>M28/H28</f>
        <v>30.000000000000004</v>
      </c>
      <c r="E28" s="16">
        <v>0</v>
      </c>
      <c r="F28" s="14">
        <f>105120/2000</f>
        <v>52.56</v>
      </c>
      <c r="G28" s="15">
        <v>0</v>
      </c>
      <c r="H28" s="15">
        <f>81860/2000</f>
        <v>40.93</v>
      </c>
      <c r="I28" s="15">
        <v>0</v>
      </c>
      <c r="J28" s="16">
        <f>SUM(F28:I28)</f>
        <v>93.490000000000009</v>
      </c>
      <c r="K28" s="14">
        <v>-3311.28</v>
      </c>
      <c r="L28" s="15">
        <v>0</v>
      </c>
      <c r="M28" s="15">
        <v>1227.9000000000001</v>
      </c>
      <c r="N28" s="15">
        <f>I28*E28</f>
        <v>0</v>
      </c>
      <c r="O28" s="16">
        <f>SUM(K28:N28)</f>
        <v>-2083.38</v>
      </c>
    </row>
    <row r="29" spans="1:16" x14ac:dyDescent="0.3">
      <c r="B29" s="14"/>
      <c r="C29" s="15"/>
      <c r="D29" s="15"/>
      <c r="E29" s="16"/>
      <c r="F29" s="14"/>
      <c r="G29" s="15"/>
      <c r="H29" s="15"/>
      <c r="I29" s="15"/>
      <c r="J29" s="16"/>
      <c r="K29" s="14"/>
      <c r="L29" s="15"/>
      <c r="M29" s="15"/>
      <c r="N29" s="15"/>
      <c r="O29" s="16"/>
    </row>
    <row r="30" spans="1:16" x14ac:dyDescent="0.3">
      <c r="A30" s="33" t="s">
        <v>73</v>
      </c>
      <c r="B30" s="17">
        <f>K30/F30</f>
        <v>-63</v>
      </c>
      <c r="C30" s="18">
        <v>0</v>
      </c>
      <c r="D30" s="18">
        <f>M30/H30</f>
        <v>30</v>
      </c>
      <c r="E30" s="19">
        <v>0</v>
      </c>
      <c r="F30" s="17">
        <f>111680/2000</f>
        <v>55.84</v>
      </c>
      <c r="G30" s="18">
        <v>0</v>
      </c>
      <c r="H30" s="18">
        <f>88200/2000</f>
        <v>44.1</v>
      </c>
      <c r="I30" s="18">
        <v>0</v>
      </c>
      <c r="J30" s="19">
        <f>SUM(F30:I30)</f>
        <v>99.94</v>
      </c>
      <c r="K30" s="17">
        <v>-3517.92</v>
      </c>
      <c r="L30" s="18">
        <f t="shared" si="8"/>
        <v>0</v>
      </c>
      <c r="M30" s="18">
        <v>1323</v>
      </c>
      <c r="N30" s="18">
        <f>I30*E30</f>
        <v>0</v>
      </c>
      <c r="O30" s="19">
        <f>SUM(K30:N30)</f>
        <v>-2194.92</v>
      </c>
    </row>
    <row r="31" spans="1:16" x14ac:dyDescent="0.3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6" ht="15" thickBot="1" x14ac:dyDescent="0.35">
      <c r="B32" s="20"/>
      <c r="C32" s="20"/>
      <c r="D32" s="20"/>
      <c r="E32" s="20"/>
      <c r="F32" s="21">
        <f>SUM(F8:F31)</f>
        <v>733.04000000000008</v>
      </c>
      <c r="G32" s="21">
        <f t="shared" ref="G32:J32" si="9">SUM(G8:G31)</f>
        <v>1.3399999999999999</v>
      </c>
      <c r="H32" s="21">
        <f t="shared" si="9"/>
        <v>571.07000000000005</v>
      </c>
      <c r="I32" s="21">
        <f t="shared" si="9"/>
        <v>0.84</v>
      </c>
      <c r="J32" s="21">
        <f t="shared" si="9"/>
        <v>1306.29</v>
      </c>
      <c r="K32" s="21">
        <f>SUM(K8:K31)</f>
        <v>-44421.2</v>
      </c>
      <c r="L32" s="21">
        <f t="shared" ref="L32:N32" si="10">SUM(L8:L31)</f>
        <v>71.64</v>
      </c>
      <c r="M32" s="21">
        <f t="shared" si="10"/>
        <v>18766.240000000002</v>
      </c>
      <c r="N32" s="21">
        <f t="shared" si="10"/>
        <v>31.08</v>
      </c>
      <c r="O32" s="21">
        <f>SUM(O8:O30)</f>
        <v>-25552.240000000005</v>
      </c>
    </row>
    <row r="33" spans="2:15" ht="15" thickTop="1" x14ac:dyDescent="0.3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2:15" x14ac:dyDescent="0.3">
      <c r="B34" s="20"/>
      <c r="C34" s="20"/>
      <c r="D34" s="20"/>
      <c r="E34" s="20"/>
      <c r="F34" s="20"/>
      <c r="G34" s="20"/>
      <c r="H34" s="20"/>
      <c r="I34" s="20"/>
      <c r="J34" s="20"/>
      <c r="K34" s="20"/>
      <c r="O34" s="11"/>
    </row>
    <row r="35" spans="2:15" x14ac:dyDescent="0.3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2:15" x14ac:dyDescent="0.3">
      <c r="B36" s="20"/>
      <c r="C36" s="20"/>
      <c r="D36" s="20"/>
      <c r="E36" s="20"/>
      <c r="F36" s="20"/>
      <c r="G36" s="20"/>
      <c r="H36" s="20"/>
      <c r="I36" s="20"/>
      <c r="J36" s="20"/>
      <c r="K36" s="20"/>
      <c r="O36" s="22"/>
    </row>
  </sheetData>
  <mergeCells count="3">
    <mergeCell ref="B6:E6"/>
    <mergeCell ref="F6:J6"/>
    <mergeCell ref="K6:O6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AF7169BCDF404995A95AF0632F84FB" ma:contentTypeVersion="119" ma:contentTypeDescription="" ma:contentTypeScope="" ma:versionID="44876e92d448d8d8c2a5e0876871689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Sanitary Service Company, Inc.</CaseCompanyNames>
    <DocketNumber xmlns="dc463f71-b30c-4ab2-9473-d307f9d35888">150990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BB94A2B-49A0-4BD4-8252-73421DB11269}"/>
</file>

<file path=customXml/itemProps2.xml><?xml version="1.0" encoding="utf-8"?>
<ds:datastoreItem xmlns:ds="http://schemas.openxmlformats.org/officeDocument/2006/customXml" ds:itemID="{F7D70C45-8319-4335-9AEC-5A853D73F6C7}"/>
</file>

<file path=customXml/itemProps3.xml><?xml version="1.0" encoding="utf-8"?>
<ds:datastoreItem xmlns:ds="http://schemas.openxmlformats.org/officeDocument/2006/customXml" ds:itemID="{56559EB3-9C00-4AEA-9DF0-7B3B81D48574}"/>
</file>

<file path=customXml/itemProps4.xml><?xml version="1.0" encoding="utf-8"?>
<ds:datastoreItem xmlns:ds="http://schemas.openxmlformats.org/officeDocument/2006/customXml" ds:itemID="{BBA2E1BF-B378-4FAA-BC85-1B2172CE8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G-14 Residential</vt:lpstr>
      <vt:lpstr>G-14 Multi</vt:lpstr>
      <vt:lpstr>Single Family Commodities</vt:lpstr>
      <vt:lpstr>Multi Family Commodities</vt:lpstr>
      <vt:lpstr>'G-14 Multi'!Print_Area</vt:lpstr>
      <vt:lpstr>'G-14 Residential'!Print_Area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Jones</dc:creator>
  <cp:lastModifiedBy>Amber Jones</cp:lastModifiedBy>
  <cp:lastPrinted>2015-05-07T18:10:06Z</cp:lastPrinted>
  <dcterms:created xsi:type="dcterms:W3CDTF">2011-05-13T18:16:28Z</dcterms:created>
  <dcterms:modified xsi:type="dcterms:W3CDTF">2015-05-08T00:11:29Z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0x0101006E56B4D1795A2E4DB2F0B01679ED314A001AAF7169BCDF404995A95AF0632F84FB</vt:lpwstr>
  </property>
  <property fmtid="{D5CDD505-2E9C-101B-9397-08002B2CF9AE}" pid="3" name="_docset_NoMedatataSyncRequired">
    <vt:lpwstr>False</vt:lpwstr>
  </property>
</Properties>
</file>