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3810" windowHeight="12170" firstSheet="6" activeTab="8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  <sheet name="Sheet1" sheetId="12" r:id="rId10"/>
    <sheet name="Sheet2" sheetId="13" r:id="rId1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9" l="1"/>
  <c r="D32" i="9"/>
  <c r="D17" i="9"/>
  <c r="D25" i="9"/>
  <c r="D26" i="9"/>
  <c r="D27" i="9"/>
  <c r="D33" i="9"/>
  <c r="D42" i="9"/>
  <c r="E42" i="9"/>
  <c r="D30" i="1"/>
  <c r="E30" i="1"/>
  <c r="E30" i="9"/>
  <c r="E29" i="9"/>
  <c r="E31" i="9"/>
  <c r="E32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33" i="9"/>
  <c r="C39" i="9"/>
  <c r="D11" i="8"/>
  <c r="D10" i="8"/>
  <c r="D11" i="2"/>
  <c r="D33" i="2"/>
  <c r="B38" i="2"/>
  <c r="D18" i="3"/>
  <c r="C18" i="3"/>
  <c r="C24" i="11"/>
  <c r="C25" i="2"/>
  <c r="E56" i="9"/>
  <c r="E56" i="1"/>
  <c r="C55" i="1"/>
  <c r="E34" i="1"/>
  <c r="E35" i="1"/>
  <c r="G45" i="11"/>
  <c r="C45" i="11"/>
  <c r="B45" i="11"/>
  <c r="D44" i="11"/>
  <c r="C45" i="5"/>
  <c r="I43" i="11"/>
  <c r="G44" i="5"/>
  <c r="D43" i="11"/>
  <c r="C44" i="5"/>
  <c r="I42" i="11"/>
  <c r="G43" i="5"/>
  <c r="D42" i="11"/>
  <c r="C43" i="5"/>
  <c r="I41" i="11"/>
  <c r="G42" i="5"/>
  <c r="D41" i="11"/>
  <c r="C42" i="5"/>
  <c r="D11" i="7"/>
  <c r="I40" i="11"/>
  <c r="G41" i="5"/>
  <c r="D40" i="11"/>
  <c r="I39" i="11"/>
  <c r="I38" i="11"/>
  <c r="G39" i="5"/>
  <c r="B37" i="11"/>
  <c r="H36" i="11"/>
  <c r="G36" i="11"/>
  <c r="D36" i="11"/>
  <c r="C37" i="5"/>
  <c r="I35" i="11"/>
  <c r="G36" i="5"/>
  <c r="D35" i="11"/>
  <c r="C36" i="5"/>
  <c r="I34" i="11"/>
  <c r="G35" i="5"/>
  <c r="D34" i="11"/>
  <c r="C35" i="5"/>
  <c r="I33" i="11"/>
  <c r="D32" i="11"/>
  <c r="C33" i="5"/>
  <c r="G31" i="11"/>
  <c r="D31" i="11"/>
  <c r="C32" i="5"/>
  <c r="I30" i="11"/>
  <c r="G31" i="5"/>
  <c r="I29" i="11"/>
  <c r="G30" i="5"/>
  <c r="D29" i="11"/>
  <c r="C30" i="5"/>
  <c r="I28" i="11"/>
  <c r="G29" i="5"/>
  <c r="D28" i="11"/>
  <c r="I27" i="11"/>
  <c r="G28" i="5"/>
  <c r="I26" i="11"/>
  <c r="G27" i="5"/>
  <c r="I25" i="11"/>
  <c r="G26" i="5"/>
  <c r="I24" i="11"/>
  <c r="G25" i="5"/>
  <c r="B24" i="11"/>
  <c r="I23" i="11"/>
  <c r="G24" i="5"/>
  <c r="D23" i="11"/>
  <c r="C24" i="5"/>
  <c r="I22" i="11"/>
  <c r="G23" i="5"/>
  <c r="D22" i="11"/>
  <c r="C23" i="5"/>
  <c r="I21" i="11"/>
  <c r="G22" i="5"/>
  <c r="D21" i="11"/>
  <c r="C22" i="5"/>
  <c r="D20" i="11"/>
  <c r="C21" i="5"/>
  <c r="G19" i="11"/>
  <c r="D19" i="11"/>
  <c r="C20" i="5"/>
  <c r="I18" i="11"/>
  <c r="G19" i="5"/>
  <c r="D18" i="11"/>
  <c r="C19" i="5"/>
  <c r="I17" i="11"/>
  <c r="G18" i="5"/>
  <c r="D17" i="11"/>
  <c r="C18" i="5"/>
  <c r="I16" i="11"/>
  <c r="G17" i="5"/>
  <c r="D16" i="11"/>
  <c r="C17" i="5"/>
  <c r="I15" i="11"/>
  <c r="G16" i="5"/>
  <c r="I14" i="11"/>
  <c r="G15" i="5"/>
  <c r="D14" i="11"/>
  <c r="C15" i="5"/>
  <c r="I13" i="11"/>
  <c r="G14" i="5"/>
  <c r="D13" i="11"/>
  <c r="C14" i="5"/>
  <c r="I12" i="11"/>
  <c r="G13" i="5"/>
  <c r="D12" i="11"/>
  <c r="C13" i="5"/>
  <c r="I11" i="11"/>
  <c r="G12" i="5"/>
  <c r="I10" i="11"/>
  <c r="G11" i="5"/>
  <c r="D10" i="11"/>
  <c r="C11" i="5"/>
  <c r="I9" i="11"/>
  <c r="G10" i="5"/>
  <c r="D9" i="11"/>
  <c r="H44" i="1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/>
  <c r="E53" i="1"/>
  <c r="C53" i="10"/>
  <c r="E52" i="1"/>
  <c r="C52" i="10"/>
  <c r="D55" i="9"/>
  <c r="C55" i="9"/>
  <c r="E54" i="9"/>
  <c r="D54" i="10"/>
  <c r="E53" i="9"/>
  <c r="D53" i="10"/>
  <c r="E52" i="9"/>
  <c r="E50" i="9"/>
  <c r="D50" i="10"/>
  <c r="E49" i="9"/>
  <c r="D49" i="10"/>
  <c r="E48" i="9"/>
  <c r="D48" i="10"/>
  <c r="E47" i="9"/>
  <c r="D47" i="10"/>
  <c r="E46" i="9"/>
  <c r="D46" i="10"/>
  <c r="E45" i="9"/>
  <c r="D45" i="10"/>
  <c r="E44" i="9"/>
  <c r="D44" i="10"/>
  <c r="E41" i="9"/>
  <c r="D41" i="10"/>
  <c r="E40" i="9"/>
  <c r="D40" i="10"/>
  <c r="E39" i="9"/>
  <c r="D39" i="10"/>
  <c r="D38" i="9"/>
  <c r="C38" i="9"/>
  <c r="E37" i="9"/>
  <c r="D37" i="10"/>
  <c r="E36" i="9"/>
  <c r="D36" i="10"/>
  <c r="E35" i="9"/>
  <c r="D35" i="10"/>
  <c r="E34" i="9"/>
  <c r="C32" i="9"/>
  <c r="D31" i="10"/>
  <c r="D30" i="10"/>
  <c r="D29" i="10"/>
  <c r="D28" i="10"/>
  <c r="C25" i="9"/>
  <c r="C26" i="9"/>
  <c r="D24" i="10"/>
  <c r="D22" i="10"/>
  <c r="D21" i="10"/>
  <c r="D20" i="10"/>
  <c r="D19" i="10"/>
  <c r="D18" i="10"/>
  <c r="C17" i="9"/>
  <c r="D16" i="10"/>
  <c r="D15" i="10"/>
  <c r="D14" i="10"/>
  <c r="D13" i="10"/>
  <c r="D11" i="10"/>
  <c r="E45" i="1"/>
  <c r="C45" i="10"/>
  <c r="E46" i="1"/>
  <c r="E47" i="1"/>
  <c r="C47" i="10"/>
  <c r="E48" i="1"/>
  <c r="E49" i="1"/>
  <c r="C49" i="10"/>
  <c r="E50" i="1"/>
  <c r="C50" i="10"/>
  <c r="E44" i="1"/>
  <c r="C44" i="10"/>
  <c r="E40" i="1"/>
  <c r="C40" i="10"/>
  <c r="E41" i="1"/>
  <c r="C41" i="10"/>
  <c r="E39" i="1"/>
  <c r="C39" i="10"/>
  <c r="C35" i="10"/>
  <c r="E36" i="1"/>
  <c r="E37" i="1"/>
  <c r="C37" i="10"/>
  <c r="C34" i="10"/>
  <c r="E29" i="1"/>
  <c r="C30" i="10"/>
  <c r="E31" i="1"/>
  <c r="C31" i="10"/>
  <c r="E28" i="1"/>
  <c r="C28" i="10"/>
  <c r="E19" i="1"/>
  <c r="C19" i="10"/>
  <c r="E20" i="1"/>
  <c r="C20" i="10"/>
  <c r="E21" i="1"/>
  <c r="C21" i="10"/>
  <c r="E22" i="1"/>
  <c r="C22" i="10"/>
  <c r="E23" i="1"/>
  <c r="C23" i="10"/>
  <c r="E24" i="1"/>
  <c r="C24" i="10"/>
  <c r="E18" i="1"/>
  <c r="C18" i="10"/>
  <c r="E12" i="1"/>
  <c r="E13" i="1"/>
  <c r="C13" i="10"/>
  <c r="E14" i="1"/>
  <c r="C14" i="10"/>
  <c r="E15" i="1"/>
  <c r="C15" i="10"/>
  <c r="E16" i="1"/>
  <c r="C16" i="10"/>
  <c r="E11" i="1"/>
  <c r="C11" i="10"/>
  <c r="D55" i="1"/>
  <c r="D38" i="1"/>
  <c r="C38" i="1"/>
  <c r="D32" i="1"/>
  <c r="C32" i="1"/>
  <c r="D25" i="1"/>
  <c r="D26" i="1"/>
  <c r="C25" i="1"/>
  <c r="C26" i="1"/>
  <c r="D17" i="1"/>
  <c r="C17" i="1"/>
  <c r="D12" i="10"/>
  <c r="D17" i="10"/>
  <c r="D19" i="3"/>
  <c r="D20" i="3"/>
  <c r="C58" i="9"/>
  <c r="C57" i="9"/>
  <c r="C12" i="10"/>
  <c r="C17" i="10"/>
  <c r="C19" i="3"/>
  <c r="C20" i="3"/>
  <c r="C57" i="1"/>
  <c r="C58" i="1"/>
  <c r="H45" i="11"/>
  <c r="H47" i="11"/>
  <c r="I44" i="11"/>
  <c r="C37" i="11"/>
  <c r="C47" i="11"/>
  <c r="D33" i="11"/>
  <c r="D42" i="10"/>
  <c r="D57" i="9"/>
  <c r="D58" i="9"/>
  <c r="E55" i="9"/>
  <c r="D52" i="10"/>
  <c r="D55" i="10"/>
  <c r="E38" i="9"/>
  <c r="D34" i="10"/>
  <c r="D38" i="10"/>
  <c r="D23" i="10"/>
  <c r="D25" i="10"/>
  <c r="D26" i="10"/>
  <c r="C27" i="9"/>
  <c r="D27" i="1"/>
  <c r="D33" i="1"/>
  <c r="D42" i="1"/>
  <c r="D57" i="1"/>
  <c r="D58" i="1"/>
  <c r="C55" i="10"/>
  <c r="E38" i="1"/>
  <c r="E32" i="1"/>
  <c r="C29" i="10"/>
  <c r="C32" i="10"/>
  <c r="E25" i="1"/>
  <c r="E26" i="1"/>
  <c r="C27" i="1"/>
  <c r="D32" i="10"/>
  <c r="C36" i="10"/>
  <c r="C38" i="10"/>
  <c r="C25" i="10"/>
  <c r="C26" i="10"/>
  <c r="E55" i="1"/>
  <c r="E17" i="1"/>
  <c r="D12" i="7"/>
  <c r="D13" i="7"/>
  <c r="I40" i="2"/>
  <c r="I41" i="2"/>
  <c r="F41" i="5"/>
  <c r="I42" i="2"/>
  <c r="F42" i="5"/>
  <c r="I43" i="2"/>
  <c r="F43" i="5"/>
  <c r="I44" i="2"/>
  <c r="F44" i="5"/>
  <c r="I39" i="2"/>
  <c r="F39" i="5"/>
  <c r="I35" i="2"/>
  <c r="F35" i="5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C10" i="7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25" i="8"/>
  <c r="E25" i="8"/>
  <c r="D18" i="8"/>
  <c r="E18" i="8"/>
  <c r="C12" i="8"/>
  <c r="B12" i="8"/>
  <c r="E10" i="8"/>
  <c r="E14" i="7"/>
  <c r="F40" i="5"/>
  <c r="C33" i="9"/>
  <c r="C43" i="9"/>
  <c r="C33" i="1"/>
  <c r="C43" i="1"/>
  <c r="G45" i="5"/>
  <c r="G46" i="5"/>
  <c r="I45" i="11"/>
  <c r="I47" i="11"/>
  <c r="C34" i="5"/>
  <c r="C38" i="5"/>
  <c r="D37" i="11"/>
  <c r="D47" i="11"/>
  <c r="D58" i="10"/>
  <c r="D57" i="10"/>
  <c r="C58" i="10"/>
  <c r="C57" i="10"/>
  <c r="E43" i="9"/>
  <c r="E57" i="9"/>
  <c r="E58" i="9"/>
  <c r="D43" i="9"/>
  <c r="E42" i="1"/>
  <c r="C42" i="10"/>
  <c r="E58" i="1"/>
  <c r="E57" i="1"/>
  <c r="D12" i="8"/>
  <c r="E12" i="8"/>
  <c r="D27" i="10"/>
  <c r="D33" i="10"/>
  <c r="C27" i="10"/>
  <c r="C33" i="10"/>
  <c r="E27" i="1"/>
  <c r="G37" i="5"/>
  <c r="G32" i="5"/>
  <c r="G20" i="5"/>
  <c r="D10" i="7"/>
  <c r="D15" i="7"/>
  <c r="C46" i="5"/>
  <c r="F37" i="5"/>
  <c r="F32" i="5"/>
  <c r="F20" i="5"/>
  <c r="E11" i="8"/>
  <c r="B42" i="5"/>
  <c r="C11" i="7"/>
  <c r="E11" i="7"/>
  <c r="B43" i="5"/>
  <c r="B44" i="5"/>
  <c r="B45" i="5"/>
  <c r="C12" i="7"/>
  <c r="B33" i="5"/>
  <c r="B35" i="5"/>
  <c r="B36" i="5"/>
  <c r="B37" i="5"/>
  <c r="B32" i="5"/>
  <c r="B30" i="5"/>
  <c r="B29" i="5"/>
  <c r="C25" i="5"/>
  <c r="C13" i="7"/>
  <c r="E13" i="7"/>
  <c r="B14" i="5"/>
  <c r="B15" i="5"/>
  <c r="B13" i="5"/>
  <c r="B11" i="5"/>
  <c r="G46" i="2"/>
  <c r="H37" i="2"/>
  <c r="H45" i="2"/>
  <c r="I45" i="2"/>
  <c r="F45" i="5"/>
  <c r="F46" i="5"/>
  <c r="I37" i="2"/>
  <c r="G37" i="2"/>
  <c r="I32" i="2"/>
  <c r="G32" i="2"/>
  <c r="I20" i="2"/>
  <c r="G20" i="2"/>
  <c r="C46" i="2"/>
  <c r="D46" i="2"/>
  <c r="B46" i="2"/>
  <c r="D25" i="2"/>
  <c r="B25" i="2"/>
  <c r="E12" i="7"/>
  <c r="C51" i="9"/>
  <c r="C59" i="9"/>
  <c r="C60" i="9"/>
  <c r="C51" i="1"/>
  <c r="C60" i="1"/>
  <c r="C59" i="1"/>
  <c r="I46" i="2"/>
  <c r="I48" i="2"/>
  <c r="H46" i="2"/>
  <c r="C34" i="2"/>
  <c r="D34" i="2"/>
  <c r="D43" i="10"/>
  <c r="D51" i="10"/>
  <c r="D59" i="9"/>
  <c r="D51" i="9"/>
  <c r="D60" i="9"/>
  <c r="C43" i="10"/>
  <c r="C60" i="10"/>
  <c r="D43" i="1"/>
  <c r="E33" i="1"/>
  <c r="E43" i="1"/>
  <c r="H48" i="2"/>
  <c r="E51" i="9"/>
  <c r="E60" i="9"/>
  <c r="E59" i="9"/>
  <c r="G48" i="2"/>
  <c r="B48" i="2"/>
  <c r="B46" i="5"/>
  <c r="G48" i="5"/>
  <c r="F48" i="5"/>
  <c r="E10" i="7"/>
  <c r="B25" i="5"/>
  <c r="C48" i="5"/>
  <c r="C15" i="7"/>
  <c r="E15" i="7"/>
  <c r="D59" i="10"/>
  <c r="C51" i="10"/>
  <c r="C38" i="2"/>
  <c r="C48" i="2"/>
  <c r="D60" i="10"/>
  <c r="C59" i="10"/>
  <c r="D59" i="1"/>
  <c r="D60" i="1"/>
  <c r="D51" i="1"/>
  <c r="E59" i="1"/>
  <c r="E60" i="1"/>
  <c r="E51" i="1"/>
  <c r="D38" i="2"/>
  <c r="D48" i="2"/>
  <c r="B34" i="5"/>
  <c r="B38" i="5"/>
  <c r="B48" i="5"/>
</calcChain>
</file>

<file path=xl/sharedStrings.xml><?xml version="1.0" encoding="utf-8"?>
<sst xmlns="http://schemas.openxmlformats.org/spreadsheetml/2006/main" count="588" uniqueCount="233">
  <si>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</si>
  <si>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</si>
  <si>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</si>
  <si>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</si>
  <si>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</si>
  <si>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</si>
  <si>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</si>
  <si>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</si>
  <si>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</si>
  <si>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</si>
  <si>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</si>
  <si>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</si>
  <si>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</si>
  <si>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</si>
  <si>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</si>
  <si>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</si>
  <si>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</si>
  <si>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</si>
  <si>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</si>
  <si>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</si>
  <si>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</si>
  <si>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</si>
  <si>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</si>
  <si>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</si>
  <si>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</si>
  <si>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</si>
  <si>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</si>
  <si>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</si>
  <si>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</si>
  <si>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</si>
  <si>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</si>
  <si>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</si>
  <si>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</si>
  <si>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</si>
  <si>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</si>
  <si>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</si>
  <si>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</si>
  <si>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</si>
  <si>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</si>
  <si>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</si>
  <si>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</si>
  <si>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</si>
  <si>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</si>
  <si>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</si>
  <si>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</si>
  <si>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</si>
  <si>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</si>
  <si>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</si>
  <si>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</si>
  <si>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</si>
  <si>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</si>
  <si>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</si>
  <si>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</si>
  <si>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</si>
  <si>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</si>
  <si>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</si>
  <si>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</si>
  <si>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</si>
  <si>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</si>
  <si>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</si>
  <si>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</si>
  <si>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</si>
  <si>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</si>
  <si>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</si>
  <si>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</si>
  <si>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</si>
  <si>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</si>
  <si>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</si>
  <si>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</si>
  <si>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</si>
  <si>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</si>
  <si>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</si>
  <si>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</si>
  <si>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</si>
  <si>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</si>
  <si>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</si>
  <si>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</si>
  <si>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</si>
  <si>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</si>
  <si>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</si>
  <si>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</si>
  <si>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</si>
  <si>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</si>
  <si>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</si>
  <si>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</si>
  <si>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</si>
  <si>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</si>
  <si>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</si>
  <si>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</si>
  <si>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</si>
  <si>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</si>
  <si>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</si>
  <si>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</si>
  <si>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</si>
  <si>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</si>
  <si>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</si>
  <si>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</si>
  <si>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</si>
  <si>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</si>
  <si>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</si>
  <si>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</si>
  <si>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</si>
  <si>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</si>
  <si>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</si>
  <si>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</si>
  <si>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</si>
  <si>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</si>
  <si>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</si>
  <si>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</si>
  <si>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</si>
  <si>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</si>
  <si>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</si>
  <si>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</si>
  <si>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</si>
  <si>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</si>
  <si>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</si>
  <si>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</si>
  <si>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</si>
  <si>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</si>
  <si>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</si>
  <si>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</si>
  <si>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</si>
  <si>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</si>
  <si>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</si>
  <si>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</si>
  <si>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</si>
  <si>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</si>
  <si>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</si>
  <si>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</si>
  <si>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</si>
  <si>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</si>
  <si>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</si>
  <si>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</si>
  <si>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</si>
  <si>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</si>
  <si>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</si>
  <si>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</si>
  <si>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</si>
  <si>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</si>
  <si>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</si>
  <si>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</si>
  <si>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</si>
  <si>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</si>
  <si>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</si>
  <si>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</si>
  <si>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</si>
  <si>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</si>
  <si>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</si>
  <si>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</si>
  <si>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</si>
  <si>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</si>
  <si>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</si>
  <si>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</si>
  <si>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</si>
  <si>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</si>
  <si>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</si>
  <si>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</si>
  <si>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</si>
  <si>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</si>
  <si>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</si>
  <si>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</si>
  <si>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</si>
  <si>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</si>
  <si>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</si>
  <si>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</si>
  <si>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</si>
  <si>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</si>
  <si>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</si>
  <si>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</si>
  <si>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</si>
  <si>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</si>
  <si>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</si>
  <si>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</si>
  <si>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</si>
  <si>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</si>
  <si>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</si>
  <si>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</si>
  <si>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</si>
  <si>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</si>
  <si>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</si>
  <si>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</si>
  <si>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</si>
  <si>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</si>
  <si>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</si>
  <si>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</si>
  <si>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</si>
  <si>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</si>
  <si>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</si>
  <si>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</si>
  <si>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</si>
  <si>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</si>
  <si>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</si>
  <si>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</si>
  <si>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</si>
  <si>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</si>
  <si>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</si>
  <si>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</si>
  <si>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</si>
  <si>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</si>
  <si>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</si>
  <si>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</si>
  <si>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</si>
  <si>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</si>
  <si>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</si>
  <si>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</si>
  <si>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</si>
  <si>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</si>
  <si>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</si>
  <si>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</si>
  <si>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</si>
  <si>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</si>
  <si>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</si>
  <si>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</si>
  <si>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</si>
  <si>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</si>
  <si>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</si>
  <si>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</si>
  <si>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</si>
  <si>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</si>
  <si>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</si>
  <si>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</si>
  <si>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</si>
  <si>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</si>
  <si>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</si>
  <si>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</si>
  <si>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</si>
  <si>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</si>
  <si>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</si>
  <si>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</si>
  <si>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WESTERN WAHKIAKUM COUNTY TELEPHONE COMPANY</t>
  </si>
  <si>
    <t>Western Wahkiakum County Telephone Company</t>
  </si>
  <si>
    <t>Wesern Wahkiakum County Telephone Company</t>
  </si>
  <si>
    <t>Wetern Wahkikum County Telephone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</si>
</sst>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opLeftCell="A16" workbookViewId="0">
      <selection activeCell="G34" sqref="G34"/>
    </sheetView>
  </sheetViews>
  <sheetFormatPr defaultColWidth="8.81640625"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1534932</v>
      </c>
      <c r="C10" s="24"/>
      <c r="D10" s="75">
        <f>SUM(B10:C10)</f>
        <v>1534932</v>
      </c>
      <c r="E10" s="19"/>
      <c r="F10" s="19" t="s">
        <v>83</v>
      </c>
      <c r="G10" s="65">
        <v>40073</v>
      </c>
      <c r="H10" s="24"/>
      <c r="I10" s="75">
        <f>SUM(G10:H10)</f>
        <v>40073</v>
      </c>
    </row>
    <row r="11" spans="1:9" x14ac:dyDescent="0.35">
      <c r="A11" s="19" t="s">
        <v>168</v>
      </c>
      <c r="B11" s="65">
        <v>288</v>
      </c>
      <c r="C11" s="24"/>
      <c r="D11" s="75">
        <f>SUM(B11:C11)</f>
        <v>288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>
        <v>17936</v>
      </c>
      <c r="H12" s="24"/>
      <c r="I12" s="75">
        <f t="shared" si="0"/>
        <v>17936</v>
      </c>
    </row>
    <row r="13" spans="1:9" x14ac:dyDescent="0.35">
      <c r="A13" s="19" t="s">
        <v>49</v>
      </c>
      <c r="B13" s="65"/>
      <c r="C13" s="24"/>
      <c r="D13" s="75">
        <f>SUM(B13:C13)</f>
        <v>0</v>
      </c>
      <c r="E13" s="19"/>
      <c r="F13" s="19" t="s">
        <v>88</v>
      </c>
      <c r="G13" s="65"/>
      <c r="H13" s="24"/>
      <c r="I13" s="75">
        <f t="shared" si="0"/>
        <v>0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216200</v>
      </c>
      <c r="H14" s="24"/>
      <c r="I14" s="75">
        <f t="shared" si="0"/>
        <v>216200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>
        <v>352698</v>
      </c>
      <c r="C17" s="24"/>
      <c r="D17" s="75">
        <f>SUM(B17:C17)</f>
        <v>352698</v>
      </c>
      <c r="E17" s="20"/>
      <c r="F17" s="19" t="s">
        <v>92</v>
      </c>
      <c r="G17" s="65">
        <v>21700</v>
      </c>
      <c r="H17" s="24"/>
      <c r="I17" s="75">
        <f t="shared" si="0"/>
        <v>21700</v>
      </c>
    </row>
    <row r="18" spans="1:9" x14ac:dyDescent="0.3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>
        <v>57715</v>
      </c>
      <c r="H18" s="24"/>
      <c r="I18" s="75">
        <f t="shared" si="0"/>
        <v>57715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24519</v>
      </c>
      <c r="H19" s="25"/>
      <c r="I19" s="76">
        <f t="shared" si="0"/>
        <v>24519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378143</v>
      </c>
      <c r="H20" s="24"/>
      <c r="I20" s="75">
        <f t="shared" ref="I20" si="3">SUM(I10:I19)</f>
        <v>378143</v>
      </c>
    </row>
    <row r="21" spans="1:9" x14ac:dyDescent="0.35">
      <c r="A21" s="19" t="s">
        <v>54</v>
      </c>
      <c r="B21" s="65">
        <v>78061</v>
      </c>
      <c r="C21" s="67"/>
      <c r="D21" s="75">
        <f t="shared" si="2"/>
        <v>78061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>
        <v>851</v>
      </c>
      <c r="C22" s="24"/>
      <c r="D22" s="75">
        <f t="shared" si="2"/>
        <v>851</v>
      </c>
      <c r="E22" s="19"/>
      <c r="F22" s="19" t="s">
        <v>97</v>
      </c>
      <c r="G22" s="65">
        <v>309892</v>
      </c>
      <c r="H22" s="24"/>
      <c r="I22" s="75">
        <f>SUM(G22:H22)</f>
        <v>309892</v>
      </c>
    </row>
    <row r="23" spans="1:9" x14ac:dyDescent="0.35">
      <c r="A23" s="19" t="s">
        <v>56</v>
      </c>
      <c r="B23" s="65">
        <v>9487</v>
      </c>
      <c r="C23" s="24"/>
      <c r="D23" s="75">
        <f t="shared" si="2"/>
        <v>9487</v>
      </c>
      <c r="E23" s="19"/>
      <c r="F23" s="19" t="s">
        <v>98</v>
      </c>
      <c r="G23" s="65">
        <v>415881</v>
      </c>
      <c r="H23" s="24"/>
      <c r="I23" s="75">
        <f t="shared" ref="I23:I31" si="4">SUM(G23:H23)</f>
        <v>415881</v>
      </c>
    </row>
    <row r="24" spans="1:9" x14ac:dyDescent="0.3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>
        <v>1753523</v>
      </c>
      <c r="H24" s="24"/>
      <c r="I24" s="75">
        <f t="shared" si="4"/>
        <v>1753523</v>
      </c>
    </row>
    <row r="25" spans="1:9" x14ac:dyDescent="0.35">
      <c r="A25" s="19" t="s">
        <v>46</v>
      </c>
      <c r="B25" s="75">
        <f>B10+B11+B13+B14+B15+B17+B18+B19+B20+B21+B22+B23+B24</f>
        <v>1976317</v>
      </c>
      <c r="C25" s="77">
        <f>C21</f>
        <v>0</v>
      </c>
      <c r="D25" s="75">
        <f t="shared" ref="D25" si="5">D10+D11+D13+D14+D15+D17+D18+D19+D20+D21+D22+D23+D24</f>
        <v>1976317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>
        <v>31006</v>
      </c>
      <c r="H30" s="24"/>
      <c r="I30" s="75">
        <f t="shared" si="4"/>
        <v>31006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2510302</v>
      </c>
      <c r="H32" s="24"/>
      <c r="I32" s="75">
        <f t="shared" ref="I32" si="6">SUM(I22:I31)</f>
        <v>2510302</v>
      </c>
    </row>
    <row r="33" spans="1:9" x14ac:dyDescent="0.35">
      <c r="A33" s="19" t="s">
        <v>63</v>
      </c>
      <c r="B33" s="65"/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/>
      <c r="C34" s="78">
        <f>-1*(C46+C21)</f>
        <v>6916</v>
      </c>
      <c r="D34" s="75">
        <f t="shared" si="7"/>
        <v>6916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>
        <v>10278</v>
      </c>
      <c r="C35" s="24"/>
      <c r="D35" s="75">
        <f t="shared" si="7"/>
        <v>10278</v>
      </c>
      <c r="E35" s="19"/>
      <c r="F35" s="19" t="s">
        <v>172</v>
      </c>
      <c r="G35" s="65">
        <v>882797</v>
      </c>
      <c r="H35" s="65">
        <v>-19</v>
      </c>
      <c r="I35" s="75">
        <f t="shared" ref="I35:I36" si="8">SUM(G35:H35)</f>
        <v>882778</v>
      </c>
    </row>
    <row r="36" spans="1:9" x14ac:dyDescent="0.35">
      <c r="A36" s="19" t="s">
        <v>68</v>
      </c>
      <c r="B36" s="65"/>
      <c r="C36" s="24"/>
      <c r="D36" s="75">
        <f t="shared" si="7"/>
        <v>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882797</v>
      </c>
      <c r="H37" s="75">
        <f t="shared" ref="H37:I37" si="9">SUM(H34:H36)</f>
        <v>-19</v>
      </c>
      <c r="I37" s="75">
        <f t="shared" si="9"/>
        <v>882778</v>
      </c>
    </row>
    <row r="38" spans="1:9" x14ac:dyDescent="0.35">
      <c r="A38" s="19" t="s">
        <v>70</v>
      </c>
      <c r="B38" s="75">
        <f>B29+B30+B32+B33+B34+B35+B36+B37</f>
        <v>10278</v>
      </c>
      <c r="C38" s="78">
        <f>C34</f>
        <v>6916</v>
      </c>
      <c r="D38" s="75">
        <f t="shared" ref="D38" si="10">D29+D30+D32+D33+D34+D35+D36+D37</f>
        <v>17194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54171</v>
      </c>
      <c r="H39" s="24"/>
      <c r="I39" s="75">
        <f>SUM(G39:H39)</f>
        <v>54171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>
        <v>279251</v>
      </c>
      <c r="H40" s="24"/>
      <c r="I40" s="75">
        <f t="shared" ref="I40:I45" si="11">SUM(G40:H40)</f>
        <v>279251</v>
      </c>
    </row>
    <row r="41" spans="1:9" x14ac:dyDescent="0.35">
      <c r="A41" s="19" t="s">
        <v>222</v>
      </c>
      <c r="B41" s="65">
        <v>17409211</v>
      </c>
      <c r="C41" s="65">
        <v>-45690</v>
      </c>
      <c r="D41" s="75">
        <f>SUM(B41:C41)</f>
        <v>17363521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>
        <v>558082</v>
      </c>
      <c r="C43" s="24"/>
      <c r="D43" s="75">
        <f t="shared" si="12"/>
        <v>558082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-12242855</v>
      </c>
      <c r="C45" s="66">
        <v>38774</v>
      </c>
      <c r="D45" s="76">
        <f t="shared" si="12"/>
        <v>-12204081</v>
      </c>
      <c r="E45" s="19"/>
      <c r="F45" s="19" t="s">
        <v>207</v>
      </c>
      <c r="G45" s="66">
        <v>3606369</v>
      </c>
      <c r="H45" s="76">
        <f>-1*H37</f>
        <v>19</v>
      </c>
      <c r="I45" s="76">
        <f t="shared" si="11"/>
        <v>3606388</v>
      </c>
    </row>
    <row r="46" spans="1:9" x14ac:dyDescent="0.35">
      <c r="A46" s="19" t="s">
        <v>76</v>
      </c>
      <c r="B46" s="75">
        <f>B41+B42+B43+B44+B45</f>
        <v>5724438</v>
      </c>
      <c r="C46" s="75">
        <f t="shared" ref="C46:D46" si="13">C41+C42+C43+C44+C45</f>
        <v>-6916</v>
      </c>
      <c r="D46" s="75">
        <f t="shared" si="13"/>
        <v>5717522</v>
      </c>
      <c r="E46" s="19"/>
      <c r="F46" s="19" t="s">
        <v>119</v>
      </c>
      <c r="G46" s="75">
        <f>SUM(G39:G45)</f>
        <v>3939791</v>
      </c>
      <c r="H46" s="80">
        <f t="shared" ref="H46:I46" si="14">SUM(H39:H45)</f>
        <v>19</v>
      </c>
      <c r="I46" s="75">
        <f t="shared" si="14"/>
        <v>3939810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7711033</v>
      </c>
      <c r="C48" s="79">
        <f t="shared" ref="C48:D48" si="15">C25+C38+C46</f>
        <v>0</v>
      </c>
      <c r="D48" s="79">
        <f t="shared" si="15"/>
        <v>7711033</v>
      </c>
      <c r="E48" s="19"/>
      <c r="F48" s="23" t="s">
        <v>120</v>
      </c>
      <c r="G48" s="79">
        <f>G20+G32+G37+G46</f>
        <v>7711033</v>
      </c>
      <c r="H48" s="79">
        <f t="shared" ref="H48:I48" si="16">H20+H32+H37+H46</f>
        <v>0</v>
      </c>
      <c r="I48" s="79">
        <f t="shared" si="16"/>
        <v>7711033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25" workbookViewId="0">
      <selection activeCell="G34" sqref="G34"/>
    </sheetView>
  </sheetViews>
  <sheetFormatPr defaultColWidth="8.81640625"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1282175</v>
      </c>
      <c r="C9" s="24"/>
      <c r="D9" s="38">
        <f>SUM(B9:C9)</f>
        <v>1282175</v>
      </c>
      <c r="E9" s="19"/>
      <c r="F9" s="19" t="s">
        <v>83</v>
      </c>
      <c r="G9" s="65">
        <v>23363</v>
      </c>
      <c r="H9" s="24"/>
      <c r="I9" s="38">
        <f>SUM(G9:H9)</f>
        <v>23363</v>
      </c>
    </row>
    <row r="10" spans="1:9" x14ac:dyDescent="0.35">
      <c r="A10" s="19" t="s">
        <v>168</v>
      </c>
      <c r="B10" s="65">
        <v>278</v>
      </c>
      <c r="C10" s="24"/>
      <c r="D10" s="38">
        <f>SUM(B10:C10)</f>
        <v>278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>
        <v>18398</v>
      </c>
      <c r="H11" s="24"/>
      <c r="I11" s="38">
        <f t="shared" si="0"/>
        <v>18398</v>
      </c>
    </row>
    <row r="12" spans="1:9" x14ac:dyDescent="0.35">
      <c r="A12" s="19" t="s">
        <v>49</v>
      </c>
      <c r="B12" s="65"/>
      <c r="C12" s="24"/>
      <c r="D12" s="38">
        <f>SUM(B12:C12)</f>
        <v>0</v>
      </c>
      <c r="E12" s="19"/>
      <c r="F12" s="19" t="s">
        <v>88</v>
      </c>
      <c r="G12" s="65"/>
      <c r="H12" s="24"/>
      <c r="I12" s="38">
        <f t="shared" si="0"/>
        <v>0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112300</v>
      </c>
      <c r="H13" s="24"/>
      <c r="I13" s="38">
        <f t="shared" si="0"/>
        <v>112300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>
        <v>334361</v>
      </c>
      <c r="C16" s="24"/>
      <c r="D16" s="38">
        <f>SUM(B16:C16)</f>
        <v>334361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>
        <v>50943</v>
      </c>
      <c r="H17" s="24"/>
      <c r="I17" s="38">
        <f t="shared" si="0"/>
        <v>50943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4061</v>
      </c>
      <c r="H18" s="25"/>
      <c r="I18" s="39">
        <f t="shared" si="0"/>
        <v>4061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209065</v>
      </c>
      <c r="H19" s="24"/>
      <c r="I19" s="38">
        <f t="shared" ref="I19" si="3">SUM(I9:I18)</f>
        <v>209065</v>
      </c>
    </row>
    <row r="20" spans="1:9" x14ac:dyDescent="0.35">
      <c r="A20" s="19" t="s">
        <v>54</v>
      </c>
      <c r="B20" s="65">
        <v>333112</v>
      </c>
      <c r="C20" s="67"/>
      <c r="D20" s="38">
        <f t="shared" si="2"/>
        <v>333112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v>555</v>
      </c>
      <c r="C21" s="24"/>
      <c r="D21" s="38">
        <f t="shared" si="2"/>
        <v>555</v>
      </c>
      <c r="E21" s="19"/>
      <c r="F21" s="19" t="s">
        <v>97</v>
      </c>
      <c r="G21" s="65"/>
      <c r="H21" s="24"/>
      <c r="I21" s="38">
        <f>SUM(G21:H21)</f>
        <v>0</v>
      </c>
    </row>
    <row r="22" spans="1:9" x14ac:dyDescent="0.35">
      <c r="A22" s="19" t="s">
        <v>56</v>
      </c>
      <c r="B22" s="65">
        <v>21151</v>
      </c>
      <c r="C22" s="24"/>
      <c r="D22" s="38">
        <f t="shared" si="2"/>
        <v>21151</v>
      </c>
      <c r="E22" s="19"/>
      <c r="F22" s="19" t="s">
        <v>98</v>
      </c>
      <c r="G22" s="65"/>
      <c r="H22" s="24"/>
      <c r="I22" s="38">
        <f t="shared" ref="I22:I30" si="4">SUM(G22:H22)</f>
        <v>0</v>
      </c>
    </row>
    <row r="23" spans="1:9" x14ac:dyDescent="0.35">
      <c r="A23" s="19" t="s">
        <v>57</v>
      </c>
      <c r="B23" s="66">
        <v>24358</v>
      </c>
      <c r="C23" s="25"/>
      <c r="D23" s="39">
        <f t="shared" si="2"/>
        <v>24358</v>
      </c>
      <c r="E23" s="19"/>
      <c r="F23" s="19" t="s">
        <v>99</v>
      </c>
      <c r="G23" s="65">
        <v>2093250</v>
      </c>
      <c r="H23" s="24"/>
      <c r="I23" s="38">
        <f t="shared" si="4"/>
        <v>2093250</v>
      </c>
    </row>
    <row r="24" spans="1:9" x14ac:dyDescent="0.35">
      <c r="A24" s="19" t="s">
        <v>46</v>
      </c>
      <c r="B24" s="38">
        <f>B9+B10+B12+B13+B14+B16+B17+B18+B19+B20+B21+B22+B23</f>
        <v>1995990</v>
      </c>
      <c r="C24" s="57">
        <f>C20</f>
        <v>0</v>
      </c>
      <c r="D24" s="38">
        <f t="shared" ref="D24" si="5">D9+D10+D12+D13+D14+D16+D17+D18+D19+D20+D21+D22+D23</f>
        <v>1995990</v>
      </c>
      <c r="E24" s="19"/>
      <c r="F24" s="19" t="s">
        <v>100</v>
      </c>
      <c r="G24" s="65"/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>
        <v>29695</v>
      </c>
      <c r="H29" s="24"/>
      <c r="I29" s="38">
        <f t="shared" si="4"/>
        <v>29695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2122945</v>
      </c>
      <c r="H31" s="24"/>
      <c r="I31" s="38">
        <f t="shared" ref="I31" si="6">SUM(I21:I30)</f>
        <v>2122945</v>
      </c>
    </row>
    <row r="32" spans="1:9" x14ac:dyDescent="0.35">
      <c r="A32" s="19" t="s">
        <v>63</v>
      </c>
      <c r="B32" s="65"/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/>
      <c r="C33" s="80">
        <f>-1*(C45+C20)</f>
        <v>-783</v>
      </c>
      <c r="D33" s="38">
        <f t="shared" si="7"/>
        <v>-783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>
        <v>9189</v>
      </c>
      <c r="C34" s="24"/>
      <c r="D34" s="38">
        <f t="shared" si="7"/>
        <v>9189</v>
      </c>
      <c r="E34" s="19"/>
      <c r="F34" s="19" t="s">
        <v>172</v>
      </c>
      <c r="G34" s="65">
        <v>935704</v>
      </c>
      <c r="H34" s="65">
        <v>5</v>
      </c>
      <c r="I34" s="38">
        <f t="shared" ref="I34:I35" si="8">SUM(G34:H34)</f>
        <v>935709</v>
      </c>
    </row>
    <row r="35" spans="1:9" x14ac:dyDescent="0.35">
      <c r="A35" s="19" t="s">
        <v>68</v>
      </c>
      <c r="B35" s="65"/>
      <c r="C35" s="24"/>
      <c r="D35" s="38">
        <f t="shared" si="7"/>
        <v>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935704</v>
      </c>
      <c r="H36" s="38">
        <f t="shared" ref="H36:I36" si="9">SUM(H33:H35)</f>
        <v>5</v>
      </c>
      <c r="I36" s="38">
        <f t="shared" si="9"/>
        <v>935709</v>
      </c>
    </row>
    <row r="37" spans="1:9" x14ac:dyDescent="0.35">
      <c r="A37" s="19" t="s">
        <v>70</v>
      </c>
      <c r="B37" s="38">
        <f>B28+B29+B31+B32+B33+B34+B35+B36</f>
        <v>9189</v>
      </c>
      <c r="C37" s="57">
        <f>C33</f>
        <v>-783</v>
      </c>
      <c r="D37" s="38">
        <f t="shared" ref="D37" si="10">D28+D29+D31+D32+D33+D34+D35+D36</f>
        <v>8406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54171</v>
      </c>
      <c r="H38" s="24"/>
      <c r="I38" s="38">
        <f>SUM(G38:H38)</f>
        <v>54171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>
        <v>279251</v>
      </c>
      <c r="H39" s="24"/>
      <c r="I39" s="38">
        <f t="shared" ref="I39:I44" si="11">SUM(G39:H39)</f>
        <v>279251</v>
      </c>
    </row>
    <row r="40" spans="1:9" x14ac:dyDescent="0.35">
      <c r="A40" s="19" t="s">
        <v>222</v>
      </c>
      <c r="B40" s="65">
        <v>18028553</v>
      </c>
      <c r="C40" s="65">
        <v>-45698</v>
      </c>
      <c r="D40" s="38">
        <f>SUM(B40:C40)</f>
        <v>17982855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>
        <v>210768</v>
      </c>
      <c r="C42" s="24"/>
      <c r="D42" s="38">
        <f t="shared" si="12"/>
        <v>210768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-12737183</v>
      </c>
      <c r="C44" s="66">
        <v>46481</v>
      </c>
      <c r="D44" s="39">
        <f t="shared" si="12"/>
        <v>-12690702</v>
      </c>
      <c r="E44" s="19"/>
      <c r="F44" s="19" t="s">
        <v>207</v>
      </c>
      <c r="G44" s="66">
        <v>3906181</v>
      </c>
      <c r="H44" s="83">
        <f>-1*H36</f>
        <v>-5</v>
      </c>
      <c r="I44" s="39">
        <f t="shared" si="11"/>
        <v>3906176</v>
      </c>
    </row>
    <row r="45" spans="1:9" x14ac:dyDescent="0.35">
      <c r="A45" s="19" t="s">
        <v>76</v>
      </c>
      <c r="B45" s="38">
        <f>B40+B41+B42+B43+B44</f>
        <v>5502138</v>
      </c>
      <c r="C45" s="38">
        <f t="shared" ref="C45:D45" si="13">C40+C41+C42+C43+C44</f>
        <v>783</v>
      </c>
      <c r="D45" s="38">
        <f t="shared" si="13"/>
        <v>5502921</v>
      </c>
      <c r="E45" s="19"/>
      <c r="F45" s="19" t="s">
        <v>119</v>
      </c>
      <c r="G45" s="38">
        <f>SUM(G38:G44)</f>
        <v>4239603</v>
      </c>
      <c r="H45" s="56">
        <f t="shared" ref="H45:I45" si="14">SUM(H38:H44)</f>
        <v>-5</v>
      </c>
      <c r="I45" s="38">
        <f t="shared" si="14"/>
        <v>4239598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7507317</v>
      </c>
      <c r="C47" s="40">
        <f t="shared" ref="C47:D47" si="15">C24+C37+C45</f>
        <v>0</v>
      </c>
      <c r="D47" s="40">
        <f t="shared" si="15"/>
        <v>7507317</v>
      </c>
      <c r="E47" s="19"/>
      <c r="F47" s="23" t="s">
        <v>120</v>
      </c>
      <c r="G47" s="40">
        <f>G19+G31+G36+G45</f>
        <v>7507317</v>
      </c>
      <c r="H47" s="40">
        <f t="shared" ref="H47:I47" si="16">H19+H31+H36+H45</f>
        <v>0</v>
      </c>
      <c r="I47" s="40">
        <f t="shared" si="16"/>
        <v>7507317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34" workbookViewId="0">
      <selection activeCell="G34" sqref="G34"/>
    </sheetView>
  </sheetViews>
  <sheetFormatPr defaultColWidth="8.81640625"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1534932</v>
      </c>
      <c r="C10" s="38">
        <f>'PartABalance Sheet(CY) '!D9</f>
        <v>1282175</v>
      </c>
      <c r="D10" s="19"/>
      <c r="E10" s="19" t="s">
        <v>83</v>
      </c>
      <c r="F10" s="38">
        <f>'PartABalance Sheet(PY)'!I10</f>
        <v>40073</v>
      </c>
      <c r="G10" s="38">
        <f>'PartABalance Sheet(CY) '!I9</f>
        <v>23363</v>
      </c>
    </row>
    <row r="11" spans="1:7" x14ac:dyDescent="0.35">
      <c r="A11" s="19" t="s">
        <v>168</v>
      </c>
      <c r="B11" s="38">
        <f>'PartABalance Sheet(PY)'!D11</f>
        <v>288</v>
      </c>
      <c r="C11" s="38">
        <f>'PartABalance Sheet(CY) '!D10</f>
        <v>278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17936</v>
      </c>
      <c r="G12" s="38">
        <f>'PartABalance Sheet(CY) '!I11</f>
        <v>18398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216200</v>
      </c>
      <c r="G14" s="38">
        <f>'PartABalance Sheet(CY) '!I13</f>
        <v>112300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352698</v>
      </c>
      <c r="C17" s="38">
        <f>'PartABalance Sheet(CY) '!D16</f>
        <v>334361</v>
      </c>
      <c r="D17" s="19"/>
      <c r="E17" s="19" t="s">
        <v>92</v>
      </c>
      <c r="F17" s="38">
        <f>'PartABalance Sheet(PY)'!I17</f>
        <v>21700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57715</v>
      </c>
      <c r="G18" s="38">
        <f>'PartABalance Sheet(CY) '!I17</f>
        <v>50943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24519</v>
      </c>
      <c r="G19" s="39">
        <f>'PartABalance Sheet(CY) '!I18</f>
        <v>4061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378143</v>
      </c>
      <c r="G20" s="41">
        <f>SUM(G10:G19)</f>
        <v>209065</v>
      </c>
    </row>
    <row r="21" spans="1:7" x14ac:dyDescent="0.35">
      <c r="A21" s="19" t="s">
        <v>54</v>
      </c>
      <c r="B21" s="38">
        <f>'PartABalance Sheet(PY)'!D21</f>
        <v>78061</v>
      </c>
      <c r="C21" s="38">
        <f>'PartABalance Sheet(CY) '!D20</f>
        <v>333112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851</v>
      </c>
      <c r="C22" s="38">
        <f>'PartABalance Sheet(CY) '!D21</f>
        <v>555</v>
      </c>
      <c r="D22" s="19"/>
      <c r="E22" s="19" t="s">
        <v>97</v>
      </c>
      <c r="F22" s="38">
        <f>'PartABalance Sheet(PY)'!I22</f>
        <v>309892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9487</v>
      </c>
      <c r="C23" s="38">
        <f>'PartABalance Sheet(CY) '!D22</f>
        <v>21151</v>
      </c>
      <c r="D23" s="19"/>
      <c r="E23" s="19" t="s">
        <v>98</v>
      </c>
      <c r="F23" s="38">
        <f>'PartABalance Sheet(PY)'!I23</f>
        <v>415881</v>
      </c>
      <c r="G23" s="38">
        <f>'PartABalance Sheet(CY) '!I22</f>
        <v>0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24358</v>
      </c>
      <c r="D24" s="19"/>
      <c r="E24" s="19" t="s">
        <v>99</v>
      </c>
      <c r="F24" s="38">
        <f>'PartABalance Sheet(PY)'!I24</f>
        <v>1753523</v>
      </c>
      <c r="G24" s="38">
        <f>'PartABalance Sheet(CY) '!I23</f>
        <v>2093250</v>
      </c>
    </row>
    <row r="25" spans="1:7" x14ac:dyDescent="0.35">
      <c r="A25" s="19" t="s">
        <v>46</v>
      </c>
      <c r="B25" s="38">
        <f>B10+B11+B13+B14+B15+B17+B18+B19+B20+B21+B22+B23+B24</f>
        <v>1976317</v>
      </c>
      <c r="C25" s="38">
        <f>C10+C11+C13+C14+C15+C17+C18+C19+C20+C21+C22+C23+C24</f>
        <v>1995990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31006</v>
      </c>
      <c r="G30" s="38">
        <f>'PartABalance Sheet(CY) '!I29</f>
        <v>29695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2510302</v>
      </c>
      <c r="G32" s="38">
        <f>SUM(G22:G31)</f>
        <v>2122945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6916</v>
      </c>
      <c r="C34" s="38">
        <f>'PartABalance Sheet(CY) '!D33</f>
        <v>-783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10278</v>
      </c>
      <c r="C35" s="38">
        <f>'PartABalance Sheet(CY) '!D34</f>
        <v>9189</v>
      </c>
      <c r="D35" s="19"/>
      <c r="E35" s="19" t="s">
        <v>128</v>
      </c>
      <c r="F35" s="38">
        <f>'PartABalance Sheet(PY)'!I35</f>
        <v>882778</v>
      </c>
      <c r="G35" s="38">
        <f>'PartABalance Sheet(CY) '!I34</f>
        <v>935709</v>
      </c>
    </row>
    <row r="36" spans="1:7" x14ac:dyDescent="0.35">
      <c r="A36" s="19" t="s">
        <v>68</v>
      </c>
      <c r="B36" s="38">
        <f>'PartABalance Sheet(PY)'!D36</f>
        <v>0</v>
      </c>
      <c r="C36" s="38">
        <f>'PartABalance Sheet(CY) '!D35</f>
        <v>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882778</v>
      </c>
      <c r="G37" s="38">
        <f>SUM(G34:G36)</f>
        <v>935709</v>
      </c>
    </row>
    <row r="38" spans="1:7" x14ac:dyDescent="0.35">
      <c r="A38" s="19" t="s">
        <v>70</v>
      </c>
      <c r="B38" s="38">
        <f>B29+B30+B32+B33+B34+B35+B36+B37</f>
        <v>17194</v>
      </c>
      <c r="C38" s="38">
        <f>C29+C30+C32+C33+C34+C35+C36+C37</f>
        <v>8406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54171</v>
      </c>
      <c r="G39" s="38">
        <f>'PartABalance Sheet(CY) '!I38</f>
        <v>54171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279251</v>
      </c>
      <c r="G40" s="38">
        <f>'PartABalance Sheet(CY) '!I39</f>
        <v>279251</v>
      </c>
    </row>
    <row r="41" spans="1:7" x14ac:dyDescent="0.35">
      <c r="A41" s="19" t="s">
        <v>72</v>
      </c>
      <c r="B41" s="38">
        <f>'PartABalance Sheet(PY)'!D41</f>
        <v>17363521</v>
      </c>
      <c r="C41" s="38">
        <f>'PartABalance Sheet(CY) '!D40</f>
        <v>17982855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558082</v>
      </c>
      <c r="C43" s="38">
        <f>'PartABalance Sheet(CY) '!D42</f>
        <v>210768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-12204081</v>
      </c>
      <c r="C45" s="39">
        <f>'PartABalance Sheet(CY) '!D44</f>
        <v>-12690702</v>
      </c>
      <c r="D45" s="19"/>
      <c r="E45" s="19" t="s">
        <v>118</v>
      </c>
      <c r="F45" s="39">
        <f>'PartABalance Sheet(PY)'!I45</f>
        <v>3606388</v>
      </c>
      <c r="G45" s="39">
        <f>'PartABalance Sheet(CY) '!I44</f>
        <v>3906176</v>
      </c>
    </row>
    <row r="46" spans="1:7" x14ac:dyDescent="0.35">
      <c r="A46" s="19" t="s">
        <v>76</v>
      </c>
      <c r="B46" s="38">
        <f>SUM(B41:B45)</f>
        <v>5717522</v>
      </c>
      <c r="C46" s="38">
        <f>SUM(C41:C45)</f>
        <v>5502921</v>
      </c>
      <c r="D46" s="19"/>
      <c r="E46" s="19" t="s">
        <v>119</v>
      </c>
      <c r="F46" s="38">
        <f>SUM(F39:F45)</f>
        <v>3939810</v>
      </c>
      <c r="G46" s="38">
        <f>SUM(G39:G45)</f>
        <v>4239598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7711033</v>
      </c>
      <c r="C48" s="40">
        <f>C25+C38+C46</f>
        <v>7507317</v>
      </c>
      <c r="D48" s="19"/>
      <c r="E48" s="23" t="s">
        <v>120</v>
      </c>
      <c r="F48" s="40">
        <f>F20+F32+F37+F46</f>
        <v>7711033</v>
      </c>
      <c r="G48" s="40">
        <f>G20+G32+G37+G46</f>
        <v>7507317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3" sqref="A3"/>
    </sheetView>
  </sheetViews>
  <sheetFormatPr defaultColWidth="8.81640625"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">
        <v>230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17363521</v>
      </c>
      <c r="D10" s="75">
        <f>'PartABalance Sheet (Summary)'!C41</f>
        <v>17982855</v>
      </c>
      <c r="E10" s="75">
        <f>(C10+D10)/2</f>
        <v>17673188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-12204081</v>
      </c>
      <c r="D12" s="75">
        <f>'PartABalance Sheet (Summary)'!C45</f>
        <v>-12690702</v>
      </c>
      <c r="E12" s="75">
        <f t="shared" ref="E12:E15" si="0">(C12+D12)/2</f>
        <v>-12447391.5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78061</v>
      </c>
      <c r="D13" s="75">
        <f>'PartABalance Sheet (Summary)'!C21</f>
        <v>333112</v>
      </c>
      <c r="E13" s="75">
        <f t="shared" si="0"/>
        <v>205586.5</v>
      </c>
    </row>
    <row r="14" spans="1:5" x14ac:dyDescent="0.35">
      <c r="A14" s="19" t="s">
        <v>144</v>
      </c>
      <c r="B14" s="19"/>
      <c r="C14" s="65">
        <v>-882778</v>
      </c>
      <c r="D14" s="65">
        <v>-935709</v>
      </c>
      <c r="E14" s="65">
        <f t="shared" si="0"/>
        <v>-909243.5</v>
      </c>
    </row>
    <row r="15" spans="1:5" ht="15" thickBot="1" x14ac:dyDescent="0.4">
      <c r="A15" s="19" t="s">
        <v>213</v>
      </c>
      <c r="B15" s="19"/>
      <c r="C15" s="81">
        <f>SUM(C10:C14)</f>
        <v>4354723</v>
      </c>
      <c r="D15" s="81">
        <f>SUM(D10:D14)</f>
        <v>4689556</v>
      </c>
      <c r="E15" s="82">
        <f t="shared" si="0"/>
        <v>4522139.5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G34" sqref="G34"/>
    </sheetView>
  </sheetViews>
  <sheetFormatPr defaultColWidth="8.81640625"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">
        <v>230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816</v>
      </c>
      <c r="C10" s="65">
        <v>826</v>
      </c>
      <c r="D10" s="38">
        <f>C10-B10</f>
        <v>10</v>
      </c>
      <c r="E10" s="44">
        <f>D10/B10</f>
        <v>1.2254901960784314E-2</v>
      </c>
    </row>
    <row r="11" spans="1:5" x14ac:dyDescent="0.35">
      <c r="A11" s="19" t="s">
        <v>153</v>
      </c>
      <c r="B11" s="65">
        <v>215</v>
      </c>
      <c r="C11" s="65">
        <v>215</v>
      </c>
      <c r="D11" s="38">
        <f>C11-B11</f>
        <v>0</v>
      </c>
      <c r="E11" s="44">
        <f t="shared" ref="E11:E12" si="0">D11/B11</f>
        <v>0</v>
      </c>
    </row>
    <row r="12" spans="1:5" ht="15" thickBot="1" x14ac:dyDescent="0.4">
      <c r="A12" s="19" t="s">
        <v>154</v>
      </c>
      <c r="B12" s="40">
        <f>SUM(B10:B11)</f>
        <v>1031</v>
      </c>
      <c r="C12" s="40">
        <f t="shared" ref="C12:D12" si="1">SUM(C10:C11)</f>
        <v>1041</v>
      </c>
      <c r="D12" s="40">
        <f t="shared" si="1"/>
        <v>10</v>
      </c>
      <c r="E12" s="45">
        <f t="shared" si="0"/>
        <v>9.6993210475266739E-3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666</v>
      </c>
      <c r="C18" s="68">
        <v>711</v>
      </c>
      <c r="D18" s="40">
        <f>C18-B18</f>
        <v>45</v>
      </c>
      <c r="E18" s="45">
        <f>D18/B18</f>
        <v>6.7567567567567571E-2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1484410</v>
      </c>
      <c r="C25" s="68">
        <v>680359</v>
      </c>
      <c r="D25" s="40">
        <f>C25-B25</f>
        <v>-804051</v>
      </c>
      <c r="E25" s="45">
        <f>D25/B25</f>
        <v>-0.54166369129822622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7" workbookViewId="0">
      <selection activeCell="C30" sqref="C30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">
        <v>231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222043</v>
      </c>
      <c r="D11" s="33"/>
      <c r="E11" s="38">
        <f>SUM(C11:D11)</f>
        <v>222043</v>
      </c>
    </row>
    <row r="12" spans="1:5" x14ac:dyDescent="0.35">
      <c r="A12" s="11">
        <v>2</v>
      </c>
      <c r="B12" s="19" t="s">
        <v>5</v>
      </c>
      <c r="C12" s="65">
        <v>3085807</v>
      </c>
      <c r="D12" s="24"/>
      <c r="E12" s="38">
        <f t="shared" ref="E12:E16" si="0">SUM(C12:D12)</f>
        <v>3085807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23182</v>
      </c>
      <c r="D14" s="65"/>
      <c r="E14" s="38">
        <f t="shared" si="0"/>
        <v>23182</v>
      </c>
    </row>
    <row r="15" spans="1:5" x14ac:dyDescent="0.35">
      <c r="A15" s="11">
        <v>5</v>
      </c>
      <c r="B15" s="19" t="s">
        <v>8</v>
      </c>
      <c r="C15" s="65">
        <v>5</v>
      </c>
      <c r="D15" s="65"/>
      <c r="E15" s="38">
        <f t="shared" si="0"/>
        <v>5</v>
      </c>
    </row>
    <row r="16" spans="1:5" x14ac:dyDescent="0.35">
      <c r="A16" s="11">
        <v>6</v>
      </c>
      <c r="B16" s="19" t="s">
        <v>182</v>
      </c>
      <c r="C16" s="65">
        <v>-279</v>
      </c>
      <c r="D16" s="65"/>
      <c r="E16" s="38">
        <f t="shared" si="0"/>
        <v>-279</v>
      </c>
    </row>
    <row r="17" spans="1:6" x14ac:dyDescent="0.35">
      <c r="A17" s="11">
        <v>7</v>
      </c>
      <c r="B17" s="23" t="s">
        <v>181</v>
      </c>
      <c r="C17" s="46">
        <f>SUM(C11:C16)</f>
        <v>3330758</v>
      </c>
      <c r="D17" s="46">
        <f t="shared" ref="D17:E17" si="1">SUM(D11:D16)</f>
        <v>0</v>
      </c>
      <c r="E17" s="46">
        <f t="shared" si="1"/>
        <v>3330758</v>
      </c>
      <c r="F17" s="1"/>
    </row>
    <row r="18" spans="1:6" x14ac:dyDescent="0.35">
      <c r="A18" s="11">
        <v>8</v>
      </c>
      <c r="B18" s="19" t="s">
        <v>9</v>
      </c>
      <c r="C18" s="65">
        <v>489579</v>
      </c>
      <c r="D18" s="65">
        <v>-124</v>
      </c>
      <c r="E18" s="47">
        <f>SUM(C18:D18)</f>
        <v>489455</v>
      </c>
    </row>
    <row r="19" spans="1:6" x14ac:dyDescent="0.35">
      <c r="A19" s="11">
        <v>9</v>
      </c>
      <c r="B19" s="19" t="s">
        <v>44</v>
      </c>
      <c r="C19" s="65">
        <v>583873</v>
      </c>
      <c r="D19" s="65"/>
      <c r="E19" s="47">
        <f t="shared" ref="E19:E24" si="2">SUM(C19:D19)</f>
        <v>583873</v>
      </c>
    </row>
    <row r="20" spans="1:6" x14ac:dyDescent="0.35">
      <c r="A20" s="11">
        <v>10</v>
      </c>
      <c r="B20" s="19" t="s">
        <v>10</v>
      </c>
      <c r="C20" s="65">
        <v>988354</v>
      </c>
      <c r="D20" s="65">
        <v>-1366</v>
      </c>
      <c r="E20" s="47">
        <f t="shared" si="2"/>
        <v>986988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136737</v>
      </c>
      <c r="D22" s="65"/>
      <c r="E22" s="47">
        <f t="shared" si="2"/>
        <v>136737</v>
      </c>
    </row>
    <row r="23" spans="1:6" x14ac:dyDescent="0.35">
      <c r="A23" s="11">
        <v>13</v>
      </c>
      <c r="B23" s="19" t="s">
        <v>13</v>
      </c>
      <c r="C23" s="65">
        <v>993023</v>
      </c>
      <c r="D23" s="65"/>
      <c r="E23" s="47">
        <f t="shared" si="2"/>
        <v>993023</v>
      </c>
    </row>
    <row r="24" spans="1:6" x14ac:dyDescent="0.35">
      <c r="A24" s="11" t="s">
        <v>177</v>
      </c>
      <c r="B24" s="19" t="s">
        <v>183</v>
      </c>
      <c r="C24" s="66"/>
      <c r="D24" s="66">
        <v>-160138</v>
      </c>
      <c r="E24" s="48">
        <f t="shared" si="2"/>
        <v>-160138</v>
      </c>
    </row>
    <row r="25" spans="1:6" x14ac:dyDescent="0.35">
      <c r="A25" s="11" t="s">
        <v>178</v>
      </c>
      <c r="B25" s="19" t="s">
        <v>179</v>
      </c>
      <c r="C25" s="38">
        <f>SUM(C23:C24)</f>
        <v>993023</v>
      </c>
      <c r="D25" s="38">
        <f t="shared" ref="D25:E25" si="3">SUM(D23:D24)</f>
        <v>-160138</v>
      </c>
      <c r="E25" s="47">
        <f t="shared" si="3"/>
        <v>832885</v>
      </c>
    </row>
    <row r="26" spans="1:6" x14ac:dyDescent="0.35">
      <c r="A26" s="11">
        <v>14</v>
      </c>
      <c r="B26" s="23" t="s">
        <v>180</v>
      </c>
      <c r="C26" s="46">
        <f>C18+C19+C20+C21+C22+C25</f>
        <v>3191566</v>
      </c>
      <c r="D26" s="46">
        <f t="shared" ref="D26:E26" si="4">D18+D19+D20+D21+D22+D25</f>
        <v>-161628</v>
      </c>
      <c r="E26" s="49">
        <f t="shared" si="4"/>
        <v>3029938</v>
      </c>
      <c r="F26" s="1"/>
    </row>
    <row r="27" spans="1:6" x14ac:dyDescent="0.35">
      <c r="A27" s="11">
        <v>15</v>
      </c>
      <c r="B27" s="19" t="s">
        <v>18</v>
      </c>
      <c r="C27" s="38">
        <f>C17-C26</f>
        <v>139192</v>
      </c>
      <c r="D27" s="38">
        <f t="shared" ref="D27:E27" si="5">D17-D26</f>
        <v>161628</v>
      </c>
      <c r="E27" s="38">
        <f t="shared" si="5"/>
        <v>300820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75783</v>
      </c>
      <c r="D29" s="65"/>
      <c r="E29" s="38">
        <f t="shared" ref="E29:E31" si="6">SUM(C29:D29)</f>
        <v>75783</v>
      </c>
    </row>
    <row r="30" spans="1:6" x14ac:dyDescent="0.35">
      <c r="A30" s="11">
        <v>18</v>
      </c>
      <c r="B30" s="19" t="s">
        <v>216</v>
      </c>
      <c r="C30" s="65">
        <v>4743</v>
      </c>
      <c r="D30" s="65">
        <f>161628*0.34</f>
        <v>54953.520000000004</v>
      </c>
      <c r="E30" s="38">
        <f>SUM(C30:D30)</f>
        <v>59696.520000000004</v>
      </c>
    </row>
    <row r="31" spans="1:6" x14ac:dyDescent="0.3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80526</v>
      </c>
      <c r="D32" s="43">
        <f t="shared" ref="D32:E32" si="7">SUM(D29:D31)</f>
        <v>54953.520000000004</v>
      </c>
      <c r="E32" s="50">
        <f t="shared" si="7"/>
        <v>135479.52000000002</v>
      </c>
    </row>
    <row r="33" spans="1:5" x14ac:dyDescent="0.35">
      <c r="A33" s="11">
        <v>21</v>
      </c>
      <c r="B33" s="19" t="s">
        <v>27</v>
      </c>
      <c r="C33" s="43">
        <f>C27+C28-C32</f>
        <v>58666</v>
      </c>
      <c r="D33" s="43">
        <f>D27+D28-D32</f>
        <v>106674.48</v>
      </c>
      <c r="E33" s="50">
        <f>E27+E28-E32</f>
        <v>165340.47999999998</v>
      </c>
    </row>
    <row r="34" spans="1:5" x14ac:dyDescent="0.35">
      <c r="A34" s="11">
        <v>22</v>
      </c>
      <c r="B34" s="19" t="s">
        <v>19</v>
      </c>
      <c r="C34" s="65">
        <v>64157</v>
      </c>
      <c r="D34" s="24"/>
      <c r="E34" s="38">
        <f>SUM(C34:D34)</f>
        <v>64157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1089</v>
      </c>
      <c r="D36" s="24"/>
      <c r="E36" s="38">
        <f t="shared" si="8"/>
        <v>1089</v>
      </c>
    </row>
    <row r="37" spans="1:5" x14ac:dyDescent="0.35">
      <c r="A37" s="11">
        <v>25</v>
      </c>
      <c r="B37" s="19" t="s">
        <v>199</v>
      </c>
      <c r="C37" s="65">
        <v>-6931</v>
      </c>
      <c r="D37" s="24"/>
      <c r="E37" s="38">
        <f t="shared" si="8"/>
        <v>-6931</v>
      </c>
    </row>
    <row r="38" spans="1:5" x14ac:dyDescent="0.35">
      <c r="A38" s="11">
        <v>26</v>
      </c>
      <c r="B38" s="19" t="s">
        <v>22</v>
      </c>
      <c r="C38" s="43">
        <f>SUM(C34:C37)</f>
        <v>58315</v>
      </c>
      <c r="D38" s="51">
        <f t="shared" ref="D38:E38" si="9">SUM(D34:D37)</f>
        <v>0</v>
      </c>
      <c r="E38" s="50">
        <f t="shared" si="9"/>
        <v>58315</v>
      </c>
    </row>
    <row r="39" spans="1:5" x14ac:dyDescent="0.35">
      <c r="A39" s="11">
        <v>27</v>
      </c>
      <c r="B39" s="19" t="s">
        <v>23</v>
      </c>
      <c r="C39" s="65">
        <v>9025</v>
      </c>
      <c r="D39" s="24"/>
      <c r="E39" s="38">
        <f>SUM(C39:D39)</f>
        <v>9025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-25297</v>
      </c>
      <c r="D42" s="75">
        <f>-1*D33</f>
        <v>-106674.48</v>
      </c>
      <c r="E42" s="38">
        <f t="shared" si="10"/>
        <v>-131971.47999999998</v>
      </c>
    </row>
    <row r="43" spans="1:5" x14ac:dyDescent="0.35">
      <c r="A43" s="11">
        <v>31</v>
      </c>
      <c r="B43" s="19" t="s">
        <v>26</v>
      </c>
      <c r="C43" s="43">
        <f>C33-C38+C39+C40+C41+C42</f>
        <v>-15921</v>
      </c>
      <c r="D43" s="43">
        <f t="shared" ref="D43:E43" si="11">D33-D38+D39+D40+D41+D42</f>
        <v>0</v>
      </c>
      <c r="E43" s="50">
        <f t="shared" si="11"/>
        <v>-15921</v>
      </c>
    </row>
    <row r="44" spans="1:5" x14ac:dyDescent="0.35">
      <c r="A44" s="11">
        <v>32</v>
      </c>
      <c r="B44" s="19" t="s">
        <v>28</v>
      </c>
      <c r="C44" s="65"/>
      <c r="D44" s="65"/>
      <c r="E44" s="38">
        <f>SUM(C44:D44)</f>
        <v>0</v>
      </c>
    </row>
    <row r="45" spans="1:5" x14ac:dyDescent="0.35">
      <c r="A45" s="11">
        <v>33</v>
      </c>
      <c r="B45" s="19" t="s">
        <v>29</v>
      </c>
      <c r="C45" s="65">
        <v>3622290</v>
      </c>
      <c r="D45" s="24"/>
      <c r="E45" s="38">
        <f t="shared" ref="E45:E50" si="12">SUM(C45:D45)</f>
        <v>3622290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3606369</v>
      </c>
      <c r="D51" s="51">
        <f t="shared" ref="D51:E51" si="13">(D43+D45+D46)-(D47+D48+D49+D50)</f>
        <v>0</v>
      </c>
      <c r="E51" s="50">
        <f t="shared" si="13"/>
        <v>3606369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225711</v>
      </c>
      <c r="D56" s="24"/>
      <c r="E56" s="38">
        <f>C56</f>
        <v>225711</v>
      </c>
    </row>
    <row r="57" spans="1:5" x14ac:dyDescent="0.35">
      <c r="A57" s="11">
        <v>45</v>
      </c>
      <c r="B57" s="19" t="s">
        <v>40</v>
      </c>
      <c r="C57" s="58">
        <f>((C26+C32-C20-C21)/C17)</f>
        <v>0.6856511340661795</v>
      </c>
      <c r="D57" s="58" t="e">
        <f>((D26+D32-D20-D21)/D17)</f>
        <v>#DIV/0!</v>
      </c>
      <c r="E57" s="58">
        <f>((E26+E32-E20-E21)/E17)</f>
        <v>0.65403416279417481</v>
      </c>
    </row>
    <row r="58" spans="1:5" x14ac:dyDescent="0.35">
      <c r="A58" s="11">
        <v>46</v>
      </c>
      <c r="B58" s="19" t="s">
        <v>41</v>
      </c>
      <c r="C58" s="58">
        <f>((C26+C32+C38)/C17)</f>
        <v>0.99989461858231665</v>
      </c>
      <c r="D58" s="58" t="e">
        <f>((D26+D32+D38)/D17)</f>
        <v>#DIV/0!</v>
      </c>
      <c r="E58" s="58">
        <f>((E26+E32+E38)/E17)</f>
        <v>0.96786753045402873</v>
      </c>
    </row>
    <row r="59" spans="1:5" x14ac:dyDescent="0.35">
      <c r="A59" s="11">
        <v>47</v>
      </c>
      <c r="B59" s="19" t="s">
        <v>42</v>
      </c>
      <c r="C59" s="58">
        <f>((C43+C38)/C38)</f>
        <v>0.72698276601217526</v>
      </c>
      <c r="D59" s="58" t="e">
        <f t="shared" ref="D59:E59" si="16">((D43+D38)/D38)</f>
        <v>#DIV/0!</v>
      </c>
      <c r="E59" s="58">
        <f t="shared" si="16"/>
        <v>0.72698276601217526</v>
      </c>
    </row>
    <row r="60" spans="1:5" x14ac:dyDescent="0.35">
      <c r="A60" s="11">
        <v>48</v>
      </c>
      <c r="B60" s="19" t="s">
        <v>43</v>
      </c>
      <c r="C60" s="58">
        <f>(C43+C38+C20+C21)/C56</f>
        <v>4.5666715401553315</v>
      </c>
      <c r="D60" s="58" t="e">
        <f t="shared" ref="D60:E60" si="17">(D43+D38+D20+D21)/D56</f>
        <v>#DIV/0!</v>
      </c>
      <c r="E60" s="58">
        <f t="shared" si="17"/>
        <v>4.5606195533226117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 selectUn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topLeftCell="A18" workbookViewId="0">
      <selection activeCell="E43" sqref="E43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">
        <v>230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219575</v>
      </c>
      <c r="D11" s="33"/>
      <c r="E11" s="38">
        <f>SUM(C11:D11)</f>
        <v>219575</v>
      </c>
    </row>
    <row r="12" spans="1:5" x14ac:dyDescent="0.35">
      <c r="A12" s="11">
        <v>2</v>
      </c>
      <c r="B12" s="19" t="s">
        <v>5</v>
      </c>
      <c r="C12" s="65">
        <v>3037205</v>
      </c>
      <c r="D12" s="24"/>
      <c r="E12" s="38">
        <f t="shared" ref="E12:E16" si="0">SUM(C12:D12)</f>
        <v>3037205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22142</v>
      </c>
      <c r="D14" s="65"/>
      <c r="E14" s="38">
        <f t="shared" si="0"/>
        <v>22142</v>
      </c>
    </row>
    <row r="15" spans="1:5" x14ac:dyDescent="0.35">
      <c r="A15" s="11">
        <v>5</v>
      </c>
      <c r="B15" s="19" t="s">
        <v>8</v>
      </c>
      <c r="C15" s="65"/>
      <c r="D15" s="65"/>
      <c r="E15" s="38">
        <f t="shared" si="0"/>
        <v>0</v>
      </c>
    </row>
    <row r="16" spans="1:5" x14ac:dyDescent="0.35">
      <c r="A16" s="11">
        <v>6</v>
      </c>
      <c r="B16" s="19" t="s">
        <v>182</v>
      </c>
      <c r="C16" s="65">
        <v>-185</v>
      </c>
      <c r="D16" s="65"/>
      <c r="E16" s="38">
        <f t="shared" si="0"/>
        <v>-185</v>
      </c>
    </row>
    <row r="17" spans="1:6" x14ac:dyDescent="0.35">
      <c r="A17" s="11">
        <v>7</v>
      </c>
      <c r="B17" s="23" t="s">
        <v>181</v>
      </c>
      <c r="C17" s="46">
        <f>SUM(C11:C16)</f>
        <v>3278737</v>
      </c>
      <c r="D17" s="52">
        <f t="shared" ref="D17:E17" si="1">SUM(D11:D16)</f>
        <v>0</v>
      </c>
      <c r="E17" s="49">
        <f t="shared" si="1"/>
        <v>3278737</v>
      </c>
      <c r="F17" s="1"/>
    </row>
    <row r="18" spans="1:6" x14ac:dyDescent="0.35">
      <c r="A18" s="11">
        <v>8</v>
      </c>
      <c r="B18" s="19" t="s">
        <v>9</v>
      </c>
      <c r="C18" s="65">
        <v>465023</v>
      </c>
      <c r="D18" s="65">
        <v>-167</v>
      </c>
      <c r="E18" s="47">
        <f>SUM(C18:D18)</f>
        <v>464856</v>
      </c>
    </row>
    <row r="19" spans="1:6" x14ac:dyDescent="0.35">
      <c r="A19" s="11">
        <v>9</v>
      </c>
      <c r="B19" s="19" t="s">
        <v>44</v>
      </c>
      <c r="C19" s="65">
        <v>582320</v>
      </c>
      <c r="D19" s="65"/>
      <c r="E19" s="47">
        <f t="shared" ref="E19:E24" si="2">SUM(C19:D19)</f>
        <v>582320</v>
      </c>
    </row>
    <row r="20" spans="1:6" x14ac:dyDescent="0.35">
      <c r="A20" s="11">
        <v>10</v>
      </c>
      <c r="B20" s="19" t="s">
        <v>10</v>
      </c>
      <c r="C20" s="65">
        <v>604736</v>
      </c>
      <c r="D20" s="65">
        <v>-1846</v>
      </c>
      <c r="E20" s="47">
        <f t="shared" si="2"/>
        <v>602890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144091</v>
      </c>
      <c r="D22" s="65"/>
      <c r="E22" s="47">
        <f t="shared" si="2"/>
        <v>144091</v>
      </c>
    </row>
    <row r="23" spans="1:6" x14ac:dyDescent="0.35">
      <c r="A23" s="11">
        <v>13</v>
      </c>
      <c r="B23" s="19" t="s">
        <v>13</v>
      </c>
      <c r="C23" s="65">
        <v>910916</v>
      </c>
      <c r="D23" s="65"/>
      <c r="E23" s="47">
        <f t="shared" si="2"/>
        <v>910916</v>
      </c>
    </row>
    <row r="24" spans="1:6" x14ac:dyDescent="0.35">
      <c r="A24" s="11" t="s">
        <v>177</v>
      </c>
      <c r="B24" s="19" t="s">
        <v>183</v>
      </c>
      <c r="C24" s="66"/>
      <c r="D24" s="66">
        <v>-92980</v>
      </c>
      <c r="E24" s="48">
        <f t="shared" si="2"/>
        <v>-92980</v>
      </c>
    </row>
    <row r="25" spans="1:6" x14ac:dyDescent="0.35">
      <c r="A25" s="11" t="s">
        <v>178</v>
      </c>
      <c r="B25" s="19" t="s">
        <v>179</v>
      </c>
      <c r="C25" s="38">
        <f>SUM(C23:C24)</f>
        <v>910916</v>
      </c>
      <c r="D25" s="38">
        <f t="shared" ref="D25:E25" si="3">SUM(D23:D24)</f>
        <v>-92980</v>
      </c>
      <c r="E25" s="47">
        <f t="shared" si="3"/>
        <v>817936</v>
      </c>
    </row>
    <row r="26" spans="1:6" x14ac:dyDescent="0.35">
      <c r="A26" s="11">
        <v>14</v>
      </c>
      <c r="B26" s="23" t="s">
        <v>180</v>
      </c>
      <c r="C26" s="46">
        <f>C18+C19+C20+C21+C22+C25</f>
        <v>2707086</v>
      </c>
      <c r="D26" s="46">
        <f t="shared" ref="D26:E26" si="4">D18+D19+D20+D21+D22+D25</f>
        <v>-94993</v>
      </c>
      <c r="E26" s="49">
        <f t="shared" si="4"/>
        <v>2612093</v>
      </c>
      <c r="F26" s="1"/>
    </row>
    <row r="27" spans="1:6" x14ac:dyDescent="0.35">
      <c r="A27" s="11">
        <v>15</v>
      </c>
      <c r="B27" s="19" t="s">
        <v>18</v>
      </c>
      <c r="C27" s="38">
        <f>C17-C26</f>
        <v>571651</v>
      </c>
      <c r="D27" s="38">
        <f t="shared" ref="D27:E27" si="5">D17-D26</f>
        <v>94993</v>
      </c>
      <c r="E27" s="47">
        <f t="shared" si="5"/>
        <v>666644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57000</v>
      </c>
      <c r="D29" s="65"/>
      <c r="E29" s="47">
        <f t="shared" ref="E29:E31" si="6">SUM(C29:D29)</f>
        <v>57000</v>
      </c>
    </row>
    <row r="30" spans="1:6" x14ac:dyDescent="0.35">
      <c r="A30" s="11">
        <v>18</v>
      </c>
      <c r="B30" s="19" t="s">
        <v>216</v>
      </c>
      <c r="C30" s="65">
        <v>164390</v>
      </c>
      <c r="D30" s="65">
        <f>94993*0.34</f>
        <v>32297.620000000003</v>
      </c>
      <c r="E30" s="47">
        <f>SUM(C30:D30)</f>
        <v>196687.62</v>
      </c>
    </row>
    <row r="31" spans="1:6" x14ac:dyDescent="0.3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221390</v>
      </c>
      <c r="D32" s="43">
        <f>SUM(D29:D31)</f>
        <v>32297.620000000003</v>
      </c>
      <c r="E32" s="50">
        <f>SUM(E29:E31)</f>
        <v>253687.62</v>
      </c>
    </row>
    <row r="33" spans="1:5" x14ac:dyDescent="0.35">
      <c r="A33" s="11">
        <v>21</v>
      </c>
      <c r="B33" s="19" t="s">
        <v>27</v>
      </c>
      <c r="C33" s="43">
        <f>C27+C28-C32</f>
        <v>350261</v>
      </c>
      <c r="D33" s="43">
        <f>D27-D32</f>
        <v>62695.38</v>
      </c>
      <c r="E33" s="50">
        <f>E27-E28-E32</f>
        <v>412956.38</v>
      </c>
    </row>
    <row r="34" spans="1:5" x14ac:dyDescent="0.35">
      <c r="A34" s="11">
        <v>22</v>
      </c>
      <c r="B34" s="19" t="s">
        <v>19</v>
      </c>
      <c r="C34" s="65">
        <v>37304</v>
      </c>
      <c r="D34" s="53"/>
      <c r="E34" s="47">
        <f>SUM(C34:D34)</f>
        <v>37304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7">SUM(C35:D35)</f>
        <v>0</v>
      </c>
    </row>
    <row r="36" spans="1:5" x14ac:dyDescent="0.35">
      <c r="A36" s="11">
        <v>24</v>
      </c>
      <c r="B36" s="19" t="s">
        <v>21</v>
      </c>
      <c r="C36" s="65">
        <v>1089</v>
      </c>
      <c r="D36" s="53"/>
      <c r="E36" s="47">
        <f t="shared" si="7"/>
        <v>1089</v>
      </c>
    </row>
    <row r="37" spans="1:5" x14ac:dyDescent="0.35">
      <c r="A37" s="11">
        <v>25</v>
      </c>
      <c r="B37" s="19" t="s">
        <v>199</v>
      </c>
      <c r="C37" s="65">
        <v>-9469</v>
      </c>
      <c r="D37" s="53"/>
      <c r="E37" s="47">
        <f t="shared" si="7"/>
        <v>-9469</v>
      </c>
    </row>
    <row r="38" spans="1:5" x14ac:dyDescent="0.35">
      <c r="A38" s="11">
        <v>26</v>
      </c>
      <c r="B38" s="19" t="s">
        <v>22</v>
      </c>
      <c r="C38" s="43">
        <f>SUM(C34:C37)</f>
        <v>28924</v>
      </c>
      <c r="D38" s="51">
        <f t="shared" ref="D38:E38" si="8">SUM(D34:D37)</f>
        <v>0</v>
      </c>
      <c r="E38" s="50">
        <f t="shared" si="8"/>
        <v>28924</v>
      </c>
    </row>
    <row r="39" spans="1:5" x14ac:dyDescent="0.35">
      <c r="A39" s="11">
        <v>27</v>
      </c>
      <c r="B39" s="19" t="s">
        <v>23</v>
      </c>
      <c r="C39" s="65">
        <f>511+11088</f>
        <v>11599</v>
      </c>
      <c r="D39" s="53"/>
      <c r="E39" s="54">
        <f>SUM(C39:D39)</f>
        <v>11599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1" si="9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9"/>
        <v>0</v>
      </c>
    </row>
    <row r="42" spans="1:5" x14ac:dyDescent="0.35">
      <c r="A42" s="11">
        <v>30</v>
      </c>
      <c r="B42" s="19" t="s">
        <v>211</v>
      </c>
      <c r="C42" s="65">
        <v>-33124</v>
      </c>
      <c r="D42" s="78">
        <f>-1*D33</f>
        <v>-62695.38</v>
      </c>
      <c r="E42" s="54">
        <f>SUM(C42:D42)</f>
        <v>-95819.38</v>
      </c>
    </row>
    <row r="43" spans="1:5" x14ac:dyDescent="0.35">
      <c r="A43" s="11">
        <v>31</v>
      </c>
      <c r="B43" s="19" t="s">
        <v>26</v>
      </c>
      <c r="C43" s="43">
        <f>C33-C38+C39+C40+C41+C42</f>
        <v>299812</v>
      </c>
      <c r="D43" s="43">
        <f t="shared" ref="D43:E43" si="10">D33-D38+D39+D40+D41+D42</f>
        <v>0</v>
      </c>
      <c r="E43" s="50">
        <f t="shared" si="10"/>
        <v>299812</v>
      </c>
    </row>
    <row r="44" spans="1:5" x14ac:dyDescent="0.35">
      <c r="A44" s="11">
        <v>32</v>
      </c>
      <c r="B44" s="19" t="s">
        <v>28</v>
      </c>
      <c r="C44" s="65"/>
      <c r="D44" s="65"/>
      <c r="E44" s="54">
        <f>SUM(C44:D44)</f>
        <v>0</v>
      </c>
    </row>
    <row r="45" spans="1:5" x14ac:dyDescent="0.35">
      <c r="A45" s="11">
        <v>33</v>
      </c>
      <c r="B45" s="19" t="s">
        <v>29</v>
      </c>
      <c r="C45" s="65">
        <v>3606369</v>
      </c>
      <c r="D45" s="53"/>
      <c r="E45" s="54">
        <f t="shared" ref="E45:E50" si="11">SUM(C45:D45)</f>
        <v>3606369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1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1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1"/>
        <v>0</v>
      </c>
    </row>
    <row r="49" spans="1:5" x14ac:dyDescent="0.35">
      <c r="A49" s="11">
        <v>37</v>
      </c>
      <c r="B49" s="19" t="s">
        <v>33</v>
      </c>
      <c r="C49" s="65"/>
      <c r="D49" s="53"/>
      <c r="E49" s="54">
        <f t="shared" si="11"/>
        <v>0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1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3906181</v>
      </c>
      <c r="D51" s="51">
        <f t="shared" ref="D51:E51" si="12">(D43+D45+D46)-(D47+D48+D49+D50)</f>
        <v>0</v>
      </c>
      <c r="E51" s="50">
        <f t="shared" si="12"/>
        <v>3906181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3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3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4">D52+D53-D54</f>
        <v>0</v>
      </c>
      <c r="E55" s="50">
        <f t="shared" si="14"/>
        <v>0</v>
      </c>
    </row>
    <row r="56" spans="1:5" x14ac:dyDescent="0.35">
      <c r="A56" s="11">
        <v>44</v>
      </c>
      <c r="B56" s="19" t="s">
        <v>39</v>
      </c>
      <c r="C56" s="65">
        <v>1004455</v>
      </c>
      <c r="D56" s="53"/>
      <c r="E56" s="47">
        <f>C56</f>
        <v>1004455</v>
      </c>
    </row>
    <row r="57" spans="1:5" x14ac:dyDescent="0.35">
      <c r="A57" s="11">
        <v>45</v>
      </c>
      <c r="B57" s="19" t="s">
        <v>40</v>
      </c>
      <c r="C57" s="61">
        <f>((C26+C32-C20-C21)/C17)</f>
        <v>0.70873022142367625</v>
      </c>
      <c r="D57" s="61" t="e">
        <f>((D26+D32-D20-D21)/D17)</f>
        <v>#DIV/0!</v>
      </c>
      <c r="E57" s="61">
        <f>((E26+E32-E20-E21)/E17)</f>
        <v>0.69017143491533484</v>
      </c>
    </row>
    <row r="58" spans="1:5" x14ac:dyDescent="0.35">
      <c r="A58" s="11">
        <v>46</v>
      </c>
      <c r="B58" s="19" t="s">
        <v>41</v>
      </c>
      <c r="C58" s="61">
        <f>((C26+C32+C38)/C17)</f>
        <v>0.90199366402367742</v>
      </c>
      <c r="D58" s="61" t="e">
        <f>((D26+D32+D38)/D17)</f>
        <v>#DIV/0!</v>
      </c>
      <c r="E58" s="61">
        <f>((E26+E32+E38)/E17)</f>
        <v>0.88287185583961147</v>
      </c>
    </row>
    <row r="59" spans="1:5" x14ac:dyDescent="0.35">
      <c r="A59" s="11">
        <v>47</v>
      </c>
      <c r="B59" s="19" t="s">
        <v>42</v>
      </c>
      <c r="C59" s="61">
        <f>((C43+C38)/C38)</f>
        <v>11.365509611395382</v>
      </c>
      <c r="D59" s="61" t="e">
        <f t="shared" ref="D59:E59" si="15">((D43+D38)/D38)</f>
        <v>#DIV/0!</v>
      </c>
      <c r="E59" s="61">
        <f t="shared" si="15"/>
        <v>11.365509611395382</v>
      </c>
    </row>
    <row r="60" spans="1:5" x14ac:dyDescent="0.35">
      <c r="A60" s="11">
        <v>48</v>
      </c>
      <c r="B60" s="19" t="s">
        <v>43</v>
      </c>
      <c r="C60" s="61">
        <f>(C43+C38+C20+C21)/C56</f>
        <v>0.9293318267119981</v>
      </c>
      <c r="D60" s="61" t="e">
        <f t="shared" ref="D60:E60" si="16">(D43+D38+D20+D21)/D56</f>
        <v>#DIV/0!</v>
      </c>
      <c r="E60" s="61">
        <f t="shared" si="16"/>
        <v>0.92749401416688648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topLeftCell="A31" workbookViewId="0">
      <selection activeCell="C33" sqref="C33"/>
    </sheetView>
  </sheetViews>
  <sheetFormatPr defaultColWidth="8.81640625"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222043</v>
      </c>
      <c r="D11" s="47">
        <f>'PartBIncomeStmt(CY) '!E11</f>
        <v>219575</v>
      </c>
    </row>
    <row r="12" spans="1:4" x14ac:dyDescent="0.35">
      <c r="A12" s="11">
        <v>2</v>
      </c>
      <c r="B12" s="19" t="s">
        <v>5</v>
      </c>
      <c r="C12" s="38">
        <f>'PartBIncomeStmt(PY)'!E12</f>
        <v>3085807</v>
      </c>
      <c r="D12" s="47">
        <f>'PartBIncomeStmt(CY) '!E12</f>
        <v>3037205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23182</v>
      </c>
      <c r="D14" s="47">
        <f>'PartBIncomeStmt(CY) '!E14</f>
        <v>22142</v>
      </c>
    </row>
    <row r="15" spans="1:4" x14ac:dyDescent="0.35">
      <c r="A15" s="11">
        <v>5</v>
      </c>
      <c r="B15" s="19" t="s">
        <v>8</v>
      </c>
      <c r="C15" s="38">
        <f>'PartBIncomeStmt(PY)'!E15</f>
        <v>5</v>
      </c>
      <c r="D15" s="47">
        <f>'PartBIncomeStmt(CY) '!E15</f>
        <v>0</v>
      </c>
    </row>
    <row r="16" spans="1:4" x14ac:dyDescent="0.35">
      <c r="A16" s="11">
        <v>6</v>
      </c>
      <c r="B16" s="19" t="s">
        <v>182</v>
      </c>
      <c r="C16" s="38">
        <f>'PartBIncomeStmt(PY)'!E16</f>
        <v>-279</v>
      </c>
      <c r="D16" s="47">
        <f>'PartBIncomeStmt(CY) '!E16</f>
        <v>-185</v>
      </c>
    </row>
    <row r="17" spans="1:5" x14ac:dyDescent="0.35">
      <c r="A17" s="11">
        <v>7</v>
      </c>
      <c r="B17" s="23" t="s">
        <v>181</v>
      </c>
      <c r="C17" s="46">
        <f>SUM(C11:C16)</f>
        <v>3330758</v>
      </c>
      <c r="D17" s="49">
        <f t="shared" ref="D17" si="0">SUM(D11:D16)</f>
        <v>3278737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489455</v>
      </c>
      <c r="D18" s="47">
        <f>'PartBIncomeStmt(CY) '!E18</f>
        <v>464856</v>
      </c>
    </row>
    <row r="19" spans="1:5" x14ac:dyDescent="0.35">
      <c r="A19" s="11">
        <v>9</v>
      </c>
      <c r="B19" s="19" t="s">
        <v>44</v>
      </c>
      <c r="C19" s="38">
        <f>'PartBIncomeStmt(PY)'!E19</f>
        <v>583873</v>
      </c>
      <c r="D19" s="47">
        <f>'PartBIncomeStmt(CY) '!E19</f>
        <v>582320</v>
      </c>
    </row>
    <row r="20" spans="1:5" x14ac:dyDescent="0.35">
      <c r="A20" s="11">
        <v>10</v>
      </c>
      <c r="B20" s="19" t="s">
        <v>10</v>
      </c>
      <c r="C20" s="38">
        <f>'PartBIncomeStmt(PY)'!E20</f>
        <v>986988</v>
      </c>
      <c r="D20" s="47">
        <f>'PartBIncomeStmt(CY) '!E20</f>
        <v>602890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136737</v>
      </c>
      <c r="D22" s="47">
        <f>'PartBIncomeStmt(CY) '!E22</f>
        <v>144091</v>
      </c>
    </row>
    <row r="23" spans="1:5" x14ac:dyDescent="0.35">
      <c r="A23" s="11">
        <v>13</v>
      </c>
      <c r="B23" s="19" t="s">
        <v>13</v>
      </c>
      <c r="C23" s="38">
        <f>'PartBIncomeStmt(PY)'!E23</f>
        <v>993023</v>
      </c>
      <c r="D23" s="47">
        <f>'PartBIncomeStmt(CY) '!E23</f>
        <v>910916</v>
      </c>
    </row>
    <row r="24" spans="1:5" x14ac:dyDescent="0.35">
      <c r="A24" s="11" t="s">
        <v>177</v>
      </c>
      <c r="B24" s="19" t="s">
        <v>183</v>
      </c>
      <c r="C24" s="39">
        <f>'PartBIncomeStmt(PY)'!E24</f>
        <v>-160138</v>
      </c>
      <c r="D24" s="48">
        <f>'PartBIncomeStmt(CY) '!E24</f>
        <v>-92980</v>
      </c>
    </row>
    <row r="25" spans="1:5" x14ac:dyDescent="0.35">
      <c r="A25" s="11" t="s">
        <v>178</v>
      </c>
      <c r="B25" s="19" t="s">
        <v>179</v>
      </c>
      <c r="C25" s="38">
        <f>SUM(C23:C24)</f>
        <v>832885</v>
      </c>
      <c r="D25" s="47">
        <f t="shared" ref="D25" si="1">SUM(D23:D24)</f>
        <v>817936</v>
      </c>
    </row>
    <row r="26" spans="1:5" x14ac:dyDescent="0.35">
      <c r="A26" s="11">
        <v>14</v>
      </c>
      <c r="B26" s="23" t="s">
        <v>180</v>
      </c>
      <c r="C26" s="46">
        <f>C18+C19+C20+C21+C22+C25</f>
        <v>3029938</v>
      </c>
      <c r="D26" s="49">
        <f t="shared" ref="D26" si="2">D18+D19+D20+D21+D22+D25</f>
        <v>2612093</v>
      </c>
      <c r="E26" s="1"/>
    </row>
    <row r="27" spans="1:5" x14ac:dyDescent="0.35">
      <c r="A27" s="11">
        <v>15</v>
      </c>
      <c r="B27" s="19" t="s">
        <v>18</v>
      </c>
      <c r="C27" s="38">
        <f>C17-C26</f>
        <v>300820</v>
      </c>
      <c r="D27" s="47">
        <f t="shared" ref="D27" si="3">D17-D26</f>
        <v>666644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75783</v>
      </c>
      <c r="D29" s="47">
        <f>'PartBIncomeStmt(CY) '!E29</f>
        <v>57000</v>
      </c>
    </row>
    <row r="30" spans="1:5" x14ac:dyDescent="0.35">
      <c r="A30" s="11">
        <v>18</v>
      </c>
      <c r="B30" s="19" t="s">
        <v>15</v>
      </c>
      <c r="C30" s="38">
        <f>'PartBIncomeStmt(PY)'!E30</f>
        <v>59696.520000000004</v>
      </c>
      <c r="D30" s="47">
        <f>'PartBIncomeStmt(CY) '!E30</f>
        <v>196687.62</v>
      </c>
    </row>
    <row r="31" spans="1:5" x14ac:dyDescent="0.3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35">
      <c r="A32" s="11">
        <v>20</v>
      </c>
      <c r="B32" s="19" t="s">
        <v>16</v>
      </c>
      <c r="C32" s="43">
        <f>SUM(C29:C31)</f>
        <v>135479.52000000002</v>
      </c>
      <c r="D32" s="50">
        <f t="shared" ref="D32" si="4">SUM(D29:D31)</f>
        <v>253687.62</v>
      </c>
    </row>
    <row r="33" spans="1:4" x14ac:dyDescent="0.35">
      <c r="A33" s="11">
        <v>21</v>
      </c>
      <c r="B33" s="19" t="s">
        <v>27</v>
      </c>
      <c r="C33" s="43">
        <f>C27+C28-C32</f>
        <v>165340.47999999998</v>
      </c>
      <c r="D33" s="50">
        <f>D27+D28-D32</f>
        <v>412956.38</v>
      </c>
    </row>
    <row r="34" spans="1:4" x14ac:dyDescent="0.35">
      <c r="A34" s="11">
        <v>22</v>
      </c>
      <c r="B34" s="19" t="s">
        <v>19</v>
      </c>
      <c r="C34" s="38">
        <f>'PartBIncomeStmt(PY)'!E34</f>
        <v>64157</v>
      </c>
      <c r="D34" s="47">
        <f>'PartBIncomeStmt(CY) '!E34</f>
        <v>37304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1089</v>
      </c>
      <c r="D36" s="47">
        <f>'PartBIncomeStmt(CY) '!E36</f>
        <v>1089</v>
      </c>
    </row>
    <row r="37" spans="1:4" x14ac:dyDescent="0.35">
      <c r="A37" s="11">
        <v>25</v>
      </c>
      <c r="B37" s="19" t="s">
        <v>84</v>
      </c>
      <c r="C37" s="38">
        <f>'PartBIncomeStmt(PY)'!E37</f>
        <v>-6931</v>
      </c>
      <c r="D37" s="47">
        <f>'PartBIncomeStmt(CY) '!E37</f>
        <v>-9469</v>
      </c>
    </row>
    <row r="38" spans="1:4" x14ac:dyDescent="0.35">
      <c r="A38" s="11">
        <v>26</v>
      </c>
      <c r="B38" s="19" t="s">
        <v>22</v>
      </c>
      <c r="C38" s="43">
        <f>SUM(C34:C37)</f>
        <v>58315</v>
      </c>
      <c r="D38" s="50">
        <f t="shared" ref="D38" si="5">SUM(D34:D37)</f>
        <v>28924</v>
      </c>
    </row>
    <row r="39" spans="1:4" x14ac:dyDescent="0.35">
      <c r="A39" s="11">
        <v>27</v>
      </c>
      <c r="B39" s="19" t="s">
        <v>23</v>
      </c>
      <c r="C39" s="38">
        <f>'PartBIncomeStmt(PY)'!E39</f>
        <v>9025</v>
      </c>
      <c r="D39" s="47">
        <f>'PartBIncomeStmt(CY) '!E39</f>
        <v>11599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-131971.47999999998</v>
      </c>
      <c r="D42" s="47">
        <f>'PartBIncomeStmt(CY) '!E42</f>
        <v>-95819.38</v>
      </c>
    </row>
    <row r="43" spans="1:4" x14ac:dyDescent="0.35">
      <c r="A43" s="11">
        <v>31</v>
      </c>
      <c r="B43" s="19" t="s">
        <v>26</v>
      </c>
      <c r="C43" s="43">
        <f>C33-C38+C39+C40+C41+C42</f>
        <v>-15921</v>
      </c>
      <c r="D43" s="50">
        <f t="shared" ref="D43" si="6">D33-D38+D39+D40+D41+D42</f>
        <v>299812</v>
      </c>
    </row>
    <row r="44" spans="1:4" x14ac:dyDescent="0.35">
      <c r="A44" s="11">
        <v>32</v>
      </c>
      <c r="B44" s="19" t="s">
        <v>28</v>
      </c>
      <c r="C44" s="38">
        <f>'PartBIncomeStmt(PY)'!E44</f>
        <v>0</v>
      </c>
      <c r="D44" s="47">
        <f>'PartBIncomeStmt(CY) '!E44</f>
        <v>0</v>
      </c>
    </row>
    <row r="45" spans="1:4" x14ac:dyDescent="0.35">
      <c r="A45" s="11">
        <v>33</v>
      </c>
      <c r="B45" s="19" t="s">
        <v>29</v>
      </c>
      <c r="C45" s="38">
        <f>'PartBIncomeStmt(PY)'!E45</f>
        <v>3622290</v>
      </c>
      <c r="D45" s="47">
        <f>'PartBIncomeStmt(CY) '!E45</f>
        <v>3606369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3606369</v>
      </c>
      <c r="D51" s="50">
        <f t="shared" ref="D51" si="7">(D43+D45+D46)-(D47+D48+D49+D50)</f>
        <v>3906181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225711</v>
      </c>
      <c r="D56" s="47">
        <f>'PartBIncomeStmt(CY) '!E56</f>
        <v>1004455</v>
      </c>
    </row>
    <row r="57" spans="1:4" x14ac:dyDescent="0.35">
      <c r="A57" s="11">
        <v>45</v>
      </c>
      <c r="B57" s="19" t="s">
        <v>40</v>
      </c>
      <c r="C57" s="61">
        <f>((C26+C32-C20-C21)/C17)</f>
        <v>0.65403416279417481</v>
      </c>
      <c r="D57" s="61">
        <f>((D26+D32-D20-D21)/D17)</f>
        <v>0.69017143491533484</v>
      </c>
    </row>
    <row r="58" spans="1:4" x14ac:dyDescent="0.35">
      <c r="A58" s="11">
        <v>46</v>
      </c>
      <c r="B58" s="19" t="s">
        <v>41</v>
      </c>
      <c r="C58" s="61">
        <f>((C26+C32+C38)/C17)</f>
        <v>0.96786753045402873</v>
      </c>
      <c r="D58" s="61">
        <f>((D26+D32+D38)/D17)</f>
        <v>0.88287185583961147</v>
      </c>
    </row>
    <row r="59" spans="1:4" x14ac:dyDescent="0.35">
      <c r="A59" s="11">
        <v>47</v>
      </c>
      <c r="B59" s="19" t="s">
        <v>42</v>
      </c>
      <c r="C59" s="61">
        <f>((C43+C38)/C38)</f>
        <v>0.72698276601217526</v>
      </c>
      <c r="D59" s="61">
        <f t="shared" ref="D59" si="9">((D43+D38)/D38)</f>
        <v>11.365509611395382</v>
      </c>
    </row>
    <row r="60" spans="1:4" x14ac:dyDescent="0.35">
      <c r="A60" s="11">
        <v>48</v>
      </c>
      <c r="B60" s="19" t="s">
        <v>43</v>
      </c>
      <c r="C60" s="55">
        <f>(C43+C38+C20+C21)/C56</f>
        <v>4.5606195533226117</v>
      </c>
      <c r="D60" s="61">
        <f t="shared" ref="D60" si="10">(D43+D38+D20+D21)/D56</f>
        <v>0.92749401416688648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topLeftCell="A4" workbookViewId="0">
      <selection activeCell="A4" sqref="A4"/>
    </sheetView>
  </sheetViews>
  <sheetFormatPr defaultColWidth="8.81640625" defaultRowHeight="14.5" x14ac:dyDescent="0.35"/>
  <cols>
    <col min="1" max="1" width="36.45312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">
        <v>232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118093</v>
      </c>
      <c r="D10" s="72">
        <v>111270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v>374744</v>
      </c>
      <c r="D12" s="72">
        <v>278194</v>
      </c>
    </row>
    <row r="13" spans="1:4" x14ac:dyDescent="0.35">
      <c r="A13" s="19" t="s">
        <v>192</v>
      </c>
      <c r="B13" s="11"/>
      <c r="C13" s="65">
        <v>152485</v>
      </c>
      <c r="D13" s="72">
        <v>84061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59375</v>
      </c>
      <c r="D15" s="72">
        <v>24668</v>
      </c>
    </row>
    <row r="16" spans="1:4" x14ac:dyDescent="0.35">
      <c r="A16" s="19" t="s">
        <v>192</v>
      </c>
      <c r="B16" s="11"/>
      <c r="C16" s="65">
        <v>146188</v>
      </c>
      <c r="D16" s="72">
        <v>147940</v>
      </c>
    </row>
    <row r="17" spans="1:4" x14ac:dyDescent="0.35">
      <c r="A17" s="19" t="s">
        <v>227</v>
      </c>
      <c r="B17" s="12" t="s">
        <v>194</v>
      </c>
      <c r="C17" s="66">
        <v>2234922</v>
      </c>
      <c r="D17" s="73">
        <v>2391072</v>
      </c>
    </row>
    <row r="18" spans="1:4" x14ac:dyDescent="0.35">
      <c r="A18" s="19" t="s">
        <v>195</v>
      </c>
      <c r="B18" s="7"/>
      <c r="C18" s="41">
        <f>C10+C12+C13+C15+C16+C17</f>
        <v>3085807</v>
      </c>
      <c r="D18" s="41">
        <f>D10+D12+D13+D15+D16+D17</f>
        <v>3037205</v>
      </c>
    </row>
    <row r="19" spans="1:4" x14ac:dyDescent="0.35">
      <c r="A19" s="20" t="s">
        <v>205</v>
      </c>
      <c r="B19" s="19"/>
      <c r="C19" s="43">
        <f>'PartBIncomeStmt(PY)'!E12</f>
        <v>3085807</v>
      </c>
      <c r="D19" s="43">
        <f>'PartBIncomeStmt(CY) '!E12</f>
        <v>3037205</v>
      </c>
    </row>
    <row r="20" spans="1:4" ht="15" thickBot="1" x14ac:dyDescent="0.4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8.81640625" defaultRowHeight="14.5" x14ac:dyDescent="0.35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0056019A0DFF4E944291D4B6E4C338" ma:contentTypeVersion="175" ma:contentTypeDescription="" ma:contentTypeScope="" ma:versionID="f9dcb721b821e64b90fbc28382c02a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2014-08-04T07:00:00+00:00</OpenedDate>
    <Date1 xmlns="dc463f71-b30c-4ab2-9473-d307f9d35888">2014-09-23T07:00:00+00:00</Date1>
    <IsDocumentOrder xmlns="dc463f71-b30c-4ab2-9473-d307f9d35888" xsi:nil="true"/>
    <IsHighlyConfidential xmlns="dc463f71-b30c-4ab2-9473-d307f9d35888">false</IsHighlyConfidential>
    <CaseCompanyNames xmlns="dc463f71-b30c-4ab2-9473-d307f9d35888">Western Wahkiakum County Telephone Company</CaseCompanyNames>
    <DocketNumber xmlns="dc463f71-b30c-4ab2-9473-d307f9d35888">143034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6D9E63-ED3E-4A0D-A1E0-E5B9EAF24370}"/>
</file>

<file path=customXml/itemProps2.xml><?xml version="1.0" encoding="utf-8"?>
<ds:datastoreItem xmlns:ds="http://schemas.openxmlformats.org/officeDocument/2006/customXml" ds:itemID="{435A00D1-F826-4FA7-B2DB-EBA9A05D9B83}"/>
</file>

<file path=customXml/itemProps3.xml><?xml version="1.0" encoding="utf-8"?>
<ds:datastoreItem xmlns:ds="http://schemas.openxmlformats.org/officeDocument/2006/customXml" ds:itemID="{6C769622-C381-448F-8247-952170974546}"/>
</file>

<file path=customXml/itemProps4.xml><?xml version="1.0" encoding="utf-8"?>
<ds:datastoreItem xmlns:ds="http://schemas.openxmlformats.org/officeDocument/2006/customXml" ds:itemID="{547B0273-CB33-4E62-9FC6-0AD489BE2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2014-09-23T22:36:44Z</cp:lastPrinted>
  <dcterms:created xsi:type="dcterms:W3CDTF">2014-05-21T17:51:51Z</dcterms:created>
  <dcterms:modified xsi:type="dcterms:W3CDTF">2014-09-23T23:00:23Z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0x0101006E56B4D1795A2E4DB2F0B01679ED314A009B0056019A0DFF4E944291D4B6E4C338</vt:lpwstr>
  </property>
  <property fmtid="{D5CDD505-2E9C-101B-9397-08002B2CF9AE}" pid="3" name="_docset_NoMedatataSyncRequired">
    <vt:lpwstr>False</vt:lpwstr>
  </property>
</Properties>
</file>