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-8090" yWindow="1160" windowWidth="21080" windowHeight="10040" tabRatio="597"/>
  </bookViews>
  <sheets>
    <sheet name="Cover" sheetId="19" r:id="rId1"/>
    <sheet name="PartABalance Sheet(PY)" sheetId="2" r:id="rId2"/>
    <sheet name="PartABalance Sheet(CY) " sheetId="11" r:id="rId3"/>
    <sheet name="PartABalance Sheet (Summary)" sheetId="5" r:id="rId4"/>
    <sheet name="RateBase" sheetId="7" r:id="rId5"/>
    <sheet name="Statistics" sheetId="8" r:id="rId6"/>
    <sheet name="PartBIncomeStmt(PY)" sheetId="1" r:id="rId7"/>
    <sheet name="PartBIncomeStmt(CY) " sheetId="9" r:id="rId8"/>
    <sheet name="PartBIncomeStmtSummary" sheetId="10" r:id="rId9"/>
    <sheet name="AccessRevDetail" sheetId="3" r:id="rId10"/>
    <sheet name="ReturnRates" sheetId="18" r:id="rId11"/>
  </sheets>
  <calcPr calcId="152511"/>
</workbook>
</file>

<file path=xl/calcChain.xml><?xml version="1.0" encoding="utf-8"?>
<calcChain xmlns="http://schemas.openxmlformats.org/spreadsheetml/2006/main">
  <c r="B10" i="2" l="1"/>
  <c r="B9" i="1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C45" i="11" l="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G40" i="5"/>
  <c r="G34" i="5"/>
  <c r="I31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E31" i="9"/>
  <c r="D31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25" i="1"/>
  <c r="D26" i="1" s="1"/>
  <c r="C25" i="1"/>
  <c r="C26" i="1" s="1"/>
  <c r="D17" i="1"/>
  <c r="C17" i="1"/>
  <c r="D32" i="1" l="1"/>
  <c r="D57" i="1" s="1"/>
  <c r="D32" i="9"/>
  <c r="E46" i="9"/>
  <c r="D46" i="10" s="1"/>
  <c r="D12" i="10"/>
  <c r="D17" i="10" s="1"/>
  <c r="D19" i="3"/>
  <c r="D20" i="3" s="1"/>
  <c r="C12" i="10"/>
  <c r="C17" i="10" s="1"/>
  <c r="C19" i="3"/>
  <c r="C20" i="3" s="1"/>
  <c r="H45" i="11"/>
  <c r="H47" i="11" s="1"/>
  <c r="C37" i="11"/>
  <c r="C47" i="11" s="1"/>
  <c r="D33" i="11"/>
  <c r="D27" i="9"/>
  <c r="D33" i="9" s="1"/>
  <c r="D42" i="9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C55" i="10"/>
  <c r="E38" i="1"/>
  <c r="C29" i="10"/>
  <c r="E25" i="1"/>
  <c r="E26" i="1" s="1"/>
  <c r="C27" i="1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E42" i="9" l="1"/>
  <c r="D42" i="10" s="1"/>
  <c r="D58" i="1"/>
  <c r="C32" i="9"/>
  <c r="E30" i="9"/>
  <c r="E30" i="1"/>
  <c r="C32" i="1"/>
  <c r="C33" i="9"/>
  <c r="C43" i="9" s="1"/>
  <c r="C33" i="1"/>
  <c r="C43" i="1" s="1"/>
  <c r="C34" i="5"/>
  <c r="C38" i="5" s="1"/>
  <c r="D37" i="11"/>
  <c r="D47" i="11" s="1"/>
  <c r="E27" i="9"/>
  <c r="D43" i="9"/>
  <c r="E42" i="1"/>
  <c r="C42" i="10" s="1"/>
  <c r="D12" i="8"/>
  <c r="E12" i="8" s="1"/>
  <c r="D27" i="10"/>
  <c r="C27" i="10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H37" i="2"/>
  <c r="H45" i="2" s="1"/>
  <c r="E46" i="1" s="1"/>
  <c r="I37" i="2"/>
  <c r="G37" i="2"/>
  <c r="I32" i="2"/>
  <c r="G32" i="2"/>
  <c r="I20" i="2"/>
  <c r="G20" i="2"/>
  <c r="C46" i="2"/>
  <c r="C34" i="2" s="1"/>
  <c r="D46" i="2"/>
  <c r="B46" i="2"/>
  <c r="D25" i="2"/>
  <c r="B25" i="2"/>
  <c r="C30" i="10" l="1"/>
  <c r="C32" i="10" s="1"/>
  <c r="E32" i="1"/>
  <c r="C58" i="9"/>
  <c r="C57" i="9"/>
  <c r="C33" i="10"/>
  <c r="C57" i="1"/>
  <c r="C58" i="1"/>
  <c r="D30" i="10"/>
  <c r="D32" i="10" s="1"/>
  <c r="E32" i="9"/>
  <c r="E33" i="9" s="1"/>
  <c r="G46" i="2"/>
  <c r="G48" i="2" s="1"/>
  <c r="E12" i="7"/>
  <c r="C51" i="9"/>
  <c r="C59" i="9"/>
  <c r="C60" i="9"/>
  <c r="C51" i="1"/>
  <c r="C60" i="1"/>
  <c r="C59" i="1"/>
  <c r="H46" i="2"/>
  <c r="H48" i="2" s="1"/>
  <c r="D34" i="2"/>
  <c r="D59" i="9"/>
  <c r="D51" i="9"/>
  <c r="D60" i="9"/>
  <c r="C43" i="10"/>
  <c r="C60" i="10" s="1"/>
  <c r="D43" i="1"/>
  <c r="E33" i="1"/>
  <c r="B48" i="2"/>
  <c r="B46" i="5"/>
  <c r="E10" i="7"/>
  <c r="B25" i="5"/>
  <c r="C48" i="5"/>
  <c r="E43" i="9" l="1"/>
  <c r="E59" i="9" s="1"/>
  <c r="D57" i="10"/>
  <c r="D58" i="10"/>
  <c r="E58" i="1"/>
  <c r="E57" i="1"/>
  <c r="E57" i="9"/>
  <c r="E58" i="9"/>
  <c r="C57" i="10"/>
  <c r="C58" i="10"/>
  <c r="D33" i="10"/>
  <c r="D43" i="10" s="1"/>
  <c r="D51" i="10" s="1"/>
  <c r="E43" i="1"/>
  <c r="I45" i="2"/>
  <c r="F45" i="5" s="1"/>
  <c r="F46" i="5" s="1"/>
  <c r="C15" i="7"/>
  <c r="C51" i="10"/>
  <c r="C38" i="2"/>
  <c r="C48" i="2" s="1"/>
  <c r="C59" i="10"/>
  <c r="D59" i="1"/>
  <c r="D60" i="1"/>
  <c r="D51" i="1"/>
  <c r="E51" i="1"/>
  <c r="D59" i="10" l="1"/>
  <c r="D60" i="10"/>
  <c r="E51" i="9"/>
  <c r="E60" i="9"/>
  <c r="E59" i="1"/>
  <c r="E60" i="1"/>
  <c r="G45" i="11"/>
  <c r="G47" i="11" s="1"/>
  <c r="I44" i="11"/>
  <c r="F48" i="5"/>
  <c r="E15" i="7"/>
  <c r="I46" i="2"/>
  <c r="I48" i="2" s="1"/>
  <c r="D38" i="2"/>
  <c r="D48" i="2" s="1"/>
  <c r="B34" i="5"/>
  <c r="B38" i="5" s="1"/>
  <c r="B48" i="5" s="1"/>
  <c r="B18" i="18" l="1"/>
  <c r="C12" i="18"/>
  <c r="C14" i="18" s="1"/>
  <c r="B12" i="18"/>
  <c r="I45" i="11"/>
  <c r="I47" i="11" s="1"/>
  <c r="G45" i="5"/>
  <c r="G46" i="5" s="1"/>
  <c r="G48" i="5" l="1"/>
  <c r="B14" i="18"/>
  <c r="B20" i="18" l="1"/>
  <c r="C18" i="18" l="1"/>
  <c r="C20" i="18" s="1"/>
</calcChain>
</file>

<file path=xl/sharedStrings.xml><?xml version="1.0" encoding="utf-8"?>
<sst xmlns="http://schemas.openxmlformats.org/spreadsheetml/2006/main" count="607" uniqueCount="246">
  <si>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</si>
  <si>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</si>
  <si>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</si>
  <si>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</si>
  <si>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</si>
  <si>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</si>
  <si>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</si>
  <si>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</si>
  <si>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</si>
  <si>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</si>
  <si>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</si>
  <si>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</si>
  <si>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</si>
  <si>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</si>
  <si>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</si>
  <si>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</si>
  <si>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</si>
  <si>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</si>
  <si>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</si>
  <si>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</si>
  <si>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</si>
  <si>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</si>
  <si>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</si>
  <si>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</si>
  <si>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</si>
  <si>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</si>
  <si>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</si>
  <si>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</si>
  <si>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</si>
  <si>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</si>
  <si>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</si>
  <si>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</si>
  <si>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</si>
  <si>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</si>
  <si>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</si>
  <si>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</si>
  <si>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</si>
  <si>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</si>
  <si>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</si>
  <si>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</si>
  <si>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</si>
  <si>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</si>
  <si>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</si>
  <si>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</si>
  <si>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</si>
  <si>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</si>
  <si>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</si>
  <si>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</si>
  <si>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</si>
  <si>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</si>
  <si>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</si>
  <si>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</si>
  <si>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</si>
  <si>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</si>
  <si>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</si>
  <si>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</si>
  <si>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</si>
  <si>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</si>
  <si>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</si>
  <si>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</si>
  <si>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</si>
  <si>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</si>
  <si>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</si>
  <si>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</si>
  <si>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</si>
  <si>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</si>
  <si>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</si>
  <si>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</si>
  <si>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</si>
  <si>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</si>
  <si>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</si>
  <si>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</si>
  <si>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</si>
  <si>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</si>
  <si>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</si>
  <si>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</si>
  <si>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</si>
  <si>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</si>
  <si>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</si>
  <si>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</si>
  <si>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</si>
  <si>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</si>
  <si>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</si>
  <si>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</si>
  <si>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</si>
  <si>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</si>
  <si>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</si>
  <si>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</si>
  <si>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</si>
  <si>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</si>
  <si>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</si>
  <si>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</si>
  <si>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</si>
  <si>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</si>
  <si>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</si>
  <si>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</si>
  <si>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</si>
  <si>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</si>
  <si>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</si>
  <si>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</si>
  <si>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</si>
  <si>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</si>
  <si>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</si>
  <si>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</si>
  <si>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</si>
  <si>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</si>
  <si>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</si>
  <si>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</si>
  <si>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</si>
  <si>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</si>
  <si>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</si>
  <si>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</si>
  <si>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</si>
  <si>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</si>
  <si>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</si>
  <si>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</si>
  <si>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</si>
  <si>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</si>
  <si>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</si>
  <si>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</si>
  <si>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</si>
  <si>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</si>
  <si>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</si>
  <si>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</si>
  <si>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</si>
  <si>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</si>
  <si>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</si>
  <si>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</si>
  <si>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</si>
  <si>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</si>
  <si>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</si>
  <si>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</si>
  <si>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</si>
  <si>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</si>
  <si>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</si>
  <si>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</si>
  <si>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</si>
  <si>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</si>
  <si>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</si>
  <si>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</si>
  <si>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</si>
  <si>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</si>
  <si>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</si>
  <si>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</si>
  <si>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</si>
  <si>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</si>
  <si>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</si>
  <si>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</si>
  <si>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</si>
  <si>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</si>
  <si>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</si>
  <si>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</si>
  <si>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</si>
  <si>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</si>
  <si>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</si>
  <si>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</si>
  <si>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</si>
  <si>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</si>
  <si>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</si>
  <si>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</si>
  <si>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</si>
  <si>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</si>
  <si>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</si>
  <si>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</si>
  <si>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</si>
  <si>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</si>
  <si>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</si>
  <si>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</si>
  <si>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</si>
  <si>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</si>
  <si>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</si>
  <si>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</si>
  <si>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</si>
  <si>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</si>
  <si>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</si>
  <si>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</si>
  <si>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</si>
  <si>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</si>
  <si>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</si>
  <si>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</si>
  <si>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</si>
  <si>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</si>
  <si>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</si>
  <si>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</si>
  <si>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</si>
  <si>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</si>
  <si>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</si>
  <si>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</si>
  <si>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</si>
  <si>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</si>
  <si>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</si>
  <si>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</si>
  <si>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</si>
  <si>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</si>
  <si>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</si>
  <si>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</si>
  <si>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</si>
  <si>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</si>
  <si>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</si>
  <si>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</si>
  <si>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</si>
  <si>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</si>
  <si>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</si>
  <si>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</si>
  <si>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</si>
  <si>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</si>
  <si>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</si>
  <si>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</si>
  <si>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</si>
  <si>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</si>
  <si>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</si>
  <si>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</si>
  <si>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</si>
  <si>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</si>
  <si>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</si>
  <si>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</si>
  <si>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</si>
  <si>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</si>
  <si>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</si>
  <si>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</si>
  <si>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</si>
  <si>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</si>
  <si>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</si>
  <si>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</si>
  <si>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</si>
  <si>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</si>
  <si>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</si>
  <si>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</si>
  <si>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</si>
  <si>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Asotin Telephone Co</t>
  </si>
  <si>
    <t>Rate Base (Jan. 1)</t>
  </si>
  <si>
    <t>Rate Base (Dec 31)</t>
  </si>
  <si>
    <t>Average Rate Base</t>
  </si>
  <si>
    <t>Net Operating Income</t>
  </si>
  <si>
    <t>Earned Regulated Rate of Return</t>
  </si>
  <si>
    <t>Equity (Jan 1)</t>
  </si>
  <si>
    <t>Equity (Dec 31)</t>
  </si>
  <si>
    <t>Net Income</t>
  </si>
  <si>
    <t>Earned Return on Equity</t>
  </si>
  <si>
    <t>Average Equity</t>
  </si>
  <si>
    <t>EXHIBIT 4</t>
  </si>
  <si>
    <t>FINANCIAL INFORMATION</t>
  </si>
  <si>
    <t>PETITION OF ASOTIN TELEPHONE COMPANY TO</t>
  </si>
  <si>
    <t>RECEIVE SUPPORT FROM THE UNIVERSAL</t>
  </si>
  <si>
    <t>SERVICE COMMUNICATIONS PROGRAM</t>
  </si>
  <si>
    <t>EXHIBIT 4 -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</si>
</sst>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  <xf numFmtId="37" fontId="0" fillId="0" borderId="0" xfId="0" applyNumberFormat="1"/>
    <xf numFmtId="37" fontId="0" fillId="0" borderId="10" xfId="0" applyNumberForma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0" xfId="0" applyNumberFormat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11" xfId="0" quotePrefix="1" applyBorder="1" applyAlignment="1" applyProtection="1">
      <alignment horizontal="center"/>
    </xf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/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0" fontId="0" fillId="0" borderId="11" xfId="0" applyBorder="1" applyAlignment="1" applyProtection="1">
      <alignment horizontal="left" indent="1"/>
    </xf>
    <xf numFmtId="10" fontId="0" fillId="0" borderId="17" xfId="2" applyNumberFormat="1" applyFont="1" applyBorder="1" applyProtection="1"/>
    <xf numFmtId="10" fontId="0" fillId="0" borderId="3" xfId="2" applyNumberFormat="1" applyFont="1" applyBorder="1" applyProtection="1"/>
    <xf numFmtId="37" fontId="0" fillId="0" borderId="7" xfId="0" applyNumberFormat="1" applyFill="1" applyBorder="1" applyProtection="1">
      <protection locked="0"/>
    </xf>
    <xf numFmtId="0" fontId="0" fillId="0" borderId="0" xfId="0" applyAlignment="1">
      <alignment horizontal="center"/>
    </xf>
  </cellXfs>
  <cellStyles count="19">
    <cellStyle name="Comma" xfId="1" builtinId="3"/>
    <cellStyle name="Comma 12" xfId="4"/>
    <cellStyle name="Comma 2" xfId="12"/>
    <cellStyle name="Comma 3" xfId="13"/>
    <cellStyle name="Comma 4" xfId="11"/>
    <cellStyle name="Normal" xfId="0" builtinId="0"/>
    <cellStyle name="Normal 2" xfId="14"/>
    <cellStyle name="Normal 3" xfId="15"/>
    <cellStyle name="Normal 50" xfId="3"/>
    <cellStyle name="Normal 52" xfId="5"/>
    <cellStyle name="Normal 53" xfId="6"/>
    <cellStyle name="Normal 54" xfId="8"/>
    <cellStyle name="Normal 55" xfId="9"/>
    <cellStyle name="Percent" xfId="2" builtinId="5"/>
    <cellStyle name="Percent 2" xfId="17"/>
    <cellStyle name="Percent 3" xfId="18"/>
    <cellStyle name="Percent 4" xfId="16"/>
    <cellStyle name="Percent 5" xfId="7"/>
    <cellStyle name="Percent 5 2 2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I1"/>
    </sheetView>
  </sheetViews>
  <sheetFormatPr defaultRowHeight="14.5" x14ac:dyDescent="0.35"/>
  <sheetData>
    <row r="1" spans="1:9" x14ac:dyDescent="0.35">
      <c r="A1" s="105" t="s">
        <v>240</v>
      </c>
      <c r="B1" s="105"/>
      <c r="C1" s="105"/>
      <c r="D1" s="105"/>
      <c r="E1" s="105"/>
      <c r="F1" s="105"/>
      <c r="G1" s="105"/>
      <c r="H1" s="105"/>
      <c r="I1" s="105"/>
    </row>
    <row r="3" spans="1:9" x14ac:dyDescent="0.35">
      <c r="A3" s="105" t="s">
        <v>241</v>
      </c>
      <c r="B3" s="105"/>
      <c r="C3" s="105"/>
      <c r="D3" s="105"/>
      <c r="E3" s="105"/>
      <c r="F3" s="105"/>
      <c r="G3" s="105"/>
      <c r="H3" s="105"/>
      <c r="I3" s="105"/>
    </row>
    <row r="43" spans="1:1" x14ac:dyDescent="0.35">
      <c r="A43" t="s">
        <v>242</v>
      </c>
    </row>
    <row r="44" spans="1:1" x14ac:dyDescent="0.35">
      <c r="A44" t="s">
        <v>243</v>
      </c>
    </row>
    <row r="45" spans="1:1" x14ac:dyDescent="0.35">
      <c r="A45" t="s">
        <v>244</v>
      </c>
    </row>
    <row r="46" spans="1:1" x14ac:dyDescent="0.35">
      <c r="A46" t="s">
        <v>245</v>
      </c>
    </row>
  </sheetData>
  <mergeCells count="2">
    <mergeCell ref="A1:I1"/>
    <mergeCell ref="A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workbookViewId="0">
      <selection sqref="A1:I1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3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89283.42</v>
      </c>
      <c r="D10" s="71">
        <v>91176.78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152912.17000000001</v>
      </c>
      <c r="D12" s="71">
        <v>108390.14000000001</v>
      </c>
    </row>
    <row r="13" spans="1:4" x14ac:dyDescent="0.35">
      <c r="A13" s="19" t="s">
        <v>192</v>
      </c>
      <c r="B13" s="11"/>
      <c r="C13" s="65">
        <v>72895.5</v>
      </c>
      <c r="D13" s="71">
        <v>83985.36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33986.9</v>
      </c>
      <c r="D15" s="71">
        <v>21383.39</v>
      </c>
    </row>
    <row r="16" spans="1:4" x14ac:dyDescent="0.35">
      <c r="A16" s="19" t="s">
        <v>192</v>
      </c>
      <c r="B16" s="11"/>
      <c r="C16" s="65">
        <v>-1270</v>
      </c>
      <c r="D16" s="71">
        <v>66735</v>
      </c>
    </row>
    <row r="17" spans="1:4" x14ac:dyDescent="0.35">
      <c r="A17" s="19" t="s">
        <v>227</v>
      </c>
      <c r="B17" s="12" t="s">
        <v>194</v>
      </c>
      <c r="C17" s="66">
        <v>324420</v>
      </c>
      <c r="D17" s="72">
        <v>401108</v>
      </c>
    </row>
    <row r="18" spans="1:4" x14ac:dyDescent="0.35">
      <c r="A18" s="19" t="s">
        <v>195</v>
      </c>
      <c r="B18" s="7"/>
      <c r="C18" s="41">
        <f>C10+C12+C13+C15+C16+C17</f>
        <v>672227.99</v>
      </c>
      <c r="D18" s="41">
        <f>D10+D12+D13+D15+D16+D17</f>
        <v>772778.67</v>
      </c>
    </row>
    <row r="19" spans="1:4" x14ac:dyDescent="0.35">
      <c r="A19" s="20" t="s">
        <v>205</v>
      </c>
      <c r="B19" s="19"/>
      <c r="C19" s="43">
        <f>'PartBIncomeStmt(PY)'!E12</f>
        <v>672227.99</v>
      </c>
      <c r="D19" s="43">
        <f>'PartBIncomeStmt(CY) '!E12</f>
        <v>772778.67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(e)Network Access Services RevenuePrior and Current Year</oddHeader>
    <oddFooter>&amp;CPage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0"/>
  <sheetViews>
    <sheetView workbookViewId="0">
      <selection sqref="A1:I1"/>
    </sheetView>
  </sheetViews>
  <sheetFormatPr defaultColWidth="9.1796875" defaultRowHeight="14.5" x14ac:dyDescent="0.35"/>
  <cols>
    <col min="1" max="1" width="40.54296875" style="88" customWidth="1"/>
    <col min="2" max="3" width="13.81640625" style="88" customWidth="1"/>
    <col min="4" max="16384" width="9.1796875" style="88"/>
  </cols>
  <sheetData>
    <row r="3" spans="1:3" x14ac:dyDescent="0.35">
      <c r="A3" s="88" t="s">
        <v>226</v>
      </c>
    </row>
    <row r="4" spans="1:3" x14ac:dyDescent="0.35">
      <c r="A4" s="73" t="s">
        <v>229</v>
      </c>
    </row>
    <row r="7" spans="1:3" x14ac:dyDescent="0.35">
      <c r="A7" s="89"/>
      <c r="B7" s="89"/>
      <c r="C7" s="90"/>
    </row>
    <row r="8" spans="1:3" x14ac:dyDescent="0.35">
      <c r="A8" s="91" t="s">
        <v>197</v>
      </c>
      <c r="B8" s="91">
        <v>2012</v>
      </c>
      <c r="C8" s="92">
        <v>2013</v>
      </c>
    </row>
    <row r="9" spans="1:3" x14ac:dyDescent="0.35">
      <c r="A9" s="93"/>
      <c r="B9" s="94"/>
      <c r="C9" s="95"/>
    </row>
    <row r="10" spans="1:3" x14ac:dyDescent="0.35">
      <c r="A10" s="89" t="s">
        <v>230</v>
      </c>
      <c r="B10" s="69">
        <v>1920857.0349999999</v>
      </c>
      <c r="C10" s="71">
        <v>1641770.5900000003</v>
      </c>
    </row>
    <row r="11" spans="1:3" x14ac:dyDescent="0.35">
      <c r="A11" s="97" t="s">
        <v>231</v>
      </c>
      <c r="B11" s="86">
        <v>1641770.5900000003</v>
      </c>
      <c r="C11" s="104">
        <v>1364331.8900000001</v>
      </c>
    </row>
    <row r="12" spans="1:3" x14ac:dyDescent="0.35">
      <c r="A12" s="98" t="s">
        <v>232</v>
      </c>
      <c r="B12" s="99">
        <f>(B10+B11)/2</f>
        <v>1781313.8125</v>
      </c>
      <c r="C12" s="99">
        <f>(C10+C11)/2</f>
        <v>1503051.2400000002</v>
      </c>
    </row>
    <row r="13" spans="1:3" x14ac:dyDescent="0.35">
      <c r="A13" s="97" t="s">
        <v>233</v>
      </c>
      <c r="B13" s="83">
        <v>7351.38</v>
      </c>
      <c r="C13" s="83">
        <v>111878.65000000034</v>
      </c>
    </row>
    <row r="14" spans="1:3" x14ac:dyDescent="0.35">
      <c r="A14" s="98" t="s">
        <v>234</v>
      </c>
      <c r="B14" s="100">
        <f>B13/B12</f>
        <v>4.1269426804043264E-3</v>
      </c>
      <c r="C14" s="100">
        <f>C13/C12</f>
        <v>7.4434355278533509E-2</v>
      </c>
    </row>
    <row r="15" spans="1:3" x14ac:dyDescent="0.35">
      <c r="A15" s="97"/>
      <c r="B15" s="74"/>
      <c r="C15" s="96"/>
    </row>
    <row r="16" spans="1:3" x14ac:dyDescent="0.35">
      <c r="A16" s="97" t="s">
        <v>235</v>
      </c>
      <c r="B16" s="86">
        <v>2804568.12</v>
      </c>
      <c r="C16" s="71">
        <v>2515309.27</v>
      </c>
    </row>
    <row r="17" spans="1:3" x14ac:dyDescent="0.35">
      <c r="A17" s="97" t="s">
        <v>236</v>
      </c>
      <c r="B17" s="72">
        <v>2515309.27</v>
      </c>
      <c r="C17" s="72">
        <v>2334314.8100000005</v>
      </c>
    </row>
    <row r="18" spans="1:3" x14ac:dyDescent="0.35">
      <c r="A18" s="98" t="s">
        <v>239</v>
      </c>
      <c r="B18" s="99">
        <f t="shared" ref="B18:C18" si="0">(B16+B17)/2</f>
        <v>2659938.6950000003</v>
      </c>
      <c r="C18" s="99">
        <f t="shared" si="0"/>
        <v>2424812.04</v>
      </c>
    </row>
    <row r="19" spans="1:3" x14ac:dyDescent="0.35">
      <c r="A19" s="97" t="s">
        <v>237</v>
      </c>
      <c r="B19" s="83">
        <v>-56554.27</v>
      </c>
      <c r="C19" s="83">
        <v>86237.89</v>
      </c>
    </row>
    <row r="20" spans="1:3" x14ac:dyDescent="0.35">
      <c r="A20" s="101" t="s">
        <v>238</v>
      </c>
      <c r="B20" s="102">
        <f>B19/B18</f>
        <v>-2.1261493772885616E-2</v>
      </c>
      <c r="C20" s="103">
        <f>C19/C18</f>
        <v>3.5564773094742631E-2</v>
      </c>
    </row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(e)Return on Rate Base and Equity Prior and Current Year</oddHeader>
    <oddFooter>&amp;CPage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sqref="A1:I1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3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f>813146.95-0.01</f>
        <v>813146.94</v>
      </c>
      <c r="C10" s="24"/>
      <c r="D10" s="74">
        <f>SUM(B10:C10)</f>
        <v>813146.94</v>
      </c>
      <c r="E10" s="19"/>
      <c r="F10" s="19" t="s">
        <v>83</v>
      </c>
      <c r="G10" s="65">
        <v>134243.47</v>
      </c>
      <c r="H10" s="24"/>
      <c r="I10" s="74">
        <f>SUM(G10:H10)</f>
        <v>134243.47</v>
      </c>
    </row>
    <row r="11" spans="1:9" x14ac:dyDescent="0.35">
      <c r="A11" s="19" t="s">
        <v>168</v>
      </c>
      <c r="B11" s="65">
        <v>0</v>
      </c>
      <c r="C11" s="24"/>
      <c r="D11" s="74">
        <f>SUM(B11:C11)</f>
        <v>0</v>
      </c>
      <c r="E11" s="19"/>
      <c r="F11" s="19" t="s">
        <v>86</v>
      </c>
      <c r="G11" s="65">
        <v>0</v>
      </c>
      <c r="H11" s="24"/>
      <c r="I11" s="74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10836.04</v>
      </c>
      <c r="H12" s="24"/>
      <c r="I12" s="74">
        <f t="shared" si="0"/>
        <v>10836.04</v>
      </c>
    </row>
    <row r="13" spans="1:9" x14ac:dyDescent="0.35">
      <c r="A13" s="19" t="s">
        <v>49</v>
      </c>
      <c r="B13" s="65">
        <v>0</v>
      </c>
      <c r="C13" s="24"/>
      <c r="D13" s="74">
        <f>SUM(B13:C13)</f>
        <v>0</v>
      </c>
      <c r="E13" s="19"/>
      <c r="F13" s="19" t="s">
        <v>88</v>
      </c>
      <c r="G13" s="65">
        <v>0</v>
      </c>
      <c r="H13" s="24"/>
      <c r="I13" s="74">
        <f t="shared" si="0"/>
        <v>0</v>
      </c>
    </row>
    <row r="14" spans="1:9" x14ac:dyDescent="0.35">
      <c r="A14" s="19" t="s">
        <v>52</v>
      </c>
      <c r="B14" s="65">
        <v>24632.39</v>
      </c>
      <c r="C14" s="24"/>
      <c r="D14" s="74">
        <f t="shared" ref="D14:D15" si="1">SUM(B14:C14)</f>
        <v>24632.39</v>
      </c>
      <c r="E14" s="19"/>
      <c r="F14" s="19" t="s">
        <v>89</v>
      </c>
      <c r="G14" s="65">
        <v>0</v>
      </c>
      <c r="H14" s="24"/>
      <c r="I14" s="74">
        <f t="shared" si="0"/>
        <v>0</v>
      </c>
    </row>
    <row r="15" spans="1:9" x14ac:dyDescent="0.35">
      <c r="A15" s="19" t="s">
        <v>50</v>
      </c>
      <c r="B15" s="65">
        <v>0</v>
      </c>
      <c r="C15" s="24"/>
      <c r="D15" s="74">
        <f t="shared" si="1"/>
        <v>0</v>
      </c>
      <c r="E15" s="19"/>
      <c r="F15" s="19" t="s">
        <v>90</v>
      </c>
      <c r="G15" s="65">
        <v>0</v>
      </c>
      <c r="H15" s="24"/>
      <c r="I15" s="74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4">
        <f t="shared" si="0"/>
        <v>0</v>
      </c>
    </row>
    <row r="17" spans="1:9" x14ac:dyDescent="0.35">
      <c r="A17" s="19" t="s">
        <v>49</v>
      </c>
      <c r="B17" s="65">
        <v>57868.36</v>
      </c>
      <c r="C17" s="24"/>
      <c r="D17" s="74">
        <f>SUM(B17:C17)</f>
        <v>57868.36</v>
      </c>
      <c r="E17" s="20"/>
      <c r="F17" s="19" t="s">
        <v>92</v>
      </c>
      <c r="G17" s="65">
        <v>-1587.79</v>
      </c>
      <c r="H17" s="24"/>
      <c r="I17" s="74">
        <f t="shared" si="0"/>
        <v>-1587.79</v>
      </c>
    </row>
    <row r="18" spans="1:9" x14ac:dyDescent="0.35">
      <c r="A18" s="19" t="s">
        <v>52</v>
      </c>
      <c r="B18" s="65">
        <v>56199.83</v>
      </c>
      <c r="C18" s="24"/>
      <c r="D18" s="74">
        <f t="shared" ref="D18:D24" si="2">SUM(B18:C18)</f>
        <v>56199.83</v>
      </c>
      <c r="E18" s="19"/>
      <c r="F18" s="19" t="s">
        <v>93</v>
      </c>
      <c r="G18" s="65">
        <v>7835.79</v>
      </c>
      <c r="H18" s="24"/>
      <c r="I18" s="74">
        <f t="shared" si="0"/>
        <v>7835.79</v>
      </c>
    </row>
    <row r="19" spans="1:9" x14ac:dyDescent="0.35">
      <c r="A19" s="19" t="s">
        <v>50</v>
      </c>
      <c r="B19" s="65">
        <v>0</v>
      </c>
      <c r="C19" s="24"/>
      <c r="D19" s="74">
        <f t="shared" si="2"/>
        <v>0</v>
      </c>
      <c r="E19" s="19"/>
      <c r="F19" s="19" t="s">
        <v>94</v>
      </c>
      <c r="G19" s="66">
        <v>5486.33</v>
      </c>
      <c r="H19" s="25"/>
      <c r="I19" s="75">
        <f t="shared" si="0"/>
        <v>5486.33</v>
      </c>
    </row>
    <row r="20" spans="1:9" x14ac:dyDescent="0.35">
      <c r="A20" s="19" t="s">
        <v>53</v>
      </c>
      <c r="B20" s="65">
        <v>145.97</v>
      </c>
      <c r="C20" s="24"/>
      <c r="D20" s="74">
        <f t="shared" si="2"/>
        <v>145.97</v>
      </c>
      <c r="E20" s="19"/>
      <c r="F20" s="19" t="s">
        <v>125</v>
      </c>
      <c r="G20" s="74">
        <f>SUM(G10:G19)</f>
        <v>156813.84</v>
      </c>
      <c r="H20" s="24"/>
      <c r="I20" s="74">
        <f t="shared" ref="I20" si="3">SUM(I10:I19)</f>
        <v>156813.84</v>
      </c>
    </row>
    <row r="21" spans="1:9" x14ac:dyDescent="0.35">
      <c r="A21" s="19" t="s">
        <v>54</v>
      </c>
      <c r="B21" s="65">
        <v>8537.67</v>
      </c>
      <c r="C21" s="67">
        <v>0</v>
      </c>
      <c r="D21" s="74">
        <f t="shared" si="2"/>
        <v>8537.67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v>0</v>
      </c>
      <c r="C22" s="24"/>
      <c r="D22" s="74">
        <f t="shared" si="2"/>
        <v>0</v>
      </c>
      <c r="E22" s="19"/>
      <c r="F22" s="19" t="s">
        <v>97</v>
      </c>
      <c r="G22" s="65">
        <v>0</v>
      </c>
      <c r="H22" s="24"/>
      <c r="I22" s="74">
        <f>SUM(G22:H22)</f>
        <v>0</v>
      </c>
    </row>
    <row r="23" spans="1:9" x14ac:dyDescent="0.35">
      <c r="A23" s="19" t="s">
        <v>56</v>
      </c>
      <c r="B23" s="65">
        <v>1932.04</v>
      </c>
      <c r="C23" s="24"/>
      <c r="D23" s="74">
        <f t="shared" si="2"/>
        <v>1932.04</v>
      </c>
      <c r="E23" s="19"/>
      <c r="F23" s="19" t="s">
        <v>98</v>
      </c>
      <c r="G23" s="65">
        <v>0</v>
      </c>
      <c r="H23" s="24"/>
      <c r="I23" s="74">
        <f t="shared" ref="I23:I31" si="4">SUM(G23:H23)</f>
        <v>0</v>
      </c>
    </row>
    <row r="24" spans="1:9" x14ac:dyDescent="0.35">
      <c r="A24" s="19" t="s">
        <v>57</v>
      </c>
      <c r="B24" s="66">
        <v>0</v>
      </c>
      <c r="C24" s="25"/>
      <c r="D24" s="75">
        <f t="shared" si="2"/>
        <v>0</v>
      </c>
      <c r="E24" s="19"/>
      <c r="F24" s="19" t="s">
        <v>99</v>
      </c>
      <c r="G24" s="65">
        <v>0</v>
      </c>
      <c r="H24" s="24"/>
      <c r="I24" s="74">
        <f t="shared" si="4"/>
        <v>0</v>
      </c>
    </row>
    <row r="25" spans="1:9" x14ac:dyDescent="0.35">
      <c r="A25" s="19" t="s">
        <v>46</v>
      </c>
      <c r="B25" s="74">
        <f>B10+B11+B13+B14+B15+B17+B18+B19+B20+B21+B22+B23+B24</f>
        <v>962463.2</v>
      </c>
      <c r="C25" s="76">
        <f>C21</f>
        <v>0</v>
      </c>
      <c r="D25" s="74">
        <f t="shared" ref="D25" si="5">D10+D11+D13+D14+D15+D17+D18+D19+D20+D21+D22+D23+D24</f>
        <v>962463.2</v>
      </c>
      <c r="E25" s="19"/>
      <c r="F25" s="19" t="s">
        <v>100</v>
      </c>
      <c r="G25" s="65">
        <v>0</v>
      </c>
      <c r="H25" s="24"/>
      <c r="I25" s="74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4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4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4">
        <f t="shared" si="4"/>
        <v>0</v>
      </c>
    </row>
    <row r="29" spans="1:9" x14ac:dyDescent="0.35">
      <c r="A29" s="19" t="s">
        <v>60</v>
      </c>
      <c r="B29" s="65">
        <v>0</v>
      </c>
      <c r="C29" s="24"/>
      <c r="D29" s="74">
        <f>SUM(B29:C29)</f>
        <v>0</v>
      </c>
      <c r="E29" s="19"/>
      <c r="F29" s="19" t="s">
        <v>103</v>
      </c>
      <c r="G29" s="65">
        <v>0</v>
      </c>
      <c r="H29" s="24"/>
      <c r="I29" s="74">
        <f t="shared" si="4"/>
        <v>0</v>
      </c>
    </row>
    <row r="30" spans="1:9" x14ac:dyDescent="0.35">
      <c r="A30" s="19" t="s">
        <v>61</v>
      </c>
      <c r="B30" s="65">
        <v>0</v>
      </c>
      <c r="C30" s="24"/>
      <c r="D30" s="74">
        <f>SUM(B30:C30)</f>
        <v>0</v>
      </c>
      <c r="E30" s="19"/>
      <c r="F30" s="19" t="s">
        <v>104</v>
      </c>
      <c r="G30" s="65">
        <v>0</v>
      </c>
      <c r="H30" s="24"/>
      <c r="I30" s="74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5">
        <f t="shared" si="4"/>
        <v>0</v>
      </c>
    </row>
    <row r="32" spans="1:9" x14ac:dyDescent="0.35">
      <c r="A32" s="19" t="s">
        <v>62</v>
      </c>
      <c r="B32" s="65">
        <v>0</v>
      </c>
      <c r="C32" s="24"/>
      <c r="D32" s="74">
        <f>SUM(B32:C32)</f>
        <v>0</v>
      </c>
      <c r="E32" s="19"/>
      <c r="F32" s="19" t="s">
        <v>124</v>
      </c>
      <c r="G32" s="74">
        <f>SUM(G22:G31)</f>
        <v>0</v>
      </c>
      <c r="H32" s="24"/>
      <c r="I32" s="74">
        <f t="shared" ref="I32" si="6">SUM(I22:I31)</f>
        <v>0</v>
      </c>
    </row>
    <row r="33" spans="1:9" x14ac:dyDescent="0.35">
      <c r="A33" s="19" t="s">
        <v>63</v>
      </c>
      <c r="B33" s="65">
        <v>0</v>
      </c>
      <c r="C33" s="24"/>
      <c r="D33" s="74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0</v>
      </c>
      <c r="C34" s="77">
        <f>-C25-C46</f>
        <v>6219</v>
      </c>
      <c r="D34" s="74">
        <f t="shared" si="7"/>
        <v>6219</v>
      </c>
      <c r="E34" s="19"/>
      <c r="F34" s="19" t="s">
        <v>108</v>
      </c>
      <c r="G34" s="65">
        <v>-56305.279999999999</v>
      </c>
      <c r="H34" s="24"/>
      <c r="I34" s="74">
        <f>SUM(G34:H34)</f>
        <v>-56305.279999999999</v>
      </c>
    </row>
    <row r="35" spans="1:9" x14ac:dyDescent="0.35">
      <c r="A35" s="19" t="s">
        <v>67</v>
      </c>
      <c r="B35" s="65">
        <v>30100</v>
      </c>
      <c r="C35" s="24"/>
      <c r="D35" s="74">
        <f t="shared" si="7"/>
        <v>30100</v>
      </c>
      <c r="E35" s="19"/>
      <c r="F35" s="19" t="s">
        <v>172</v>
      </c>
      <c r="G35" s="65">
        <v>202753.33</v>
      </c>
      <c r="H35" s="65">
        <v>-1428</v>
      </c>
      <c r="I35" s="74">
        <f t="shared" ref="I35:I36" si="8">SUM(G35:H35)</f>
        <v>201325.33</v>
      </c>
    </row>
    <row r="36" spans="1:9" x14ac:dyDescent="0.35">
      <c r="A36" s="19" t="s">
        <v>68</v>
      </c>
      <c r="B36" s="65">
        <v>87.82</v>
      </c>
      <c r="C36" s="24"/>
      <c r="D36" s="74">
        <f t="shared" si="7"/>
        <v>87.82</v>
      </c>
      <c r="E36" s="19"/>
      <c r="F36" s="19" t="s">
        <v>109</v>
      </c>
      <c r="G36" s="66">
        <v>0</v>
      </c>
      <c r="H36" s="25"/>
      <c r="I36" s="75">
        <f t="shared" si="8"/>
        <v>0</v>
      </c>
    </row>
    <row r="37" spans="1:9" x14ac:dyDescent="0.35">
      <c r="A37" s="19" t="s">
        <v>69</v>
      </c>
      <c r="B37" s="66">
        <v>0</v>
      </c>
      <c r="C37" s="25"/>
      <c r="D37" s="75">
        <f t="shared" si="7"/>
        <v>0</v>
      </c>
      <c r="E37" s="19"/>
      <c r="F37" s="19" t="s">
        <v>110</v>
      </c>
      <c r="G37" s="74">
        <f>SUM(G34:G36)</f>
        <v>146448.04999999999</v>
      </c>
      <c r="H37" s="74">
        <f t="shared" ref="H37:I37" si="9">SUM(H34:H36)</f>
        <v>-1428</v>
      </c>
      <c r="I37" s="74">
        <f t="shared" si="9"/>
        <v>145020.04999999999</v>
      </c>
    </row>
    <row r="38" spans="1:9" x14ac:dyDescent="0.35">
      <c r="A38" s="19" t="s">
        <v>70</v>
      </c>
      <c r="B38" s="74">
        <f>B29+B30+B32+B33+B34+B35+B36+B37</f>
        <v>30187.82</v>
      </c>
      <c r="C38" s="77">
        <f>C34</f>
        <v>6219</v>
      </c>
      <c r="D38" s="74">
        <f t="shared" ref="D38" si="10">D29+D30+D32+D33+D34+D35+D36+D37</f>
        <v>36406.82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25906.91</v>
      </c>
      <c r="H39" s="24"/>
      <c r="I39" s="74">
        <f>SUM(G39:H39)</f>
        <v>25906.91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318584.48</v>
      </c>
      <c r="H40" s="24"/>
      <c r="I40" s="74">
        <f t="shared" ref="I40:I45" si="11">SUM(G40:H40)</f>
        <v>318584.48</v>
      </c>
    </row>
    <row r="41" spans="1:9" x14ac:dyDescent="0.35">
      <c r="A41" s="19" t="s">
        <v>222</v>
      </c>
      <c r="B41" s="65">
        <v>8070991.6699999999</v>
      </c>
      <c r="C41" s="65">
        <v>-16127</v>
      </c>
      <c r="D41" s="74">
        <f>SUM(B41:C41)</f>
        <v>8054864.6699999999</v>
      </c>
      <c r="E41" s="19"/>
      <c r="F41" s="19" t="s">
        <v>114</v>
      </c>
      <c r="G41" s="65">
        <v>0</v>
      </c>
      <c r="H41" s="24"/>
      <c r="I41" s="74">
        <f t="shared" si="11"/>
        <v>0</v>
      </c>
    </row>
    <row r="42" spans="1:9" x14ac:dyDescent="0.35">
      <c r="A42" s="19" t="s">
        <v>73</v>
      </c>
      <c r="B42" s="65">
        <v>0</v>
      </c>
      <c r="C42" s="24"/>
      <c r="D42" s="74">
        <f t="shared" ref="D42:D45" si="12">SUM(B42:C42)</f>
        <v>0</v>
      </c>
      <c r="E42" s="19"/>
      <c r="F42" s="19" t="s">
        <v>115</v>
      </c>
      <c r="G42" s="65">
        <v>0</v>
      </c>
      <c r="H42" s="24"/>
      <c r="I42" s="74">
        <f t="shared" si="11"/>
        <v>0</v>
      </c>
    </row>
    <row r="43" spans="1:9" x14ac:dyDescent="0.35">
      <c r="A43" s="19" t="s">
        <v>74</v>
      </c>
      <c r="B43" s="65">
        <v>4060.24</v>
      </c>
      <c r="C43" s="24"/>
      <c r="D43" s="74">
        <f t="shared" si="12"/>
        <v>4060.24</v>
      </c>
      <c r="E43" s="19"/>
      <c r="F43" s="19" t="s">
        <v>116</v>
      </c>
      <c r="G43" s="65">
        <v>26799.21</v>
      </c>
      <c r="H43" s="24"/>
      <c r="I43" s="74">
        <f t="shared" si="11"/>
        <v>26799.21</v>
      </c>
    </row>
    <row r="44" spans="1:9" x14ac:dyDescent="0.35">
      <c r="A44" s="19" t="s">
        <v>75</v>
      </c>
      <c r="B44" s="65">
        <v>0</v>
      </c>
      <c r="C44" s="24"/>
      <c r="D44" s="74">
        <f t="shared" si="12"/>
        <v>0</v>
      </c>
      <c r="E44" s="19"/>
      <c r="F44" s="19" t="s">
        <v>117</v>
      </c>
      <c r="G44" s="65">
        <v>0</v>
      </c>
      <c r="H44" s="24"/>
      <c r="I44" s="74">
        <f t="shared" si="11"/>
        <v>0</v>
      </c>
    </row>
    <row r="45" spans="1:9" x14ac:dyDescent="0.35">
      <c r="A45" s="19" t="s">
        <v>126</v>
      </c>
      <c r="B45" s="66">
        <v>-6250559.7699999996</v>
      </c>
      <c r="C45" s="66">
        <v>9908</v>
      </c>
      <c r="D45" s="75">
        <f t="shared" si="12"/>
        <v>-6240651.7699999996</v>
      </c>
      <c r="E45" s="19"/>
      <c r="F45" s="19" t="s">
        <v>207</v>
      </c>
      <c r="G45" s="66">
        <v>2142590.67</v>
      </c>
      <c r="H45" s="75">
        <f>-1*H37</f>
        <v>1428</v>
      </c>
      <c r="I45" s="75">
        <f t="shared" si="11"/>
        <v>2144018.67</v>
      </c>
    </row>
    <row r="46" spans="1:9" x14ac:dyDescent="0.35">
      <c r="A46" s="19" t="s">
        <v>76</v>
      </c>
      <c r="B46" s="74">
        <f>B41+B42+B43+B44+B45</f>
        <v>1824492.1400000006</v>
      </c>
      <c r="C46" s="74">
        <f t="shared" ref="C46:D46" si="13">C41+C42+C43+C44+C45</f>
        <v>-6219</v>
      </c>
      <c r="D46" s="74">
        <f t="shared" si="13"/>
        <v>1818273.1400000006</v>
      </c>
      <c r="E46" s="19"/>
      <c r="F46" s="19" t="s">
        <v>119</v>
      </c>
      <c r="G46" s="74">
        <f>SUM(G39:G45)</f>
        <v>2513881.27</v>
      </c>
      <c r="H46" s="79">
        <f t="shared" ref="H46:I46" si="14">SUM(H39:H45)</f>
        <v>1428</v>
      </c>
      <c r="I46" s="74">
        <f t="shared" si="14"/>
        <v>2515309.27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8">
        <f>B25+B38+B46</f>
        <v>2817143.1600000006</v>
      </c>
      <c r="C48" s="78">
        <f t="shared" ref="C48:D48" si="15">C25+C38+C46</f>
        <v>0</v>
      </c>
      <c r="D48" s="78">
        <f t="shared" si="15"/>
        <v>2817143.1600000006</v>
      </c>
      <c r="E48" s="19"/>
      <c r="F48" s="23" t="s">
        <v>120</v>
      </c>
      <c r="G48" s="78">
        <f>G20+G32+G37+G46</f>
        <v>2817143.16</v>
      </c>
      <c r="H48" s="78">
        <f t="shared" ref="H48:I48" si="16">H20+H32+H37+H46</f>
        <v>0</v>
      </c>
      <c r="I48" s="78">
        <f t="shared" si="16"/>
        <v>2817143.16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  <c r="G53" s="84"/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480-123-110(e)Prior Year Balance Sheet</oddHeader>
    <oddFooter>&amp;CPage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sqref="A1:I1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3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f>792876.27-0.44</f>
        <v>792875.83000000007</v>
      </c>
      <c r="C9" s="24"/>
      <c r="D9" s="38">
        <f>SUM(B9:C9)</f>
        <v>792875.83000000007</v>
      </c>
      <c r="E9" s="19"/>
      <c r="F9" s="19" t="s">
        <v>83</v>
      </c>
      <c r="G9" s="65">
        <v>188124.97</v>
      </c>
      <c r="H9" s="24"/>
      <c r="I9" s="38">
        <f>SUM(G9:H9)</f>
        <v>188124.97</v>
      </c>
    </row>
    <row r="10" spans="1:9" x14ac:dyDescent="0.3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11048.98</v>
      </c>
      <c r="H11" s="24"/>
      <c r="I11" s="38">
        <f t="shared" si="0"/>
        <v>11048.98</v>
      </c>
    </row>
    <row r="12" spans="1:9" x14ac:dyDescent="0.3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0</v>
      </c>
      <c r="H12" s="24"/>
      <c r="I12" s="38">
        <f t="shared" si="0"/>
        <v>0</v>
      </c>
    </row>
    <row r="13" spans="1:9" x14ac:dyDescent="0.35">
      <c r="A13" s="19" t="s">
        <v>52</v>
      </c>
      <c r="B13" s="65">
        <v>42986.19</v>
      </c>
      <c r="C13" s="24"/>
      <c r="D13" s="38">
        <f t="shared" ref="D13:D14" si="1">SUM(B13:C13)</f>
        <v>42986.19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3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35">
      <c r="A16" s="19" t="s">
        <v>49</v>
      </c>
      <c r="B16" s="65">
        <v>51597.87000000001</v>
      </c>
      <c r="C16" s="24"/>
      <c r="D16" s="38">
        <f>SUM(B16:C16)</f>
        <v>51597.87000000001</v>
      </c>
      <c r="E16" s="20"/>
      <c r="F16" s="19" t="s">
        <v>92</v>
      </c>
      <c r="G16" s="65">
        <v>-1468.05</v>
      </c>
      <c r="H16" s="24"/>
      <c r="I16" s="38">
        <f t="shared" si="0"/>
        <v>-1468.05</v>
      </c>
    </row>
    <row r="17" spans="1:9" x14ac:dyDescent="0.35">
      <c r="A17" s="19" t="s">
        <v>52</v>
      </c>
      <c r="B17" s="65">
        <v>95184.799999999988</v>
      </c>
      <c r="C17" s="24"/>
      <c r="D17" s="38">
        <f t="shared" ref="D17:D23" si="2">SUM(B17:C17)</f>
        <v>95184.799999999988</v>
      </c>
      <c r="E17" s="19"/>
      <c r="F17" s="19" t="s">
        <v>93</v>
      </c>
      <c r="G17" s="65">
        <v>8013.4699999999993</v>
      </c>
      <c r="H17" s="24"/>
      <c r="I17" s="38">
        <f t="shared" si="0"/>
        <v>8013.4699999999993</v>
      </c>
    </row>
    <row r="18" spans="1:9" x14ac:dyDescent="0.3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>
        <v>4949.2299999999996</v>
      </c>
      <c r="H18" s="25"/>
      <c r="I18" s="39">
        <f t="shared" si="0"/>
        <v>4949.2299999999996</v>
      </c>
    </row>
    <row r="19" spans="1:9" x14ac:dyDescent="0.35">
      <c r="A19" s="19" t="s">
        <v>53</v>
      </c>
      <c r="B19" s="65">
        <v>127.24</v>
      </c>
      <c r="C19" s="24"/>
      <c r="D19" s="38">
        <f t="shared" si="2"/>
        <v>127.24</v>
      </c>
      <c r="E19" s="19"/>
      <c r="F19" s="19" t="s">
        <v>125</v>
      </c>
      <c r="G19" s="38">
        <f>SUM(G9:G18)</f>
        <v>210668.60000000003</v>
      </c>
      <c r="H19" s="24"/>
      <c r="I19" s="38">
        <f t="shared" ref="I19" si="3">SUM(I9:I18)</f>
        <v>210668.60000000003</v>
      </c>
    </row>
    <row r="20" spans="1:9" x14ac:dyDescent="0.35">
      <c r="A20" s="19" t="s">
        <v>54</v>
      </c>
      <c r="B20" s="65">
        <v>12496.88</v>
      </c>
      <c r="C20" s="67">
        <v>0</v>
      </c>
      <c r="D20" s="38">
        <f t="shared" si="2"/>
        <v>12496.88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v>0</v>
      </c>
      <c r="C21" s="24"/>
      <c r="D21" s="38">
        <f t="shared" si="2"/>
        <v>0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35">
      <c r="A22" s="19" t="s">
        <v>56</v>
      </c>
      <c r="B22" s="65">
        <v>1924.75</v>
      </c>
      <c r="C22" s="24"/>
      <c r="D22" s="38">
        <f t="shared" si="2"/>
        <v>1924.75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0</v>
      </c>
      <c r="C23" s="25"/>
      <c r="D23" s="39">
        <f t="shared" si="2"/>
        <v>0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997193.55999999994</v>
      </c>
      <c r="C24" s="57">
        <f>C20</f>
        <v>0</v>
      </c>
      <c r="D24" s="38">
        <f t="shared" ref="D24" si="5">D9+D10+D12+D13+D14+D16+D17+D18+D19+D20+D21+D22+D23</f>
        <v>997193.55999999994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3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3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3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3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0</v>
      </c>
      <c r="C33" s="79">
        <v>7908</v>
      </c>
      <c r="D33" s="38">
        <f t="shared" si="7"/>
        <v>7908</v>
      </c>
      <c r="E33" s="19"/>
      <c r="F33" s="19" t="s">
        <v>108</v>
      </c>
      <c r="G33" s="65">
        <v>-70891.240000000005</v>
      </c>
      <c r="H33" s="24"/>
      <c r="I33" s="38">
        <f>SUM(G33:H33)</f>
        <v>-70891.240000000005</v>
      </c>
    </row>
    <row r="34" spans="1:9" x14ac:dyDescent="0.35">
      <c r="A34" s="19" t="s">
        <v>67</v>
      </c>
      <c r="B34" s="65">
        <v>26675.309999999998</v>
      </c>
      <c r="C34" s="24"/>
      <c r="D34" s="38">
        <f t="shared" si="7"/>
        <v>26675.309999999998</v>
      </c>
      <c r="E34" s="19"/>
      <c r="F34" s="19" t="s">
        <v>172</v>
      </c>
      <c r="G34" s="65">
        <v>155502.01999999999</v>
      </c>
      <c r="H34" s="65">
        <v>-1546</v>
      </c>
      <c r="I34" s="38">
        <f t="shared" ref="I34:I35" si="8">SUM(G34:H34)</f>
        <v>153956.01999999999</v>
      </c>
    </row>
    <row r="35" spans="1:9" x14ac:dyDescent="0.35">
      <c r="A35" s="19" t="s">
        <v>68</v>
      </c>
      <c r="B35" s="65">
        <v>87.49</v>
      </c>
      <c r="C35" s="24"/>
      <c r="D35" s="38">
        <f t="shared" si="7"/>
        <v>87.49</v>
      </c>
      <c r="E35" s="19"/>
      <c r="F35" s="19" t="s">
        <v>109</v>
      </c>
      <c r="G35" s="66">
        <v>448.82</v>
      </c>
      <c r="H35" s="25"/>
      <c r="I35" s="39">
        <f t="shared" si="8"/>
        <v>448.82</v>
      </c>
    </row>
    <row r="36" spans="1:9" x14ac:dyDescent="0.3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85059.599999999991</v>
      </c>
      <c r="H36" s="38">
        <f t="shared" ref="H36:I36" si="9">SUM(H33:H35)</f>
        <v>-1546</v>
      </c>
      <c r="I36" s="38">
        <f t="shared" si="9"/>
        <v>83513.599999999991</v>
      </c>
    </row>
    <row r="37" spans="1:9" x14ac:dyDescent="0.35">
      <c r="A37" s="19" t="s">
        <v>70</v>
      </c>
      <c r="B37" s="38">
        <f>B28+B29+B31+B32+B33+B34+B35+B36</f>
        <v>26762.799999999999</v>
      </c>
      <c r="C37" s="57">
        <f>C33</f>
        <v>7908</v>
      </c>
      <c r="D37" s="38">
        <f t="shared" ref="D37" si="10">D28+D29+D31+D32+D33+D34+D35+D36</f>
        <v>34670.799999999996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25809.17</v>
      </c>
      <c r="H38" s="24"/>
      <c r="I38" s="38">
        <f>SUM(G38:H38)</f>
        <v>25809.17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317382.58</v>
      </c>
      <c r="H39" s="24"/>
      <c r="I39" s="38">
        <f t="shared" ref="I39:I44" si="11">SUM(G39:H39)</f>
        <v>317382.58</v>
      </c>
    </row>
    <row r="40" spans="1:9" x14ac:dyDescent="0.35">
      <c r="A40" s="19" t="s">
        <v>222</v>
      </c>
      <c r="B40" s="65">
        <v>8091368.8300000001</v>
      </c>
      <c r="C40" s="67">
        <v>-18617</v>
      </c>
      <c r="D40" s="38">
        <f>SUM(B40:C40)</f>
        <v>8072751.8300000001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3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35">
      <c r="A42" s="19" t="s">
        <v>74</v>
      </c>
      <c r="B42" s="65">
        <v>115375.36999999997</v>
      </c>
      <c r="C42" s="24"/>
      <c r="D42" s="38">
        <f t="shared" si="12"/>
        <v>115375.36999999997</v>
      </c>
      <c r="E42" s="19"/>
      <c r="F42" s="19" t="s">
        <v>116</v>
      </c>
      <c r="G42" s="65">
        <v>33064.44</v>
      </c>
      <c r="H42" s="24"/>
      <c r="I42" s="38">
        <f t="shared" si="11"/>
        <v>33064.44</v>
      </c>
    </row>
    <row r="43" spans="1:9" x14ac:dyDescent="0.3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35">
      <c r="A44" s="19" t="s">
        <v>126</v>
      </c>
      <c r="B44" s="66">
        <v>-6602203.5499999998</v>
      </c>
      <c r="C44" s="66">
        <v>10709</v>
      </c>
      <c r="D44" s="39">
        <f t="shared" si="12"/>
        <v>-6591494.5499999998</v>
      </c>
      <c r="E44" s="19"/>
      <c r="F44" s="19" t="s">
        <v>207</v>
      </c>
      <c r="G44" s="66">
        <v>1956512.6200000003</v>
      </c>
      <c r="H44" s="82">
        <f>-1*H36</f>
        <v>1546</v>
      </c>
      <c r="I44" s="39">
        <f t="shared" si="11"/>
        <v>1958058.6200000003</v>
      </c>
    </row>
    <row r="45" spans="1:9" x14ac:dyDescent="0.35">
      <c r="A45" s="19" t="s">
        <v>76</v>
      </c>
      <c r="B45" s="38">
        <f>B40+B41+B42+B43+B44</f>
        <v>1604540.6500000004</v>
      </c>
      <c r="C45" s="38">
        <f t="shared" ref="C45:D45" si="13">C40+C41+C42+C43+C44</f>
        <v>-7908</v>
      </c>
      <c r="D45" s="38">
        <f t="shared" si="13"/>
        <v>1596632.6500000004</v>
      </c>
      <c r="E45" s="19"/>
      <c r="F45" s="19" t="s">
        <v>119</v>
      </c>
      <c r="G45" s="38">
        <f>SUM(G38:G44)</f>
        <v>2332768.8100000005</v>
      </c>
      <c r="H45" s="56">
        <f t="shared" ref="H45:I45" si="14">SUM(H38:H44)</f>
        <v>1546</v>
      </c>
      <c r="I45" s="38">
        <f t="shared" si="14"/>
        <v>2334314.8100000005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2628497.0100000002</v>
      </c>
      <c r="C47" s="40">
        <f t="shared" ref="C47:D47" si="15">C24+C37+C45</f>
        <v>0</v>
      </c>
      <c r="D47" s="40">
        <f t="shared" si="15"/>
        <v>2628497.0100000002</v>
      </c>
      <c r="E47" s="19"/>
      <c r="F47" s="23" t="s">
        <v>120</v>
      </c>
      <c r="G47" s="40">
        <f>G19+G31+G36+G45</f>
        <v>2628497.0100000007</v>
      </c>
      <c r="H47" s="40">
        <f t="shared" ref="H47:I47" si="16">H19+H31+H36+H45</f>
        <v>0</v>
      </c>
      <c r="I47" s="40">
        <f t="shared" si="16"/>
        <v>2628497.0100000007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480-123-110(e)Current Year Balance Sheet</oddHeader>
    <oddFooter>&amp;CPage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workbookViewId="0">
      <selection sqref="A1:I1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3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813146.94</v>
      </c>
      <c r="C10" s="38">
        <f>'PartABalance Sheet(CY) '!D9</f>
        <v>792875.83000000007</v>
      </c>
      <c r="D10" s="19"/>
      <c r="E10" s="19" t="s">
        <v>83</v>
      </c>
      <c r="F10" s="38">
        <f>'PartABalance Sheet(PY)'!I10</f>
        <v>134243.47</v>
      </c>
      <c r="G10" s="38">
        <f>'PartABalance Sheet(CY) '!I9</f>
        <v>188124.97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10836.04</v>
      </c>
      <c r="G12" s="38">
        <f>'PartABalance Sheet(CY) '!I11</f>
        <v>11048.98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24632.39</v>
      </c>
      <c r="C14" s="38">
        <f>'PartABalance Sheet(CY) '!D13</f>
        <v>42986.19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57868.36</v>
      </c>
      <c r="C17" s="38">
        <f>'PartABalance Sheet(CY) '!D16</f>
        <v>51597.87000000001</v>
      </c>
      <c r="D17" s="19"/>
      <c r="E17" s="19" t="s">
        <v>92</v>
      </c>
      <c r="F17" s="38">
        <f>'PartABalance Sheet(PY)'!I17</f>
        <v>-1587.79</v>
      </c>
      <c r="G17" s="38">
        <f>'PartABalance Sheet(CY) '!I16</f>
        <v>-1468.05</v>
      </c>
    </row>
    <row r="18" spans="1:7" x14ac:dyDescent="0.35">
      <c r="A18" s="19" t="s">
        <v>52</v>
      </c>
      <c r="B18" s="38">
        <f>'PartABalance Sheet(PY)'!D18</f>
        <v>56199.83</v>
      </c>
      <c r="C18" s="38">
        <f>'PartABalance Sheet(CY) '!D17</f>
        <v>95184.799999999988</v>
      </c>
      <c r="D18" s="19"/>
      <c r="E18" s="19" t="s">
        <v>93</v>
      </c>
      <c r="F18" s="38">
        <f>'PartABalance Sheet(PY)'!I18</f>
        <v>7835.79</v>
      </c>
      <c r="G18" s="38">
        <f>'PartABalance Sheet(CY) '!I17</f>
        <v>8013.4699999999993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5486.33</v>
      </c>
      <c r="G19" s="39">
        <f>'PartABalance Sheet(CY) '!I18</f>
        <v>4949.2299999999996</v>
      </c>
    </row>
    <row r="20" spans="1:7" x14ac:dyDescent="0.35">
      <c r="A20" s="19" t="s">
        <v>53</v>
      </c>
      <c r="B20" s="38">
        <f>'PartABalance Sheet(PY)'!D20</f>
        <v>145.97</v>
      </c>
      <c r="C20" s="38">
        <f>'PartABalance Sheet(CY) '!D19</f>
        <v>127.24</v>
      </c>
      <c r="D20" s="19"/>
      <c r="E20" s="19" t="s">
        <v>95</v>
      </c>
      <c r="F20" s="42">
        <f>SUM(F10:F19)</f>
        <v>156813.84</v>
      </c>
      <c r="G20" s="41">
        <f>SUM(G10:G19)</f>
        <v>210668.60000000003</v>
      </c>
    </row>
    <row r="21" spans="1:7" x14ac:dyDescent="0.35">
      <c r="A21" s="19" t="s">
        <v>54</v>
      </c>
      <c r="B21" s="38">
        <f>'PartABalance Sheet(PY)'!D21</f>
        <v>8537.67</v>
      </c>
      <c r="C21" s="38">
        <f>'PartABalance Sheet(CY) '!D20</f>
        <v>12496.88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1932.04</v>
      </c>
      <c r="C23" s="38">
        <f>'PartABalance Sheet(CY) '!D22</f>
        <v>1924.75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962463.2</v>
      </c>
      <c r="C25" s="38">
        <f>C10+C11+C13+C14+C15+C17+C18+C19+C20+C21+C22+C23+C24</f>
        <v>997193.55999999994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6219</v>
      </c>
      <c r="C34" s="38">
        <f>'PartABalance Sheet(CY) '!D33</f>
        <v>7908</v>
      </c>
      <c r="D34" s="19"/>
      <c r="E34" s="19" t="s">
        <v>108</v>
      </c>
      <c r="F34" s="38">
        <f>'PartABalance Sheet(PY)'!I34</f>
        <v>-56305.279999999999</v>
      </c>
      <c r="G34" s="38">
        <f>'PartABalance Sheet(CY) '!I33</f>
        <v>-70891.240000000005</v>
      </c>
    </row>
    <row r="35" spans="1:7" x14ac:dyDescent="0.35">
      <c r="A35" s="19" t="s">
        <v>67</v>
      </c>
      <c r="B35" s="38">
        <f>'PartABalance Sheet(PY)'!D35</f>
        <v>30100</v>
      </c>
      <c r="C35" s="38">
        <f>'PartABalance Sheet(CY) '!D34</f>
        <v>26675.309999999998</v>
      </c>
      <c r="D35" s="19"/>
      <c r="E35" s="19" t="s">
        <v>128</v>
      </c>
      <c r="F35" s="38">
        <f>'PartABalance Sheet(PY)'!I35</f>
        <v>201325.33</v>
      </c>
      <c r="G35" s="38">
        <f>'PartABalance Sheet(CY) '!I34</f>
        <v>153956.01999999999</v>
      </c>
    </row>
    <row r="36" spans="1:7" x14ac:dyDescent="0.35">
      <c r="A36" s="19" t="s">
        <v>68</v>
      </c>
      <c r="B36" s="38">
        <f>'PartABalance Sheet(PY)'!D36</f>
        <v>87.82</v>
      </c>
      <c r="C36" s="38">
        <f>'PartABalance Sheet(CY) '!D35</f>
        <v>87.49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448.82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145020.04999999999</v>
      </c>
      <c r="G37" s="38">
        <f>SUM(G34:G36)</f>
        <v>83513.599999999991</v>
      </c>
    </row>
    <row r="38" spans="1:7" x14ac:dyDescent="0.35">
      <c r="A38" s="19" t="s">
        <v>70</v>
      </c>
      <c r="B38" s="38">
        <f>B29+B30+B32+B33+B34+B35+B36+B37</f>
        <v>36406.82</v>
      </c>
      <c r="C38" s="38">
        <f>C29+C30+C32+C33+C34+C35+C36+C37</f>
        <v>34670.799999999996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25906.91</v>
      </c>
      <c r="G39" s="38">
        <f>'PartABalance Sheet(CY) '!I38</f>
        <v>25809.17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318584.48</v>
      </c>
      <c r="G40" s="38">
        <f>'PartABalance Sheet(CY) '!I39</f>
        <v>317382.58</v>
      </c>
    </row>
    <row r="41" spans="1:7" x14ac:dyDescent="0.35">
      <c r="A41" s="19" t="s">
        <v>72</v>
      </c>
      <c r="B41" s="38">
        <f>'PartABalance Sheet(PY)'!D41</f>
        <v>8054864.6699999999</v>
      </c>
      <c r="C41" s="38">
        <f>'PartABalance Sheet(CY) '!D40</f>
        <v>8072751.8300000001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4060.24</v>
      </c>
      <c r="C43" s="38">
        <f>'PartABalance Sheet(CY) '!D42</f>
        <v>115375.36999999997</v>
      </c>
      <c r="D43" s="19"/>
      <c r="E43" s="19" t="s">
        <v>116</v>
      </c>
      <c r="F43" s="38">
        <f>'PartABalance Sheet(PY)'!I43</f>
        <v>26799.21</v>
      </c>
      <c r="G43" s="38">
        <f>'PartABalance Sheet(CY) '!I42</f>
        <v>33064.44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-6240651.7699999996</v>
      </c>
      <c r="C45" s="39">
        <f>'PartABalance Sheet(CY) '!D44</f>
        <v>-6591494.5499999998</v>
      </c>
      <c r="D45" s="19"/>
      <c r="E45" s="19" t="s">
        <v>118</v>
      </c>
      <c r="F45" s="39">
        <f>'PartABalance Sheet(PY)'!I45</f>
        <v>2144018.67</v>
      </c>
      <c r="G45" s="39">
        <f>'PartABalance Sheet(CY) '!I44</f>
        <v>1958058.6200000003</v>
      </c>
    </row>
    <row r="46" spans="1:7" x14ac:dyDescent="0.35">
      <c r="A46" s="19" t="s">
        <v>76</v>
      </c>
      <c r="B46" s="38">
        <f>SUM(B41:B45)</f>
        <v>1818273.1400000006</v>
      </c>
      <c r="C46" s="38">
        <f>SUM(C41:C45)</f>
        <v>1596632.6500000004</v>
      </c>
      <c r="D46" s="19"/>
      <c r="E46" s="19" t="s">
        <v>119</v>
      </c>
      <c r="F46" s="38">
        <f>SUM(F39:F45)</f>
        <v>2515309.27</v>
      </c>
      <c r="G46" s="38">
        <f>SUM(G39:G45)</f>
        <v>2334314.8100000005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2817143.1600000006</v>
      </c>
      <c r="C48" s="40">
        <f>C25+C38+C46</f>
        <v>2628497.0100000002</v>
      </c>
      <c r="D48" s="19"/>
      <c r="E48" s="23" t="s">
        <v>120</v>
      </c>
      <c r="F48" s="40">
        <f>F20+F32+F37+F46</f>
        <v>2817143.16</v>
      </c>
      <c r="G48" s="40">
        <f>G20+G32+G37+G46</f>
        <v>2628497.0100000007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480-123-110(e)Adjusted Prior and Current Year Balance Sheet</oddHeader>
    <oddFooter>&amp;CPage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workbookViewId="0">
      <selection sqref="A1:I1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3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4">
        <f>'PartABalance Sheet (Summary)'!B41</f>
        <v>8054864.6699999999</v>
      </c>
      <c r="D10" s="74">
        <f>'PartABalance Sheet (Summary)'!C41</f>
        <v>8072751.8300000001</v>
      </c>
      <c r="E10" s="74">
        <f>(C10+D10)/2</f>
        <v>8063808.25</v>
      </c>
    </row>
    <row r="11" spans="1:5" x14ac:dyDescent="0.35">
      <c r="A11" s="19" t="s">
        <v>228</v>
      </c>
      <c r="B11" s="11">
        <v>19</v>
      </c>
      <c r="C11" s="74">
        <f>'PartABalance Sheet (Summary)'!B42</f>
        <v>0</v>
      </c>
      <c r="D11" s="74">
        <f>'PartABalance Sheet (Summary)'!C42</f>
        <v>0</v>
      </c>
      <c r="E11" s="74">
        <f>(C11+D11)/2</f>
        <v>0</v>
      </c>
    </row>
    <row r="12" spans="1:5" x14ac:dyDescent="0.35">
      <c r="A12" s="19" t="s">
        <v>143</v>
      </c>
      <c r="B12" s="11">
        <v>22</v>
      </c>
      <c r="C12" s="74">
        <f>'PartABalance Sheet (Summary)'!B45</f>
        <v>-6240651.7699999996</v>
      </c>
      <c r="D12" s="74">
        <f>'PartABalance Sheet (Summary)'!C45</f>
        <v>-6591494.5499999998</v>
      </c>
      <c r="E12" s="74">
        <f t="shared" ref="E12:E15" si="0">(C12+D12)/2</f>
        <v>-6416073.1600000001</v>
      </c>
    </row>
    <row r="13" spans="1:5" x14ac:dyDescent="0.35">
      <c r="A13" s="19" t="s">
        <v>142</v>
      </c>
      <c r="B13" s="11">
        <v>6</v>
      </c>
      <c r="C13" s="74">
        <f>'PartABalance Sheet (Summary)'!B21</f>
        <v>8537.67</v>
      </c>
      <c r="D13" s="74">
        <f>'PartABalance Sheet (Summary)'!C21</f>
        <v>12496.88</v>
      </c>
      <c r="E13" s="74">
        <f t="shared" si="0"/>
        <v>10517.275</v>
      </c>
    </row>
    <row r="14" spans="1:5" x14ac:dyDescent="0.35">
      <c r="A14" s="19" t="s">
        <v>144</v>
      </c>
      <c r="B14" s="19"/>
      <c r="C14" s="65">
        <v>-180979.98</v>
      </c>
      <c r="D14" s="65">
        <v>-129422.26999999999</v>
      </c>
      <c r="E14" s="65">
        <f t="shared" si="0"/>
        <v>-155201.125</v>
      </c>
    </row>
    <row r="15" spans="1:5" ht="15" thickBot="1" x14ac:dyDescent="0.4">
      <c r="A15" s="19" t="s">
        <v>213</v>
      </c>
      <c r="B15" s="19"/>
      <c r="C15" s="80">
        <f>SUM(C10:C14)</f>
        <v>1641770.5900000003</v>
      </c>
      <c r="D15" s="80">
        <f>SUM(D10:D14)</f>
        <v>1364331.8900000001</v>
      </c>
      <c r="E15" s="81">
        <f t="shared" si="0"/>
        <v>1503051.2400000002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orientation="landscape" r:id="rId1"/>
  <headerFooter>
    <oddHeader>&amp;L&amp;"-,Bold"2014 State USF Petition Filing Requirement - WAC 480-123-110(e)Prior and Current Year Rate Base</oddHeader>
    <oddFooter>&amp;CPage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workbookViewId="0">
      <selection sqref="A1:I1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3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898</v>
      </c>
      <c r="C10" s="65">
        <v>855</v>
      </c>
      <c r="D10" s="38">
        <f>C10-B10</f>
        <v>-43</v>
      </c>
      <c r="E10" s="44">
        <f>D10/B10</f>
        <v>-4.7884187082405348E-2</v>
      </c>
    </row>
    <row r="11" spans="1:5" x14ac:dyDescent="0.35">
      <c r="A11" s="19" t="s">
        <v>153</v>
      </c>
      <c r="B11" s="65">
        <v>156</v>
      </c>
      <c r="C11" s="65">
        <v>156</v>
      </c>
      <c r="D11" s="38">
        <f>C11-B11</f>
        <v>0</v>
      </c>
      <c r="E11" s="44">
        <f t="shared" ref="E11:E12" si="0">D11/B11</f>
        <v>0</v>
      </c>
    </row>
    <row r="12" spans="1:5" ht="15" thickBot="1" x14ac:dyDescent="0.4">
      <c r="A12" s="19" t="s">
        <v>154</v>
      </c>
      <c r="B12" s="40">
        <f>SUM(B10:B11)</f>
        <v>1054</v>
      </c>
      <c r="C12" s="40">
        <f t="shared" ref="C12:D12" si="1">SUM(C10:C11)</f>
        <v>1011</v>
      </c>
      <c r="D12" s="40">
        <f t="shared" si="1"/>
        <v>-43</v>
      </c>
      <c r="E12" s="45">
        <f t="shared" si="0"/>
        <v>-4.0796963946869068E-2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447</v>
      </c>
      <c r="C18" s="68">
        <v>450</v>
      </c>
      <c r="D18" s="40">
        <f>C18-B18</f>
        <v>3</v>
      </c>
      <c r="E18" s="45">
        <f>D18/B18</f>
        <v>6.7114093959731542E-3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3"/>
      <c r="C24" s="83"/>
      <c r="D24" s="43"/>
      <c r="E24" s="15"/>
    </row>
    <row r="25" spans="1:5" ht="15" thickBot="1" x14ac:dyDescent="0.4">
      <c r="A25" s="19" t="s">
        <v>156</v>
      </c>
      <c r="B25" s="68">
        <v>59001</v>
      </c>
      <c r="C25" s="68">
        <v>150060</v>
      </c>
      <c r="D25" s="40">
        <f>C25-B25</f>
        <v>91059</v>
      </c>
      <c r="E25" s="45">
        <f>D25/B25</f>
        <v>1.5433467229368993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87" orientation="portrait" r:id="rId1"/>
  <headerFooter>
    <oddHeader>&amp;L&amp;"-,Bold"2014 State USF Petition Filing Requirement - WAC 480-123-110(e)Statistics - Prior and Current Year</oddHeader>
    <oddFooter>&amp;CPage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sqref="A1:I1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3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5">
        <v>318141.16999999993</v>
      </c>
      <c r="D11" s="33"/>
      <c r="E11" s="38">
        <f>SUM(C11:D11)</f>
        <v>318141.16999999993</v>
      </c>
    </row>
    <row r="12" spans="1:5" x14ac:dyDescent="0.35">
      <c r="A12" s="11">
        <v>2</v>
      </c>
      <c r="B12" s="19" t="s">
        <v>5</v>
      </c>
      <c r="C12" s="65">
        <v>672227.99</v>
      </c>
      <c r="D12" s="24"/>
      <c r="E12" s="38">
        <f t="shared" ref="E12:E16" si="0">SUM(C12:D12)</f>
        <v>672227.99</v>
      </c>
    </row>
    <row r="13" spans="1:5" x14ac:dyDescent="0.35">
      <c r="A13" s="11">
        <v>3</v>
      </c>
      <c r="B13" s="19" t="s">
        <v>6</v>
      </c>
      <c r="C13" s="65">
        <v>-18.399999999999999</v>
      </c>
      <c r="D13" s="65">
        <v>0</v>
      </c>
      <c r="E13" s="38">
        <f t="shared" si="0"/>
        <v>-18.399999999999999</v>
      </c>
    </row>
    <row r="14" spans="1:5" x14ac:dyDescent="0.35">
      <c r="A14" s="11">
        <v>4</v>
      </c>
      <c r="B14" s="19" t="s">
        <v>7</v>
      </c>
      <c r="C14" s="65">
        <v>41907.11</v>
      </c>
      <c r="D14" s="65">
        <v>0</v>
      </c>
      <c r="E14" s="38">
        <f t="shared" si="0"/>
        <v>41907.11</v>
      </c>
    </row>
    <row r="15" spans="1:5" x14ac:dyDescent="0.35">
      <c r="A15" s="11">
        <v>5</v>
      </c>
      <c r="B15" s="19" t="s">
        <v>8</v>
      </c>
      <c r="C15" s="65">
        <v>20830.320000000003</v>
      </c>
      <c r="D15" s="65">
        <v>0</v>
      </c>
      <c r="E15" s="38">
        <f t="shared" si="0"/>
        <v>20830.320000000003</v>
      </c>
    </row>
    <row r="16" spans="1:5" x14ac:dyDescent="0.35">
      <c r="A16" s="11">
        <v>6</v>
      </c>
      <c r="B16" s="19" t="s">
        <v>182</v>
      </c>
      <c r="C16" s="65">
        <v>-551.93000000000029</v>
      </c>
      <c r="D16" s="65">
        <v>0</v>
      </c>
      <c r="E16" s="38">
        <f t="shared" si="0"/>
        <v>-551.93000000000029</v>
      </c>
    </row>
    <row r="17" spans="1:6" x14ac:dyDescent="0.35">
      <c r="A17" s="11">
        <v>7</v>
      </c>
      <c r="B17" s="23" t="s">
        <v>181</v>
      </c>
      <c r="C17" s="46">
        <f>SUM(C11:C16)</f>
        <v>1052536.26</v>
      </c>
      <c r="D17" s="46">
        <f t="shared" ref="D17:E17" si="1">SUM(D11:D16)</f>
        <v>0</v>
      </c>
      <c r="E17" s="46">
        <f t="shared" si="1"/>
        <v>1052536.26</v>
      </c>
      <c r="F17" s="1"/>
    </row>
    <row r="18" spans="1:6" x14ac:dyDescent="0.35">
      <c r="A18" s="11">
        <v>8</v>
      </c>
      <c r="B18" s="19" t="s">
        <v>9</v>
      </c>
      <c r="C18" s="65">
        <v>282565.88</v>
      </c>
      <c r="D18" s="65">
        <v>-40899</v>
      </c>
      <c r="E18" s="47">
        <f>SUM(C18:D18)</f>
        <v>241666.88</v>
      </c>
    </row>
    <row r="19" spans="1:6" x14ac:dyDescent="0.35">
      <c r="A19" s="11">
        <v>9</v>
      </c>
      <c r="B19" s="19" t="s">
        <v>44</v>
      </c>
      <c r="C19" s="65">
        <v>125408.18</v>
      </c>
      <c r="D19" s="65">
        <v>-14138</v>
      </c>
      <c r="E19" s="47">
        <f t="shared" ref="E19:E24" si="2">SUM(C19:D19)</f>
        <v>111270.18</v>
      </c>
    </row>
    <row r="20" spans="1:6" x14ac:dyDescent="0.35">
      <c r="A20" s="11">
        <v>10</v>
      </c>
      <c r="B20" s="19" t="s">
        <v>10</v>
      </c>
      <c r="C20" s="65">
        <v>484951.77</v>
      </c>
      <c r="D20" s="65">
        <v>-79950</v>
      </c>
      <c r="E20" s="47">
        <f t="shared" si="2"/>
        <v>405001.77</v>
      </c>
    </row>
    <row r="21" spans="1:6" x14ac:dyDescent="0.35">
      <c r="A21" s="11">
        <v>11</v>
      </c>
      <c r="B21" s="19" t="s">
        <v>11</v>
      </c>
      <c r="C21" s="65">
        <v>16390.129999999997</v>
      </c>
      <c r="D21" s="65">
        <v>-1428</v>
      </c>
      <c r="E21" s="47">
        <f t="shared" si="2"/>
        <v>14962.129999999997</v>
      </c>
    </row>
    <row r="22" spans="1:6" x14ac:dyDescent="0.35">
      <c r="A22" s="11">
        <v>12</v>
      </c>
      <c r="B22" s="19" t="s">
        <v>12</v>
      </c>
      <c r="C22" s="65">
        <v>101771.85</v>
      </c>
      <c r="D22" s="65">
        <v>-8240</v>
      </c>
      <c r="E22" s="47">
        <f t="shared" si="2"/>
        <v>93531.85</v>
      </c>
    </row>
    <row r="23" spans="1:6" x14ac:dyDescent="0.35">
      <c r="A23" s="11">
        <v>13</v>
      </c>
      <c r="B23" s="19" t="s">
        <v>13</v>
      </c>
      <c r="C23" s="65">
        <v>156184.26999999999</v>
      </c>
      <c r="D23" s="65">
        <v>-21724</v>
      </c>
      <c r="E23" s="47">
        <f t="shared" si="2"/>
        <v>134460.26999999999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156184.26999999999</v>
      </c>
      <c r="D25" s="38">
        <f t="shared" ref="D25:E25" si="3">SUM(D23:D24)</f>
        <v>-21724</v>
      </c>
      <c r="E25" s="47">
        <f t="shared" si="3"/>
        <v>134460.26999999999</v>
      </c>
    </row>
    <row r="26" spans="1:6" x14ac:dyDescent="0.35">
      <c r="A26" s="11">
        <v>14</v>
      </c>
      <c r="B26" s="23" t="s">
        <v>180</v>
      </c>
      <c r="C26" s="46">
        <f>C18+C19+C20+C21+C22+C25</f>
        <v>1167272.08</v>
      </c>
      <c r="D26" s="46">
        <f t="shared" ref="D26:E26" si="4">D18+D19+D20+D21+D22+D25</f>
        <v>-166379</v>
      </c>
      <c r="E26" s="49">
        <f t="shared" si="4"/>
        <v>1000893.0800000001</v>
      </c>
      <c r="F26" s="1"/>
    </row>
    <row r="27" spans="1:6" x14ac:dyDescent="0.35">
      <c r="A27" s="11">
        <v>15</v>
      </c>
      <c r="B27" s="19" t="s">
        <v>18</v>
      </c>
      <c r="C27" s="38">
        <f>C17-C26</f>
        <v>-114735.82000000007</v>
      </c>
      <c r="D27" s="38">
        <f t="shared" ref="D27:E27" si="5">D17-D26</f>
        <v>166379</v>
      </c>
      <c r="E27" s="38">
        <f t="shared" si="5"/>
        <v>51643.179999999935</v>
      </c>
    </row>
    <row r="28" spans="1:6" x14ac:dyDescent="0.35">
      <c r="A28" s="11">
        <v>16</v>
      </c>
      <c r="B28" s="19" t="s">
        <v>184</v>
      </c>
      <c r="C28" s="85">
        <v>385</v>
      </c>
      <c r="D28" s="24"/>
      <c r="E28" s="38">
        <f>SUM(C28:D28)</f>
        <v>385</v>
      </c>
    </row>
    <row r="29" spans="1:6" x14ac:dyDescent="0.35">
      <c r="A29" s="11">
        <v>17</v>
      </c>
      <c r="B29" s="19" t="s">
        <v>14</v>
      </c>
      <c r="C29" s="65">
        <v>0</v>
      </c>
      <c r="D29" s="65">
        <v>0</v>
      </c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-57058.61</v>
      </c>
      <c r="D30" s="65">
        <v>60866</v>
      </c>
      <c r="E30" s="38">
        <f t="shared" si="6"/>
        <v>3807.3899999999994</v>
      </c>
    </row>
    <row r="31" spans="1:6" x14ac:dyDescent="0.35">
      <c r="A31" s="11">
        <v>19</v>
      </c>
      <c r="B31" s="19" t="s">
        <v>17</v>
      </c>
      <c r="C31" s="65">
        <v>48393.41</v>
      </c>
      <c r="D31" s="66">
        <v>-7524</v>
      </c>
      <c r="E31" s="38">
        <f t="shared" si="6"/>
        <v>40869.410000000003</v>
      </c>
    </row>
    <row r="32" spans="1:6" x14ac:dyDescent="0.35">
      <c r="A32" s="11">
        <v>20</v>
      </c>
      <c r="B32" s="19" t="s">
        <v>16</v>
      </c>
      <c r="C32" s="43">
        <f>SUM(C29:C31)</f>
        <v>-8665.1999999999971</v>
      </c>
      <c r="D32" s="43">
        <f t="shared" ref="D32:E32" si="7">SUM(D29:D31)</f>
        <v>53342</v>
      </c>
      <c r="E32" s="50">
        <f t="shared" si="7"/>
        <v>44676.800000000003</v>
      </c>
    </row>
    <row r="33" spans="1:5" x14ac:dyDescent="0.35">
      <c r="A33" s="11">
        <v>21</v>
      </c>
      <c r="B33" s="19" t="s">
        <v>27</v>
      </c>
      <c r="C33" s="43">
        <f>C27+C28-C32</f>
        <v>-105685.62000000007</v>
      </c>
      <c r="D33" s="43">
        <f>D27+D28-D32</f>
        <v>113037</v>
      </c>
      <c r="E33" s="50">
        <f>E27+E28-E32</f>
        <v>7351.3799999999319</v>
      </c>
    </row>
    <row r="34" spans="1:5" x14ac:dyDescent="0.35">
      <c r="A34" s="11">
        <v>22</v>
      </c>
      <c r="B34" s="19" t="s">
        <v>19</v>
      </c>
      <c r="C34" s="65">
        <v>0</v>
      </c>
      <c r="D34" s="24"/>
      <c r="E34" s="38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2.1800000000000002</v>
      </c>
      <c r="D36" s="24"/>
      <c r="E36" s="38">
        <f t="shared" si="8"/>
        <v>2.1800000000000002</v>
      </c>
    </row>
    <row r="37" spans="1:5" x14ac:dyDescent="0.3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2.1800000000000002</v>
      </c>
      <c r="D38" s="51">
        <f t="shared" ref="D38:E38" si="9">SUM(D34:D37)</f>
        <v>0</v>
      </c>
      <c r="E38" s="50">
        <f t="shared" si="9"/>
        <v>2.1800000000000002</v>
      </c>
    </row>
    <row r="39" spans="1:5" x14ac:dyDescent="0.35">
      <c r="A39" s="11">
        <v>27</v>
      </c>
      <c r="B39" s="19" t="s">
        <v>23</v>
      </c>
      <c r="C39" s="65">
        <v>2370.59</v>
      </c>
      <c r="D39" s="24"/>
      <c r="E39" s="38">
        <f>SUM(C39:D39)</f>
        <v>2370.59</v>
      </c>
    </row>
    <row r="40" spans="1:5" x14ac:dyDescent="0.3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46762.94</v>
      </c>
      <c r="D42" s="74">
        <f>-1*D33</f>
        <v>-113037</v>
      </c>
      <c r="E42" s="38">
        <f t="shared" si="10"/>
        <v>-66274.06</v>
      </c>
    </row>
    <row r="43" spans="1:5" x14ac:dyDescent="0.35">
      <c r="A43" s="11">
        <v>31</v>
      </c>
      <c r="B43" s="19" t="s">
        <v>26</v>
      </c>
      <c r="C43" s="43">
        <f>C33-C38+C39+C40+C41+C42</f>
        <v>-56554.270000000062</v>
      </c>
      <c r="D43" s="43">
        <f t="shared" ref="D43:E43" si="11">D33-D38+D39+D40+D41+D42</f>
        <v>0</v>
      </c>
      <c r="E43" s="50">
        <f t="shared" si="11"/>
        <v>-56554.270000000062</v>
      </c>
    </row>
    <row r="44" spans="1:5" x14ac:dyDescent="0.35">
      <c r="A44" s="11">
        <v>32</v>
      </c>
      <c r="B44" s="19" t="s">
        <v>28</v>
      </c>
      <c r="C44" s="65">
        <v>-30901.35</v>
      </c>
      <c r="D44" s="65"/>
      <c r="E44" s="38">
        <f>SUM(C44:D44)</f>
        <v>-30901.35</v>
      </c>
    </row>
    <row r="45" spans="1:5" x14ac:dyDescent="0.35">
      <c r="A45" s="11">
        <v>33</v>
      </c>
      <c r="B45" s="19" t="s">
        <v>29</v>
      </c>
      <c r="C45" s="86">
        <v>2429358.2000000002</v>
      </c>
      <c r="D45" s="24"/>
      <c r="E45" s="38">
        <f t="shared" ref="E45:E50" si="12">SUM(C45:D45)</f>
        <v>2429358.2000000002</v>
      </c>
    </row>
    <row r="46" spans="1:5" x14ac:dyDescent="0.35">
      <c r="A46" s="11">
        <v>34</v>
      </c>
      <c r="B46" s="19" t="s">
        <v>30</v>
      </c>
      <c r="C46" s="65">
        <v>192751</v>
      </c>
      <c r="D46" s="24"/>
      <c r="E46" s="38">
        <f t="shared" si="12"/>
        <v>192751</v>
      </c>
    </row>
    <row r="47" spans="1:5" x14ac:dyDescent="0.35">
      <c r="A47" s="11">
        <v>35</v>
      </c>
      <c r="B47" s="19" t="s">
        <v>31</v>
      </c>
      <c r="C47" s="65">
        <v>421536.12</v>
      </c>
      <c r="D47" s="24"/>
      <c r="E47" s="38">
        <f t="shared" si="12"/>
        <v>421536.12</v>
      </c>
    </row>
    <row r="48" spans="1:5" x14ac:dyDescent="0.3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2144018.81</v>
      </c>
      <c r="D51" s="51">
        <f t="shared" ref="D51:E51" si="13">(D43+D45+D46)-(D47+D48+D49+D50)</f>
        <v>0</v>
      </c>
      <c r="E51" s="50">
        <f t="shared" si="13"/>
        <v>2144018.81</v>
      </c>
    </row>
    <row r="52" spans="1:5" x14ac:dyDescent="0.3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0</v>
      </c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0.62445827757040895</v>
      </c>
      <c r="D57" s="58" t="e">
        <f>((D26+D32-D20-D21)/D17)</f>
        <v>#DIV/0!</v>
      </c>
      <c r="E57" s="58">
        <f>((E26+E32-E20-E21)/E17)</f>
        <v>0.59437950384721194</v>
      </c>
    </row>
    <row r="58" spans="1:5" x14ac:dyDescent="0.35">
      <c r="A58" s="11">
        <v>46</v>
      </c>
      <c r="B58" s="19" t="s">
        <v>41</v>
      </c>
      <c r="C58" s="58">
        <f>((C26+C32+C38)/C17)</f>
        <v>1.1007782857761119</v>
      </c>
      <c r="D58" s="58" t="e">
        <f>((D26+D32+D38)/D17)</f>
        <v>#DIV/0!</v>
      </c>
      <c r="E58" s="58">
        <f>((E26+E32+E38)/E17)</f>
        <v>0.99338341084800263</v>
      </c>
    </row>
    <row r="59" spans="1:5" x14ac:dyDescent="0.35">
      <c r="A59" s="11">
        <v>47</v>
      </c>
      <c r="B59" s="19" t="s">
        <v>42</v>
      </c>
      <c r="C59" s="58">
        <f>((C43+C38)/C38)</f>
        <v>-25941.325688073422</v>
      </c>
      <c r="D59" s="58" t="e">
        <f t="shared" ref="D59:E59" si="16">((D43+D38)/D38)</f>
        <v>#DIV/0!</v>
      </c>
      <c r="E59" s="58">
        <f t="shared" si="16"/>
        <v>-25941.325688073422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  <c r="C63" s="87"/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480-123-110(e)Prior year Adjusted Income Statement</oddHeader>
    <oddFooter>&amp;CPage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workbookViewId="0">
      <selection sqref="A1:I1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3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311633.12000000017</v>
      </c>
      <c r="D11" s="33"/>
      <c r="E11" s="38">
        <f>SUM(C11:D11)</f>
        <v>311633.12000000017</v>
      </c>
    </row>
    <row r="12" spans="1:5" x14ac:dyDescent="0.35">
      <c r="A12" s="11">
        <v>2</v>
      </c>
      <c r="B12" s="19" t="s">
        <v>5</v>
      </c>
      <c r="C12" s="65">
        <v>772778.67</v>
      </c>
      <c r="D12" s="24"/>
      <c r="E12" s="38">
        <f t="shared" ref="E12:E16" si="0">SUM(C12:D12)</f>
        <v>772778.67</v>
      </c>
    </row>
    <row r="13" spans="1:5" x14ac:dyDescent="0.35">
      <c r="A13" s="11">
        <v>3</v>
      </c>
      <c r="B13" s="19" t="s">
        <v>6</v>
      </c>
      <c r="C13" s="65">
        <v>6.81</v>
      </c>
      <c r="D13" s="65">
        <v>0</v>
      </c>
      <c r="E13" s="38">
        <f t="shared" si="0"/>
        <v>6.81</v>
      </c>
    </row>
    <row r="14" spans="1:5" x14ac:dyDescent="0.35">
      <c r="A14" s="11">
        <v>4</v>
      </c>
      <c r="B14" s="19" t="s">
        <v>7</v>
      </c>
      <c r="C14" s="65">
        <v>36889.240000000005</v>
      </c>
      <c r="D14" s="65">
        <v>0</v>
      </c>
      <c r="E14" s="38">
        <f t="shared" si="0"/>
        <v>36889.240000000005</v>
      </c>
    </row>
    <row r="15" spans="1:5" x14ac:dyDescent="0.35">
      <c r="A15" s="11">
        <v>5</v>
      </c>
      <c r="B15" s="19" t="s">
        <v>8</v>
      </c>
      <c r="C15" s="65">
        <v>19259.730000000003</v>
      </c>
      <c r="D15" s="65">
        <v>0</v>
      </c>
      <c r="E15" s="38">
        <f t="shared" si="0"/>
        <v>19259.730000000003</v>
      </c>
    </row>
    <row r="16" spans="1:5" x14ac:dyDescent="0.35">
      <c r="A16" s="11">
        <v>6</v>
      </c>
      <c r="B16" s="19" t="s">
        <v>182</v>
      </c>
      <c r="C16" s="65">
        <v>569.67999999999984</v>
      </c>
      <c r="D16" s="65">
        <v>0</v>
      </c>
      <c r="E16" s="38">
        <f t="shared" si="0"/>
        <v>569.67999999999984</v>
      </c>
    </row>
    <row r="17" spans="1:6" x14ac:dyDescent="0.35">
      <c r="A17" s="11">
        <v>7</v>
      </c>
      <c r="B17" s="23" t="s">
        <v>181</v>
      </c>
      <c r="C17" s="46">
        <f>SUM(C11:C16)</f>
        <v>1141137.2500000002</v>
      </c>
      <c r="D17" s="52">
        <f t="shared" ref="D17:E17" si="1">SUM(D11:D16)</f>
        <v>0</v>
      </c>
      <c r="E17" s="49">
        <f t="shared" si="1"/>
        <v>1141137.2500000002</v>
      </c>
      <c r="F17" s="1"/>
    </row>
    <row r="18" spans="1:6" x14ac:dyDescent="0.35">
      <c r="A18" s="11">
        <v>8</v>
      </c>
      <c r="B18" s="19" t="s">
        <v>9</v>
      </c>
      <c r="C18" s="65">
        <v>276135.78000000003</v>
      </c>
      <c r="D18" s="65">
        <v>-31866</v>
      </c>
      <c r="E18" s="47">
        <f>SUM(C18:D18)</f>
        <v>244269.78000000003</v>
      </c>
    </row>
    <row r="19" spans="1:6" x14ac:dyDescent="0.35">
      <c r="A19" s="11">
        <v>9</v>
      </c>
      <c r="B19" s="19" t="s">
        <v>44</v>
      </c>
      <c r="C19" s="65">
        <v>123989.18000000001</v>
      </c>
      <c r="D19" s="65">
        <v>-12628</v>
      </c>
      <c r="E19" s="47">
        <f t="shared" ref="E19:E24" si="2">SUM(C19:D19)</f>
        <v>111361.18000000001</v>
      </c>
    </row>
    <row r="20" spans="1:6" x14ac:dyDescent="0.35">
      <c r="A20" s="11">
        <v>10</v>
      </c>
      <c r="B20" s="19" t="s">
        <v>10</v>
      </c>
      <c r="C20" s="65">
        <v>366717.51</v>
      </c>
      <c r="D20" s="65">
        <v>-55230</v>
      </c>
      <c r="E20" s="47">
        <f t="shared" si="2"/>
        <v>311487.51</v>
      </c>
    </row>
    <row r="21" spans="1:6" x14ac:dyDescent="0.35">
      <c r="A21" s="11">
        <v>11</v>
      </c>
      <c r="B21" s="19" t="s">
        <v>11</v>
      </c>
      <c r="C21" s="65">
        <v>15016.9</v>
      </c>
      <c r="D21" s="65">
        <v>-1781</v>
      </c>
      <c r="E21" s="47">
        <f t="shared" si="2"/>
        <v>13235.9</v>
      </c>
    </row>
    <row r="22" spans="1:6" x14ac:dyDescent="0.35">
      <c r="A22" s="11">
        <v>12</v>
      </c>
      <c r="B22" s="19" t="s">
        <v>12</v>
      </c>
      <c r="C22" s="65">
        <v>109817.59</v>
      </c>
      <c r="D22" s="65">
        <v>-7831</v>
      </c>
      <c r="E22" s="47">
        <f t="shared" si="2"/>
        <v>101986.59</v>
      </c>
    </row>
    <row r="23" spans="1:6" x14ac:dyDescent="0.35">
      <c r="A23" s="11">
        <v>13</v>
      </c>
      <c r="B23" s="19" t="s">
        <v>13</v>
      </c>
      <c r="C23" s="65">
        <v>158690.18</v>
      </c>
      <c r="D23" s="65">
        <v>-16464</v>
      </c>
      <c r="E23" s="47">
        <f t="shared" si="2"/>
        <v>142226.18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158690.18</v>
      </c>
      <c r="D25" s="38">
        <f t="shared" ref="D25:E25" si="3">SUM(D23:D24)</f>
        <v>-16464</v>
      </c>
      <c r="E25" s="47">
        <f t="shared" si="3"/>
        <v>142226.18</v>
      </c>
    </row>
    <row r="26" spans="1:6" x14ac:dyDescent="0.35">
      <c r="A26" s="11">
        <v>14</v>
      </c>
      <c r="B26" s="23" t="s">
        <v>180</v>
      </c>
      <c r="C26" s="46">
        <f>C18+C19+C20+C21+C22+C25</f>
        <v>1050367.1399999999</v>
      </c>
      <c r="D26" s="46">
        <f t="shared" ref="D26:E26" si="4">D18+D19+D20+D21+D22+D25</f>
        <v>-125800</v>
      </c>
      <c r="E26" s="49">
        <f t="shared" si="4"/>
        <v>924567.1399999999</v>
      </c>
      <c r="F26" s="1"/>
    </row>
    <row r="27" spans="1:6" x14ac:dyDescent="0.35">
      <c r="A27" s="11">
        <v>15</v>
      </c>
      <c r="B27" s="19" t="s">
        <v>18</v>
      </c>
      <c r="C27" s="38">
        <f>C17-C26</f>
        <v>90770.110000000335</v>
      </c>
      <c r="D27" s="38">
        <f t="shared" ref="D27:E27" si="5">D17-D26</f>
        <v>125800</v>
      </c>
      <c r="E27" s="47">
        <f t="shared" si="5"/>
        <v>216570.11000000034</v>
      </c>
    </row>
    <row r="28" spans="1:6" x14ac:dyDescent="0.35">
      <c r="A28" s="11">
        <v>16</v>
      </c>
      <c r="B28" s="19" t="s">
        <v>184</v>
      </c>
      <c r="C28" s="65">
        <v>-1311.0899999999965</v>
      </c>
      <c r="D28" s="24"/>
      <c r="E28" s="47">
        <f>SUM(C28:D28)</f>
        <v>-1311.0899999999965</v>
      </c>
    </row>
    <row r="29" spans="1:6" x14ac:dyDescent="0.35">
      <c r="A29" s="11">
        <v>17</v>
      </c>
      <c r="B29" s="19" t="s">
        <v>14</v>
      </c>
      <c r="C29" s="65">
        <v>0</v>
      </c>
      <c r="D29" s="65">
        <v>0</v>
      </c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14669.380000000005</v>
      </c>
      <c r="D30" s="86">
        <v>45822</v>
      </c>
      <c r="E30" s="47">
        <f t="shared" si="6"/>
        <v>60491.380000000005</v>
      </c>
    </row>
    <row r="31" spans="1:6" x14ac:dyDescent="0.35">
      <c r="A31" s="11">
        <v>19</v>
      </c>
      <c r="B31" s="19" t="s">
        <v>17</v>
      </c>
      <c r="C31" s="65">
        <v>48009.99</v>
      </c>
      <c r="D31" s="66">
        <v>-5121</v>
      </c>
      <c r="E31" s="47">
        <f t="shared" si="6"/>
        <v>42888.99</v>
      </c>
    </row>
    <row r="32" spans="1:6" x14ac:dyDescent="0.35">
      <c r="A32" s="11">
        <v>20</v>
      </c>
      <c r="B32" s="19" t="s">
        <v>16</v>
      </c>
      <c r="C32" s="43">
        <f>SUM(C29:C31)</f>
        <v>62679.37</v>
      </c>
      <c r="D32" s="43">
        <f t="shared" ref="D32:E32" si="7">SUM(D29:D31)</f>
        <v>40701</v>
      </c>
      <c r="E32" s="50">
        <f t="shared" si="7"/>
        <v>103380.37</v>
      </c>
    </row>
    <row r="33" spans="1:5" x14ac:dyDescent="0.35">
      <c r="A33" s="11">
        <v>21</v>
      </c>
      <c r="B33" s="19" t="s">
        <v>27</v>
      </c>
      <c r="C33" s="43">
        <f>C27+C28-C32</f>
        <v>26779.650000000336</v>
      </c>
      <c r="D33" s="43">
        <f>D27+D28-D32</f>
        <v>85099</v>
      </c>
      <c r="E33" s="50">
        <f>E27+E28-E32</f>
        <v>111878.65000000034</v>
      </c>
    </row>
    <row r="34" spans="1:5" x14ac:dyDescent="0.3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-1.28</v>
      </c>
      <c r="D36" s="53"/>
      <c r="E36" s="47">
        <f t="shared" si="8"/>
        <v>-1.28</v>
      </c>
    </row>
    <row r="37" spans="1:5" x14ac:dyDescent="0.3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-1.28</v>
      </c>
      <c r="D38" s="51">
        <f t="shared" ref="D38:E38" si="9">SUM(D34:D37)</f>
        <v>0</v>
      </c>
      <c r="E38" s="50">
        <f t="shared" si="9"/>
        <v>-1.28</v>
      </c>
    </row>
    <row r="39" spans="1:5" x14ac:dyDescent="0.35">
      <c r="A39" s="11">
        <v>27</v>
      </c>
      <c r="B39" s="19" t="s">
        <v>23</v>
      </c>
      <c r="C39" s="65">
        <v>1069.58</v>
      </c>
      <c r="D39" s="53"/>
      <c r="E39" s="54">
        <f>SUM(C39:D39)</f>
        <v>1069.58</v>
      </c>
    </row>
    <row r="40" spans="1:5" x14ac:dyDescent="0.3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58387.379999999961</v>
      </c>
      <c r="D42" s="77">
        <f>-1*D33</f>
        <v>-85099</v>
      </c>
      <c r="E42" s="54">
        <f t="shared" si="10"/>
        <v>-26711.620000000039</v>
      </c>
    </row>
    <row r="43" spans="1:5" x14ac:dyDescent="0.35">
      <c r="A43" s="11">
        <v>31</v>
      </c>
      <c r="B43" s="19" t="s">
        <v>26</v>
      </c>
      <c r="C43" s="43">
        <f>C33-C38+C39+C40+C41+C42</f>
        <v>86237.890000000305</v>
      </c>
      <c r="D43" s="43">
        <f t="shared" ref="D43:E43" si="11">D33-D38+D39+D40+D41+D42</f>
        <v>0</v>
      </c>
      <c r="E43" s="50">
        <f t="shared" si="11"/>
        <v>86237.890000000305</v>
      </c>
    </row>
    <row r="44" spans="1:5" x14ac:dyDescent="0.35">
      <c r="A44" s="11">
        <v>32</v>
      </c>
      <c r="B44" s="19" t="s">
        <v>28</v>
      </c>
      <c r="C44" s="65">
        <v>47005.290000000008</v>
      </c>
      <c r="D44" s="65"/>
      <c r="E44" s="54">
        <f>SUM(C44:D44)</f>
        <v>47005.290000000008</v>
      </c>
    </row>
    <row r="45" spans="1:5" x14ac:dyDescent="0.35">
      <c r="A45" s="11">
        <v>33</v>
      </c>
      <c r="B45" s="19" t="s">
        <v>29</v>
      </c>
      <c r="C45" s="65">
        <v>2163260</v>
      </c>
      <c r="D45" s="53"/>
      <c r="E45" s="54">
        <f t="shared" ref="E45:E50" si="12">SUM(C45:D45)</f>
        <v>2163260</v>
      </c>
    </row>
    <row r="46" spans="1:5" x14ac:dyDescent="0.35">
      <c r="A46" s="11">
        <v>34</v>
      </c>
      <c r="B46" s="19" t="s">
        <v>30</v>
      </c>
      <c r="C46" s="65">
        <v>47142</v>
      </c>
      <c r="D46" s="53"/>
      <c r="E46" s="54">
        <f t="shared" si="12"/>
        <v>47142</v>
      </c>
    </row>
    <row r="47" spans="1:5" x14ac:dyDescent="0.35">
      <c r="A47" s="11">
        <v>35</v>
      </c>
      <c r="B47" s="19" t="s">
        <v>31</v>
      </c>
      <c r="C47" s="65">
        <v>338581.31</v>
      </c>
      <c r="D47" s="53"/>
      <c r="E47" s="54">
        <f t="shared" si="12"/>
        <v>338581.31</v>
      </c>
    </row>
    <row r="48" spans="1:5" x14ac:dyDescent="0.3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0</v>
      </c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1958058.58</v>
      </c>
      <c r="D51" s="51">
        <f t="shared" ref="D51:E51" si="13">(D43+D45+D46)-(D47+D48+D49+D50)</f>
        <v>0</v>
      </c>
      <c r="E51" s="50">
        <f t="shared" si="13"/>
        <v>1958058.58</v>
      </c>
    </row>
    <row r="52" spans="1:5" x14ac:dyDescent="0.3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0</v>
      </c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0.64086252552004574</v>
      </c>
      <c r="D57" s="61" t="e">
        <f>((D26+D32-D20-D21)/D17)</f>
        <v>#DIV/0!</v>
      </c>
      <c r="E57" s="61">
        <f>((E26+E32-E20-E21)/E17)</f>
        <v>0.61624848369466489</v>
      </c>
    </row>
    <row r="58" spans="1:5" x14ac:dyDescent="0.35">
      <c r="A58" s="11">
        <v>46</v>
      </c>
      <c r="B58" s="19" t="s">
        <v>41</v>
      </c>
      <c r="C58" s="61">
        <f>((C26+C32+C38)/C17)</f>
        <v>0.97538243537313307</v>
      </c>
      <c r="D58" s="61" t="e">
        <f>((D26+D32+D38)/D17)</f>
        <v>#DIV/0!</v>
      </c>
      <c r="E58" s="61">
        <f>((E26+E32+E38)/E17)</f>
        <v>0.90080858371769013</v>
      </c>
    </row>
    <row r="59" spans="1:5" x14ac:dyDescent="0.35">
      <c r="A59" s="11">
        <v>47</v>
      </c>
      <c r="B59" s="19" t="s">
        <v>42</v>
      </c>
      <c r="C59" s="61">
        <f>((C43+C38)/C38)</f>
        <v>-67372.351562500233</v>
      </c>
      <c r="D59" s="61" t="e">
        <f t="shared" ref="D59:E59" si="16">((D43+D38)/D38)</f>
        <v>#DIV/0!</v>
      </c>
      <c r="E59" s="61">
        <f t="shared" si="16"/>
        <v>-67372.351562500233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480-123-110(e)Current Year Adjusted Income Statement</oddHeader>
    <oddFooter>&amp;CPage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workbookViewId="0">
      <selection sqref="A1:I1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3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318141.16999999993</v>
      </c>
      <c r="D11" s="47">
        <f>'PartBIncomeStmt(CY) '!E11</f>
        <v>311633.12000000017</v>
      </c>
    </row>
    <row r="12" spans="1:4" x14ac:dyDescent="0.35">
      <c r="A12" s="11">
        <v>2</v>
      </c>
      <c r="B12" s="19" t="s">
        <v>5</v>
      </c>
      <c r="C12" s="38">
        <f>'PartBIncomeStmt(PY)'!E12</f>
        <v>672227.99</v>
      </c>
      <c r="D12" s="47">
        <f>'PartBIncomeStmt(CY) '!E12</f>
        <v>772778.67</v>
      </c>
    </row>
    <row r="13" spans="1:4" x14ac:dyDescent="0.35">
      <c r="A13" s="11">
        <v>3</v>
      </c>
      <c r="B13" s="19" t="s">
        <v>6</v>
      </c>
      <c r="C13" s="38">
        <f>'PartBIncomeStmt(PY)'!E13</f>
        <v>-18.399999999999999</v>
      </c>
      <c r="D13" s="47">
        <f>'PartBIncomeStmt(CY) '!E13</f>
        <v>6.81</v>
      </c>
    </row>
    <row r="14" spans="1:4" x14ac:dyDescent="0.35">
      <c r="A14" s="11">
        <v>4</v>
      </c>
      <c r="B14" s="19" t="s">
        <v>7</v>
      </c>
      <c r="C14" s="38">
        <f>'PartBIncomeStmt(PY)'!E14</f>
        <v>41907.11</v>
      </c>
      <c r="D14" s="47">
        <f>'PartBIncomeStmt(CY) '!E14</f>
        <v>36889.240000000005</v>
      </c>
    </row>
    <row r="15" spans="1:4" x14ac:dyDescent="0.35">
      <c r="A15" s="11">
        <v>5</v>
      </c>
      <c r="B15" s="19" t="s">
        <v>8</v>
      </c>
      <c r="C15" s="38">
        <f>'PartBIncomeStmt(PY)'!E15</f>
        <v>20830.320000000003</v>
      </c>
      <c r="D15" s="47">
        <f>'PartBIncomeStmt(CY) '!E15</f>
        <v>19259.730000000003</v>
      </c>
    </row>
    <row r="16" spans="1:4" x14ac:dyDescent="0.35">
      <c r="A16" s="11">
        <v>6</v>
      </c>
      <c r="B16" s="19" t="s">
        <v>182</v>
      </c>
      <c r="C16" s="38">
        <f>'PartBIncomeStmt(PY)'!E16</f>
        <v>-551.93000000000029</v>
      </c>
      <c r="D16" s="47">
        <f>'PartBIncomeStmt(CY) '!E16</f>
        <v>569.67999999999984</v>
      </c>
    </row>
    <row r="17" spans="1:5" x14ac:dyDescent="0.35">
      <c r="A17" s="11">
        <v>7</v>
      </c>
      <c r="B17" s="23" t="s">
        <v>181</v>
      </c>
      <c r="C17" s="46">
        <f>SUM(C11:C16)</f>
        <v>1052536.26</v>
      </c>
      <c r="D17" s="49">
        <f t="shared" ref="D17" si="0">SUM(D11:D16)</f>
        <v>1141137.2500000002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241666.88</v>
      </c>
      <c r="D18" s="47">
        <f>'PartBIncomeStmt(CY) '!E18</f>
        <v>244269.78000000003</v>
      </c>
    </row>
    <row r="19" spans="1:5" x14ac:dyDescent="0.35">
      <c r="A19" s="11">
        <v>9</v>
      </c>
      <c r="B19" s="19" t="s">
        <v>44</v>
      </c>
      <c r="C19" s="38">
        <f>'PartBIncomeStmt(PY)'!E19</f>
        <v>111270.18</v>
      </c>
      <c r="D19" s="47">
        <f>'PartBIncomeStmt(CY) '!E19</f>
        <v>111361.18000000001</v>
      </c>
    </row>
    <row r="20" spans="1:5" x14ac:dyDescent="0.35">
      <c r="A20" s="11">
        <v>10</v>
      </c>
      <c r="B20" s="19" t="s">
        <v>10</v>
      </c>
      <c r="C20" s="38">
        <f>'PartBIncomeStmt(PY)'!E20</f>
        <v>405001.77</v>
      </c>
      <c r="D20" s="47">
        <f>'PartBIncomeStmt(CY) '!E20</f>
        <v>311487.51</v>
      </c>
    </row>
    <row r="21" spans="1:5" x14ac:dyDescent="0.35">
      <c r="A21" s="11">
        <v>11</v>
      </c>
      <c r="B21" s="19" t="s">
        <v>11</v>
      </c>
      <c r="C21" s="38">
        <f>'PartBIncomeStmt(PY)'!E21</f>
        <v>14962.129999999997</v>
      </c>
      <c r="D21" s="47">
        <f>'PartBIncomeStmt(CY) '!E21</f>
        <v>13235.9</v>
      </c>
    </row>
    <row r="22" spans="1:5" x14ac:dyDescent="0.35">
      <c r="A22" s="11">
        <v>12</v>
      </c>
      <c r="B22" s="19" t="s">
        <v>12</v>
      </c>
      <c r="C22" s="38">
        <f>'PartBIncomeStmt(PY)'!E22</f>
        <v>93531.85</v>
      </c>
      <c r="D22" s="47">
        <f>'PartBIncomeStmt(CY) '!E22</f>
        <v>101986.59</v>
      </c>
    </row>
    <row r="23" spans="1:5" x14ac:dyDescent="0.35">
      <c r="A23" s="11">
        <v>13</v>
      </c>
      <c r="B23" s="19" t="s">
        <v>13</v>
      </c>
      <c r="C23" s="38">
        <f>'PartBIncomeStmt(PY)'!E23</f>
        <v>134460.26999999999</v>
      </c>
      <c r="D23" s="47">
        <f>'PartBIncomeStmt(CY) '!E23</f>
        <v>142226.18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134460.26999999999</v>
      </c>
      <c r="D25" s="47">
        <f t="shared" ref="D25" si="1">SUM(D23:D24)</f>
        <v>142226.18</v>
      </c>
    </row>
    <row r="26" spans="1:5" x14ac:dyDescent="0.35">
      <c r="A26" s="11">
        <v>14</v>
      </c>
      <c r="B26" s="23" t="s">
        <v>180</v>
      </c>
      <c r="C26" s="46">
        <f>C18+C19+C20+C21+C22+C25</f>
        <v>1000893.0800000001</v>
      </c>
      <c r="D26" s="49">
        <f t="shared" ref="D26" si="2">D18+D19+D20+D21+D22+D25</f>
        <v>924567.1399999999</v>
      </c>
      <c r="E26" s="1"/>
    </row>
    <row r="27" spans="1:5" x14ac:dyDescent="0.35">
      <c r="A27" s="11">
        <v>15</v>
      </c>
      <c r="B27" s="19" t="s">
        <v>18</v>
      </c>
      <c r="C27" s="38">
        <f>C17-C26</f>
        <v>51643.179999999935</v>
      </c>
      <c r="D27" s="47">
        <f t="shared" ref="D27" si="3">D17-D26</f>
        <v>216570.11000000034</v>
      </c>
    </row>
    <row r="28" spans="1:5" x14ac:dyDescent="0.35">
      <c r="A28" s="11">
        <v>16</v>
      </c>
      <c r="B28" s="19" t="s">
        <v>184</v>
      </c>
      <c r="C28" s="38">
        <f>'PartBIncomeStmt(PY)'!E28</f>
        <v>385</v>
      </c>
      <c r="D28" s="47">
        <f>'PartBIncomeStmt(CY) '!E28</f>
        <v>-1311.0899999999965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3807.3899999999994</v>
      </c>
      <c r="D30" s="47">
        <f>'PartBIncomeStmt(CY) '!E30</f>
        <v>60491.380000000005</v>
      </c>
    </row>
    <row r="31" spans="1:5" x14ac:dyDescent="0.35">
      <c r="A31" s="11">
        <v>19</v>
      </c>
      <c r="B31" s="19" t="s">
        <v>17</v>
      </c>
      <c r="C31" s="38">
        <f>'PartBIncomeStmt(PY)'!E31</f>
        <v>40869.410000000003</v>
      </c>
      <c r="D31" s="47">
        <f>'PartBIncomeStmt(CY) '!E31</f>
        <v>42888.99</v>
      </c>
    </row>
    <row r="32" spans="1:5" x14ac:dyDescent="0.35">
      <c r="A32" s="11">
        <v>20</v>
      </c>
      <c r="B32" s="19" t="s">
        <v>16</v>
      </c>
      <c r="C32" s="43">
        <f>SUM(C29:C31)</f>
        <v>44676.800000000003</v>
      </c>
      <c r="D32" s="50">
        <f t="shared" ref="D32" si="4">SUM(D29:D31)</f>
        <v>103380.37</v>
      </c>
    </row>
    <row r="33" spans="1:4" x14ac:dyDescent="0.35">
      <c r="A33" s="11">
        <v>21</v>
      </c>
      <c r="B33" s="19" t="s">
        <v>27</v>
      </c>
      <c r="C33" s="43">
        <f>C27+C28-C32</f>
        <v>7351.3799999999319</v>
      </c>
      <c r="D33" s="50">
        <f>D27+D28-D32</f>
        <v>111878.65000000034</v>
      </c>
    </row>
    <row r="34" spans="1:4" x14ac:dyDescent="0.3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2.1800000000000002</v>
      </c>
      <c r="D36" s="47">
        <f>'PartBIncomeStmt(CY) '!E36</f>
        <v>-1.28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2.1800000000000002</v>
      </c>
      <c r="D38" s="50">
        <f t="shared" ref="D38" si="5">SUM(D34:D37)</f>
        <v>-1.28</v>
      </c>
    </row>
    <row r="39" spans="1:4" x14ac:dyDescent="0.35">
      <c r="A39" s="11">
        <v>27</v>
      </c>
      <c r="B39" s="19" t="s">
        <v>23</v>
      </c>
      <c r="C39" s="38">
        <f>'PartBIncomeStmt(PY)'!E39</f>
        <v>2370.59</v>
      </c>
      <c r="D39" s="47">
        <f>'PartBIncomeStmt(CY) '!E39</f>
        <v>1069.58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-66274.06</v>
      </c>
      <c r="D42" s="47">
        <f>'PartBIncomeStmt(CY) '!E42</f>
        <v>-26711.620000000039</v>
      </c>
    </row>
    <row r="43" spans="1:4" x14ac:dyDescent="0.35">
      <c r="A43" s="11">
        <v>31</v>
      </c>
      <c r="B43" s="19" t="s">
        <v>26</v>
      </c>
      <c r="C43" s="43">
        <f>C33-C38+C39+C40+C41+C42</f>
        <v>-56554.270000000062</v>
      </c>
      <c r="D43" s="50">
        <f t="shared" ref="D43" si="6">D33-D38+D39+D40+D41+D42</f>
        <v>86237.890000000305</v>
      </c>
    </row>
    <row r="44" spans="1:4" x14ac:dyDescent="0.35">
      <c r="A44" s="11">
        <v>32</v>
      </c>
      <c r="B44" s="19" t="s">
        <v>28</v>
      </c>
      <c r="C44" s="38">
        <f>'PartBIncomeStmt(PY)'!E44</f>
        <v>-30901.35</v>
      </c>
      <c r="D44" s="47">
        <f>'PartBIncomeStmt(CY) '!E44</f>
        <v>47005.290000000008</v>
      </c>
    </row>
    <row r="45" spans="1:4" x14ac:dyDescent="0.35">
      <c r="A45" s="11">
        <v>33</v>
      </c>
      <c r="B45" s="19" t="s">
        <v>29</v>
      </c>
      <c r="C45" s="38">
        <f>'PartBIncomeStmt(PY)'!E45</f>
        <v>2429358.2000000002</v>
      </c>
      <c r="D45" s="47">
        <f>'PartBIncomeStmt(CY) '!E45</f>
        <v>2163260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47142</v>
      </c>
    </row>
    <row r="47" spans="1:4" x14ac:dyDescent="0.35">
      <c r="A47" s="11">
        <v>35</v>
      </c>
      <c r="B47" s="19" t="s">
        <v>31</v>
      </c>
      <c r="C47" s="38">
        <f>'PartBIncomeStmt(PY)'!E47</f>
        <v>421536.12</v>
      </c>
      <c r="D47" s="47">
        <f>'PartBIncomeStmt(CY) '!E47</f>
        <v>338581.31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1951267.81</v>
      </c>
      <c r="D51" s="50">
        <f t="shared" ref="D51" si="7">(D43+D45+D46)-(D47+D48+D49+D50)</f>
        <v>1958058.58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0.59437950384721194</v>
      </c>
      <c r="D57" s="61">
        <f>((D26+D32-D20-D21)/D17)</f>
        <v>0.61624848369466489</v>
      </c>
    </row>
    <row r="58" spans="1:4" x14ac:dyDescent="0.35">
      <c r="A58" s="11">
        <v>46</v>
      </c>
      <c r="B58" s="19" t="s">
        <v>41</v>
      </c>
      <c r="C58" s="61">
        <f>((C26+C32+C38)/C17)</f>
        <v>0.99338341084800263</v>
      </c>
      <c r="D58" s="61">
        <f>((D26+D32+D38)/D17)</f>
        <v>0.90080858371769013</v>
      </c>
    </row>
    <row r="59" spans="1:4" x14ac:dyDescent="0.35">
      <c r="A59" s="11">
        <v>47</v>
      </c>
      <c r="B59" s="19" t="s">
        <v>42</v>
      </c>
      <c r="C59" s="61">
        <f>((C43+C38)/C38)</f>
        <v>-25941.325688073422</v>
      </c>
      <c r="D59" s="61">
        <f t="shared" ref="D59" si="9">((D43+D38)/D38)</f>
        <v>-67372.351562500233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0"/>
      <c r="D64" s="70"/>
    </row>
  </sheetData>
  <sheetProtection sheet="1" objects="1" scenarios="1" selectLockedCells="1"/>
  <pageMargins left="0.7" right="0.7" top="0.75" bottom="0.75" header="0.3" footer="0.3"/>
  <pageSetup scale="73" orientation="portrait" r:id="rId1"/>
  <headerFooter>
    <oddHeader>&amp;L&amp;"-,Bold"2014 State USF Petition Filing Requirement - WAC 480-123-110(e)Prior and Current Year Income Statement</oddHeader>
    <oddFooter>&amp;CPage 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7F67B36D16684F9D5CAE4CBA972287" ma:contentTypeVersion="175" ma:contentTypeDescription="" ma:contentTypeScope="" ma:versionID="56ea7b5ac6c800f4d68a7182331178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DocketNumber xmlns="dc463f71-b30c-4ab2-9473-d307f9d35888">143028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1F0112-986E-431B-8279-D0EE133FC0C9}"/>
</file>

<file path=customXml/itemProps2.xml><?xml version="1.0" encoding="utf-8"?>
<ds:datastoreItem xmlns:ds="http://schemas.openxmlformats.org/officeDocument/2006/customXml" ds:itemID="{F16B8435-57E5-4D92-BD08-D18E10621BE1}"/>
</file>

<file path=customXml/itemProps3.xml><?xml version="1.0" encoding="utf-8"?>
<ds:datastoreItem xmlns:ds="http://schemas.openxmlformats.org/officeDocument/2006/customXml" ds:itemID="{C2CAC568-3F15-4A8F-B8FD-326A1430692B}"/>
</file>

<file path=customXml/itemProps4.xml><?xml version="1.0" encoding="utf-8"?>
<ds:datastoreItem xmlns:ds="http://schemas.openxmlformats.org/officeDocument/2006/customXml" ds:itemID="{269196E5-D502-4386-8F44-76BAB297D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  <vt:lpstr>ReturnRates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2014-07-31T17:53:29Z</cp:lastPrinted>
  <dcterms:created xsi:type="dcterms:W3CDTF">2014-05-21T17:51:51Z</dcterms:created>
  <dcterms:modified xsi:type="dcterms:W3CDTF">2014-08-06T16:55:49Z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0x0101006E56B4D1795A2E4DB2F0B01679ED314A00B27F67B36D16684F9D5CAE4CBA972287</vt:lpwstr>
  </property>
  <property fmtid="{D5CDD505-2E9C-101B-9397-08002B2CF9AE}" pid="3" name="_docset_NoMedatataSyncRequired">
    <vt:lpwstr>False</vt:lpwstr>
  </property>
</Properties>
</file>