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480"/>
  </bookViews>
  <sheets>
    <sheet name="KJB-5" sheetId="1" r:id="rId1"/>
    <sheet name="Adj.20" sheetId="2" r:id="rId2"/>
  </sheets>
  <externalReferences>
    <externalReference r:id="rId3"/>
    <externalReference r:id="rId4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3.01">'KJB-5'!$A$3:$G$53</definedName>
    <definedName name="_3.02">'KJB-5'!$H$2:$L$59</definedName>
    <definedName name="_3.03">'KJB-5'!$M$3:$Q$32</definedName>
    <definedName name="_3.04">'KJB-5'!$R$3:$V$30</definedName>
    <definedName name="_3.05">'KJB-5'!$W$3:$Z$32</definedName>
    <definedName name="_3.06">'KJB-5'!$AA$3:$AD$27</definedName>
    <definedName name="_3.07">'KJB-5'!$AE$3:$AI$46</definedName>
    <definedName name="_3.08">'KJB-5'!$AJ$3:$AM$32</definedName>
    <definedName name="_3.09">'KJB-5'!$AN$3:$AV$32</definedName>
    <definedName name="_3.10">'KJB-5'!$AW$3:$BA$25</definedName>
    <definedName name="_3.11">'KJB-5'!$BB$3:$BE$29</definedName>
    <definedName name="_3.12">'KJB-5'!$BF$3:$BJ$25</definedName>
    <definedName name="_3.13">'KJB-5'!$BK$3:$BO$25</definedName>
    <definedName name="_3.14">'KJB-5'!$BP$3:$BS$25</definedName>
    <definedName name="_3.15">'KJB-5'!$BT$3:$BX$25</definedName>
    <definedName name="_3.16">'KJB-5'!$BY$3:$CC$21</definedName>
    <definedName name="_3.17">'KJB-5'!$CD$3:$CH$23</definedName>
    <definedName name="_3.18">'KJB-5'!$CI$3:$CM$22</definedName>
    <definedName name="_3.19">'KJB-5'!$CN$3:$CR$23</definedName>
    <definedName name="_3.20">Adj.20!$A$2:$G$42</definedName>
    <definedName name="_3A">'KJB-5'!$CS$1:$DD$61</definedName>
    <definedName name="_3B">'KJB-5'!$DE$1:$DP$61</definedName>
    <definedName name="_3Summary">'KJB-5'!$DQ$1:$DU$61</definedName>
    <definedName name="_4.01">'KJB-5'!$CN$3:$CR$26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'KJB-5'!$CR$12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'KJB-5'!$A$7</definedName>
    <definedName name="f">'KJB-5'!$CC$18</definedName>
    <definedName name="FACTORS">'KJB-5'!$CN$25:$CR$38</definedName>
    <definedName name="FF">'KJB-5'!$CR$13</definedName>
    <definedName name="FIT">'KJB-5'!$CQ$19</definedName>
    <definedName name="MOTANA">'KJB-5'!$BK$3:$BO$22</definedName>
    <definedName name="MT">'KJB-5'!$CR$15</definedName>
    <definedName name="_xlnm.Print_Area" localSheetId="0">'KJB-5'!$DQ$1:$DU$61</definedName>
    <definedName name="PSPL">'KJB-5'!$A$4</definedName>
    <definedName name="PWRCSTRS">'KJB-5'!$M$3:$Q$30</definedName>
    <definedName name="RATEBASE">'KJB-5'!$A$4:$F$54</definedName>
    <definedName name="RESALE">'KJB-5'!$R$3:$V$27</definedName>
    <definedName name="RESTATING">'KJB-5'!$CU$5:$DP$52</definedName>
    <definedName name="REVADJ">'KJB-5'!$A$4:$G$35</definedName>
    <definedName name="ROR">'KJB-5'!$CN$26:$CR$41</definedName>
    <definedName name="TAXBENEFIT">'KJB-5'!$AA$3:$AD$22</definedName>
    <definedName name="TAXEXCISE">'KJB-5'!$BB$3:$BE$28</definedName>
    <definedName name="TAXINCOME">'KJB-5'!$W$3:$Z$33</definedName>
    <definedName name="TESTYEAR">'KJB-5'!$A$6</definedName>
    <definedName name="Transfer" hidden="1">#REF!</definedName>
    <definedName name="Transfers" hidden="1">#REF!</definedName>
    <definedName name="UTG">'KJB-5'!$CQ$14</definedName>
    <definedName name="UTN">'KJB-5'!$CR$14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Z_067119CC_1C61_43DB_B4BB_54397DC63A91_.wvu.PrintArea" localSheetId="0" hidden="1">'KJB-5'!$A$1:$G$64</definedName>
    <definedName name="Z_14262664_129C_4E9B_8245_4B43AF19E33A_.wvu.PrintArea" localSheetId="0" hidden="1">'KJB-5'!$A$1:$G$64</definedName>
    <definedName name="Z_17768135_68BF_4539_94C0_50ED7816A698_.wvu.PrintArea" localSheetId="0" hidden="1">'KJB-5'!$A$1:$G$64</definedName>
    <definedName name="Z_1E64D771_8C52_4EFE_8F0D_67326F432767_.wvu.PrintArea" localSheetId="0" hidden="1">'KJB-5'!$A$1:$G$64</definedName>
    <definedName name="Z_28C5A156_92F3_4234_9C7A_A32D75F798CC_.wvu.PrintArea" localSheetId="0" hidden="1">'KJB-5'!$A$1:$G$64</definedName>
    <definedName name="Z_2DBDF3D7_BA4D_404D_AE4B_DFD7008C0411_.wvu.PrintArea" localSheetId="0" hidden="1">'KJB-5'!$A$1:$G$64</definedName>
    <definedName name="Z_3797879C_3298_4122_A12D_3DFD0284FBDD_.wvu.PrintArea" localSheetId="0" hidden="1">'KJB-5'!$A$1:$G$64</definedName>
    <definedName name="Z_3834E606_B28A_4696_9192_7BDA898195A1_.wvu.PrintArea" localSheetId="0" hidden="1">'KJB-5'!$A$1:$G$64</definedName>
    <definedName name="Z_3DB8EC99_BD55_4ABF_B71E_F70797B0173C_.wvu.PrintArea" localSheetId="0" hidden="1">'KJB-5'!$A$1:$G$64</definedName>
    <definedName name="Z_40B7FB48_DAE3_4682_852F_AC0650D2BE14_.wvu.PrintArea" localSheetId="0" hidden="1">'KJB-5'!$A$1:$G$64</definedName>
    <definedName name="Z_41713566_6DDC_4C14_8259_D9C15B9E45DD_.wvu.PrintArea" localSheetId="0" hidden="1">'KJB-5'!$A$1:$G$64</definedName>
    <definedName name="Z_423F2953_9177_4482_AE78_C7C47BA8995B_.wvu.PrintArea" localSheetId="0" hidden="1">'KJB-5'!$A$1:$G$64</definedName>
    <definedName name="Z_46E5C546_9AEA_4E06_B017_805B7E255C92_.wvu.PrintArea" localSheetId="0" hidden="1">'KJB-5'!$A$1:$G$64</definedName>
    <definedName name="Z_4840C72E_33E7_45CF_A897_030BC56F6B90_.wvu.PrintArea" localSheetId="0" hidden="1">'KJB-5'!$A$1:$G$64</definedName>
    <definedName name="Z_605C023E_A5C7_400F_9AAA_827B8FDB13A8_.wvu.PrintArea" localSheetId="0" hidden="1">'KJB-5'!$A$1:$G$64</definedName>
    <definedName name="Z_62EE4FB2_B9F8_4C5D_BC5C_181361F6DD86_.wvu.PrintArea" localSheetId="0" hidden="1">'KJB-5'!$A$1:$G$64</definedName>
    <definedName name="Z_813D7A4F_EDF6_49ED_B8FD_B74D0B9276AB_.wvu.PrintArea" localSheetId="0" hidden="1">'KJB-5'!$A$1:$G$64</definedName>
    <definedName name="Z_88A240CE_F5A6_4995_A526_0E22BADCFF6D_.wvu.PrintArea" localSheetId="0" hidden="1">'KJB-5'!$A$1:$G$64</definedName>
    <definedName name="Z_8920654A_B782_40BF_9A51_A43F20A27C02_.wvu.PrintArea" localSheetId="0" hidden="1">'KJB-5'!$A$1:$G$64</definedName>
    <definedName name="Z_8E7EA697_A1C1_4FA5_9CC7_93304413A154_.wvu.PrintArea" localSheetId="0" hidden="1">'KJB-5'!$A$1:$G$64</definedName>
    <definedName name="Z_990691EF_FF43_4000_BCD8_6862D2BAD44A_.wvu.PrintArea" localSheetId="0" hidden="1">'KJB-5'!$A$1:$G$64</definedName>
    <definedName name="Z_A3FBC4C2_6ECB_480C_89DD_35506B048870_.wvu.PrintArea" localSheetId="0" hidden="1">'KJB-5'!$A$1:$G$64</definedName>
    <definedName name="Z_ACABE5FC_E604_45C9_ACB7_53C863CA19F6_.wvu.PrintArea" localSheetId="0" hidden="1">'KJB-5'!$CN$1:$CR$22</definedName>
    <definedName name="Z_BA39091D_C7FC_45D0_82A3_5E4EAAFABA5A_.wvu.PrintArea" localSheetId="0" hidden="1">'KJB-5'!$A$1:$G$64</definedName>
    <definedName name="Z_BBEC464C_25F9_4835_BB05_13062D5DEAC1_.wvu.PrintArea" localSheetId="0" hidden="1">'KJB-5'!$A$1:$G$64</definedName>
    <definedName name="Z_C3CE34FF_D7D7_4ECF_B6E1_4700E3130E94_.wvu.PrintArea" localSheetId="0" hidden="1">'KJB-5'!$A$1:$G$64</definedName>
    <definedName name="Z_CD5012F4_E6A6_495E_BF90_5F6D9EE7AF29_.wvu.PrintArea" localSheetId="0" hidden="1">'KJB-5'!$A$1:$G$64</definedName>
    <definedName name="Z_D034A8AA_A968_4D12_B6AF_09F53E5CD513_.wvu.PrintArea" localSheetId="0" hidden="1">'KJB-5'!$H$1:$L$48</definedName>
    <definedName name="Z_D358E58B_5EA6_4EB2_8562_4D9FEBA8EA54_.wvu.PrintArea" localSheetId="0" hidden="1">'KJB-5'!$CN$23:$CR$43</definedName>
    <definedName name="Z_D564613F_7CF3_40DE_8CDA_0C25C1F35855_.wvu.PrintArea" localSheetId="0" hidden="1">'KJB-5'!$A$1:$G$64</definedName>
    <definedName name="Z_DD70B4E1_CC64_4568_BFD6_83390A7B0268_.wvu.PrintArea" localSheetId="0" hidden="1">'KJB-5'!$A$1:$G$64</definedName>
    <definedName name="Z_DF4E3B04_E442_43A1_A47D_E26F6CE7F11C_.wvu.PrintArea" localSheetId="0" hidden="1">'KJB-5'!$A$1:$G$64</definedName>
    <definedName name="Z_E2C26153_D457_4603_B564_60CFADB5026B_.wvu.PrintArea" localSheetId="0" hidden="1">'KJB-5'!$A$1:$G$64</definedName>
    <definedName name="Z_E98B4028_3602_46AA_8C00_41FD8ABF8836_.wvu.PrintArea" localSheetId="0" hidden="1">'KJB-5'!$A$1:$G$64</definedName>
    <definedName name="Z_EDF3DC03_FBB9_4397_9335_6FA548B9B5CD_.wvu.PrintArea" localSheetId="0" hidden="1">'KJB-5'!$A$1:$G$64</definedName>
    <definedName name="Z_F531E925_9E0B_409C_9EAA_ADCDD51D6BA7_.wvu.PrintArea" localSheetId="0" hidden="1">'KJB-5'!$A$1:$G$64</definedName>
    <definedName name="Z_F985D028_064A_46CA_9D34_E4E9B88A9B3C_.wvu.PrintArea" localSheetId="0" hidden="1">'KJB-5'!$A$1:$G$64</definedName>
    <definedName name="Z_FEFCE477_944B_4DAC_AD75_686CC83D0F0B_.wvu.PrintArea" localSheetId="0" hidden="1">'KJB-5'!$A$1:$G$64</definedName>
  </definedNames>
  <calcPr calcId="145621"/>
</workbook>
</file>

<file path=xl/calcChain.xml><?xml version="1.0" encoding="utf-8"?>
<calcChain xmlns="http://schemas.openxmlformats.org/spreadsheetml/2006/main">
  <c r="DO61" i="1"/>
  <c r="DO62" s="1"/>
  <c r="DN61"/>
  <c r="DN62" s="1"/>
  <c r="DM61"/>
  <c r="DM62" s="1"/>
  <c r="DL61"/>
  <c r="DL62" s="1"/>
  <c r="DK61"/>
  <c r="DK62" s="1"/>
  <c r="DJ61"/>
  <c r="DJ62" s="1"/>
  <c r="DI61"/>
  <c r="DI62" s="1"/>
  <c r="DH61"/>
  <c r="DH62" s="1"/>
  <c r="DG61"/>
  <c r="DG62" s="1"/>
  <c r="DD61"/>
  <c r="DD62" s="1"/>
  <c r="DC61"/>
  <c r="DC62" s="1"/>
  <c r="DB61"/>
  <c r="DB62" s="1"/>
  <c r="DA61"/>
  <c r="DA62" s="1"/>
  <c r="CZ61"/>
  <c r="CZ62" s="1"/>
  <c r="CY61"/>
  <c r="CX61"/>
  <c r="CX62" s="1"/>
  <c r="CW61"/>
  <c r="CW62" s="1"/>
  <c r="CV61"/>
  <c r="CV62" s="1"/>
  <c r="DS60"/>
  <c r="DS59"/>
  <c r="DS58"/>
  <c r="DS57"/>
  <c r="CU61"/>
  <c r="DS55"/>
  <c r="DR52"/>
  <c r="E51"/>
  <c r="DR50"/>
  <c r="CY50"/>
  <c r="DR48"/>
  <c r="CZ45"/>
  <c r="DS45"/>
  <c r="DS44"/>
  <c r="DS43"/>
  <c r="E43"/>
  <c r="DS42"/>
  <c r="DS41"/>
  <c r="DS40"/>
  <c r="DS39"/>
  <c r="DS38"/>
  <c r="DS37"/>
  <c r="J37"/>
  <c r="DS36"/>
  <c r="DB41"/>
  <c r="DS35"/>
  <c r="DS34"/>
  <c r="DK34"/>
  <c r="DB35"/>
  <c r="DS33"/>
  <c r="AI42"/>
  <c r="L33"/>
  <c r="CW41" s="1"/>
  <c r="DS32"/>
  <c r="DB36"/>
  <c r="DS31"/>
  <c r="AL31"/>
  <c r="DM29"/>
  <c r="DL29"/>
  <c r="DK29"/>
  <c r="DK46" s="1"/>
  <c r="DJ29"/>
  <c r="DI29"/>
  <c r="DH29"/>
  <c r="DG29"/>
  <c r="DD29"/>
  <c r="DA29"/>
  <c r="CZ29"/>
  <c r="CY29"/>
  <c r="CW29"/>
  <c r="CV29"/>
  <c r="G40"/>
  <c r="CV15" s="1"/>
  <c r="CV19" s="1"/>
  <c r="DB28"/>
  <c r="CX28"/>
  <c r="CU29"/>
  <c r="CU46" s="1"/>
  <c r="DS27"/>
  <c r="DB26"/>
  <c r="DB29" s="1"/>
  <c r="DS26"/>
  <c r="O26"/>
  <c r="DS25"/>
  <c r="U25"/>
  <c r="AL24"/>
  <c r="AL26" s="1"/>
  <c r="AM26" s="1"/>
  <c r="O23"/>
  <c r="CO20"/>
  <c r="V20"/>
  <c r="P20"/>
  <c r="O20"/>
  <c r="O25" s="1"/>
  <c r="O27" s="1"/>
  <c r="J20"/>
  <c r="DM19"/>
  <c r="DL19"/>
  <c r="DK19"/>
  <c r="DJ19"/>
  <c r="DI19"/>
  <c r="DH19"/>
  <c r="DD19"/>
  <c r="DA19"/>
  <c r="CZ19"/>
  <c r="CY19"/>
  <c r="CU19"/>
  <c r="CU48" s="1"/>
  <c r="CO19"/>
  <c r="AL19"/>
  <c r="AM19" s="1"/>
  <c r="AM29" s="1"/>
  <c r="Q19"/>
  <c r="DS18"/>
  <c r="CO18"/>
  <c r="BE18"/>
  <c r="DH37" s="1"/>
  <c r="AU18"/>
  <c r="DB18"/>
  <c r="Q18"/>
  <c r="CX17" s="1"/>
  <c r="CX19" s="1"/>
  <c r="DS17"/>
  <c r="Q17"/>
  <c r="CX27" s="1"/>
  <c r="DS16"/>
  <c r="CV16"/>
  <c r="Z26"/>
  <c r="Q16"/>
  <c r="DS15"/>
  <c r="DQ15"/>
  <c r="DQ16" s="1"/>
  <c r="DQ17" s="1"/>
  <c r="DQ18" s="1"/>
  <c r="DQ19" s="1"/>
  <c r="DQ20" s="1"/>
  <c r="DQ21" s="1"/>
  <c r="DQ22" s="1"/>
  <c r="DQ23" s="1"/>
  <c r="DQ24" s="1"/>
  <c r="DQ25" s="1"/>
  <c r="DQ26" s="1"/>
  <c r="DQ27" s="1"/>
  <c r="DQ28" s="1"/>
  <c r="DQ29" s="1"/>
  <c r="DQ30" s="1"/>
  <c r="DQ31" s="1"/>
  <c r="DQ32" s="1"/>
  <c r="DQ33" s="1"/>
  <c r="DQ34" s="1"/>
  <c r="DQ35" s="1"/>
  <c r="DQ36" s="1"/>
  <c r="DQ37" s="1"/>
  <c r="DQ38" s="1"/>
  <c r="DQ39" s="1"/>
  <c r="DQ40" s="1"/>
  <c r="DQ41" s="1"/>
  <c r="DQ42" s="1"/>
  <c r="DQ43" s="1"/>
  <c r="DQ44" s="1"/>
  <c r="DQ45" s="1"/>
  <c r="DQ46" s="1"/>
  <c r="DQ47" s="1"/>
  <c r="DQ48" s="1"/>
  <c r="DQ49" s="1"/>
  <c r="DQ50" s="1"/>
  <c r="DQ51" s="1"/>
  <c r="DQ52" s="1"/>
  <c r="DQ53" s="1"/>
  <c r="DQ54" s="1"/>
  <c r="DQ55" s="1"/>
  <c r="DQ56" s="1"/>
  <c r="DQ57" s="1"/>
  <c r="DQ58" s="1"/>
  <c r="DQ59" s="1"/>
  <c r="DQ60" s="1"/>
  <c r="DQ61" s="1"/>
  <c r="DE15"/>
  <c r="DE16" s="1"/>
  <c r="DE17" s="1"/>
  <c r="DE18" s="1"/>
  <c r="DE19" s="1"/>
  <c r="DE20" s="1"/>
  <c r="DE21" s="1"/>
  <c r="DE22" s="1"/>
  <c r="DE23" s="1"/>
  <c r="DE24" s="1"/>
  <c r="DE25" s="1"/>
  <c r="CS15"/>
  <c r="CS16" s="1"/>
  <c r="CS17" s="1"/>
  <c r="CS18" s="1"/>
  <c r="CS19" s="1"/>
  <c r="CS20" s="1"/>
  <c r="CS21" s="1"/>
  <c r="CS22" s="1"/>
  <c r="CS23" s="1"/>
  <c r="CS24" s="1"/>
  <c r="CS25" s="1"/>
  <c r="CS26" s="1"/>
  <c r="CS27" s="1"/>
  <c r="CS28" s="1"/>
  <c r="CS29" s="1"/>
  <c r="CS30" s="1"/>
  <c r="CS31" s="1"/>
  <c r="CS32" s="1"/>
  <c r="CS33" s="1"/>
  <c r="CS34" s="1"/>
  <c r="CS35" s="1"/>
  <c r="CS36" s="1"/>
  <c r="CS37" s="1"/>
  <c r="CS38" s="1"/>
  <c r="CS39" s="1"/>
  <c r="CS40" s="1"/>
  <c r="CS41" s="1"/>
  <c r="CS42" s="1"/>
  <c r="CS43" s="1"/>
  <c r="CS44" s="1"/>
  <c r="CS45" s="1"/>
  <c r="CS46" s="1"/>
  <c r="CS47" s="1"/>
  <c r="CS48" s="1"/>
  <c r="CS49" s="1"/>
  <c r="CS50" s="1"/>
  <c r="CS51" s="1"/>
  <c r="CS52" s="1"/>
  <c r="CS53" s="1"/>
  <c r="CS54" s="1"/>
  <c r="CS55" s="1"/>
  <c r="CS56" s="1"/>
  <c r="CS57" s="1"/>
  <c r="CS58" s="1"/>
  <c r="CS59" s="1"/>
  <c r="CS60" s="1"/>
  <c r="CS61" s="1"/>
  <c r="BS15"/>
  <c r="BO15"/>
  <c r="BO17" s="1"/>
  <c r="Z25"/>
  <c r="Q15"/>
  <c r="E27"/>
  <c r="C27"/>
  <c r="CO14"/>
  <c r="CL14"/>
  <c r="CK14"/>
  <c r="CG14"/>
  <c r="CF14"/>
  <c r="BW14"/>
  <c r="BI14"/>
  <c r="BH14"/>
  <c r="BE14"/>
  <c r="DH43" s="1"/>
  <c r="AU14"/>
  <c r="Q14"/>
  <c r="CX26" s="1"/>
  <c r="F27"/>
  <c r="D27"/>
  <c r="AH27"/>
  <c r="CM13"/>
  <c r="CI13"/>
  <c r="CI14" s="1"/>
  <c r="CI15" s="1"/>
  <c r="CI16" s="1"/>
  <c r="CI17" s="1"/>
  <c r="CI18" s="1"/>
  <c r="CI19" s="1"/>
  <c r="CI20" s="1"/>
  <c r="CH13"/>
  <c r="CD13"/>
  <c r="CD14" s="1"/>
  <c r="CD15" s="1"/>
  <c r="CD16" s="1"/>
  <c r="CD17" s="1"/>
  <c r="CD18" s="1"/>
  <c r="CD19" s="1"/>
  <c r="BY13"/>
  <c r="BY14" s="1"/>
  <c r="BY15" s="1"/>
  <c r="BY16" s="1"/>
  <c r="BY17" s="1"/>
  <c r="BY18" s="1"/>
  <c r="BY19" s="1"/>
  <c r="BY20" s="1"/>
  <c r="BT13"/>
  <c r="BT14" s="1"/>
  <c r="BT15" s="1"/>
  <c r="BT16" s="1"/>
  <c r="BT17" s="1"/>
  <c r="BT18" s="1"/>
  <c r="BT19" s="1"/>
  <c r="BT20" s="1"/>
  <c r="BP13"/>
  <c r="BP14" s="1"/>
  <c r="BP15" s="1"/>
  <c r="BF13"/>
  <c r="BF14" s="1"/>
  <c r="BF15" s="1"/>
  <c r="BF16" s="1"/>
  <c r="BF17" s="1"/>
  <c r="BF18" s="1"/>
  <c r="BF19" s="1"/>
  <c r="BF20" s="1"/>
  <c r="AW13"/>
  <c r="AW14" s="1"/>
  <c r="AW15" s="1"/>
  <c r="AW16" s="1"/>
  <c r="AW17" s="1"/>
  <c r="AW18" s="1"/>
  <c r="AW19" s="1"/>
  <c r="AW20" s="1"/>
  <c r="AN13"/>
  <c r="AN14" s="1"/>
  <c r="AN15" s="1"/>
  <c r="AN16" s="1"/>
  <c r="AN17" s="1"/>
  <c r="AN18" s="1"/>
  <c r="AN19" s="1"/>
  <c r="AN20" s="1"/>
  <c r="AN21" s="1"/>
  <c r="AN22" s="1"/>
  <c r="AN23" s="1"/>
  <c r="AN24" s="1"/>
  <c r="AN25" s="1"/>
  <c r="AN26" s="1"/>
  <c r="AN27" s="1"/>
  <c r="AN28" s="1"/>
  <c r="AN29" s="1"/>
  <c r="AI23"/>
  <c r="AE13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E28" s="1"/>
  <c r="AE29" s="1"/>
  <c r="AE30" s="1"/>
  <c r="AE31" s="1"/>
  <c r="AE32" s="1"/>
  <c r="AE33" s="1"/>
  <c r="AE34" s="1"/>
  <c r="AE35" s="1"/>
  <c r="AE36" s="1"/>
  <c r="AE37" s="1"/>
  <c r="AE38" s="1"/>
  <c r="AE39" s="1"/>
  <c r="AE40" s="1"/>
  <c r="AE41" s="1"/>
  <c r="AE42" s="1"/>
  <c r="AE43" s="1"/>
  <c r="AE44" s="1"/>
  <c r="AE45" s="1"/>
  <c r="AE46" s="1"/>
  <c r="AA13"/>
  <c r="AA14" s="1"/>
  <c r="AA15" s="1"/>
  <c r="AA16" s="1"/>
  <c r="AA17" s="1"/>
  <c r="AA18" s="1"/>
  <c r="AA19" s="1"/>
  <c r="AA20" s="1"/>
  <c r="AA21" s="1"/>
  <c r="AA22" s="1"/>
  <c r="AA23" s="1"/>
  <c r="AA24" s="1"/>
  <c r="W13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R13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Q13"/>
  <c r="M13"/>
  <c r="M14" s="1"/>
  <c r="M15" s="1"/>
  <c r="M16" s="1"/>
  <c r="M17" s="1"/>
  <c r="M18" s="1"/>
  <c r="M19" s="1"/>
  <c r="M20" s="1"/>
  <c r="M22" s="1"/>
  <c r="M23" s="1"/>
  <c r="M24" s="1"/>
  <c r="M25" s="1"/>
  <c r="M26" s="1"/>
  <c r="M27" s="1"/>
  <c r="M28" s="1"/>
  <c r="M29" s="1"/>
  <c r="M30" s="1"/>
  <c r="M31" s="1"/>
  <c r="CW12"/>
  <c r="CX12" s="1"/>
  <c r="CY12" s="1"/>
  <c r="CZ12" s="1"/>
  <c r="DA12" s="1"/>
  <c r="DB12" s="1"/>
  <c r="DC12" s="1"/>
  <c r="DD12" s="1"/>
  <c r="DG12" s="1"/>
  <c r="DH12" s="1"/>
  <c r="DI12" s="1"/>
  <c r="DJ12" s="1"/>
  <c r="DK12" s="1"/>
  <c r="DL12" s="1"/>
  <c r="DM12" s="1"/>
  <c r="DN12" s="1"/>
  <c r="DO12" s="1"/>
  <c r="CM12"/>
  <c r="CH12"/>
  <c r="CH14" s="1"/>
  <c r="CH16" s="1"/>
  <c r="CC12"/>
  <c r="CC15" s="1"/>
  <c r="DM37" s="1"/>
  <c r="CA15"/>
  <c r="BK12"/>
  <c r="BK13" s="1"/>
  <c r="BK14" s="1"/>
  <c r="BK15" s="1"/>
  <c r="BK16" s="1"/>
  <c r="BK17" s="1"/>
  <c r="BK18" s="1"/>
  <c r="BK19" s="1"/>
  <c r="BK20" s="1"/>
  <c r="BJ12"/>
  <c r="BJ14" s="1"/>
  <c r="DI37" s="1"/>
  <c r="AY15"/>
  <c r="AU12"/>
  <c r="Z17"/>
  <c r="K15"/>
  <c r="L17" s="1"/>
  <c r="H12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DQ8"/>
  <c r="DQ7"/>
  <c r="DE7"/>
  <c r="CS7"/>
  <c r="CN7"/>
  <c r="CI7"/>
  <c r="CD7"/>
  <c r="BY7"/>
  <c r="BT7"/>
  <c r="BP7"/>
  <c r="BK7"/>
  <c r="BF7"/>
  <c r="BB7"/>
  <c r="AW7"/>
  <c r="AN7"/>
  <c r="AJ7"/>
  <c r="AE7"/>
  <c r="AA7"/>
  <c r="W7"/>
  <c r="R7"/>
  <c r="M7"/>
  <c r="DE6"/>
  <c r="CS6"/>
  <c r="CN6"/>
  <c r="CI6"/>
  <c r="CD6"/>
  <c r="BY6"/>
  <c r="BT6"/>
  <c r="BP6"/>
  <c r="BK6"/>
  <c r="BF6"/>
  <c r="BB6"/>
  <c r="AW6"/>
  <c r="AN6"/>
  <c r="AJ6"/>
  <c r="AE6"/>
  <c r="AA6"/>
  <c r="W6"/>
  <c r="R6"/>
  <c r="M6"/>
  <c r="H6"/>
  <c r="DQ5"/>
  <c r="DE4"/>
  <c r="CS4"/>
  <c r="CN4"/>
  <c r="CI4"/>
  <c r="CD4"/>
  <c r="BY4"/>
  <c r="BT4"/>
  <c r="BP4"/>
  <c r="BK4"/>
  <c r="BF4"/>
  <c r="BB4"/>
  <c r="AW4"/>
  <c r="AN4"/>
  <c r="AJ4"/>
  <c r="AE4"/>
  <c r="AA4"/>
  <c r="W4"/>
  <c r="R4"/>
  <c r="M4"/>
  <c r="U1"/>
  <c r="BS1" l="1"/>
  <c r="Q20"/>
  <c r="Q28" s="1"/>
  <c r="Q30" s="1"/>
  <c r="CX44" s="1"/>
  <c r="DK48"/>
  <c r="BS52" s="1"/>
  <c r="E33" i="2"/>
  <c r="E27"/>
  <c r="G27" s="1"/>
  <c r="F10"/>
  <c r="G10" s="1"/>
  <c r="E41"/>
  <c r="G41" s="1"/>
  <c r="E30"/>
  <c r="G30" s="1"/>
  <c r="F20"/>
  <c r="G20" s="1"/>
  <c r="G23"/>
  <c r="F24" s="1"/>
  <c r="F35" s="1"/>
  <c r="F36" s="1"/>
  <c r="G33"/>
  <c r="F13"/>
  <c r="G13" s="1"/>
  <c r="CX25" i="1"/>
  <c r="DP25" s="1"/>
  <c r="CY62"/>
  <c r="K20"/>
  <c r="CW37" s="1"/>
  <c r="CW15"/>
  <c r="CW19" s="1"/>
  <c r="DN37"/>
  <c r="CH17"/>
  <c r="DN44" s="1"/>
  <c r="AI27"/>
  <c r="DB37" s="1"/>
  <c r="DB15"/>
  <c r="DB19" s="1"/>
  <c r="DE26"/>
  <c r="CY41"/>
  <c r="V23"/>
  <c r="CU50"/>
  <c r="CU62" s="1"/>
  <c r="AV12"/>
  <c r="BA12"/>
  <c r="CB15"/>
  <c r="DP17"/>
  <c r="DT17" s="1"/>
  <c r="DP18"/>
  <c r="DT18" s="1"/>
  <c r="DU18" s="1"/>
  <c r="DK63"/>
  <c r="DS19"/>
  <c r="BE20"/>
  <c r="BE23"/>
  <c r="DJ43"/>
  <c r="BO19"/>
  <c r="DJ44" s="1"/>
  <c r="DJ46" s="1"/>
  <c r="DJ48" s="1"/>
  <c r="AM31"/>
  <c r="DC44" s="1"/>
  <c r="DC37"/>
  <c r="AM32"/>
  <c r="CM14"/>
  <c r="CM16" s="1"/>
  <c r="AU13"/>
  <c r="AV13" s="1"/>
  <c r="AV14"/>
  <c r="AZ14"/>
  <c r="DP15"/>
  <c r="BJ16"/>
  <c r="DP16"/>
  <c r="DT16" s="1"/>
  <c r="CC17"/>
  <c r="CU52"/>
  <c r="F43"/>
  <c r="CV37" s="1"/>
  <c r="DS28"/>
  <c r="DS29" s="1"/>
  <c r="F40"/>
  <c r="BV12"/>
  <c r="E40"/>
  <c r="E41" s="1"/>
  <c r="DS56"/>
  <c r="CX29" l="1"/>
  <c r="CX46" s="1"/>
  <c r="CX48" s="1"/>
  <c r="E24" i="2"/>
  <c r="DS46" i="1"/>
  <c r="DS61"/>
  <c r="CC18"/>
  <c r="DM44" s="1"/>
  <c r="DM46" s="1"/>
  <c r="DM48" s="1"/>
  <c r="DT15"/>
  <c r="DP19"/>
  <c r="DO41"/>
  <c r="CM18"/>
  <c r="DO44" s="1"/>
  <c r="BE25"/>
  <c r="DH44" s="1"/>
  <c r="DH46" s="1"/>
  <c r="DH48" s="1"/>
  <c r="DS48"/>
  <c r="DG37"/>
  <c r="V25"/>
  <c r="CY44" s="1"/>
  <c r="CY46" s="1"/>
  <c r="CY48" s="1"/>
  <c r="DT25"/>
  <c r="DC46"/>
  <c r="DC48" s="1"/>
  <c r="DC63" s="1"/>
  <c r="Q31"/>
  <c r="CH19"/>
  <c r="BV14"/>
  <c r="BX12"/>
  <c r="BJ18"/>
  <c r="DI44" s="1"/>
  <c r="DI46" s="1"/>
  <c r="DI48" s="1"/>
  <c r="BJ20"/>
  <c r="BA14"/>
  <c r="DG43" s="1"/>
  <c r="AZ15"/>
  <c r="DU17"/>
  <c r="DE27"/>
  <c r="DP26"/>
  <c r="DT26" s="1"/>
  <c r="DU16"/>
  <c r="AV16"/>
  <c r="BO20"/>
  <c r="DN46"/>
  <c r="DN48" s="1"/>
  <c r="G24" i="2" l="1"/>
  <c r="G35" s="1"/>
  <c r="G36" s="1"/>
  <c r="E35"/>
  <c r="E36" s="1"/>
  <c r="BE27" i="1"/>
  <c r="DH63" s="1"/>
  <c r="AM1"/>
  <c r="AU20"/>
  <c r="AU22" s="1"/>
  <c r="AV25" s="1"/>
  <c r="CR12"/>
  <c r="DE28"/>
  <c r="DP27"/>
  <c r="DT27" s="1"/>
  <c r="Q46"/>
  <c r="Q1"/>
  <c r="DU25"/>
  <c r="DT19"/>
  <c r="DU15"/>
  <c r="DI63"/>
  <c r="CH1"/>
  <c r="BA15"/>
  <c r="BA17" s="1"/>
  <c r="CM20"/>
  <c r="DO46"/>
  <c r="DO48" s="1"/>
  <c r="CC20"/>
  <c r="CX63"/>
  <c r="BO52"/>
  <c r="BO1"/>
  <c r="DU26"/>
  <c r="BJ52"/>
  <c r="BJ1"/>
  <c r="DL42"/>
  <c r="BX14"/>
  <c r="BX16" s="1"/>
  <c r="BE52"/>
  <c r="BE1"/>
  <c r="DS50"/>
  <c r="DS52" s="1"/>
  <c r="V26"/>
  <c r="DM63"/>
  <c r="DJ63"/>
  <c r="DO63" l="1"/>
  <c r="V60"/>
  <c r="V1"/>
  <c r="CC52"/>
  <c r="CC1"/>
  <c r="DE29"/>
  <c r="DE30" s="1"/>
  <c r="DE31" s="1"/>
  <c r="DP28"/>
  <c r="DD34"/>
  <c r="AV28"/>
  <c r="DD44" s="1"/>
  <c r="AV27"/>
  <c r="CM1"/>
  <c r="CY63"/>
  <c r="BX18"/>
  <c r="DL45" s="1"/>
  <c r="DL46" s="1"/>
  <c r="DL48" s="1"/>
  <c r="BA18"/>
  <c r="DG44" s="1"/>
  <c r="DG46" s="1"/>
  <c r="DG48" s="1"/>
  <c r="DU19"/>
  <c r="DU27"/>
  <c r="E42"/>
  <c r="F42" s="1"/>
  <c r="AH26"/>
  <c r="AI26" s="1"/>
  <c r="J19"/>
  <c r="K19" s="1"/>
  <c r="CR14"/>
  <c r="CR16" s="1"/>
  <c r="AV29" l="1"/>
  <c r="BA20"/>
  <c r="BA1" s="1"/>
  <c r="BX20"/>
  <c r="DL63" s="1"/>
  <c r="DG63"/>
  <c r="DD46"/>
  <c r="DD48" s="1"/>
  <c r="AV1" s="1"/>
  <c r="CR18"/>
  <c r="CR19"/>
  <c r="CR20" s="1"/>
  <c r="G44"/>
  <c r="CV34"/>
  <c r="BX52"/>
  <c r="BX1"/>
  <c r="AV52"/>
  <c r="DE32"/>
  <c r="DP31"/>
  <c r="DT31" s="1"/>
  <c r="DD63"/>
  <c r="E46"/>
  <c r="F46" s="1"/>
  <c r="G47" s="1"/>
  <c r="CV43" s="1"/>
  <c r="AH28"/>
  <c r="AI28" s="1"/>
  <c r="DB43" s="1"/>
  <c r="J24"/>
  <c r="K24" s="1"/>
  <c r="L25" s="1"/>
  <c r="CW43" s="1"/>
  <c r="CW34"/>
  <c r="L22"/>
  <c r="AI29"/>
  <c r="AI44" s="1"/>
  <c r="DB34"/>
  <c r="DT28"/>
  <c r="DP29"/>
  <c r="DU28" l="1"/>
  <c r="DT29"/>
  <c r="AI45"/>
  <c r="DB44" s="1"/>
  <c r="DE33"/>
  <c r="DP32"/>
  <c r="DT32" s="1"/>
  <c r="G49"/>
  <c r="DU31"/>
  <c r="DB46"/>
  <c r="DB48" s="1"/>
  <c r="L35"/>
  <c r="DU32" l="1"/>
  <c r="L37"/>
  <c r="CW44" s="1"/>
  <c r="CW46" s="1"/>
  <c r="CW48" s="1"/>
  <c r="G51"/>
  <c r="CV44" s="1"/>
  <c r="CV46" s="1"/>
  <c r="CV48" s="1"/>
  <c r="DE34"/>
  <c r="DP33"/>
  <c r="DT33" s="1"/>
  <c r="DU29"/>
  <c r="AI46"/>
  <c r="DU33" l="1"/>
  <c r="AI58"/>
  <c r="AI1"/>
  <c r="DE35"/>
  <c r="DP34"/>
  <c r="DB63"/>
  <c r="G52"/>
  <c r="CV63" s="1"/>
  <c r="L39"/>
  <c r="CW63" s="1"/>
  <c r="L60" l="1"/>
  <c r="L1"/>
  <c r="DP35"/>
  <c r="DT35" s="1"/>
  <c r="DE36"/>
  <c r="G54"/>
  <c r="G1"/>
  <c r="DT34"/>
  <c r="DU34" l="1"/>
  <c r="DU35"/>
  <c r="DE37"/>
  <c r="DP36"/>
  <c r="DT36" l="1"/>
  <c r="DE38"/>
  <c r="DP37"/>
  <c r="DT37" s="1"/>
  <c r="DU37" l="1"/>
  <c r="DE39"/>
  <c r="DP38"/>
  <c r="DT38" s="1"/>
  <c r="DU36"/>
  <c r="DE40" l="1"/>
  <c r="DP39"/>
  <c r="DT39" s="1"/>
  <c r="DU38"/>
  <c r="DU39" l="1"/>
  <c r="DP40"/>
  <c r="DT40" s="1"/>
  <c r="DE41"/>
  <c r="DE42" l="1"/>
  <c r="DP41"/>
  <c r="DT41" s="1"/>
  <c r="DU40"/>
  <c r="DP42" l="1"/>
  <c r="DT42" s="1"/>
  <c r="DE43"/>
  <c r="DU41"/>
  <c r="DU42" l="1"/>
  <c r="DE44"/>
  <c r="DP43"/>
  <c r="DT43" s="1"/>
  <c r="DE45" l="1"/>
  <c r="DU43"/>
  <c r="DE46" l="1"/>
  <c r="DE47" s="1"/>
  <c r="DE48" s="1"/>
  <c r="DE49" s="1"/>
  <c r="DE50" s="1"/>
  <c r="DP45"/>
  <c r="DP50" l="1"/>
  <c r="DT50" s="1"/>
  <c r="DE51"/>
  <c r="DE52" s="1"/>
  <c r="DE53" s="1"/>
  <c r="DE54" s="1"/>
  <c r="DE55" s="1"/>
  <c r="DT45"/>
  <c r="DU45" l="1"/>
  <c r="DU50"/>
  <c r="DE56"/>
  <c r="DP55"/>
  <c r="DT55" l="1"/>
  <c r="AC12"/>
  <c r="AD15" s="1"/>
  <c r="DE57"/>
  <c r="DP56"/>
  <c r="DT56" s="1"/>
  <c r="DP57" l="1"/>
  <c r="DE58"/>
  <c r="DU56"/>
  <c r="Z19"/>
  <c r="Z20" s="1"/>
  <c r="Z23" s="1"/>
  <c r="Z28" s="1"/>
  <c r="AD19"/>
  <c r="AD22" s="1"/>
  <c r="DU55"/>
  <c r="DA44" l="1"/>
  <c r="DA46" s="1"/>
  <c r="DA48" s="1"/>
  <c r="AD24"/>
  <c r="DT57"/>
  <c r="Z30"/>
  <c r="CZ44"/>
  <c r="DE59"/>
  <c r="DP58"/>
  <c r="DT58" s="1"/>
  <c r="DA63" l="1"/>
  <c r="DP59"/>
  <c r="DT59" s="1"/>
  <c r="DE60"/>
  <c r="DU57"/>
  <c r="DU58"/>
  <c r="CZ46"/>
  <c r="CZ48" s="1"/>
  <c r="CZ63" s="1"/>
  <c r="DP44"/>
  <c r="AD45"/>
  <c r="AD1"/>
  <c r="DT44" l="1"/>
  <c r="DP46"/>
  <c r="DP48" s="1"/>
  <c r="DU59"/>
  <c r="Z52"/>
  <c r="DP60"/>
  <c r="DE61"/>
  <c r="Z1"/>
  <c r="DU44" l="1"/>
  <c r="DT46"/>
  <c r="DT60"/>
  <c r="DP61"/>
  <c r="DP62" s="1"/>
  <c r="DT48" l="1"/>
  <c r="DU60"/>
  <c r="DT61"/>
  <c r="DU46"/>
  <c r="DU48" l="1"/>
  <c r="DU61"/>
  <c r="DU52" l="1"/>
</calcChain>
</file>

<file path=xl/sharedStrings.xml><?xml version="1.0" encoding="utf-8"?>
<sst xmlns="http://schemas.openxmlformats.org/spreadsheetml/2006/main" count="655" uniqueCount="332">
  <si>
    <t>KJB-5 Adj. 01</t>
  </si>
  <si>
    <t>KJB-5 Adj. 02</t>
  </si>
  <si>
    <t>KJB-5 Adj. 03</t>
  </si>
  <si>
    <t>KJB-5 Adj. 04</t>
  </si>
  <si>
    <t>KJB-5 Adj. 05</t>
  </si>
  <si>
    <t>KJB-5 Adj. 06</t>
  </si>
  <si>
    <t>KJB-5 Adj. 07</t>
  </si>
  <si>
    <t>KJB-5 Adj. 08</t>
  </si>
  <si>
    <t>KJB-5 Adj. 09</t>
  </si>
  <si>
    <t>KJB-5 Adj. 10</t>
  </si>
  <si>
    <t xml:space="preserve"> </t>
  </si>
  <si>
    <t>KJB-5 Adj. 11</t>
  </si>
  <si>
    <t>KJB-5 Adj. 12</t>
  </si>
  <si>
    <t>KJB-5 Adj. 13</t>
  </si>
  <si>
    <t>KJB-5 Adj. 14</t>
  </si>
  <si>
    <t>KJB-5 Adj. 15</t>
  </si>
  <si>
    <t>KJB-5 Adj. 16</t>
  </si>
  <si>
    <t>KJB-5 Adj. 17</t>
  </si>
  <si>
    <t>KJB-5 Adj. 18</t>
  </si>
  <si>
    <t>KJB-5 Adj. 19</t>
  </si>
  <si>
    <t>KJB-5 Detail (1)</t>
  </si>
  <si>
    <t>KJB-5 Detail (2)</t>
  </si>
  <si>
    <t>KJB-5 Summary</t>
  </si>
  <si>
    <t>PUGET SOUND ENERGY-ELECTRIC</t>
  </si>
  <si>
    <t/>
  </si>
  <si>
    <t>TEMPERATURE NORMALIZATION</t>
  </si>
  <si>
    <t>REVENUE &amp; EXPENSE RESTATING</t>
  </si>
  <si>
    <t>POWER COSTS</t>
  </si>
  <si>
    <t>REGULATORY CREDITS</t>
  </si>
  <si>
    <t>FEDERAL INCOME TAX</t>
  </si>
  <si>
    <t>TAX BENEFIT OF RESTATED INTEREST</t>
  </si>
  <si>
    <t>PASS-THROUGH REVENUE &amp; EXPENSE</t>
  </si>
  <si>
    <t>RATE CASE EXPENSES</t>
  </si>
  <si>
    <t>BAD DEBTS</t>
  </si>
  <si>
    <t>INCENTIVE PLAN</t>
  </si>
  <si>
    <t>EXCISE TAX &amp; FILING FEE</t>
  </si>
  <si>
    <t>D&amp;O INSURANCE</t>
  </si>
  <si>
    <t>MONTANA ENERGY TAX</t>
  </si>
  <si>
    <t>INTEREST ON CUSTOMER DEPOSITS</t>
  </si>
  <si>
    <t>ASC 815 (SFAS 133)</t>
  </si>
  <si>
    <t>PENSION PLAN</t>
  </si>
  <si>
    <t>INJURIES AND DAMAGES</t>
  </si>
  <si>
    <t>DEFERRED GAINS AND LOSSES ON PROPERTY SALES</t>
  </si>
  <si>
    <t>CONVERSION FACTOR</t>
  </si>
  <si>
    <t>STATEMENT OF OPERATING INCOME AND ADJUSTMENTS</t>
  </si>
  <si>
    <t>FOR THE TWELVE MONTHS ENDED JUNE 30, 2012</t>
  </si>
  <si>
    <t>RESULTS OF OPERATIONS</t>
  </si>
  <si>
    <t>COMMISSION BASIS REPORT</t>
  </si>
  <si>
    <t>OTHER</t>
  </si>
  <si>
    <t xml:space="preserve">PERCENT </t>
  </si>
  <si>
    <t>LINE</t>
  </si>
  <si>
    <t>INCREASE</t>
  </si>
  <si>
    <t>NET</t>
  </si>
  <si>
    <t>GROSS</t>
  </si>
  <si>
    <t>SALES FOR</t>
  </si>
  <si>
    <t>OPERATING</t>
  </si>
  <si>
    <t>WRITEOFFS</t>
  </si>
  <si>
    <t xml:space="preserve">LINE </t>
  </si>
  <si>
    <t>&gt;</t>
  </si>
  <si>
    <t>NO.</t>
  </si>
  <si>
    <t>DESCRIPTION</t>
  </si>
  <si>
    <t>AMOUNT</t>
  </si>
  <si>
    <t>ADJUSTMENT</t>
  </si>
  <si>
    <t>ACTUAL</t>
  </si>
  <si>
    <t>RESTATED</t>
  </si>
  <si>
    <t>(DECREASE)</t>
  </si>
  <si>
    <t>YEAR</t>
  </si>
  <si>
    <t>WRITEOFF'S</t>
  </si>
  <si>
    <t>REVENUES</t>
  </si>
  <si>
    <t>RESALE OTHER</t>
  </si>
  <si>
    <t>REVENUE</t>
  </si>
  <si>
    <t>RESALE FIRM</t>
  </si>
  <si>
    <t>TO REVENUE</t>
  </si>
  <si>
    <t>TEST YEAR</t>
  </si>
  <si>
    <t>RATE</t>
  </si>
  <si>
    <t>ACTUAL RESULTS OF</t>
  </si>
  <si>
    <t>TEMPERATURE</t>
  </si>
  <si>
    <t>POWER</t>
  </si>
  <si>
    <t>REGULATORY</t>
  </si>
  <si>
    <t>FEDERAL</t>
  </si>
  <si>
    <t xml:space="preserve">TAX BENEFIT OF </t>
  </si>
  <si>
    <t>PASS-THROUGH</t>
  </si>
  <si>
    <t>RATE CASE</t>
  </si>
  <si>
    <t>BAD</t>
  </si>
  <si>
    <t>INCENTIVE</t>
  </si>
  <si>
    <t>EXCISE TAX &amp;</t>
  </si>
  <si>
    <t>D&amp;O</t>
  </si>
  <si>
    <t>MONTANA</t>
  </si>
  <si>
    <t xml:space="preserve">INTEREST ON </t>
  </si>
  <si>
    <t>ASC 815</t>
  </si>
  <si>
    <t xml:space="preserve">PENSION </t>
  </si>
  <si>
    <t>INJURIES &amp;</t>
  </si>
  <si>
    <t>PROPERTY</t>
  </si>
  <si>
    <t>TOTAL</t>
  </si>
  <si>
    <t>TEMPERATURE NORMALIZATION ADJUSTMENT:</t>
  </si>
  <si>
    <t>SALES TO CUSTOMERS:</t>
  </si>
  <si>
    <t>June</t>
  </si>
  <si>
    <t>February</t>
  </si>
  <si>
    <t>OPERATIONS</t>
  </si>
  <si>
    <t>NORMALIZATION</t>
  </si>
  <si>
    <t>&amp; EXPENSE</t>
  </si>
  <si>
    <t>COSTS</t>
  </si>
  <si>
    <t>CREDITS</t>
  </si>
  <si>
    <t>INCOME TAX</t>
  </si>
  <si>
    <t>RESTATED INTEREST</t>
  </si>
  <si>
    <t>REVENUE &amp; EXPENSE</t>
  </si>
  <si>
    <t>EXPENSES</t>
  </si>
  <si>
    <t>DEBTS</t>
  </si>
  <si>
    <t>PAY</t>
  </si>
  <si>
    <t>FILING FEE</t>
  </si>
  <si>
    <t>INSURANCE</t>
  </si>
  <si>
    <t>ENERGY TAX</t>
  </si>
  <si>
    <t>CUST DEPOSITS</t>
  </si>
  <si>
    <t>(SFAS 133)</t>
  </si>
  <si>
    <t>PLAN</t>
  </si>
  <si>
    <t>DAMAGES</t>
  </si>
  <si>
    <t>SALES</t>
  </si>
  <si>
    <t>ADJUSTMENTS</t>
  </si>
  <si>
    <t>RESULTS OF</t>
  </si>
  <si>
    <t>TEMP ADJ</t>
  </si>
  <si>
    <t>MWH</t>
  </si>
  <si>
    <t>ADJ FOR LOSSES</t>
  </si>
  <si>
    <t>REMOVE MERGER RATE CREDIT SCH 132</t>
  </si>
  <si>
    <t>PRODUCTION EXPENSES:</t>
  </si>
  <si>
    <t>TAXABLE INCOME BEFORE ADJUSTMENTS</t>
  </si>
  <si>
    <t>RATE BASE</t>
  </si>
  <si>
    <t>REMOVE REVENUES ASSOCIATED WITH RIDERS:</t>
  </si>
  <si>
    <t>EXPENSES TO BE NORMALIZED - BASED ON AMOUNTS FROM 2009 GRC</t>
  </si>
  <si>
    <t>12 ME 6/30/2009</t>
  </si>
  <si>
    <t>INCREASE(DECREASE ) IN EXPENSE</t>
  </si>
  <si>
    <t>RESTATED EXCISE TAXES</t>
  </si>
  <si>
    <t>D &amp; O INS. CHG  EXPENSE</t>
  </si>
  <si>
    <t>RESTATED KWH</t>
  </si>
  <si>
    <t>1</t>
  </si>
  <si>
    <t>INTEREST EXPENSE FOR TEST YEAR</t>
  </si>
  <si>
    <t>FAS 133 OPERATING EXPENSE</t>
  </si>
  <si>
    <t>QUALIFIED RETIREMENT FUND</t>
  </si>
  <si>
    <t>INJURIES &amp; DAMAGES ACCRUALS</t>
  </si>
  <si>
    <t>AMORTIZATION OF DEFERRED GAIN</t>
  </si>
  <si>
    <t>12 ME JUN 30, 2012</t>
  </si>
  <si>
    <t>GPI MWH</t>
  </si>
  <si>
    <t>CHANGE</t>
  </si>
  <si>
    <t>REMOVE SCHEDULE 95A TREASURY GRANTS</t>
  </si>
  <si>
    <t>FUEL</t>
  </si>
  <si>
    <t>REMOVE CONSERVATION RIDER - SCHEDULE 120</t>
  </si>
  <si>
    <t>APPROVED IN RATES DURING PERIOD:</t>
  </si>
  <si>
    <t>12 ME 6/30/2011</t>
  </si>
  <si>
    <t>CHARGED TO EXPENSE FOR TEST YEAR</t>
  </si>
  <si>
    <t>TAX RATE</t>
  </si>
  <si>
    <t>INJURIES &amp; DAMAGES PAYMENTS IN EXCESS OF ACCRUALS</t>
  </si>
  <si>
    <t>AMORTIZATION OF DEFERRED LOSS</t>
  </si>
  <si>
    <t>ANNUAL FILING FEE</t>
  </si>
  <si>
    <t>-</t>
  </si>
  <si>
    <t>PURCHASED AND INTERCHANGED</t>
  </si>
  <si>
    <t>ADD BACK:</t>
  </si>
  <si>
    <t>WEIGHTED COST OF DEBT</t>
  </si>
  <si>
    <t>REMOVE MUNICIPAL TAXES - SCHEDULE 81</t>
  </si>
  <si>
    <t>12 ME 6/30/2012</t>
  </si>
  <si>
    <t>PAYROLL TAXES ASSOCI WITH MERIT PAY</t>
  </si>
  <si>
    <t>INCREASE(DECREASE) EXCISE TAX</t>
  </si>
  <si>
    <t>INCREASE (DECREASE) IN EXPENSE</t>
  </si>
  <si>
    <t>INCREASE/(DECREASE) IN EXPENSE</t>
  </si>
  <si>
    <t>TOTAL GAIN/LOSS AMORTIZATION</t>
  </si>
  <si>
    <t>OPERATING REVENUES</t>
  </si>
  <si>
    <t>OPERATING REVENUES:</t>
  </si>
  <si>
    <t>INCREASE (DECREASE) SALES TO CUSTOMERS</t>
  </si>
  <si>
    <t>PRUDENCE FROM UE-921262</t>
  </si>
  <si>
    <t xml:space="preserve">   CURRENT FEDERAL INCOME TAXES</t>
  </si>
  <si>
    <t>REMOVE LOW INCOME RIDER - SCHEDULE 129</t>
  </si>
  <si>
    <t>2007 and 2006 GRC EXPENSES TO BE NORMALIZED</t>
  </si>
  <si>
    <t>RESTATED ENERGY TAX</t>
  </si>
  <si>
    <t>INCREASE (DECREASE) NOI</t>
  </si>
  <si>
    <t>INCREASE (DECREASE ) IN EXPENSE</t>
  </si>
  <si>
    <t>SALES TO CUSTOMERS</t>
  </si>
  <si>
    <t>SCHEDULE G DISALLOWANCE</t>
  </si>
  <si>
    <t xml:space="preserve">   DEFERRED FEDERAL INCOME TAXES</t>
  </si>
  <si>
    <t>REMOVE RESIDENTIAL EXCHANGE - SCH 194</t>
  </si>
  <si>
    <t>3-YR AVERAGE OF NET WRITE OFF RATE</t>
  </si>
  <si>
    <t>RESTATED WUTC FILING FEE</t>
  </si>
  <si>
    <t>INCREASE (DECREASE) OPERATING INCOME</t>
  </si>
  <si>
    <t>CHARGED TO EXPENSE</t>
  </si>
  <si>
    <t>INCREASE/(DECREASE) IN OPERATING EXPENSE (LINE 3)</t>
  </si>
  <si>
    <t>INCREASE (DECREASE) EXPENSE  (Line 15 - Line 17)</t>
  </si>
  <si>
    <t>SUM OF TAXES OTHER</t>
  </si>
  <si>
    <t>SALES FROM RESALE-FIRM</t>
  </si>
  <si>
    <t>INCREASE (DECREASE) REVENUES</t>
  </si>
  <si>
    <t>WHEELING</t>
  </si>
  <si>
    <t>SUB TOTAL</t>
  </si>
  <si>
    <t>INTEREST FOR WHICH THE TAX BENEFIT IS INCLUDED ABOVE THE LINE</t>
  </si>
  <si>
    <r>
      <t xml:space="preserve">ANNUAL NORMALIZATION (LINE 3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</si>
  <si>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INCREASE (DECREASE) INCOME</t>
  </si>
  <si>
    <t>INCREASE (DECREASE) FIT @</t>
  </si>
  <si>
    <t>SALES TO OTHER UTILITIES</t>
  </si>
  <si>
    <t>GREEN POWER - SCH 135/136 ELIMINATE UNDER EXPENSED</t>
  </si>
  <si>
    <t>LESS TEST YEAR EXPENSE</t>
  </si>
  <si>
    <t>REPORTING PERIOD REVENUES</t>
  </si>
  <si>
    <t>INCREASE(DECREASE) WUTC FILING FEE</t>
  </si>
  <si>
    <t xml:space="preserve">INCREASE (DECREASE) DEFERRED FIT @ </t>
  </si>
  <si>
    <t>INCREASE (DECREASE) FIT @ 35%</t>
  </si>
  <si>
    <t>OTHER OPERATING REVENUES</t>
  </si>
  <si>
    <t>UNCOLLECTIBLES @</t>
  </si>
  <si>
    <t>PURCHASES/SALES OF NON-CORE GAS</t>
  </si>
  <si>
    <t>LOWER SNAKE RIVER</t>
  </si>
  <si>
    <t>LESS: INTEREST</t>
  </si>
  <si>
    <t>REMOVE REC PROCEEDS - SCH 137</t>
  </si>
  <si>
    <t>INCREASE (DECREASE) EXPENSE</t>
  </si>
  <si>
    <t xml:space="preserve">INCREASE (DECREASE) FIT @ </t>
  </si>
  <si>
    <t>TOTAL OPERATING REVENUES</t>
  </si>
  <si>
    <t>ANNUAL FILING FEE @</t>
  </si>
  <si>
    <t>SUBTOTAL - POWER COSTS TO BE ADJUSTED</t>
  </si>
  <si>
    <t>LSR FIXED COST DEFERRAL</t>
  </si>
  <si>
    <t xml:space="preserve">TAXABLE INCOME  </t>
  </si>
  <si>
    <t>REMOVE EXPENSES ASSOCIATED WITH SCH 137 REC PROCEEDS</t>
  </si>
  <si>
    <t>RESTATED BAD DEBT RATE</t>
  </si>
  <si>
    <t>INCREASE(DECREASE) EXPENSE</t>
  </si>
  <si>
    <t>REMOVE REC/PTC OFFSET PERIOD ACCOUNTING</t>
  </si>
  <si>
    <t>EFFECTIVE TAX RATE</t>
  </si>
  <si>
    <t>2005 AND 2007 PCORC EXPENSES TO BE NORMALIZED</t>
  </si>
  <si>
    <t>RESTATED BAD DEBTS</t>
  </si>
  <si>
    <t>OPERATING REVENUE DEDUCTIONS:</t>
  </si>
  <si>
    <t>LESS:  SALES FOR RESALE</t>
  </si>
  <si>
    <t>INCREASE (DECREASE ) EXPENSE</t>
  </si>
  <si>
    <t>CALCULATED FEDERAL INCOME TAX</t>
  </si>
  <si>
    <t>TOTAL (INCREASE) DECREASE REVENUES</t>
  </si>
  <si>
    <t>INCREASE(DECREASE) OPERATING INCOME</t>
  </si>
  <si>
    <t>STATE UTILITY TAX @</t>
  </si>
  <si>
    <t>SCH. 94 - RES./FARM CREDIT</t>
  </si>
  <si>
    <t xml:space="preserve">LESS:  </t>
  </si>
  <si>
    <t xml:space="preserve">INCREASE (DECREASE) NOI </t>
  </si>
  <si>
    <r>
      <t xml:space="preserve">ANNUAL NORMALIZATION (LINE 9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</si>
  <si>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UNCOLLECTIBLES CHARGED TO EXPENSE IN TEST YEAR</t>
  </si>
  <si>
    <t>POWER COSTS:</t>
  </si>
  <si>
    <t>INCREASE (DECREASE) TAXES OTHER</t>
  </si>
  <si>
    <t>DECREASE REVENUE SENSITIVE ITEMS FOR DECREASE IN REVENUES:</t>
  </si>
  <si>
    <t>INCREASE(DECREASE) FIT</t>
  </si>
  <si>
    <t xml:space="preserve"> FUEL</t>
  </si>
  <si>
    <t xml:space="preserve"> PURCHASED AND INTERCHANGED</t>
  </si>
  <si>
    <t>PRODUCTION EXPENSES ON INCOME STATEMENT</t>
  </si>
  <si>
    <t>INCREASE(DECREASE) NOI</t>
  </si>
  <si>
    <t xml:space="preserve"> WHEELING</t>
  </si>
  <si>
    <t>INCREASE(DECREASE) INCOME</t>
  </si>
  <si>
    <t xml:space="preserve">INCREASE(DECREASE) FIT </t>
  </si>
  <si>
    <t>STATE UTILITY TAX</t>
  </si>
  <si>
    <t>INCREASE (DECREASE) FIT</t>
  </si>
  <si>
    <t xml:space="preserve"> RESIDENTIAL EXCHANGE</t>
  </si>
  <si>
    <t>RESIDENTIAL EXCHANGE</t>
  </si>
  <si>
    <t>REVENUE ADJUSTMENT:</t>
  </si>
  <si>
    <t>Schedule 7</t>
  </si>
  <si>
    <t>OTHER OPERATING EXPENSES:</t>
  </si>
  <si>
    <t xml:space="preserve">TOTAL </t>
  </si>
  <si>
    <t>TOTAL INCREASE (DECREASE) EXPENSE</t>
  </si>
  <si>
    <t>TOTAL PRODUCTION EXPENSES</t>
  </si>
  <si>
    <t>Schedule 24</t>
  </si>
  <si>
    <t>REMOVE SCHEDULE 95A TREASURY GRANTS AMORTIZATION</t>
  </si>
  <si>
    <t>INCREASE(DECREASE) FIT @</t>
  </si>
  <si>
    <t xml:space="preserve">INCREASE(DECREASE) NOI </t>
  </si>
  <si>
    <t>Schedule 25</t>
  </si>
  <si>
    <t xml:space="preserve">REMOVE ACCRUAL FOR FUTURE PTC LIABILITY </t>
  </si>
  <si>
    <t>REMOVE EXPENSES ASSOCIATED WITH RIDERS</t>
  </si>
  <si>
    <t>OTHER POWER SUPPLY EXPENSES</t>
  </si>
  <si>
    <t>Schedule 26</t>
  </si>
  <si>
    <t>(ACTUAL PTC'S REMOVED IN FIT ADJUSTMENT NO. 3.06)</t>
  </si>
  <si>
    <t>REMOVE CONSERVATION AMORTIZATON - SCHEDULE 120</t>
  </si>
  <si>
    <t>TRANSMISSION EXPENSE</t>
  </si>
  <si>
    <t>Schedule 29</t>
  </si>
  <si>
    <t>INCREASE (DECREASE) OPERATING EXPENSES</t>
  </si>
  <si>
    <t>DISTRIBUTION EXPENSE</t>
  </si>
  <si>
    <t>Schedule 31</t>
  </si>
  <si>
    <t>REMOVE LOW INCOME AMORTIZATION - SCHEDULE 129</t>
  </si>
  <si>
    <t>CUSTOMER ACCTS EXPENSES</t>
  </si>
  <si>
    <t>CUSTOMER ACCOUNT EXPENSES</t>
  </si>
  <si>
    <t>Schedule 43</t>
  </si>
  <si>
    <t>INCREASE (DECREASE) OPERATING INCOME BEFORE FIT</t>
  </si>
  <si>
    <t>CUSTOMER SERVICE EXPENSES</t>
  </si>
  <si>
    <t>Schedule 40 - Med Sec Voltage</t>
  </si>
  <si>
    <t>CONSERVATION AMORTIZATION</t>
  </si>
  <si>
    <t>Schedule 40 - Large Sec Voltage</t>
  </si>
  <si>
    <t>REMOVE EXPENSES ASSOCIATED WITH SCH 137 REC INTEREST</t>
  </si>
  <si>
    <t>ADMIN &amp; GENERAL EXPENSE</t>
  </si>
  <si>
    <t>Schedule 40 - Primary Voltage</t>
  </si>
  <si>
    <t>GREEN POWER - SCH 135/136 TAGS</t>
  </si>
  <si>
    <t>DEPRECIATION</t>
  </si>
  <si>
    <t>Firm Resale</t>
  </si>
  <si>
    <t>GREEN POWER - SCH 135/136 ADMIN</t>
  </si>
  <si>
    <t>AMORTIZATION</t>
  </si>
  <si>
    <t>GREEN POWER - SCH 135/136 BENEFITS PORTION OF ADMIN</t>
  </si>
  <si>
    <t>AMORTIZ OF PROPERTY GAIN/LOSS</t>
  </si>
  <si>
    <t>GREEN POWER - SCH 135/136 TAXES PORTION OF ADMIN</t>
  </si>
  <si>
    <t>OTHER OPERATING EXPENSES</t>
  </si>
  <si>
    <t>FAS 133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</si>
  <si>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</si>
  <si>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</si>
  <si>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</si>
  <si>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</si>
  <si>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</si>
  <si>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</si>
  <si>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</si>
  <si>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</si>
  <si>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NET UTILITY PLANT IN SERVICE</t>
  </si>
  <si>
    <t xml:space="preserve"> ACCUM DEPR AND AMORT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</si>
  <si>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</si>
  <si>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</si>
  <si>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</si>
  <si>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</si>
  <si>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</si>
  <si>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</si>
  <si>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</si>
  <si>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</si>
  <si>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</si>
  <si>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</si>
  <si>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</si>
  <si>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</si>
  <si>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</si>
  <si>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</si>
  <si>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</si>
  <si>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</si>
  <si>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</si>
  <si>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</si>
  <si>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</si>
  <si>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</si>
  <si>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</si>
  <si>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</si>
  <si>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</si>
  <si>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</si>
  <si>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</si>
  <si>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</si>
  <si>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</si>
  <si>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</si>
  <si>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</si>
  <si>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</si>
  <si>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KJB-5 Adj. 20</t>
  </si>
  <si>
    <t>GREEN POWER - SCH 135/136</t>
  </si>
</sst>
</file>

<file path=xl/styles.xml><?xml version="1.0" encoding="utf-8"?>
<styleSheet xmlns="http://schemas.openxmlformats.org/spreadsheetml/2006/main">
  <numFmts count="3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PAGE&quot;\ 0.00"/>
    <numFmt numFmtId="166" formatCode="#,##0;\(#,##0\)"/>
    <numFmt numFmtId="167" formatCode="_(* #,##0.00000_);_(* \(#,##0.00000\);_(* &quot;-&quot;?????_);_(@_)"/>
    <numFmt numFmtId="168" formatCode="#,##0.00\ ;\(#,##0.00\)"/>
    <numFmt numFmtId="169" formatCode="0.0000000%"/>
    <numFmt numFmtId="170" formatCode="0.0%"/>
    <numFmt numFmtId="171" formatCode="_(* #,##0_);_(* \(#,##0\);_(* &quot;-&quot;??_);_(@_)"/>
    <numFmt numFmtId="172" formatCode="_(&quot;$&quot;* #,##0.00000_);_(&quot;$&quot;* \(#,##0.00000\);_(&quot;$&quot;* &quot;-&quot;?????_);_(@_)"/>
    <numFmt numFmtId="173" formatCode="0.0000%"/>
    <numFmt numFmtId="174" formatCode="_(&quot;$&quot;* #,##0_);_(&quot;$&quot;* \(#,##0\);_(&quot;$&quot;* &quot;-&quot;??_);_(@_)"/>
    <numFmt numFmtId="175" formatCode="0.0000000"/>
    <numFmt numFmtId="176" formatCode="0.00000000"/>
    <numFmt numFmtId="177" formatCode="0.000000%"/>
    <numFmt numFmtId="178" formatCode="_(* #,##0_);[Red]_(* \(#,##0\);_(* &quot;-&quot;_);_(@_)"/>
    <numFmt numFmtId="179" formatCode="_(&quot;$&quot;* #,##0_);[Red]_(&quot;$&quot;* \(#,##0\);_(&quot;$&quot;* &quot;-&quot;_);_(@_)"/>
    <numFmt numFmtId="180" formatCode="#,##0.0000000;\(#,##0.0000000\)"/>
    <numFmt numFmtId="181" formatCode="_(* #,##0.00000_);_(* \(#,##0.00000\);_(* &quot;-&quot;??_);_(@_)"/>
    <numFmt numFmtId="182" formatCode="0000"/>
    <numFmt numFmtId="183" formatCode="000000"/>
    <numFmt numFmtId="184" formatCode="d\.mmm\.yy"/>
    <numFmt numFmtId="185" formatCode="#."/>
    <numFmt numFmtId="186" formatCode="_(* ###0_);_(* \(###0\);_(* &quot;-&quot;_);_(@_)"/>
    <numFmt numFmtId="187" formatCode="_(&quot;$&quot;* #,##0.0_);_(&quot;$&quot;* \(#,##0.0\);_(&quot;$&quot;* &quot;-&quot;??_);_(@_)"/>
    <numFmt numFmtId="188" formatCode="_(&quot;$&quot;* #,##0.000000_);_(&quot;$&quot;* \(#,##0.000000\);_(&quot;$&quot;* &quot;-&quot;??????_);_(@_)"/>
    <numFmt numFmtId="189" formatCode="mmmm\ d\,\ yyyy"/>
    <numFmt numFmtId="190" formatCode="_(&quot;$&quot;* #,##0.0000_);_(&quot;$&quot;* \(#,##0.0000\);_(&quot;$&quot;* &quot;-&quot;????_);_(@_)"/>
    <numFmt numFmtId="191" formatCode="_(* #,##0.0_);_(* \(#,##0.0\);_(* &quot;-&quot;_);_(@_)"/>
    <numFmt numFmtId="192" formatCode="&quot;$&quot;#,##0.00"/>
    <numFmt numFmtId="193" formatCode="_(* #,##0.0000_);_(* \(#,##0.0000\);_(* &quot;-&quot;??_);_(@_)"/>
  </numFmts>
  <fonts count="64">
    <font>
      <sz val="8"/>
      <name val="Helv"/>
    </font>
    <font>
      <sz val="11"/>
      <color theme="1"/>
      <name val="Calibri"/>
      <family val="2"/>
      <scheme val="minor"/>
    </font>
    <font>
      <sz val="11"/>
      <name val="univers (E1)"/>
    </font>
    <font>
      <sz val="10"/>
      <name val="Times New Roman"/>
      <family val="1"/>
    </font>
    <font>
      <sz val="8"/>
      <name val="Helv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8"/>
      <name val="Helv"/>
    </font>
    <font>
      <sz val="1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</font>
    <font>
      <sz val="11.5"/>
      <name val="Symbol"/>
      <family val="1"/>
      <charset val="2"/>
    </font>
    <font>
      <b/>
      <i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8"/>
      <color indexed="8"/>
      <name val="Helv"/>
    </font>
    <font>
      <b/>
      <sz val="10"/>
      <color rgb="FF00B050"/>
      <name val="Times New Roman"/>
      <family val="1"/>
    </font>
    <font>
      <sz val="8"/>
      <color indexed="14"/>
      <name val="Helv"/>
    </font>
    <font>
      <b/>
      <sz val="12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307">
    <xf numFmtId="164" fontId="0" fillId="0" borderId="0">
      <alignment horizontal="left" wrapText="1"/>
    </xf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>
      <alignment horizontal="left" wrapText="1"/>
    </xf>
    <xf numFmtId="0" fontId="8" fillId="0" borderId="0"/>
    <xf numFmtId="0" fontId="8" fillId="0" borderId="0"/>
    <xf numFmtId="44" fontId="8" fillId="0" borderId="0" applyFont="0" applyFill="0" applyBorder="0" applyAlignment="0" applyProtection="0"/>
    <xf numFmtId="170" fontId="8" fillId="0" borderId="0">
      <alignment horizontal="left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75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75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0" fontId="14" fillId="0" borderId="0"/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0" fontId="14" fillId="0" borderId="0"/>
    <xf numFmtId="182" fontId="23" fillId="0" borderId="0">
      <alignment horizontal="left"/>
    </xf>
    <xf numFmtId="183" fontId="24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5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84" fontId="27" fillId="0" borderId="0" applyFill="0" applyBorder="0" applyAlignment="0"/>
    <xf numFmtId="41" fontId="8" fillId="26" borderId="0"/>
    <xf numFmtId="40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5" fontId="33" fillId="0" borderId="0">
      <protection locked="0"/>
    </xf>
    <xf numFmtId="0" fontId="32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31" fillId="0" borderId="0"/>
    <xf numFmtId="0" fontId="32" fillId="0" borderId="0"/>
    <xf numFmtId="0" fontId="31" fillId="0" borderId="0"/>
    <xf numFmtId="0" fontId="3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164" fontId="8" fillId="0" borderId="0"/>
    <xf numFmtId="2" fontId="30" fillId="0" borderId="0" applyFont="0" applyFill="0" applyBorder="0" applyAlignment="0" applyProtection="0"/>
    <xf numFmtId="0" fontId="31" fillId="0" borderId="0"/>
    <xf numFmtId="38" fontId="16" fillId="26" borderId="0" applyNumberFormat="0" applyBorder="0" applyAlignment="0" applyProtection="0"/>
    <xf numFmtId="187" fontId="37" fillId="0" borderId="0" applyNumberFormat="0" applyFill="0" applyBorder="0" applyProtection="0">
      <alignment horizontal="right"/>
    </xf>
    <xf numFmtId="0" fontId="38" fillId="0" borderId="9" applyNumberFormat="0" applyAlignment="0" applyProtection="0">
      <alignment horizontal="left"/>
    </xf>
    <xf numFmtId="0" fontId="38" fillId="0" borderId="8">
      <alignment horizontal="left"/>
    </xf>
    <xf numFmtId="14" fontId="39" fillId="30" borderId="10">
      <alignment horizontal="center" vertical="center" wrapText="1"/>
    </xf>
    <xf numFmtId="38" fontId="40" fillId="0" borderId="0"/>
    <xf numFmtId="40" fontId="40" fillId="0" borderId="0"/>
    <xf numFmtId="10" fontId="16" fillId="31" borderId="11" applyNumberFormat="0" applyBorder="0" applyAlignment="0" applyProtection="0"/>
    <xf numFmtId="41" fontId="41" fillId="32" borderId="12">
      <alignment horizontal="left"/>
      <protection locked="0"/>
    </xf>
    <xf numFmtId="10" fontId="41" fillId="32" borderId="12">
      <alignment horizontal="right"/>
      <protection locked="0"/>
    </xf>
    <xf numFmtId="0" fontId="16" fillId="26" borderId="0"/>
    <xf numFmtId="3" fontId="42" fillId="0" borderId="0" applyFill="0" applyBorder="0" applyAlignment="0" applyProtection="0"/>
    <xf numFmtId="44" fontId="39" fillId="0" borderId="13" applyNumberFormat="0" applyFont="0" applyAlignment="0">
      <alignment horizontal="center"/>
    </xf>
    <xf numFmtId="44" fontId="39" fillId="0" borderId="14" applyNumberFormat="0" applyFont="0" applyAlignment="0">
      <alignment horizontal="center"/>
    </xf>
    <xf numFmtId="37" fontId="43" fillId="0" borderId="0"/>
    <xf numFmtId="188" fontId="4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164" fontId="4" fillId="0" borderId="0">
      <alignment horizontal="left" wrapText="1"/>
    </xf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9" fillId="0" borderId="0"/>
    <xf numFmtId="0" fontId="8" fillId="0" borderId="0"/>
    <xf numFmtId="189" fontId="8" fillId="0" borderId="0">
      <alignment horizontal="left" wrapText="1"/>
    </xf>
    <xf numFmtId="0" fontId="8" fillId="0" borderId="0"/>
    <xf numFmtId="0" fontId="25" fillId="0" borderId="0"/>
    <xf numFmtId="0" fontId="25" fillId="0" borderId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31" fillId="0" borderId="0"/>
    <xf numFmtId="0" fontId="31" fillId="0" borderId="0"/>
    <xf numFmtId="0" fontId="32" fillId="0" borderId="0"/>
    <xf numFmtId="17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8" fillId="34" borderId="12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45" fillId="0" borderId="10">
      <alignment horizontal="center"/>
    </xf>
    <xf numFmtId="3" fontId="28" fillId="0" borderId="0" applyFont="0" applyFill="0" applyBorder="0" applyAlignment="0" applyProtection="0"/>
    <xf numFmtId="0" fontId="28" fillId="35" borderId="0" applyNumberFormat="0" applyFont="0" applyBorder="0" applyAlignment="0" applyProtection="0"/>
    <xf numFmtId="0" fontId="32" fillId="0" borderId="0"/>
    <xf numFmtId="3" fontId="46" fillId="0" borderId="0" applyFill="0" applyBorder="0" applyAlignment="0" applyProtection="0"/>
    <xf numFmtId="0" fontId="47" fillId="0" borderId="0"/>
    <xf numFmtId="42" fontId="8" fillId="31" borderId="0"/>
    <xf numFmtId="42" fontId="8" fillId="31" borderId="7">
      <alignment vertical="center"/>
    </xf>
    <xf numFmtId="0" fontId="39" fillId="31" borderId="4" applyNumberFormat="0">
      <alignment horizontal="center" vertical="center" wrapText="1"/>
    </xf>
    <xf numFmtId="10" fontId="8" fillId="31" borderId="0"/>
    <xf numFmtId="190" fontId="8" fillId="31" borderId="0"/>
    <xf numFmtId="171" fontId="40" fillId="0" borderId="0" applyBorder="0" applyAlignment="0"/>
    <xf numFmtId="42" fontId="8" fillId="31" borderId="5">
      <alignment horizontal="left"/>
    </xf>
    <xf numFmtId="190" fontId="48" fillId="31" borderId="5">
      <alignment horizontal="left"/>
    </xf>
    <xf numFmtId="14" fontId="4" fillId="0" borderId="0" applyNumberFormat="0" applyFill="0" applyBorder="0" applyAlignment="0" applyProtection="0">
      <alignment horizontal="left"/>
    </xf>
    <xf numFmtId="191" fontId="8" fillId="0" borderId="0" applyFont="0" applyFill="0" applyAlignment="0">
      <alignment horizontal="right"/>
    </xf>
    <xf numFmtId="4" fontId="44" fillId="32" borderId="16" applyNumberFormat="0" applyProtection="0">
      <alignment vertical="center"/>
    </xf>
    <xf numFmtId="4" fontId="49" fillId="32" borderId="16" applyNumberFormat="0" applyProtection="0">
      <alignment vertical="center"/>
    </xf>
    <xf numFmtId="4" fontId="44" fillId="32" borderId="16" applyNumberFormat="0" applyProtection="0">
      <alignment horizontal="left" vertical="center" indent="1"/>
    </xf>
    <xf numFmtId="4" fontId="44" fillId="32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37" borderId="0" applyNumberFormat="0" applyProtection="0">
      <alignment horizontal="left" vertical="center" indent="1"/>
    </xf>
    <xf numFmtId="4" fontId="44" fillId="38" borderId="16" applyNumberFormat="0" applyProtection="0">
      <alignment horizontal="right" vertical="center"/>
    </xf>
    <xf numFmtId="4" fontId="44" fillId="39" borderId="16" applyNumberFormat="0" applyProtection="0">
      <alignment horizontal="right" vertical="center"/>
    </xf>
    <xf numFmtId="4" fontId="44" fillId="40" borderId="16" applyNumberFormat="0" applyProtection="0">
      <alignment horizontal="right" vertical="center"/>
    </xf>
    <xf numFmtId="4" fontId="44" fillId="41" borderId="16" applyNumberFormat="0" applyProtection="0">
      <alignment horizontal="right" vertical="center"/>
    </xf>
    <xf numFmtId="4" fontId="44" fillId="42" borderId="16" applyNumberFormat="0" applyProtection="0">
      <alignment horizontal="right" vertical="center"/>
    </xf>
    <xf numFmtId="4" fontId="44" fillId="43" borderId="16" applyNumberFormat="0" applyProtection="0">
      <alignment horizontal="right" vertical="center"/>
    </xf>
    <xf numFmtId="4" fontId="44" fillId="44" borderId="16" applyNumberFormat="0" applyProtection="0">
      <alignment horizontal="right" vertical="center"/>
    </xf>
    <xf numFmtId="4" fontId="44" fillId="45" borderId="16" applyNumberFormat="0" applyProtection="0">
      <alignment horizontal="right" vertical="center"/>
    </xf>
    <xf numFmtId="4" fontId="44" fillId="46" borderId="16" applyNumberFormat="0" applyProtection="0">
      <alignment horizontal="right" vertical="center"/>
    </xf>
    <xf numFmtId="4" fontId="50" fillId="47" borderId="16" applyNumberFormat="0" applyProtection="0">
      <alignment horizontal="left" vertical="center" indent="1"/>
    </xf>
    <xf numFmtId="4" fontId="44" fillId="48" borderId="17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4" fontId="44" fillId="48" borderId="16" applyNumberFormat="0" applyProtection="0">
      <alignment horizontal="left" vertical="center" indent="1"/>
    </xf>
    <xf numFmtId="4" fontId="44" fillId="50" borderId="16" applyNumberFormat="0" applyProtection="0">
      <alignment horizontal="left" vertical="center" indent="1"/>
    </xf>
    <xf numFmtId="0" fontId="8" fillId="50" borderId="16" applyNumberFormat="0" applyProtection="0">
      <alignment horizontal="left" vertical="center" indent="1"/>
    </xf>
    <xf numFmtId="0" fontId="8" fillId="50" borderId="16" applyNumberFormat="0" applyProtection="0">
      <alignment horizontal="left" vertical="center" indent="1"/>
    </xf>
    <xf numFmtId="0" fontId="8" fillId="51" borderId="16" applyNumberFormat="0" applyProtection="0">
      <alignment horizontal="left" vertical="center" indent="1"/>
    </xf>
    <xf numFmtId="0" fontId="8" fillId="51" borderId="16" applyNumberFormat="0" applyProtection="0">
      <alignment horizontal="left" vertical="center" indent="1"/>
    </xf>
    <xf numFmtId="0" fontId="8" fillId="26" borderId="16" applyNumberFormat="0" applyProtection="0">
      <alignment horizontal="left" vertical="center" indent="1"/>
    </xf>
    <xf numFmtId="0" fontId="8" fillId="2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52" borderId="11" applyNumberFormat="0">
      <protection locked="0"/>
    </xf>
    <xf numFmtId="4" fontId="44" fillId="53" borderId="16" applyNumberFormat="0" applyProtection="0">
      <alignment vertical="center"/>
    </xf>
    <xf numFmtId="4" fontId="49" fillId="53" borderId="16" applyNumberFormat="0" applyProtection="0">
      <alignment vertical="center"/>
    </xf>
    <xf numFmtId="4" fontId="44" fillId="53" borderId="16" applyNumberFormat="0" applyProtection="0">
      <alignment horizontal="left" vertical="center" indent="1"/>
    </xf>
    <xf numFmtId="4" fontId="44" fillId="53" borderId="16" applyNumberFormat="0" applyProtection="0">
      <alignment horizontal="left" vertical="center" indent="1"/>
    </xf>
    <xf numFmtId="4" fontId="44" fillId="48" borderId="16" applyNumberFormat="0" applyProtection="0">
      <alignment horizontal="right" vertical="center"/>
    </xf>
    <xf numFmtId="4" fontId="49" fillId="48" borderId="16" applyNumberFormat="0" applyProtection="0">
      <alignment horizontal="right" vertical="center"/>
    </xf>
    <xf numFmtId="0" fontId="8" fillId="3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52" fillId="0" borderId="0"/>
    <xf numFmtId="4" fontId="53" fillId="48" borderId="16" applyNumberFormat="0" applyProtection="0">
      <alignment horizontal="right" vertical="center"/>
    </xf>
    <xf numFmtId="39" fontId="8" fillId="54" borderId="0"/>
    <xf numFmtId="0" fontId="54" fillId="0" borderId="0" applyNumberFormat="0" applyFill="0" applyBorder="0" applyAlignment="0" applyProtection="0"/>
    <xf numFmtId="38" fontId="16" fillId="0" borderId="18"/>
    <xf numFmtId="38" fontId="40" fillId="0" borderId="5"/>
    <xf numFmtId="39" fontId="4" fillId="55" borderId="0"/>
    <xf numFmtId="180" fontId="8" fillId="0" borderId="0">
      <alignment horizontal="left" wrapText="1"/>
    </xf>
    <xf numFmtId="164" fontId="8" fillId="0" borderId="0">
      <alignment horizontal="left" wrapText="1"/>
    </xf>
    <xf numFmtId="40" fontId="55" fillId="0" borderId="0" applyBorder="0">
      <alignment horizontal="right"/>
    </xf>
    <xf numFmtId="41" fontId="56" fillId="31" borderId="0">
      <alignment horizontal="left"/>
    </xf>
    <xf numFmtId="0" fontId="57" fillId="0" borderId="0"/>
    <xf numFmtId="0" fontId="58" fillId="0" borderId="0" applyFill="0" applyBorder="0" applyProtection="0">
      <alignment horizontal="left" vertical="top"/>
    </xf>
    <xf numFmtId="192" fontId="59" fillId="31" borderId="0">
      <alignment horizontal="left" vertical="center"/>
    </xf>
    <xf numFmtId="0" fontId="39" fillId="31" borderId="0">
      <alignment horizontal="left" wrapText="1"/>
    </xf>
    <xf numFmtId="0" fontId="60" fillId="0" borderId="0">
      <alignment horizontal="left" vertical="center"/>
    </xf>
    <xf numFmtId="0" fontId="32" fillId="0" borderId="19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1">
    <xf numFmtId="164" fontId="0" fillId="0" borderId="0" xfId="0">
      <alignment horizontal="left" wrapText="1"/>
    </xf>
    <xf numFmtId="41" fontId="3" fillId="0" borderId="0" xfId="1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3" fontId="3" fillId="0" borderId="0" xfId="1" applyNumberFormat="1" applyFont="1" applyFill="1" applyAlignment="1"/>
    <xf numFmtId="49" fontId="3" fillId="0" borderId="0" xfId="0" applyNumberFormat="1" applyFont="1" applyFill="1" applyAlignment="1"/>
    <xf numFmtId="0" fontId="0" fillId="0" borderId="0" xfId="0" applyNumberFormat="1" applyFill="1" applyAlignment="1"/>
    <xf numFmtId="165" fontId="5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15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7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/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42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3" fontId="5" fillId="0" borderId="0" xfId="1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166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 vertical="center"/>
      <protection locked="0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Continuous" vertical="center"/>
    </xf>
    <xf numFmtId="18" fontId="5" fillId="0" borderId="0" xfId="0" applyNumberFormat="1" applyFont="1" applyFill="1" applyAlignment="1">
      <alignment horizontal="centerContinuous"/>
    </xf>
    <xf numFmtId="167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3" fontId="5" fillId="0" borderId="0" xfId="1" applyNumberFormat="1" applyFont="1" applyFill="1" applyAlignment="1"/>
    <xf numFmtId="2" fontId="5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44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5" fillId="0" borderId="0" xfId="4" applyNumberFormat="1" applyFont="1" applyFill="1" applyAlignment="1" applyProtection="1">
      <alignment horizontal="center"/>
      <protection locked="0"/>
    </xf>
    <xf numFmtId="0" fontId="5" fillId="0" borderId="0" xfId="4" applyNumberFormat="1" applyFont="1" applyFill="1" applyAlignment="1" applyProtection="1">
      <protection locked="0"/>
    </xf>
    <xf numFmtId="0" fontId="5" fillId="0" borderId="0" xfId="4" applyNumberFormat="1" applyFont="1" applyFill="1" applyAlignment="1"/>
    <xf numFmtId="49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fill"/>
    </xf>
    <xf numFmtId="0" fontId="5" fillId="0" borderId="0" xfId="0" quotePrefix="1" applyNumberFormat="1" applyFont="1" applyFill="1" applyAlignment="1">
      <alignment horizontal="fill"/>
    </xf>
    <xf numFmtId="0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 applyProtection="1">
      <protection locked="0"/>
    </xf>
    <xf numFmtId="3" fontId="5" fillId="0" borderId="4" xfId="1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0" fontId="5" fillId="0" borderId="4" xfId="0" quotePrefix="1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>
      <alignment horizontal="centerContinuous"/>
    </xf>
    <xf numFmtId="0" fontId="5" fillId="0" borderId="4" xfId="0" quotePrefix="1" applyNumberFormat="1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/>
      <protection locked="0"/>
    </xf>
    <xf numFmtId="0" fontId="5" fillId="0" borderId="4" xfId="4" applyNumberFormat="1" applyFont="1" applyFill="1" applyBorder="1" applyAlignment="1"/>
    <xf numFmtId="164" fontId="5" fillId="0" borderId="0" xfId="0" applyFont="1" applyFill="1" applyAlignment="1">
      <alignment horizontal="center"/>
    </xf>
    <xf numFmtId="0" fontId="9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fill"/>
      <protection locked="0"/>
    </xf>
    <xf numFmtId="17" fontId="3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Alignment="1" applyProtection="1">
      <alignment horizontal="right"/>
      <protection locked="0"/>
    </xf>
    <xf numFmtId="166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/>
    <xf numFmtId="0" fontId="5" fillId="0" borderId="0" xfId="0" quotePrefix="1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Alignment="1"/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 indent="2"/>
    </xf>
    <xf numFmtId="42" fontId="3" fillId="0" borderId="0" xfId="0" applyNumberFormat="1" applyFont="1" applyFill="1" applyBorder="1" applyAlignment="1"/>
    <xf numFmtId="0" fontId="3" fillId="0" borderId="0" xfId="5" applyFont="1" applyFill="1" applyAlignment="1" applyProtection="1">
      <alignment horizontal="left"/>
      <protection locked="0"/>
    </xf>
    <xf numFmtId="0" fontId="3" fillId="0" borderId="0" xfId="5" applyFont="1" applyFill="1" applyAlignment="1" applyProtection="1">
      <protection locked="0"/>
    </xf>
    <xf numFmtId="166" fontId="3" fillId="0" borderId="0" xfId="5" applyNumberFormat="1" applyFont="1" applyFill="1" applyAlignment="1" applyProtection="1">
      <protection locked="0"/>
    </xf>
    <xf numFmtId="164" fontId="9" fillId="0" borderId="0" xfId="4" applyFont="1" applyFill="1" applyAlignment="1">
      <alignment horizontal="left"/>
    </xf>
    <xf numFmtId="42" fontId="3" fillId="0" borderId="0" xfId="2" applyNumberFormat="1" applyFont="1" applyFill="1" applyAlignment="1" applyProtection="1">
      <protection locked="0"/>
    </xf>
    <xf numFmtId="168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64" fontId="9" fillId="0" borderId="0" xfId="0" applyFont="1" applyFill="1" applyAlignment="1">
      <alignment horizontal="left"/>
    </xf>
    <xf numFmtId="41" fontId="3" fillId="0" borderId="0" xfId="0" applyNumberFormat="1" applyFont="1" applyFill="1" applyAlignment="1"/>
    <xf numFmtId="164" fontId="3" fillId="0" borderId="0" xfId="0" applyFont="1" applyFill="1" applyBorder="1" applyAlignment="1">
      <alignment horizontal="right"/>
    </xf>
    <xf numFmtId="37" fontId="3" fillId="0" borderId="0" xfId="1" applyNumberFormat="1" applyFont="1" applyFill="1" applyBorder="1"/>
    <xf numFmtId="42" fontId="3" fillId="0" borderId="0" xfId="0" applyNumberFormat="1" applyFont="1" applyFill="1" applyAlignment="1">
      <alignment horizontal="right"/>
    </xf>
    <xf numFmtId="169" fontId="3" fillId="0" borderId="0" xfId="3" applyNumberFormat="1" applyFont="1" applyFill="1" applyBorder="1" applyAlignment="1"/>
    <xf numFmtId="164" fontId="3" fillId="0" borderId="0" xfId="0" applyFont="1" applyFill="1" applyAlignment="1">
      <alignment horizontal="left"/>
    </xf>
    <xf numFmtId="42" fontId="3" fillId="0" borderId="0" xfId="1" applyNumberFormat="1" applyFont="1" applyFill="1" applyBorder="1"/>
    <xf numFmtId="42" fontId="3" fillId="0" borderId="0" xfId="1" applyNumberFormat="1" applyFont="1" applyBorder="1"/>
    <xf numFmtId="0" fontId="5" fillId="0" borderId="0" xfId="2" applyNumberFormat="1" applyFont="1" applyFill="1" applyAlignment="1" applyProtection="1">
      <protection locked="0"/>
    </xf>
    <xf numFmtId="0" fontId="3" fillId="0" borderId="0" xfId="2" applyNumberFormat="1" applyFont="1" applyFill="1" applyAlignment="1" applyProtection="1">
      <protection locked="0"/>
    </xf>
    <xf numFmtId="42" fontId="3" fillId="0" borderId="0" xfId="2" applyNumberFormat="1" applyFont="1" applyFill="1" applyProtection="1"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 applyProtection="1">
      <alignment horizontal="left"/>
      <protection locked="0"/>
    </xf>
    <xf numFmtId="1" fontId="3" fillId="0" borderId="0" xfId="0" applyNumberFormat="1" applyFont="1" applyFill="1" applyAlignment="1">
      <alignment horizontal="center"/>
    </xf>
    <xf numFmtId="42" fontId="3" fillId="0" borderId="0" xfId="1" applyNumberFormat="1" applyFont="1" applyFill="1"/>
    <xf numFmtId="42" fontId="10" fillId="0" borderId="0" xfId="2" applyNumberFormat="1" applyFont="1" applyBorder="1"/>
    <xf numFmtId="0" fontId="3" fillId="0" borderId="0" xfId="4" applyNumberFormat="1" applyFont="1" applyFill="1" applyAlignment="1" applyProtection="1">
      <alignment horizontal="center"/>
      <protection locked="0"/>
    </xf>
    <xf numFmtId="42" fontId="3" fillId="0" borderId="0" xfId="4" applyNumberFormat="1" applyFont="1" applyFill="1" applyAlignment="1"/>
    <xf numFmtId="164" fontId="3" fillId="0" borderId="0" xfId="0" applyNumberFormat="1" applyFont="1" applyFill="1" applyAlignment="1"/>
    <xf numFmtId="2" fontId="5" fillId="0" borderId="0" xfId="0" applyNumberFormat="1" applyFont="1" applyFill="1" applyAlignment="1" applyProtection="1">
      <alignment horizontal="center"/>
      <protection locked="0"/>
    </xf>
    <xf numFmtId="0" fontId="3" fillId="0" borderId="4" xfId="0" applyNumberFormat="1" applyFont="1" applyFill="1" applyBorder="1" applyAlignment="1"/>
    <xf numFmtId="0" fontId="9" fillId="0" borderId="0" xfId="0" quotePrefix="1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right"/>
    </xf>
    <xf numFmtId="0" fontId="3" fillId="0" borderId="0" xfId="6" applyFont="1" applyFill="1"/>
    <xf numFmtId="42" fontId="3" fillId="0" borderId="0" xfId="7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37" fontId="3" fillId="0" borderId="0" xfId="1" applyNumberFormat="1" applyFont="1" applyFill="1" applyAlignment="1"/>
    <xf numFmtId="166" fontId="3" fillId="0" borderId="0" xfId="0" applyNumberFormat="1" applyFont="1" applyFill="1" applyBorder="1" applyAlignment="1" applyProtection="1">
      <protection locked="0"/>
    </xf>
    <xf numFmtId="164" fontId="3" fillId="0" borderId="0" xfId="0" quotePrefix="1" applyFont="1" applyFill="1" applyBorder="1" applyAlignment="1">
      <alignment horizontal="left"/>
    </xf>
    <xf numFmtId="42" fontId="3" fillId="0" borderId="0" xfId="0" applyNumberFormat="1" applyFont="1" applyFill="1" applyAlignment="1"/>
    <xf numFmtId="42" fontId="3" fillId="0" borderId="0" xfId="8" applyNumberFormat="1" applyFont="1" applyFill="1" applyAlignment="1"/>
    <xf numFmtId="41" fontId="3" fillId="0" borderId="0" xfId="0" applyNumberFormat="1" applyFont="1" applyFill="1" applyAlignment="1">
      <alignment horizontal="center"/>
    </xf>
    <xf numFmtId="164" fontId="3" fillId="0" borderId="0" xfId="0" applyFont="1" applyFill="1">
      <alignment horizontal="left" wrapText="1"/>
    </xf>
    <xf numFmtId="171" fontId="3" fillId="0" borderId="0" xfId="1" applyNumberFormat="1" applyFont="1" applyFill="1"/>
    <xf numFmtId="0" fontId="3" fillId="0" borderId="0" xfId="0" applyNumberFormat="1" applyFont="1" applyFill="1" applyAlignment="1" applyProtection="1">
      <protection locked="0"/>
    </xf>
    <xf numFmtId="5" fontId="3" fillId="0" borderId="4" xfId="0" applyNumberFormat="1" applyFont="1" applyFill="1" applyBorder="1" applyAlignment="1" applyProtection="1">
      <protection locked="0"/>
    </xf>
    <xf numFmtId="166" fontId="3" fillId="0" borderId="4" xfId="0" applyNumberFormat="1" applyFont="1" applyFill="1" applyBorder="1" applyAlignment="1" applyProtection="1">
      <alignment horizontal="right"/>
      <protection locked="0"/>
    </xf>
    <xf numFmtId="172" fontId="3" fillId="0" borderId="4" xfId="2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1" applyNumberFormat="1" applyFont="1" applyFill="1" applyBorder="1"/>
    <xf numFmtId="41" fontId="3" fillId="0" borderId="4" xfId="1" applyNumberFormat="1" applyFont="1" applyFill="1" applyBorder="1" applyAlignment="1">
      <alignment horizontal="center"/>
    </xf>
    <xf numFmtId="41" fontId="10" fillId="0" borderId="4" xfId="1" applyNumberFormat="1" applyFont="1" applyBorder="1"/>
    <xf numFmtId="37" fontId="3" fillId="0" borderId="0" xfId="4" applyNumberFormat="1" applyFont="1" applyFill="1" applyAlignment="1"/>
    <xf numFmtId="49" fontId="3" fillId="0" borderId="0" xfId="0" applyNumberFormat="1" applyFont="1" applyFill="1" applyAlignment="1">
      <alignment horizontal="fill"/>
    </xf>
    <xf numFmtId="17" fontId="3" fillId="0" borderId="0" xfId="0" applyNumberFormat="1" applyFont="1" applyFill="1" applyAlignment="1"/>
    <xf numFmtId="171" fontId="3" fillId="0" borderId="0" xfId="0" applyNumberFormat="1" applyFont="1" applyFill="1" applyAlignment="1"/>
    <xf numFmtId="171" fontId="3" fillId="0" borderId="0" xfId="0" applyNumberFormat="1" applyFont="1" applyFill="1" applyBorder="1" applyAlignment="1">
      <alignment wrapText="1"/>
    </xf>
    <xf numFmtId="171" fontId="3" fillId="0" borderId="0" xfId="0" applyNumberFormat="1" applyFont="1" applyFill="1" applyAlignment="1">
      <alignment horizontal="right"/>
    </xf>
    <xf numFmtId="41" fontId="3" fillId="0" borderId="5" xfId="1" applyNumberFormat="1" applyFont="1" applyFill="1" applyBorder="1" applyAlignment="1"/>
    <xf numFmtId="41" fontId="3" fillId="0" borderId="0" xfId="5" applyNumberFormat="1" applyFont="1" applyFill="1" applyBorder="1" applyAlignment="1" applyProtection="1">
      <protection locked="0"/>
    </xf>
    <xf numFmtId="164" fontId="3" fillId="0" borderId="0" xfId="4" applyFont="1" applyFill="1" applyAlignment="1">
      <alignment horizontal="left" indent="2"/>
    </xf>
    <xf numFmtId="37" fontId="3" fillId="0" borderId="0" xfId="1" applyNumberFormat="1" applyFont="1" applyFill="1" applyBorder="1" applyAlignment="1"/>
    <xf numFmtId="42" fontId="3" fillId="0" borderId="0" xfId="9" applyNumberFormat="1" applyFont="1" applyFill="1" applyBorder="1"/>
    <xf numFmtId="9" fontId="3" fillId="0" borderId="0" xfId="0" applyNumberFormat="1" applyFont="1" applyFill="1" applyAlignment="1">
      <alignment horizontal="center"/>
    </xf>
    <xf numFmtId="42" fontId="3" fillId="0" borderId="0" xfId="1" applyNumberFormat="1" applyFont="1" applyFill="1" applyBorder="1" applyAlignment="1" applyProtection="1">
      <protection locked="0"/>
    </xf>
    <xf numFmtId="10" fontId="3" fillId="0" borderId="4" xfId="3" applyNumberFormat="1" applyFont="1" applyFill="1" applyBorder="1" applyAlignment="1">
      <alignment horizontal="right"/>
    </xf>
    <xf numFmtId="41" fontId="3" fillId="0" borderId="0" xfId="1" applyNumberFormat="1" applyFont="1" applyFill="1" applyAlignment="1">
      <alignment horizontal="left" wrapText="1"/>
    </xf>
    <xf numFmtId="41" fontId="3" fillId="0" borderId="4" xfId="0" applyNumberFormat="1" applyFont="1" applyFill="1" applyBorder="1" applyAlignment="1"/>
    <xf numFmtId="169" fontId="3" fillId="0" borderId="4" xfId="3" applyNumberFormat="1" applyFont="1" applyFill="1" applyBorder="1" applyAlignment="1"/>
    <xf numFmtId="41" fontId="3" fillId="0" borderId="4" xfId="1" applyNumberFormat="1" applyFont="1" applyFill="1" applyBorder="1"/>
    <xf numFmtId="41" fontId="3" fillId="0" borderId="4" xfId="10" applyNumberFormat="1" applyFont="1" applyBorder="1"/>
    <xf numFmtId="0" fontId="3" fillId="0" borderId="0" xfId="2" applyNumberFormat="1" applyFont="1" applyFill="1" applyBorder="1" applyAlignment="1" applyProtection="1">
      <protection locked="0"/>
    </xf>
    <xf numFmtId="42" fontId="3" fillId="0" borderId="0" xfId="2" applyNumberFormat="1" applyFont="1" applyFill="1" applyBorder="1" applyProtection="1">
      <protection locked="0"/>
    </xf>
    <xf numFmtId="42" fontId="3" fillId="0" borderId="5" xfId="0" applyNumberFormat="1" applyFont="1" applyFill="1" applyBorder="1" applyAlignment="1" applyProtection="1">
      <alignment horizontal="righ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42" fontId="3" fillId="0" borderId="4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42" fontId="3" fillId="0" borderId="5" xfId="0" applyNumberFormat="1" applyFont="1" applyFill="1" applyBorder="1" applyAlignment="1">
      <alignment horizontal="right"/>
    </xf>
    <xf numFmtId="171" fontId="3" fillId="0" borderId="5" xfId="1" applyNumberFormat="1" applyFont="1" applyFill="1" applyBorder="1"/>
    <xf numFmtId="41" fontId="3" fillId="0" borderId="5" xfId="1" applyNumberFormat="1" applyFont="1" applyFill="1" applyBorder="1" applyAlignment="1">
      <alignment horizontal="center"/>
    </xf>
    <xf numFmtId="37" fontId="3" fillId="0" borderId="5" xfId="4" applyNumberFormat="1" applyFont="1" applyFill="1" applyBorder="1" applyAlignment="1"/>
    <xf numFmtId="173" fontId="3" fillId="0" borderId="0" xfId="0" applyNumberFormat="1" applyFont="1" applyFill="1" applyAlignment="1"/>
    <xf numFmtId="164" fontId="3" fillId="0" borderId="4" xfId="0" applyNumberFormat="1" applyFont="1" applyFill="1" applyBorder="1" applyAlignment="1"/>
    <xf numFmtId="49" fontId="3" fillId="0" borderId="0" xfId="0" applyNumberFormat="1" applyFont="1" applyFill="1" applyAlignment="1">
      <alignment horizontal="center"/>
    </xf>
    <xf numFmtId="41" fontId="3" fillId="0" borderId="0" xfId="9" applyNumberFormat="1" applyFont="1" applyFill="1"/>
    <xf numFmtId="41" fontId="3" fillId="0" borderId="0" xfId="1" applyNumberFormat="1" applyFont="1" applyFill="1" applyAlignment="1" applyProtection="1">
      <protection locked="0"/>
    </xf>
    <xf numFmtId="42" fontId="3" fillId="0" borderId="0" xfId="2" applyNumberFormat="1" applyFont="1" applyFill="1" applyBorder="1" applyAlignment="1" applyProtection="1">
      <alignment horizontal="right"/>
      <protection locked="0"/>
    </xf>
    <xf numFmtId="42" fontId="3" fillId="0" borderId="6" xfId="0" applyNumberFormat="1" applyFont="1" applyFill="1" applyBorder="1" applyProtection="1">
      <alignment horizontal="left" wrapText="1"/>
      <protection locked="0"/>
    </xf>
    <xf numFmtId="164" fontId="3" fillId="0" borderId="0" xfId="0" applyFont="1" applyFill="1" applyAlignment="1">
      <alignment vertical="center"/>
    </xf>
    <xf numFmtId="42" fontId="3" fillId="0" borderId="0" xfId="0" applyNumberFormat="1" applyFont="1" applyFill="1">
      <alignment horizontal="left" wrapText="1"/>
    </xf>
    <xf numFmtId="42" fontId="3" fillId="0" borderId="5" xfId="0" applyNumberFormat="1" applyFont="1" applyFill="1" applyBorder="1">
      <alignment horizontal="left" wrapText="1"/>
    </xf>
    <xf numFmtId="0" fontId="3" fillId="0" borderId="0" xfId="0" applyNumberFormat="1" applyFont="1" applyFill="1" applyAlignment="1">
      <alignment horizontal="right"/>
    </xf>
    <xf numFmtId="41" fontId="3" fillId="0" borderId="0" xfId="0" applyNumberFormat="1" applyFont="1" applyAlignment="1" applyProtection="1">
      <protection locked="0"/>
    </xf>
    <xf numFmtId="42" fontId="5" fillId="0" borderId="6" xfId="2" applyNumberFormat="1" applyFont="1" applyFill="1" applyBorder="1" applyAlignment="1"/>
    <xf numFmtId="49" fontId="3" fillId="0" borderId="0" xfId="8" applyNumberFormat="1" applyFont="1" applyBorder="1" applyAlignment="1">
      <alignment horizontal="left"/>
    </xf>
    <xf numFmtId="41" fontId="10" fillId="0" borderId="0" xfId="1" applyNumberFormat="1" applyFont="1" applyFill="1" applyBorder="1" applyAlignment="1">
      <alignment horizontal="center"/>
    </xf>
    <xf numFmtId="41" fontId="10" fillId="0" borderId="0" xfId="0" applyNumberFormat="1" applyFont="1" applyAlignment="1"/>
    <xf numFmtId="0" fontId="8" fillId="0" borderId="0" xfId="4" applyNumberFormat="1" applyAlignment="1"/>
    <xf numFmtId="164" fontId="3" fillId="0" borderId="0" xfId="0" applyNumberFormat="1" applyFont="1" applyFill="1" applyBorder="1" applyAlignment="1"/>
    <xf numFmtId="0" fontId="3" fillId="0" borderId="5" xfId="0" applyNumberFormat="1" applyFont="1" applyFill="1" applyBorder="1" applyAlignment="1"/>
    <xf numFmtId="37" fontId="3" fillId="0" borderId="4" xfId="1" applyNumberFormat="1" applyFont="1" applyFill="1" applyBorder="1" applyAlignment="1"/>
    <xf numFmtId="41" fontId="3" fillId="0" borderId="4" xfId="9" applyNumberFormat="1" applyFont="1" applyFill="1" applyBorder="1"/>
    <xf numFmtId="42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Fill="1" applyBorder="1" applyAlignment="1" applyProtection="1">
      <protection locked="0"/>
    </xf>
    <xf numFmtId="164" fontId="3" fillId="0" borderId="0" xfId="0" applyFont="1" applyFill="1" applyBorder="1" applyAlignment="1"/>
    <xf numFmtId="0" fontId="5" fillId="0" borderId="0" xfId="2" quotePrefix="1" applyNumberFormat="1" applyFont="1" applyFill="1" applyAlignment="1" applyProtection="1">
      <protection locked="0"/>
    </xf>
    <xf numFmtId="0" fontId="3" fillId="0" borderId="0" xfId="2" quotePrefix="1" applyNumberFormat="1" applyFont="1" applyFill="1" applyAlignment="1" applyProtection="1">
      <protection locked="0"/>
    </xf>
    <xf numFmtId="41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1" applyNumberFormat="1" applyFont="1" applyFill="1" applyBorder="1" applyAlignment="1">
      <alignment horizontal="center"/>
    </xf>
    <xf numFmtId="1" fontId="3" fillId="0" borderId="0" xfId="4" quotePrefix="1" applyNumberFormat="1" applyFont="1" applyFill="1" applyAlignment="1">
      <alignment horizontal="left"/>
    </xf>
    <xf numFmtId="174" fontId="3" fillId="0" borderId="5" xfId="4" applyNumberFormat="1" applyFont="1" applyFill="1" applyBorder="1" applyAlignment="1"/>
    <xf numFmtId="164" fontId="3" fillId="0" borderId="0" xfId="4" applyFont="1" applyFill="1" applyAlignment="1">
      <alignment horizontal="left"/>
    </xf>
    <xf numFmtId="37" fontId="3" fillId="0" borderId="0" xfId="0" applyNumberFormat="1" applyFont="1" applyFill="1" applyAlignment="1"/>
    <xf numFmtId="41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/>
    <xf numFmtId="164" fontId="3" fillId="0" borderId="0" xfId="0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vertical="center" indent="2"/>
    </xf>
    <xf numFmtId="37" fontId="3" fillId="0" borderId="0" xfId="2" applyNumberFormat="1" applyFont="1" applyFill="1" applyBorder="1" applyAlignment="1">
      <alignment vertical="center"/>
    </xf>
    <xf numFmtId="41" fontId="3" fillId="0" borderId="0" xfId="0" applyNumberFormat="1" applyFont="1" applyFill="1">
      <alignment horizontal="left" wrapText="1"/>
    </xf>
    <xf numFmtId="41" fontId="3" fillId="0" borderId="0" xfId="0" applyNumberFormat="1" applyFont="1" applyFill="1" applyAlignment="1">
      <alignment horizontal="fill"/>
    </xf>
    <xf numFmtId="164" fontId="3" fillId="0" borderId="0" xfId="0" quotePrefix="1" applyFont="1" applyFill="1" applyAlignment="1">
      <alignment horizontal="left"/>
    </xf>
    <xf numFmtId="174" fontId="3" fillId="0" borderId="0" xfId="2" applyNumberFormat="1" applyFont="1" applyFill="1" applyBorder="1"/>
    <xf numFmtId="37" fontId="3" fillId="0" borderId="0" xfId="2" applyNumberFormat="1" applyFont="1" applyFill="1" applyBorder="1"/>
    <xf numFmtId="41" fontId="3" fillId="0" borderId="4" xfId="0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>
      <alignment horizontal="right"/>
    </xf>
    <xf numFmtId="0" fontId="3" fillId="0" borderId="0" xfId="0" applyNumberFormat="1" applyFont="1" applyAlignment="1"/>
    <xf numFmtId="9" fontId="3" fillId="0" borderId="0" xfId="0" applyNumberFormat="1" applyFont="1" applyFill="1" applyBorder="1" applyAlignment="1"/>
    <xf numFmtId="37" fontId="13" fillId="0" borderId="0" xfId="4" applyNumberFormat="1" applyFont="1" applyFill="1" applyAlignment="1"/>
    <xf numFmtId="41" fontId="3" fillId="0" borderId="0" xfId="5" applyNumberFormat="1" applyFont="1" applyFill="1" applyAlignment="1" applyProtection="1">
      <protection locked="0"/>
    </xf>
    <xf numFmtId="164" fontId="14" fillId="0" borderId="0" xfId="4" applyFont="1" applyFill="1" applyAlignment="1">
      <alignment horizontal="left"/>
    </xf>
    <xf numFmtId="42" fontId="3" fillId="0" borderId="0" xfId="1" applyNumberFormat="1" applyFont="1" applyFill="1" applyAlignment="1" applyProtection="1">
      <protection locked="0"/>
    </xf>
    <xf numFmtId="41" fontId="3" fillId="0" borderId="0" xfId="2" applyNumberFormat="1" applyFont="1" applyFill="1" applyBorder="1" applyProtection="1">
      <protection locked="0"/>
    </xf>
    <xf numFmtId="1" fontId="3" fillId="0" borderId="0" xfId="0" quotePrefix="1" applyNumberFormat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9" fontId="3" fillId="0" borderId="0" xfId="1" applyNumberFormat="1" applyFont="1" applyFill="1" applyBorder="1"/>
    <xf numFmtId="0" fontId="3" fillId="0" borderId="0" xfId="2" quotePrefix="1" applyNumberFormat="1" applyFont="1" applyFill="1" applyBorder="1" applyAlignment="1" applyProtection="1">
      <protection locked="0"/>
    </xf>
    <xf numFmtId="42" fontId="3" fillId="0" borderId="0" xfId="2" applyNumberFormat="1" applyFont="1" applyFill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9" fontId="3" fillId="0" borderId="0" xfId="3" applyFont="1" applyFill="1" applyAlignment="1"/>
    <xf numFmtId="41" fontId="10" fillId="0" borderId="5" xfId="1" applyNumberFormat="1" applyFont="1" applyBorder="1"/>
    <xf numFmtId="37" fontId="3" fillId="0" borderId="0" xfId="4" applyNumberFormat="1" applyFont="1" applyFill="1" applyBorder="1" applyAlignment="1"/>
    <xf numFmtId="175" fontId="3" fillId="0" borderId="0" xfId="0" applyNumberFormat="1" applyFont="1" applyFill="1" applyAlignment="1"/>
    <xf numFmtId="42" fontId="3" fillId="0" borderId="0" xfId="2" applyNumberFormat="1" applyFont="1" applyFill="1" applyAlignment="1">
      <alignment horizontal="right"/>
    </xf>
    <xf numFmtId="0" fontId="15" fillId="0" borderId="0" xfId="11" applyFont="1" applyFill="1"/>
    <xf numFmtId="42" fontId="3" fillId="0" borderId="6" xfId="0" applyNumberFormat="1" applyFont="1" applyFill="1" applyBorder="1" applyAlignment="1" applyProtection="1">
      <protection locked="0"/>
    </xf>
    <xf numFmtId="164" fontId="3" fillId="0" borderId="0" xfId="8" applyNumberFormat="1" applyFont="1" applyFill="1" applyBorder="1" applyAlignment="1"/>
    <xf numFmtId="174" fontId="3" fillId="0" borderId="7" xfId="2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164" fontId="0" fillId="0" borderId="0" xfId="0" applyFill="1">
      <alignment horizontal="left" wrapText="1"/>
    </xf>
    <xf numFmtId="0" fontId="0" fillId="0" borderId="4" xfId="0" applyNumberFormat="1" applyFill="1" applyBorder="1" applyAlignment="1"/>
    <xf numFmtId="0" fontId="3" fillId="0" borderId="0" xfId="0" applyNumberFormat="1" applyFont="1" applyFill="1" applyAlignment="1">
      <alignment vertical="center"/>
    </xf>
    <xf numFmtId="43" fontId="10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center"/>
    </xf>
    <xf numFmtId="42" fontId="10" fillId="0" borderId="6" xfId="1" applyNumberFormat="1" applyFont="1" applyBorder="1"/>
    <xf numFmtId="0" fontId="13" fillId="0" borderId="5" xfId="4" applyNumberFormat="1" applyFont="1" applyFill="1" applyBorder="1" applyAlignment="1"/>
    <xf numFmtId="9" fontId="3" fillId="0" borderId="0" xfId="0" applyNumberFormat="1" applyFont="1" applyFill="1" applyAlignment="1"/>
    <xf numFmtId="41" fontId="3" fillId="0" borderId="5" xfId="0" applyNumberFormat="1" applyFont="1" applyFill="1" applyBorder="1" applyAlignment="1" applyProtection="1">
      <protection locked="0"/>
    </xf>
    <xf numFmtId="41" fontId="3" fillId="0" borderId="4" xfId="0" applyNumberFormat="1" applyFont="1" applyFill="1" applyBorder="1" applyAlignment="1">
      <alignment horizontal="right"/>
    </xf>
    <xf numFmtId="0" fontId="3" fillId="0" borderId="0" xfId="5" applyFont="1" applyFill="1" applyAlignment="1"/>
    <xf numFmtId="42" fontId="3" fillId="0" borderId="5" xfId="7" applyNumberFormat="1" applyFont="1" applyFill="1" applyBorder="1" applyAlignment="1" applyProtection="1">
      <protection locked="0"/>
    </xf>
    <xf numFmtId="164" fontId="3" fillId="0" borderId="0" xfId="4" applyFont="1" applyFill="1" applyAlignment="1">
      <alignment horizontal="left" indent="1"/>
    </xf>
    <xf numFmtId="42" fontId="3" fillId="0" borderId="0" xfId="9" applyNumberFormat="1" applyFont="1" applyFill="1"/>
    <xf numFmtId="41" fontId="3" fillId="0" borderId="0" xfId="1" applyNumberFormat="1" applyFont="1" applyFill="1"/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1" fontId="3" fillId="0" borderId="0" xfId="0" applyNumberFormat="1" applyFont="1" applyFill="1" applyAlignment="1">
      <alignment horizontal="left"/>
    </xf>
    <xf numFmtId="169" fontId="5" fillId="0" borderId="4" xfId="0" applyNumberFormat="1" applyFont="1" applyFill="1" applyBorder="1" applyAlignment="1"/>
    <xf numFmtId="42" fontId="5" fillId="0" borderId="6" xfId="0" applyNumberFormat="1" applyFont="1" applyFill="1" applyBorder="1" applyAlignment="1"/>
    <xf numFmtId="42" fontId="5" fillId="0" borderId="7" xfId="2" applyNumberFormat="1" applyFont="1" applyFill="1" applyBorder="1" applyAlignment="1"/>
    <xf numFmtId="174" fontId="3" fillId="0" borderId="6" xfId="4" applyNumberFormat="1" applyFont="1" applyFill="1" applyBorder="1" applyAlignment="1"/>
    <xf numFmtId="164" fontId="5" fillId="0" borderId="6" xfId="0" applyNumberFormat="1" applyFont="1" applyFill="1" applyBorder="1" applyAlignment="1" applyProtection="1">
      <protection locked="0"/>
    </xf>
    <xf numFmtId="42" fontId="3" fillId="0" borderId="0" xfId="7" applyNumberFormat="1" applyFont="1" applyFill="1" applyBorder="1" applyAlignment="1" applyProtection="1">
      <protection locked="0"/>
    </xf>
    <xf numFmtId="169" fontId="5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2" fontId="5" fillId="0" borderId="0" xfId="2" applyNumberFormat="1" applyFont="1" applyFill="1" applyBorder="1" applyAlignment="1"/>
    <xf numFmtId="174" fontId="3" fillId="0" borderId="0" xfId="4" applyNumberFormat="1" applyFont="1" applyFill="1" applyBorder="1" applyAlignment="1"/>
    <xf numFmtId="164" fontId="5" fillId="0" borderId="0" xfId="0" applyNumberFormat="1" applyFont="1" applyFill="1" applyBorder="1" applyAlignment="1" applyProtection="1">
      <protection locked="0"/>
    </xf>
    <xf numFmtId="41" fontId="3" fillId="0" borderId="0" xfId="2" applyNumberFormat="1" applyFont="1" applyFill="1" applyAlignment="1"/>
    <xf numFmtId="41" fontId="3" fillId="0" borderId="0" xfId="0" applyNumberFormat="1" applyFont="1" applyFill="1" applyAlignment="1" applyProtection="1">
      <alignment horizontal="right"/>
      <protection locked="0"/>
    </xf>
    <xf numFmtId="9" fontId="3" fillId="0" borderId="0" xfId="1" applyNumberFormat="1" applyFont="1" applyFill="1" applyAlignment="1"/>
    <xf numFmtId="41" fontId="3" fillId="0" borderId="5" xfId="1" applyNumberFormat="1" applyFont="1" applyFill="1" applyBorder="1" applyAlignment="1">
      <alignment horizontal="left" wrapText="1"/>
    </xf>
    <xf numFmtId="42" fontId="3" fillId="0" borderId="6" xfId="0" applyNumberFormat="1" applyFont="1" applyFill="1" applyBorder="1" applyAlignment="1" applyProtection="1">
      <alignment horizontal="left" wrapText="1"/>
      <protection locked="0"/>
    </xf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0" fontId="3" fillId="0" borderId="0" xfId="12" applyFont="1" applyFill="1" applyBorder="1" applyAlignment="1">
      <alignment horizontal="left"/>
    </xf>
    <xf numFmtId="3" fontId="3" fillId="0" borderId="0" xfId="1" applyNumberFormat="1" applyFont="1" applyFill="1" applyBorder="1" applyAlignment="1" applyProtection="1">
      <protection locked="0"/>
    </xf>
    <xf numFmtId="5" fontId="3" fillId="0" borderId="0" xfId="1" applyNumberFormat="1" applyFont="1" applyFill="1" applyAlignment="1" applyProtection="1">
      <protection locked="0"/>
    </xf>
    <xf numFmtId="0" fontId="0" fillId="0" borderId="0" xfId="0" applyNumberFormat="1" applyFill="1" applyBorder="1" applyAlignment="1"/>
    <xf numFmtId="42" fontId="5" fillId="0" borderId="4" xfId="2" applyNumberFormat="1" applyFont="1" applyFill="1" applyBorder="1" applyAlignment="1"/>
    <xf numFmtId="42" fontId="3" fillId="0" borderId="0" xfId="0" applyNumberFormat="1" applyFont="1" applyFill="1" applyBorder="1">
      <alignment horizontal="left" wrapText="1"/>
    </xf>
    <xf numFmtId="166" fontId="3" fillId="0" borderId="0" xfId="0" applyNumberFormat="1" applyFont="1" applyFill="1" applyBorder="1" applyAlignment="1"/>
    <xf numFmtId="42" fontId="3" fillId="0" borderId="4" xfId="2" applyNumberFormat="1" applyFont="1" applyFill="1" applyBorder="1" applyAlignment="1"/>
    <xf numFmtId="175" fontId="3" fillId="0" borderId="0" xfId="0" applyNumberFormat="1" applyFont="1" applyFill="1" applyBorder="1" applyAlignment="1"/>
    <xf numFmtId="42" fontId="5" fillId="0" borderId="6" xfId="0" applyNumberFormat="1" applyFont="1" applyFill="1" applyBorder="1" applyAlignment="1" applyProtection="1">
      <protection locked="0"/>
    </xf>
    <xf numFmtId="164" fontId="3" fillId="0" borderId="0" xfId="0" applyFont="1" applyFill="1" applyAlignment="1"/>
    <xf numFmtId="3" fontId="3" fillId="0" borderId="4" xfId="1" applyNumberFormat="1" applyFont="1" applyFill="1" applyBorder="1" applyAlignment="1"/>
    <xf numFmtId="176" fontId="5" fillId="0" borderId="0" xfId="0" applyNumberFormat="1" applyFont="1" applyFill="1" applyAlignment="1">
      <alignment horizontal="right"/>
    </xf>
    <xf numFmtId="41" fontId="3" fillId="0" borderId="0" xfId="2" applyNumberFormat="1" applyFont="1" applyFill="1" applyBorder="1" applyAlignment="1"/>
    <xf numFmtId="164" fontId="9" fillId="0" borderId="0" xfId="0" applyFont="1" applyFill="1" applyBorder="1" applyAlignment="1">
      <alignment horizontal="left"/>
    </xf>
    <xf numFmtId="41" fontId="3" fillId="0" borderId="0" xfId="0" applyNumberFormat="1" applyFont="1" applyFill="1" applyAlignment="1">
      <alignment horizontal="left"/>
    </xf>
    <xf numFmtId="41" fontId="3" fillId="0" borderId="4" xfId="2" applyNumberFormat="1" applyFont="1" applyFill="1" applyBorder="1" applyProtection="1">
      <protection locked="0"/>
    </xf>
    <xf numFmtId="42" fontId="3" fillId="0" borderId="0" xfId="2" applyNumberFormat="1" applyFont="1" applyFill="1" applyBorder="1" applyAlignment="1"/>
    <xf numFmtId="9" fontId="3" fillId="0" borderId="0" xfId="3" applyFont="1" applyFill="1" applyAlignment="1">
      <alignment horizontal="center"/>
    </xf>
    <xf numFmtId="174" fontId="3" fillId="0" borderId="0" xfId="0" applyNumberFormat="1" applyFont="1" applyFill="1" applyBorder="1" applyAlignment="1"/>
    <xf numFmtId="9" fontId="3" fillId="0" borderId="0" xfId="3" applyFont="1" applyFill="1" applyBorder="1" applyAlignment="1" applyProtection="1">
      <protection locked="0"/>
    </xf>
    <xf numFmtId="1" fontId="3" fillId="0" borderId="0" xfId="0" applyNumberFormat="1" applyFont="1" applyFill="1" applyBorder="1" applyAlignment="1">
      <alignment horizontal="center"/>
    </xf>
    <xf numFmtId="41" fontId="3" fillId="0" borderId="4" xfId="5" applyNumberFormat="1" applyFont="1" applyFill="1" applyBorder="1" applyAlignment="1"/>
    <xf numFmtId="41" fontId="3" fillId="0" borderId="0" xfId="0" applyNumberFormat="1" applyFont="1" applyFill="1" applyBorder="1" applyAlignment="1">
      <alignment horizontal="left"/>
    </xf>
    <xf numFmtId="42" fontId="3" fillId="0" borderId="4" xfId="1" applyNumberFormat="1" applyFont="1" applyFill="1" applyBorder="1" applyAlignment="1" applyProtection="1">
      <protection locked="0"/>
    </xf>
    <xf numFmtId="174" fontId="3" fillId="0" borderId="5" xfId="2" applyNumberFormat="1" applyFont="1" applyFill="1" applyBorder="1" applyProtection="1">
      <protection locked="0"/>
    </xf>
    <xf numFmtId="174" fontId="3" fillId="0" borderId="0" xfId="2" applyNumberFormat="1" applyFont="1" applyFill="1" applyBorder="1" applyProtection="1">
      <protection locked="0"/>
    </xf>
    <xf numFmtId="164" fontId="3" fillId="0" borderId="0" xfId="0" applyNumberFormat="1" applyFont="1" applyFill="1" applyAlignment="1">
      <alignment horizontal="left"/>
    </xf>
    <xf numFmtId="171" fontId="3" fillId="0" borderId="5" xfId="0" applyNumberFormat="1" applyFont="1" applyFill="1" applyBorder="1" applyAlignment="1">
      <alignment horizontal="right" wrapText="1"/>
    </xf>
    <xf numFmtId="171" fontId="3" fillId="0" borderId="5" xfId="0" applyNumberFormat="1" applyFont="1" applyFill="1" applyBorder="1">
      <alignment horizontal="left" wrapText="1"/>
    </xf>
    <xf numFmtId="42" fontId="3" fillId="0" borderId="7" xfId="7" applyNumberFormat="1" applyFont="1" applyFill="1" applyBorder="1" applyAlignment="1"/>
    <xf numFmtId="0" fontId="3" fillId="0" borderId="0" xfId="0" applyNumberFormat="1" applyFont="1" applyFill="1" applyAlignment="1">
      <alignment vertical="top"/>
    </xf>
    <xf numFmtId="0" fontId="3" fillId="0" borderId="0" xfId="5" applyFont="1" applyFill="1" applyAlignment="1">
      <alignment horizontal="left"/>
    </xf>
    <xf numFmtId="166" fontId="3" fillId="0" borderId="0" xfId="5" applyNumberFormat="1" applyFont="1" applyFill="1" applyAlignment="1"/>
    <xf numFmtId="5" fontId="3" fillId="0" borderId="0" xfId="1" applyNumberFormat="1" applyFont="1" applyFill="1" applyAlignment="1"/>
    <xf numFmtId="174" fontId="3" fillId="0" borderId="0" xfId="2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left" indent="1"/>
    </xf>
    <xf numFmtId="171" fontId="3" fillId="0" borderId="0" xfId="0" applyNumberFormat="1" applyFont="1" applyFill="1" applyBorder="1" applyAlignment="1">
      <alignment horizontal="right"/>
    </xf>
    <xf numFmtId="164" fontId="3" fillId="0" borderId="0" xfId="0" applyFont="1" applyFill="1" applyBorder="1">
      <alignment horizontal="left" wrapText="1"/>
    </xf>
    <xf numFmtId="41" fontId="3" fillId="0" borderId="8" xfId="0" applyNumberFormat="1" applyFont="1" applyFill="1" applyBorder="1">
      <alignment horizontal="left" wrapText="1"/>
    </xf>
    <xf numFmtId="9" fontId="3" fillId="0" borderId="0" xfId="5" applyNumberFormat="1" applyFont="1" applyFill="1" applyAlignment="1"/>
    <xf numFmtId="43" fontId="3" fillId="0" borderId="0" xfId="13" applyFont="1" applyFill="1" applyAlignment="1"/>
    <xf numFmtId="41" fontId="3" fillId="0" borderId="4" xfId="5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10" fontId="3" fillId="0" borderId="0" xfId="0" applyNumberFormat="1" applyFont="1" applyFill="1" applyAlignment="1"/>
    <xf numFmtId="164" fontId="9" fillId="0" borderId="0" xfId="0" applyFont="1" applyFill="1" applyAlignment="1"/>
    <xf numFmtId="9" fontId="3" fillId="0" borderId="0" xfId="0" applyNumberFormat="1" applyFont="1" applyFill="1" applyBorder="1">
      <alignment horizontal="left" wrapText="1"/>
    </xf>
    <xf numFmtId="37" fontId="3" fillId="0" borderId="4" xfId="0" applyNumberFormat="1" applyFont="1" applyFill="1" applyBorder="1" applyAlignment="1"/>
    <xf numFmtId="0" fontId="9" fillId="0" borderId="0" xfId="0" applyNumberFormat="1" applyFont="1" applyFill="1" applyAlignment="1">
      <alignment horizontal="left"/>
    </xf>
    <xf numFmtId="37" fontId="3" fillId="0" borderId="5" xfId="0" applyNumberFormat="1" applyFont="1" applyFill="1" applyBorder="1" applyAlignment="1"/>
    <xf numFmtId="41" fontId="3" fillId="0" borderId="4" xfId="2" applyNumberFormat="1" applyFont="1" applyFill="1" applyBorder="1" applyAlignment="1"/>
    <xf numFmtId="43" fontId="3" fillId="0" borderId="0" xfId="0" applyNumberFormat="1" applyFont="1" applyFill="1" applyAlignment="1"/>
    <xf numFmtId="41" fontId="3" fillId="0" borderId="5" xfId="2" applyNumberFormat="1" applyFont="1" applyFill="1" applyBorder="1" applyAlignment="1"/>
    <xf numFmtId="0" fontId="16" fillId="0" borderId="0" xfId="0" applyNumberFormat="1" applyFont="1" applyFill="1" applyAlignment="1"/>
    <xf numFmtId="10" fontId="3" fillId="0" borderId="0" xfId="3" applyNumberFormat="1" applyFont="1" applyFill="1" applyAlignment="1"/>
    <xf numFmtId="0" fontId="8" fillId="0" borderId="0" xfId="0" applyNumberFormat="1" applyFont="1" applyFill="1" applyAlignment="1"/>
    <xf numFmtId="164" fontId="3" fillId="0" borderId="0" xfId="8" applyNumberFormat="1" applyFont="1" applyBorder="1" applyAlignment="1">
      <alignment horizontal="left"/>
    </xf>
    <xf numFmtId="164" fontId="3" fillId="0" borderId="0" xfId="8" applyNumberFormat="1" applyFont="1" applyFill="1" applyBorder="1" applyAlignment="1">
      <alignment horizontal="left"/>
    </xf>
    <xf numFmtId="42" fontId="0" fillId="0" borderId="0" xfId="0" applyNumberFormat="1" applyFill="1" applyAlignment="1"/>
    <xf numFmtId="37" fontId="17" fillId="0" borderId="0" xfId="0" applyNumberFormat="1" applyFont="1" applyFill="1" applyBorder="1" applyAlignment="1" applyProtection="1">
      <alignment horizontal="left"/>
    </xf>
    <xf numFmtId="171" fontId="3" fillId="0" borderId="4" xfId="0" applyNumberFormat="1" applyFont="1" applyFill="1" applyBorder="1" applyAlignment="1">
      <alignment horizontal="right"/>
    </xf>
    <xf numFmtId="42" fontId="3" fillId="0" borderId="6" xfId="2" applyNumberFormat="1" applyFont="1" applyFill="1" applyBorder="1" applyAlignment="1"/>
    <xf numFmtId="0" fontId="3" fillId="0" borderId="0" xfId="0" applyNumberFormat="1" applyFont="1" applyFill="1" applyAlignment="1">
      <alignment horizontal="centerContinuous"/>
    </xf>
    <xf numFmtId="177" fontId="3" fillId="0" borderId="0" xfId="0" applyNumberFormat="1" applyFont="1" applyFill="1" applyAlignment="1"/>
    <xf numFmtId="37" fontId="17" fillId="0" borderId="0" xfId="0" applyNumberFormat="1" applyFont="1" applyFill="1" applyBorder="1" applyAlignment="1" applyProtection="1">
      <alignment horizontal="center"/>
    </xf>
    <xf numFmtId="37" fontId="17" fillId="0" borderId="0" xfId="0" applyNumberFormat="1" applyFont="1" applyFill="1" applyAlignment="1" applyProtection="1">
      <alignment horizontal="left"/>
    </xf>
    <xf numFmtId="0" fontId="18" fillId="0" borderId="0" xfId="0" applyNumberFormat="1" applyFont="1" applyFill="1" applyAlignment="1"/>
    <xf numFmtId="4" fontId="3" fillId="0" borderId="0" xfId="1" applyFont="1" applyFill="1" applyAlignment="1"/>
    <xf numFmtId="37" fontId="0" fillId="0" borderId="0" xfId="1" applyNumberFormat="1" applyFont="1" applyFill="1" applyAlignment="1"/>
    <xf numFmtId="10" fontId="17" fillId="0" borderId="0" xfId="3" applyNumberFormat="1" applyFont="1" applyFill="1" applyBorder="1" applyAlignment="1" applyProtection="1">
      <alignment horizontal="right"/>
    </xf>
    <xf numFmtId="37" fontId="17" fillId="0" borderId="0" xfId="0" applyNumberFormat="1" applyFont="1" applyFill="1" applyBorder="1" applyAlignment="1" applyProtection="1">
      <alignment horizontal="right"/>
    </xf>
    <xf numFmtId="42" fontId="3" fillId="0" borderId="8" xfId="0" applyNumberFormat="1" applyFont="1" applyFill="1" applyBorder="1">
      <alignment horizontal="left" wrapText="1"/>
    </xf>
    <xf numFmtId="3" fontId="0" fillId="0" borderId="0" xfId="1" applyNumberFormat="1" applyFont="1" applyFill="1" applyAlignment="1"/>
    <xf numFmtId="174" fontId="3" fillId="0" borderId="0" xfId="2" applyNumberFormat="1" applyFont="1" applyFill="1"/>
    <xf numFmtId="37" fontId="19" fillId="0" borderId="0" xfId="0" applyNumberFormat="1" applyFont="1" applyFill="1" applyBorder="1" applyAlignment="1" applyProtection="1">
      <alignment horizontal="left"/>
    </xf>
    <xf numFmtId="37" fontId="19" fillId="0" borderId="0" xfId="0" applyNumberFormat="1" applyFont="1" applyFill="1" applyAlignment="1" applyProtection="1">
      <alignment horizontal="left"/>
    </xf>
    <xf numFmtId="174" fontId="3" fillId="0" borderId="7" xfId="2" applyNumberFormat="1" applyFont="1" applyFill="1" applyBorder="1"/>
    <xf numFmtId="0" fontId="20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42" fontId="3" fillId="0" borderId="5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8" fontId="3" fillId="0" borderId="0" xfId="0" applyNumberFormat="1" applyFont="1" applyFill="1" applyBorder="1" applyAlignment="1">
      <alignment horizontal="centerContinuous"/>
    </xf>
    <xf numFmtId="42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78" fontId="17" fillId="0" borderId="0" xfId="0" applyNumberFormat="1" applyFont="1" applyFill="1" applyAlignment="1" applyProtection="1"/>
    <xf numFmtId="10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Alignment="1" applyProtection="1">
      <alignment horizontal="left"/>
    </xf>
    <xf numFmtId="10" fontId="3" fillId="0" borderId="0" xfId="0" applyNumberFormat="1" applyFont="1" applyFill="1" applyBorder="1" applyAlignment="1"/>
    <xf numFmtId="0" fontId="21" fillId="0" borderId="0" xfId="0" applyNumberFormat="1" applyFont="1" applyFill="1" applyAlignment="1"/>
    <xf numFmtId="3" fontId="22" fillId="0" borderId="0" xfId="1" applyNumberFormat="1" applyFont="1" applyFill="1" applyAlignment="1"/>
    <xf numFmtId="42" fontId="10" fillId="0" borderId="6" xfId="2" applyNumberFormat="1" applyFont="1" applyFill="1" applyBorder="1" applyAlignment="1" applyProtection="1"/>
    <xf numFmtId="42" fontId="10" fillId="0" borderId="7" xfId="2" applyNumberFormat="1" applyFont="1" applyFill="1" applyBorder="1" applyAlignment="1" applyProtection="1"/>
    <xf numFmtId="49" fontId="21" fillId="0" borderId="0" xfId="0" applyNumberFormat="1" applyFont="1" applyFill="1" applyAlignment="1"/>
    <xf numFmtId="41" fontId="21" fillId="0" borderId="0" xfId="1" applyNumberFormat="1" applyFont="1" applyFill="1" applyAlignment="1"/>
    <xf numFmtId="180" fontId="3" fillId="0" borderId="0" xfId="0" applyNumberFormat="1" applyFont="1" applyFill="1" applyBorder="1" applyAlignment="1" applyProtection="1">
      <protection locked="0"/>
    </xf>
    <xf numFmtId="3" fontId="3" fillId="0" borderId="0" xfId="1" applyNumberFormat="1" applyFont="1" applyFill="1" applyBorder="1" applyAlignment="1"/>
    <xf numFmtId="0" fontId="8" fillId="0" borderId="0" xfId="14" applyFill="1" applyAlignment="1"/>
    <xf numFmtId="0" fontId="3" fillId="0" borderId="0" xfId="14" applyFont="1" applyFill="1" applyAlignment="1"/>
    <xf numFmtId="37" fontId="3" fillId="0" borderId="0" xfId="14" applyNumberFormat="1" applyFont="1" applyFill="1" applyAlignment="1"/>
    <xf numFmtId="0" fontId="22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39" fillId="0" borderId="0" xfId="0" applyNumberFormat="1" applyFont="1" applyFill="1" applyBorder="1" applyAlignment="1">
      <alignment horizontal="centerContinuous"/>
    </xf>
    <xf numFmtId="0" fontId="39" fillId="0" borderId="0" xfId="0" applyNumberFormat="1" applyFont="1" applyFill="1" applyAlignment="1">
      <alignment horizontal="centerContinuous" vertical="center"/>
    </xf>
    <xf numFmtId="0" fontId="61" fillId="0" borderId="0" xfId="0" applyNumberFormat="1" applyFont="1" applyFill="1" applyAlignment="1"/>
    <xf numFmtId="0" fontId="61" fillId="0" borderId="0" xfId="0" applyNumberFormat="1" applyFont="1" applyFill="1" applyAlignment="1">
      <alignment horizontal="center"/>
    </xf>
    <xf numFmtId="0" fontId="62" fillId="0" borderId="4" xfId="0" applyNumberFormat="1" applyFont="1" applyFill="1" applyBorder="1" applyAlignment="1">
      <alignment horizontal="center"/>
    </xf>
    <xf numFmtId="0" fontId="62" fillId="0" borderId="0" xfId="0" applyNumberFormat="1" applyFont="1" applyFill="1" applyAlignment="1">
      <alignment horizontal="center"/>
    </xf>
    <xf numFmtId="0" fontId="63" fillId="0" borderId="0" xfId="0" applyNumberFormat="1" applyFont="1" applyFill="1" applyAlignment="1"/>
    <xf numFmtId="14" fontId="61" fillId="0" borderId="0" xfId="0" applyNumberFormat="1" applyFont="1" applyFill="1" applyAlignment="1">
      <alignment horizontal="center"/>
    </xf>
    <xf numFmtId="171" fontId="61" fillId="0" borderId="0" xfId="304" applyNumberFormat="1" applyFont="1" applyFill="1"/>
    <xf numFmtId="0" fontId="61" fillId="0" borderId="0" xfId="0" applyNumberFormat="1" applyFont="1" applyFill="1" applyAlignment="1">
      <alignment horizontal="left"/>
    </xf>
    <xf numFmtId="10" fontId="62" fillId="0" borderId="7" xfId="228" applyNumberFormat="1" applyFont="1" applyFill="1" applyBorder="1"/>
    <xf numFmtId="10" fontId="61" fillId="0" borderId="7" xfId="228" applyNumberFormat="1" applyFont="1" applyFill="1" applyBorder="1"/>
    <xf numFmtId="3" fontId="61" fillId="0" borderId="0" xfId="304" applyNumberFormat="1" applyFont="1" applyFill="1"/>
    <xf numFmtId="3" fontId="61" fillId="0" borderId="0" xfId="0" applyNumberFormat="1" applyFont="1" applyFill="1" applyAlignment="1"/>
    <xf numFmtId="0" fontId="61" fillId="0" borderId="0" xfId="0" applyNumberFormat="1" applyFont="1" applyFill="1" applyAlignment="1">
      <alignment horizontal="left" wrapText="1"/>
    </xf>
    <xf numFmtId="42" fontId="61" fillId="0" borderId="0" xfId="305" applyNumberFormat="1" applyFont="1" applyFill="1"/>
    <xf numFmtId="41" fontId="61" fillId="0" borderId="0" xfId="305" applyNumberFormat="1" applyFont="1" applyFill="1"/>
    <xf numFmtId="0" fontId="61" fillId="0" borderId="0" xfId="0" applyNumberFormat="1" applyFont="1" applyFill="1" applyBorder="1" applyAlignment="1">
      <alignment horizontal="center"/>
    </xf>
    <xf numFmtId="42" fontId="61" fillId="0" borderId="8" xfId="305" applyNumberFormat="1" applyFont="1" applyFill="1" applyBorder="1"/>
    <xf numFmtId="10" fontId="61" fillId="0" borderId="8" xfId="228" applyNumberFormat="1" applyFont="1" applyFill="1" applyBorder="1"/>
    <xf numFmtId="10" fontId="61" fillId="0" borderId="8" xfId="0" applyNumberFormat="1" applyFont="1" applyFill="1" applyBorder="1" applyAlignment="1"/>
    <xf numFmtId="174" fontId="61" fillId="0" borderId="0" xfId="0" applyNumberFormat="1" applyFont="1" applyFill="1" applyAlignment="1"/>
    <xf numFmtId="171" fontId="61" fillId="0" borderId="0" xfId="306" applyNumberFormat="1" applyFont="1" applyFill="1" applyAlignment="1"/>
    <xf numFmtId="193" fontId="61" fillId="0" borderId="0" xfId="306" applyNumberFormat="1" applyFont="1" applyFill="1" applyAlignment="1"/>
    <xf numFmtId="174" fontId="61" fillId="0" borderId="0" xfId="305" applyNumberFormat="1" applyFont="1" applyFill="1"/>
    <xf numFmtId="10" fontId="61" fillId="0" borderId="0" xfId="0" applyNumberFormat="1" applyFont="1" applyFill="1" applyAlignment="1"/>
    <xf numFmtId="0" fontId="61" fillId="0" borderId="0" xfId="0" applyNumberFormat="1" applyFont="1" applyFill="1" applyBorder="1" applyAlignment="1"/>
    <xf numFmtId="10" fontId="61" fillId="0" borderId="4" xfId="228" applyNumberFormat="1" applyFont="1" applyFill="1" applyBorder="1"/>
    <xf numFmtId="4" fontId="61" fillId="0" borderId="0" xfId="304" applyFont="1" applyFill="1"/>
    <xf numFmtId="174" fontId="61" fillId="0" borderId="8" xfId="305" applyNumberFormat="1" applyFont="1" applyFill="1" applyBorder="1"/>
    <xf numFmtId="10" fontId="61" fillId="0" borderId="7" xfId="0" applyNumberFormat="1" applyFont="1" applyFill="1" applyBorder="1" applyAlignment="1"/>
    <xf numFmtId="4" fontId="61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164" fontId="5" fillId="0" borderId="0" xfId="0" applyFont="1" applyFill="1" applyAlignment="1" applyProtection="1">
      <alignment horizontal="center"/>
      <protection locked="0"/>
    </xf>
  </cellXfs>
  <cellStyles count="307">
    <cellStyle name="_4.06E Pass Throughs" xfId="15"/>
    <cellStyle name="_4.06E Pass Throughs_3.01 Income Statement" xfId="16"/>
    <cellStyle name="_4.13E Montana Energy Tax" xfId="17"/>
    <cellStyle name="_4.13E Montana Energy Tax_3.01 Income Statement" xfId="18"/>
    <cellStyle name="_Book1" xfId="19"/>
    <cellStyle name="_Book1 (2)" xfId="20"/>
    <cellStyle name="_Book1 (2)_3.01 Income Statement" xfId="21"/>
    <cellStyle name="_Book1_3.01 Income Statement" xfId="22"/>
    <cellStyle name="_Book2" xfId="23"/>
    <cellStyle name="_Book2_3.01 Income Statement" xfId="24"/>
    <cellStyle name="_Chelan Debt Forecast 12.19.05" xfId="25"/>
    <cellStyle name="_Chelan Debt Forecast 12.19.05_3.01 Income Statement" xfId="26"/>
    <cellStyle name="_Costs not in AURORA 06GRC" xfId="27"/>
    <cellStyle name="_Costs not in AURORA 06GRC_3.01 Income Statement" xfId="28"/>
    <cellStyle name="_Costs not in AURORA 2006GRC 6.15.06" xfId="29"/>
    <cellStyle name="_Costs not in AURORA 2006GRC 6.15.06_3.01 Income Statement" xfId="30"/>
    <cellStyle name="_Costs not in AURORA 2007 Rate Case" xfId="31"/>
    <cellStyle name="_Costs not in AURORA 2007 Rate Case_3.01 Income Statement" xfId="32"/>
    <cellStyle name="_Costs not in KWI3000 '06Budget" xfId="33"/>
    <cellStyle name="_Costs not in KWI3000 '06Budget_3.01 Income Statement" xfId="34"/>
    <cellStyle name="_DEM-WP (C) Power Cost 2006GRC Order" xfId="35"/>
    <cellStyle name="_DEM-WP (C) Power Cost 2006GRC Order_3.01 Income Statement" xfId="36"/>
    <cellStyle name="_DEM-WP Revised (HC) Wild Horse 2006GRC" xfId="37"/>
    <cellStyle name="_DEM-WP(C) Costs not in AURORA 2006GRC" xfId="38"/>
    <cellStyle name="_DEM-WP(C) Costs not in AURORA 2006GRC_3.01 Income Statement" xfId="39"/>
    <cellStyle name="_DEM-WP(C) Costs not in AURORA 2007GRC" xfId="40"/>
    <cellStyle name="_DEM-WP(C) Costs not in AURORA 2007PCORC-5.07Update" xfId="41"/>
    <cellStyle name="_DEM-WP(C) Sumas Proforma 11.5.07" xfId="42"/>
    <cellStyle name="_DEM-WP(C) Westside Hydro Data_051007" xfId="43"/>
    <cellStyle name="_Fuel Prices 4-14" xfId="44"/>
    <cellStyle name="_Fuel Prices 4-14_3.01 Income Statement" xfId="45"/>
    <cellStyle name="_Power Cost Value Copy 11.30.05 gas 1.09.06 AURORA at 1.10.06" xfId="46"/>
    <cellStyle name="_Power Cost Value Copy 11.30.05 gas 1.09.06 AURORA at 1.10.06_3.01 Income Statement" xfId="47"/>
    <cellStyle name="_Recon to Darrin's 5.11.05 proforma" xfId="48"/>
    <cellStyle name="_Recon to Darrin's 5.11.05 proforma_3.01 Income Statement" xfId="49"/>
    <cellStyle name="_Tenaska Comparison" xfId="50"/>
    <cellStyle name="_Tenaska Comparison_3.01 Income Statement" xfId="51"/>
    <cellStyle name="_Value Copy 11 30 05 gas 12 09 05 AURORA at 12 14 05" xfId="52"/>
    <cellStyle name="_Value Copy 11 30 05 gas 12 09 05 AURORA at 12 14 05_3.01 Income Statement" xfId="53"/>
    <cellStyle name="_VC 6.15.06 update on 06GRC power costs.xls Chart 1" xfId="54"/>
    <cellStyle name="_VC 6.15.06 update on 06GRC power costs.xls Chart 1_3.01 Income Statement" xfId="55"/>
    <cellStyle name="_VC 6.15.06 update on 06GRC power costs.xls Chart 2" xfId="56"/>
    <cellStyle name="_VC 6.15.06 update on 06GRC power costs.xls Chart 2_3.01 Income Statement" xfId="57"/>
    <cellStyle name="_VC 6.15.06 update on 06GRC power costs.xls Chart 3" xfId="58"/>
    <cellStyle name="_VC 6.15.06 update on 06GRC power costs.xls Chart 3_3.01 Income Statement" xfId="59"/>
    <cellStyle name="0,0_x000d__x000a_NA_x000d__x000a_" xfId="60"/>
    <cellStyle name="0000" xfId="61"/>
    <cellStyle name="000000" xfId="62"/>
    <cellStyle name="20% - Accent1 2" xfId="63"/>
    <cellStyle name="20% - Accent1 3" xfId="64"/>
    <cellStyle name="20% - Accent2 2" xfId="65"/>
    <cellStyle name="20% - Accent2 3" xfId="66"/>
    <cellStyle name="20% - Accent3 2" xfId="67"/>
    <cellStyle name="20% - Accent3 3" xfId="68"/>
    <cellStyle name="20% - Accent4 2" xfId="69"/>
    <cellStyle name="20% - Accent4 3" xfId="70"/>
    <cellStyle name="20% - Accent5 2" xfId="71"/>
    <cellStyle name="20% - Accent5 3" xfId="72"/>
    <cellStyle name="20% - Accent6 2" xfId="73"/>
    <cellStyle name="20% - Accent6 3" xfId="74"/>
    <cellStyle name="40% - Accent1 2" xfId="75"/>
    <cellStyle name="40% - Accent1 3" xfId="76"/>
    <cellStyle name="40% - Accent2 2" xfId="77"/>
    <cellStyle name="40% - Accent2 3" xfId="78"/>
    <cellStyle name="40% - Accent3 2" xfId="79"/>
    <cellStyle name="40% - Accent3 3" xfId="80"/>
    <cellStyle name="40% - Accent4 2" xfId="81"/>
    <cellStyle name="40% - Accent4 3" xfId="82"/>
    <cellStyle name="40% - Accent5 2" xfId="83"/>
    <cellStyle name="40% - Accent5 3" xfId="84"/>
    <cellStyle name="40% - Accent6 2" xfId="85"/>
    <cellStyle name="40% - Accent6 3" xfId="86"/>
    <cellStyle name="Accent1 - 20%" xfId="87"/>
    <cellStyle name="Accent1 - 40%" xfId="88"/>
    <cellStyle name="Accent1 - 60%" xfId="89"/>
    <cellStyle name="Accent2 - 20%" xfId="90"/>
    <cellStyle name="Accent2 - 40%" xfId="91"/>
    <cellStyle name="Accent2 - 60%" xfId="92"/>
    <cellStyle name="Accent3 - 20%" xfId="93"/>
    <cellStyle name="Accent3 - 40%" xfId="94"/>
    <cellStyle name="Accent3 - 60%" xfId="95"/>
    <cellStyle name="Accent4 - 20%" xfId="96"/>
    <cellStyle name="Accent4 - 40%" xfId="97"/>
    <cellStyle name="Accent4 - 60%" xfId="98"/>
    <cellStyle name="Accent5 - 20%" xfId="99"/>
    <cellStyle name="Accent5 - 40%" xfId="100"/>
    <cellStyle name="Accent5 - 60%" xfId="101"/>
    <cellStyle name="Accent6 - 20%" xfId="102"/>
    <cellStyle name="Accent6 - 40%" xfId="103"/>
    <cellStyle name="Accent6 - 60%" xfId="104"/>
    <cellStyle name="blank" xfId="105"/>
    <cellStyle name="Calc Currency (0)" xfId="106"/>
    <cellStyle name="CheckCell" xfId="107"/>
    <cellStyle name="Comma" xfId="1" builtinId="3"/>
    <cellStyle name="Comma 10" xfId="10"/>
    <cellStyle name="Comma 11" xfId="108"/>
    <cellStyle name="Comma 12" xfId="306"/>
    <cellStyle name="Comma 2" xfId="9"/>
    <cellStyle name="Comma 2 2" xfId="109"/>
    <cellStyle name="Comma 3" xfId="110"/>
    <cellStyle name="Comma 3 2" xfId="111"/>
    <cellStyle name="Comma 4" xfId="112"/>
    <cellStyle name="Comma 5" xfId="113"/>
    <cellStyle name="Comma 6" xfId="114"/>
    <cellStyle name="Comma 6 2" xfId="115"/>
    <cellStyle name="Comma 7" xfId="116"/>
    <cellStyle name="Comma 8" xfId="117"/>
    <cellStyle name="Comma 9" xfId="118"/>
    <cellStyle name="Comma_Common Allocators GRC TY 0903" xfId="304"/>
    <cellStyle name="Comma_Power Costs 12ME December 2004" xfId="13"/>
    <cellStyle name="Comma0" xfId="119"/>
    <cellStyle name="Comma0 - Style2" xfId="120"/>
    <cellStyle name="Comma0 - Style4" xfId="121"/>
    <cellStyle name="Comma0 - Style5" xfId="122"/>
    <cellStyle name="Comma0_00COS Ind Allocators" xfId="123"/>
    <cellStyle name="Comma1 - Style1" xfId="124"/>
    <cellStyle name="Copied" xfId="125"/>
    <cellStyle name="COST1" xfId="126"/>
    <cellStyle name="Curren - Style1" xfId="127"/>
    <cellStyle name="Curren - Style2" xfId="128"/>
    <cellStyle name="Curren - Style5" xfId="129"/>
    <cellStyle name="Curren - Style6" xfId="130"/>
    <cellStyle name="Currency" xfId="2" builtinId="4"/>
    <cellStyle name="Currency 10" xfId="131"/>
    <cellStyle name="Currency 2" xfId="132"/>
    <cellStyle name="Currency 3" xfId="133"/>
    <cellStyle name="Currency 4" xfId="134"/>
    <cellStyle name="Currency 5" xfId="135"/>
    <cellStyle name="Currency 6" xfId="136"/>
    <cellStyle name="Currency 7" xfId="137"/>
    <cellStyle name="Currency 8" xfId="138"/>
    <cellStyle name="Currency 9" xfId="139"/>
    <cellStyle name="Currency_Common Allocators GRC TY 0903" xfId="305"/>
    <cellStyle name="Currency_Power Costs 12ME December 2004" xfId="7"/>
    <cellStyle name="Currency0" xfId="140"/>
    <cellStyle name="Date" xfId="141"/>
    <cellStyle name="Emphasis 1" xfId="142"/>
    <cellStyle name="Emphasis 2" xfId="143"/>
    <cellStyle name="Emphasis 3" xfId="144"/>
    <cellStyle name="Entered" xfId="145"/>
    <cellStyle name="Fixed" xfId="146"/>
    <cellStyle name="Fixed3 - Style3" xfId="147"/>
    <cellStyle name="Grey" xfId="148"/>
    <cellStyle name="Header" xfId="149"/>
    <cellStyle name="Header1" xfId="150"/>
    <cellStyle name="Header2" xfId="151"/>
    <cellStyle name="Heading" xfId="152"/>
    <cellStyle name="Heading1" xfId="153"/>
    <cellStyle name="Heading2" xfId="154"/>
    <cellStyle name="Input [yellow]" xfId="155"/>
    <cellStyle name="Input Cells" xfId="156"/>
    <cellStyle name="Input Cells Percent" xfId="157"/>
    <cellStyle name="Lines" xfId="158"/>
    <cellStyle name="LINKED" xfId="159"/>
    <cellStyle name="modified border" xfId="160"/>
    <cellStyle name="modified border1" xfId="161"/>
    <cellStyle name="no dec" xfId="162"/>
    <cellStyle name="Normal" xfId="0" builtinId="0"/>
    <cellStyle name="Normal - Style1" xfId="163"/>
    <cellStyle name="Normal 10" xfId="164"/>
    <cellStyle name="Normal 10 2" xfId="165"/>
    <cellStyle name="Normal 11" xfId="166"/>
    <cellStyle name="Normal 12" xfId="167"/>
    <cellStyle name="Normal 13" xfId="168"/>
    <cellStyle name="Normal 14" xfId="169"/>
    <cellStyle name="Normal 15" xfId="170"/>
    <cellStyle name="Normal 15 2" xfId="171"/>
    <cellStyle name="Normal 2" xfId="4"/>
    <cellStyle name="Normal 2 2" xfId="172"/>
    <cellStyle name="Normal 2 2 2" xfId="173"/>
    <cellStyle name="Normal 2 2 2 2" xfId="174"/>
    <cellStyle name="Normal 2 2 3" xfId="175"/>
    <cellStyle name="Normal 2 3" xfId="176"/>
    <cellStyle name="Normal 2 4" xfId="177"/>
    <cellStyle name="Normal 2 5" xfId="178"/>
    <cellStyle name="Normal 2 6" xfId="179"/>
    <cellStyle name="Normal 2 7" xfId="180"/>
    <cellStyle name="Normal 2_3.05 Allocation Method 2010 GTR WF" xfId="181"/>
    <cellStyle name="Normal 3" xfId="182"/>
    <cellStyle name="Normal 3 2" xfId="183"/>
    <cellStyle name="Normal 3 3" xfId="184"/>
    <cellStyle name="Normal 3 4" xfId="185"/>
    <cellStyle name="Normal 3 5" xfId="186"/>
    <cellStyle name="Normal 3 6" xfId="187"/>
    <cellStyle name="Normal 3 6 2" xfId="188"/>
    <cellStyle name="Normal 3_Net Classified Plant" xfId="189"/>
    <cellStyle name="Normal 4" xfId="190"/>
    <cellStyle name="Normal 4 2" xfId="191"/>
    <cellStyle name="Normal 4_3.05 Allocation Method 2010 GTR WF" xfId="192"/>
    <cellStyle name="Normal 5" xfId="193"/>
    <cellStyle name="Normal 6" xfId="194"/>
    <cellStyle name="Normal 6 2" xfId="195"/>
    <cellStyle name="Normal 7" xfId="196"/>
    <cellStyle name="Normal 7 2" xfId="197"/>
    <cellStyle name="Normal 8" xfId="198"/>
    <cellStyle name="Normal 9" xfId="199"/>
    <cellStyle name="Normal_2.03E Power Costs 2004CBR" xfId="6"/>
    <cellStyle name="Normal_Hopkins Ridge" xfId="11"/>
    <cellStyle name="Normal_model" xfId="14"/>
    <cellStyle name="Normal_Power Costs 12ME December 2004" xfId="5"/>
    <cellStyle name="Normal_Wild Horse 2006 GRC" xfId="12"/>
    <cellStyle name="Note 10" xfId="200"/>
    <cellStyle name="Note 11" xfId="201"/>
    <cellStyle name="Note 12" xfId="202"/>
    <cellStyle name="Note 2" xfId="203"/>
    <cellStyle name="Note 3" xfId="204"/>
    <cellStyle name="Note 4" xfId="205"/>
    <cellStyle name="Note 5" xfId="206"/>
    <cellStyle name="Note 6" xfId="207"/>
    <cellStyle name="Note 7" xfId="208"/>
    <cellStyle name="Note 8" xfId="209"/>
    <cellStyle name="Note 9" xfId="210"/>
    <cellStyle name="Percen - Style1" xfId="211"/>
    <cellStyle name="Percen - Style2" xfId="212"/>
    <cellStyle name="Percen - Style3" xfId="213"/>
    <cellStyle name="Percent" xfId="3" builtinId="5"/>
    <cellStyle name="Percent (0)" xfId="214"/>
    <cellStyle name="Percent [2]" xfId="215"/>
    <cellStyle name="Percent 10" xfId="216"/>
    <cellStyle name="Percent 11" xfId="217"/>
    <cellStyle name="Percent 12" xfId="218"/>
    <cellStyle name="Percent 13" xfId="219"/>
    <cellStyle name="Percent 2" xfId="220"/>
    <cellStyle name="Percent 3" xfId="221"/>
    <cellStyle name="Percent 3 2" xfId="222"/>
    <cellStyle name="Percent 4" xfId="223"/>
    <cellStyle name="Percent 5" xfId="224"/>
    <cellStyle name="Percent 6" xfId="225"/>
    <cellStyle name="Percent 7" xfId="226"/>
    <cellStyle name="Percent 8" xfId="227"/>
    <cellStyle name="Percent 9" xfId="228"/>
    <cellStyle name="Processing" xfId="229"/>
    <cellStyle name="PSChar" xfId="230"/>
    <cellStyle name="PSDate" xfId="231"/>
    <cellStyle name="PSDec" xfId="232"/>
    <cellStyle name="PSHeading" xfId="233"/>
    <cellStyle name="PSInt" xfId="234"/>
    <cellStyle name="PSSpacer" xfId="235"/>
    <cellStyle name="purple - Style8" xfId="236"/>
    <cellStyle name="RED" xfId="237"/>
    <cellStyle name="Red - Style7" xfId="238"/>
    <cellStyle name="Report" xfId="239"/>
    <cellStyle name="Report Bar" xfId="240"/>
    <cellStyle name="Report Heading" xfId="241"/>
    <cellStyle name="Report Percent" xfId="242"/>
    <cellStyle name="Report Unit Cost" xfId="243"/>
    <cellStyle name="Reports" xfId="244"/>
    <cellStyle name="Reports Total" xfId="245"/>
    <cellStyle name="Reports Unit Cost Total" xfId="246"/>
    <cellStyle name="RevList" xfId="247"/>
    <cellStyle name="round100" xfId="248"/>
    <cellStyle name="SAPBEXaggData" xfId="249"/>
    <cellStyle name="SAPBEXaggDataEmph" xfId="250"/>
    <cellStyle name="SAPBEXaggItem" xfId="251"/>
    <cellStyle name="SAPBEXaggItemX" xfId="252"/>
    <cellStyle name="SAPBEXchaText" xfId="253"/>
    <cellStyle name="SAPBEXchaText 2" xfId="254"/>
    <cellStyle name="SAPBEXexcBad7" xfId="255"/>
    <cellStyle name="SAPBEXexcBad8" xfId="256"/>
    <cellStyle name="SAPBEXexcBad9" xfId="257"/>
    <cellStyle name="SAPBEXexcCritical4" xfId="258"/>
    <cellStyle name="SAPBEXexcCritical5" xfId="259"/>
    <cellStyle name="SAPBEXexcCritical6" xfId="260"/>
    <cellStyle name="SAPBEXexcGood1" xfId="261"/>
    <cellStyle name="SAPBEXexcGood2" xfId="262"/>
    <cellStyle name="SAPBEXexcGood3" xfId="263"/>
    <cellStyle name="SAPBEXfilterDrill" xfId="264"/>
    <cellStyle name="SAPBEXfilterItem" xfId="265"/>
    <cellStyle name="SAPBEXfilterText" xfId="266"/>
    <cellStyle name="SAPBEXformats" xfId="267"/>
    <cellStyle name="SAPBEXheaderItem" xfId="268"/>
    <cellStyle name="SAPBEXheaderText" xfId="269"/>
    <cellStyle name="SAPBEXHLevel0" xfId="270"/>
    <cellStyle name="SAPBEXHLevel0X" xfId="271"/>
    <cellStyle name="SAPBEXHLevel1" xfId="272"/>
    <cellStyle name="SAPBEXHLevel1X" xfId="273"/>
    <cellStyle name="SAPBEXHLevel2" xfId="274"/>
    <cellStyle name="SAPBEXHLevel2X" xfId="275"/>
    <cellStyle name="SAPBEXHLevel3" xfId="276"/>
    <cellStyle name="SAPBEXHLevel3X" xfId="277"/>
    <cellStyle name="SAPBEXinputData" xfId="278"/>
    <cellStyle name="SAPBEXresData" xfId="279"/>
    <cellStyle name="SAPBEXresDataEmph" xfId="280"/>
    <cellStyle name="SAPBEXresItem" xfId="281"/>
    <cellStyle name="SAPBEXresItemX" xfId="282"/>
    <cellStyle name="SAPBEXstdData" xfId="283"/>
    <cellStyle name="SAPBEXstdDataEmph" xfId="284"/>
    <cellStyle name="SAPBEXstdItem" xfId="285"/>
    <cellStyle name="SAPBEXstdItemX" xfId="286"/>
    <cellStyle name="SAPBEXtitle" xfId="287"/>
    <cellStyle name="SAPBEXundefined" xfId="288"/>
    <cellStyle name="shade" xfId="289"/>
    <cellStyle name="Sheet Title" xfId="290"/>
    <cellStyle name="StmtTtl1" xfId="291"/>
    <cellStyle name="StmtTtl2" xfId="292"/>
    <cellStyle name="STYL1 - Style1" xfId="293"/>
    <cellStyle name="Style 1" xfId="8"/>
    <cellStyle name="Style 1 2" xfId="294"/>
    <cellStyle name="Style 1_3.01 Income Statement" xfId="295"/>
    <cellStyle name="Subtotal" xfId="296"/>
    <cellStyle name="Sub-total" xfId="297"/>
    <cellStyle name="taples Plaza" xfId="298"/>
    <cellStyle name="Tickmark" xfId="299"/>
    <cellStyle name="Title: Major" xfId="300"/>
    <cellStyle name="Title: Minor" xfId="301"/>
    <cellStyle name="Title: Worksheet" xfId="302"/>
    <cellStyle name="Total4 - Style4" xfId="3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evnu/PUBLIC/Expedited%20Rate%20Case%20Filings/As-Filed/Workpapers/KJB-05-WP%202.05%20E&amp;G%20Allocation%20Method%20June%202012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.05 Lead"/>
      <sheetName val="Meter count"/>
      <sheetName val="E &amp; G RB"/>
      <sheetName val="Summary"/>
      <sheetName val="ERB"/>
      <sheetName val="GRB"/>
      <sheetName val="2012 IS"/>
      <sheetName val="FERC.P354,5"/>
      <sheetName val="Gas"/>
      <sheetName val="Electric"/>
      <sheetName val="SAP DL Downld"/>
      <sheetName val="ZRW_DLF1"/>
      <sheetName val="DLReconBBS"/>
      <sheetName val="GL DL Rep-2011"/>
      <sheetName val="Electric Rtrmt"/>
      <sheetName val="Gas Rtrmt"/>
      <sheetName val="Pg 6a CustCount_Electric"/>
      <sheetName val="Pg 6b CustCount_Gas"/>
    </sheetNames>
    <sheetDataSet>
      <sheetData sheetId="0"/>
      <sheetData sheetId="1">
        <row r="1698">
          <cell r="C1698">
            <v>714059</v>
          </cell>
          <cell r="D1698">
            <v>413885</v>
          </cell>
        </row>
      </sheetData>
      <sheetData sheetId="2">
        <row r="27">
          <cell r="D27">
            <v>4286949588.9545836</v>
          </cell>
        </row>
        <row r="44">
          <cell r="D44">
            <v>1809404108.175833</v>
          </cell>
        </row>
      </sheetData>
      <sheetData sheetId="3"/>
      <sheetData sheetId="4"/>
      <sheetData sheetId="5"/>
      <sheetData sheetId="6">
        <row r="47">
          <cell r="B47">
            <v>67798022.655370891</v>
          </cell>
          <cell r="C47">
            <v>28139982.081547316</v>
          </cell>
        </row>
      </sheetData>
      <sheetData sheetId="7">
        <row r="3">
          <cell r="M3">
            <v>50387385.089340784</v>
          </cell>
        </row>
        <row r="4">
          <cell r="M4">
            <v>25140397.046695061</v>
          </cell>
        </row>
        <row r="36">
          <cell r="D36">
            <v>51062419.880000003</v>
          </cell>
        </row>
        <row r="71">
          <cell r="D71">
            <v>25810760.079999998</v>
          </cell>
        </row>
      </sheetData>
      <sheetData sheetId="8">
        <row r="53">
          <cell r="P53">
            <v>2690196591</v>
          </cell>
        </row>
        <row r="79">
          <cell r="P79">
            <v>34244684</v>
          </cell>
        </row>
      </sheetData>
      <sheetData sheetId="9">
        <row r="225">
          <cell r="P225">
            <v>1091713943</v>
          </cell>
        </row>
        <row r="312">
          <cell r="P312">
            <v>3077617333</v>
          </cell>
        </row>
        <row r="402">
          <cell r="P402">
            <v>157891556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61">
          <cell r="D61">
            <v>1086382</v>
          </cell>
        </row>
      </sheetData>
      <sheetData sheetId="17">
        <row r="53">
          <cell r="D53">
            <v>760286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132"/>
  <sheetViews>
    <sheetView tabSelected="1" topLeftCell="AA1" zoomScaleNormal="100" workbookViewId="0">
      <pane ySplit="10" topLeftCell="A11" activePane="bottomLeft" state="frozen"/>
      <selection pane="bottomLeft" activeCell="AE14" sqref="AE14"/>
    </sheetView>
  </sheetViews>
  <sheetFormatPr defaultColWidth="21.1640625" defaultRowHeight="15" customHeight="1"/>
  <cols>
    <col min="1" max="1" width="6.5" style="4" bestFit="1" customWidth="1"/>
    <col min="2" max="2" width="39.83203125" style="4" customWidth="1"/>
    <col min="3" max="3" width="18.5" style="4" bestFit="1" customWidth="1"/>
    <col min="4" max="4" width="19" style="4" bestFit="1" customWidth="1"/>
    <col min="5" max="5" width="14.83203125" style="4" customWidth="1"/>
    <col min="6" max="6" width="20" style="4" bestFit="1" customWidth="1"/>
    <col min="7" max="7" width="15.83203125" style="4" bestFit="1" customWidth="1"/>
    <col min="8" max="8" width="6.1640625" style="4" bestFit="1" customWidth="1"/>
    <col min="9" max="9" width="65" style="4" bestFit="1" customWidth="1"/>
    <col min="10" max="10" width="16.6640625" style="4" customWidth="1"/>
    <col min="11" max="11" width="18" style="4" bestFit="1" customWidth="1"/>
    <col min="12" max="12" width="19" style="4" bestFit="1" customWidth="1"/>
    <col min="13" max="13" width="5.83203125" style="4" customWidth="1"/>
    <col min="14" max="14" width="56.1640625" style="4" customWidth="1"/>
    <col min="15" max="15" width="19.83203125" style="4" customWidth="1"/>
    <col min="16" max="16" width="17.33203125" style="4" customWidth="1"/>
    <col min="17" max="17" width="15.1640625" style="4" customWidth="1"/>
    <col min="18" max="18" width="6.83203125" style="4" customWidth="1"/>
    <col min="19" max="19" width="34.33203125" style="4" bestFit="1" customWidth="1"/>
    <col min="20" max="20" width="13.33203125" style="4" customWidth="1"/>
    <col min="21" max="21" width="17.33203125" style="4" customWidth="1"/>
    <col min="22" max="22" width="20.1640625" style="4" customWidth="1"/>
    <col min="23" max="23" width="6.83203125" style="4" customWidth="1"/>
    <col min="24" max="24" width="51.6640625" style="4" customWidth="1"/>
    <col min="25" max="25" width="20.83203125" style="4" customWidth="1"/>
    <col min="26" max="26" width="17.6640625" style="4" customWidth="1"/>
    <col min="27" max="27" width="6.83203125" style="4" customWidth="1"/>
    <col min="28" max="28" width="51.5" style="4" customWidth="1"/>
    <col min="29" max="29" width="23" style="4" customWidth="1"/>
    <col min="30" max="30" width="21.1640625" style="4" customWidth="1"/>
    <col min="31" max="31" width="6.83203125" style="4" customWidth="1"/>
    <col min="32" max="32" width="67.33203125" style="4" bestFit="1" customWidth="1"/>
    <col min="33" max="33" width="5.6640625" style="4" bestFit="1" customWidth="1"/>
    <col min="34" max="34" width="17.1640625" style="4" customWidth="1"/>
    <col min="35" max="35" width="17" style="4" customWidth="1"/>
    <col min="36" max="36" width="6.33203125" style="4" customWidth="1"/>
    <col min="37" max="37" width="57.6640625" style="4" customWidth="1"/>
    <col min="38" max="39" width="15.6640625" style="4" customWidth="1"/>
    <col min="40" max="40" width="6.83203125" style="4" customWidth="1"/>
    <col min="41" max="41" width="28.5" style="4" customWidth="1"/>
    <col min="42" max="42" width="17" style="4" customWidth="1"/>
    <col min="43" max="43" width="17.33203125" style="4" customWidth="1"/>
    <col min="44" max="45" width="18.5" style="4" customWidth="1"/>
    <col min="46" max="46" width="16.5" style="4" customWidth="1"/>
    <col min="47" max="47" width="17.5" style="4" customWidth="1"/>
    <col min="48" max="48" width="15.6640625" style="4" customWidth="1"/>
    <col min="49" max="49" width="6.83203125" style="4" customWidth="1"/>
    <col min="50" max="50" width="49.83203125" style="4" bestFit="1" customWidth="1"/>
    <col min="51" max="51" width="20.6640625" style="4" customWidth="1"/>
    <col min="52" max="52" width="19.33203125" style="4" customWidth="1"/>
    <col min="53" max="53" width="17.33203125" style="4" customWidth="1"/>
    <col min="54" max="54" width="5.83203125" style="5" customWidth="1"/>
    <col min="55" max="55" width="59.83203125" style="5" customWidth="1"/>
    <col min="56" max="56" width="6.5" style="5" customWidth="1"/>
    <col min="57" max="57" width="22.6640625" style="5" customWidth="1"/>
    <col min="58" max="58" width="5.83203125" style="5" customWidth="1"/>
    <col min="59" max="59" width="55.1640625" style="5" customWidth="1"/>
    <col min="60" max="62" width="17" style="5" customWidth="1"/>
    <col min="63" max="63" width="6.83203125" style="4" customWidth="1"/>
    <col min="64" max="64" width="37.33203125" style="4" customWidth="1"/>
    <col min="65" max="65" width="6.5" style="4" customWidth="1"/>
    <col min="66" max="66" width="18" style="4" customWidth="1"/>
    <col min="67" max="67" width="17" style="4" customWidth="1"/>
    <col min="68" max="68" width="6.83203125" style="4" customWidth="1"/>
    <col min="69" max="69" width="36.1640625" style="4" customWidth="1"/>
    <col min="70" max="70" width="16.1640625" style="4" customWidth="1"/>
    <col min="71" max="71" width="18.83203125" style="4" customWidth="1"/>
    <col min="72" max="72" width="6.83203125" style="4" customWidth="1"/>
    <col min="73" max="73" width="45.1640625" style="4" customWidth="1"/>
    <col min="74" max="76" width="19.83203125" style="4" customWidth="1"/>
    <col min="77" max="77" width="6.83203125" style="4" customWidth="1"/>
    <col min="78" max="78" width="39.5" style="4" customWidth="1"/>
    <col min="79" max="81" width="16.5" style="4" customWidth="1"/>
    <col min="82" max="82" width="6.5" style="4" customWidth="1"/>
    <col min="83" max="83" width="71" style="4" customWidth="1"/>
    <col min="84" max="86" width="16.5" style="4" customWidth="1"/>
    <col min="87" max="87" width="6.83203125" style="4" customWidth="1"/>
    <col min="88" max="88" width="56.83203125" style="4" customWidth="1"/>
    <col min="89" max="91" width="16.5" style="4" customWidth="1"/>
    <col min="92" max="92" width="5.83203125" style="4" customWidth="1"/>
    <col min="93" max="93" width="52.33203125" style="4" customWidth="1"/>
    <col min="94" max="95" width="13.33203125" style="4" customWidth="1"/>
    <col min="96" max="96" width="17.83203125" style="4" customWidth="1"/>
    <col min="97" max="97" width="6.83203125" style="6" customWidth="1"/>
    <col min="98" max="98" width="45.83203125" style="4" customWidth="1"/>
    <col min="99" max="99" width="25" style="4" customWidth="1"/>
    <col min="100" max="100" width="23.33203125" style="4" customWidth="1"/>
    <col min="101" max="101" width="16.33203125" style="4" customWidth="1"/>
    <col min="102" max="102" width="17" style="4" customWidth="1"/>
    <col min="103" max="103" width="17.83203125" style="4" customWidth="1"/>
    <col min="104" max="104" width="16" style="4" customWidth="1"/>
    <col min="105" max="105" width="25.6640625" style="4" customWidth="1"/>
    <col min="106" max="106" width="25.33203125" style="4" bestFit="1" customWidth="1"/>
    <col min="107" max="107" width="14" style="4" customWidth="1"/>
    <col min="108" max="108" width="18" style="4" customWidth="1"/>
    <col min="109" max="109" width="5.83203125" style="4" customWidth="1"/>
    <col min="110" max="110" width="38.5" style="4" customWidth="1"/>
    <col min="111" max="111" width="13.83203125" style="4" bestFit="1" customWidth="1"/>
    <col min="112" max="112" width="17" style="4" customWidth="1"/>
    <col min="113" max="113" width="14.83203125" style="4" customWidth="1"/>
    <col min="114" max="114" width="15.5" style="4" customWidth="1"/>
    <col min="115" max="115" width="20" style="4" customWidth="1"/>
    <col min="116" max="116" width="16.33203125" style="4" bestFit="1" customWidth="1"/>
    <col min="117" max="117" width="14" style="4" bestFit="1" customWidth="1"/>
    <col min="118" max="119" width="14" style="4" customWidth="1"/>
    <col min="120" max="120" width="19.6640625" style="4" bestFit="1" customWidth="1"/>
    <col min="121" max="121" width="5.83203125" style="4" customWidth="1"/>
    <col min="122" max="122" width="46.5" style="4" bestFit="1" customWidth="1"/>
    <col min="123" max="123" width="19" style="4" bestFit="1" customWidth="1"/>
    <col min="124" max="124" width="19.6640625" style="4" bestFit="1" customWidth="1"/>
    <col min="125" max="125" width="19" style="4" bestFit="1" customWidth="1"/>
    <col min="126" max="16384" width="21.1640625" style="4"/>
  </cols>
  <sheetData>
    <row r="1" spans="1:125" s="1" customFormat="1" ht="15" customHeight="1">
      <c r="G1" s="1">
        <f>ROUND(G52-CV48,0)</f>
        <v>0</v>
      </c>
      <c r="L1" s="1">
        <f>L39-CW48</f>
        <v>0</v>
      </c>
      <c r="Q1" s="1">
        <f>Q31-CX48</f>
        <v>0</v>
      </c>
      <c r="U1" s="1">
        <f>V17-CY61</f>
        <v>0</v>
      </c>
      <c r="V1" s="1">
        <f>V26-CY48</f>
        <v>0</v>
      </c>
      <c r="Z1" s="1">
        <f>Z30-CZ48</f>
        <v>0</v>
      </c>
      <c r="AD1" s="1">
        <f>AD24-DA48</f>
        <v>0</v>
      </c>
      <c r="AI1" s="1">
        <f>ROUND(AI46-DB48,0)</f>
        <v>0</v>
      </c>
      <c r="AM1" s="1">
        <f>ROUND(AM32-DC48,0)</f>
        <v>0</v>
      </c>
      <c r="AV1" s="1">
        <f>ROUND(AV29-DD48,0)</f>
        <v>0</v>
      </c>
      <c r="BA1" s="1">
        <f>ROUND(BA20-DG48,0)</f>
        <v>0</v>
      </c>
      <c r="BE1" s="1">
        <f>ROUND(BE27-DH48,0)</f>
        <v>0</v>
      </c>
      <c r="BJ1" s="1">
        <f>ROUND(BJ20-DI48,0)</f>
        <v>0</v>
      </c>
      <c r="BO1" s="1">
        <f>ROUND(BO20-DJ48,0)</f>
        <v>0</v>
      </c>
      <c r="BS1" s="1">
        <f>ROUND(BS15-DK48,0)</f>
        <v>0</v>
      </c>
      <c r="BX1" s="1">
        <f>ROUND(BX20-DL48,0)</f>
        <v>0</v>
      </c>
      <c r="CC1" s="1">
        <f>ROUND(CC20-DM48,0)</f>
        <v>0</v>
      </c>
      <c r="CH1" s="1">
        <f>ROUND(CH19-DN48,0)</f>
        <v>0</v>
      </c>
      <c r="CM1" s="1">
        <f>ROUND(CM20-DO48,0)</f>
        <v>0</v>
      </c>
    </row>
    <row r="2" spans="1:125" ht="15" customHeight="1" thickBot="1">
      <c r="A2" s="2"/>
      <c r="B2" s="2"/>
      <c r="C2" s="2"/>
      <c r="D2" s="2"/>
      <c r="E2" s="2"/>
      <c r="F2" s="2"/>
      <c r="G2" s="3"/>
      <c r="L2" s="3"/>
      <c r="Q2" s="3"/>
      <c r="V2" s="3"/>
      <c r="Z2" s="3"/>
      <c r="AD2" s="3"/>
      <c r="AI2" s="3"/>
      <c r="BA2" s="3"/>
      <c r="BE2" s="3"/>
      <c r="BJ2" s="3"/>
      <c r="BO2" s="3"/>
      <c r="BS2" s="3"/>
      <c r="BX2" s="3"/>
      <c r="CC2" s="3"/>
      <c r="CD2" s="3"/>
      <c r="CE2" s="3"/>
      <c r="CF2" s="3"/>
      <c r="CG2" s="3"/>
      <c r="CH2" s="3"/>
      <c r="CM2" s="3"/>
      <c r="CN2" s="2"/>
      <c r="CO2" s="2"/>
      <c r="CP2" s="2"/>
      <c r="CQ2" s="2"/>
      <c r="CR2" s="3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3"/>
      <c r="DK2" s="7"/>
      <c r="DL2" s="7"/>
      <c r="DM2" s="7"/>
      <c r="DN2" s="7"/>
      <c r="DO2" s="7"/>
      <c r="DP2" s="7"/>
    </row>
    <row r="3" spans="1:125" s="2" customFormat="1" ht="15" customHeight="1" thickTop="1" thickBot="1">
      <c r="G3" s="8" t="s">
        <v>0</v>
      </c>
      <c r="H3" s="9"/>
      <c r="I3" s="9"/>
      <c r="J3" s="9"/>
      <c r="K3" s="9"/>
      <c r="L3" s="8" t="s">
        <v>1</v>
      </c>
      <c r="M3" s="10"/>
      <c r="N3" s="11"/>
      <c r="O3" s="10"/>
      <c r="P3" s="12"/>
      <c r="Q3" s="8" t="s">
        <v>2</v>
      </c>
      <c r="R3" s="10"/>
      <c r="S3" s="10"/>
      <c r="T3" s="10"/>
      <c r="U3" s="10"/>
      <c r="V3" s="8" t="s">
        <v>3</v>
      </c>
      <c r="W3" s="13"/>
      <c r="X3" s="13"/>
      <c r="Y3" s="13"/>
      <c r="Z3" s="8" t="s">
        <v>4</v>
      </c>
      <c r="AA3" s="13"/>
      <c r="AB3" s="13"/>
      <c r="AC3" s="13"/>
      <c r="AD3" s="8" t="s">
        <v>5</v>
      </c>
      <c r="AE3" s="13"/>
      <c r="AF3" s="13"/>
      <c r="AG3" s="13"/>
      <c r="AH3" s="10"/>
      <c r="AI3" s="8" t="s">
        <v>6</v>
      </c>
      <c r="AJ3" s="10"/>
      <c r="AK3" s="14"/>
      <c r="AL3" s="10"/>
      <c r="AM3" s="8" t="s">
        <v>7</v>
      </c>
      <c r="AN3" s="10"/>
      <c r="AO3" s="10"/>
      <c r="AP3" s="10"/>
      <c r="AQ3" s="10"/>
      <c r="AR3" s="10"/>
      <c r="AS3" s="10"/>
      <c r="AT3" s="10"/>
      <c r="AU3" s="10"/>
      <c r="AV3" s="8" t="s">
        <v>8</v>
      </c>
      <c r="AW3" s="10"/>
      <c r="AX3" s="10"/>
      <c r="AY3" s="15"/>
      <c r="AZ3" s="10"/>
      <c r="BA3" s="8" t="s">
        <v>9</v>
      </c>
      <c r="BB3" s="10" t="s">
        <v>10</v>
      </c>
      <c r="BC3" s="10"/>
      <c r="BD3" s="10"/>
      <c r="BE3" s="8" t="s">
        <v>11</v>
      </c>
      <c r="BF3" s="10"/>
      <c r="BG3" s="10"/>
      <c r="BH3" s="10"/>
      <c r="BI3" s="10"/>
      <c r="BJ3" s="8" t="s">
        <v>12</v>
      </c>
      <c r="BK3" s="10"/>
      <c r="BL3" s="10"/>
      <c r="BM3" s="10"/>
      <c r="BN3" s="10"/>
      <c r="BO3" s="8" t="s">
        <v>13</v>
      </c>
      <c r="BP3" s="10"/>
      <c r="BQ3" s="10"/>
      <c r="BR3" s="10"/>
      <c r="BS3" s="8" t="s">
        <v>14</v>
      </c>
      <c r="BT3" s="16"/>
      <c r="BU3" s="10"/>
      <c r="BV3" s="10"/>
      <c r="BW3" s="10"/>
      <c r="BX3" s="8" t="s">
        <v>15</v>
      </c>
      <c r="BY3" s="10"/>
      <c r="BZ3" s="10"/>
      <c r="CA3" s="15"/>
      <c r="CB3" s="10"/>
      <c r="CC3" s="8" t="s">
        <v>16</v>
      </c>
      <c r="CF3" s="17"/>
      <c r="CH3" s="8" t="s">
        <v>17</v>
      </c>
      <c r="CK3" s="17"/>
      <c r="CM3" s="8" t="s">
        <v>18</v>
      </c>
      <c r="CR3" s="8" t="s">
        <v>19</v>
      </c>
      <c r="DD3" s="18" t="s">
        <v>20</v>
      </c>
      <c r="DP3" s="18" t="s">
        <v>21</v>
      </c>
      <c r="DU3" s="19" t="s">
        <v>22</v>
      </c>
    </row>
    <row r="4" spans="1:125" s="2" customFormat="1" ht="15" customHeight="1">
      <c r="A4" s="20" t="s">
        <v>23</v>
      </c>
      <c r="B4" s="21"/>
      <c r="C4" s="21"/>
      <c r="D4" s="21"/>
      <c r="E4" s="22"/>
      <c r="F4" s="23"/>
      <c r="G4" s="24"/>
      <c r="H4" s="21" t="s">
        <v>23</v>
      </c>
      <c r="I4" s="22"/>
      <c r="J4" s="22"/>
      <c r="K4" s="22"/>
      <c r="L4" s="22"/>
      <c r="M4" s="419" t="str">
        <f>PSPL</f>
        <v>PUGET SOUND ENERGY-ELECTRIC</v>
      </c>
      <c r="N4" s="419"/>
      <c r="O4" s="419"/>
      <c r="P4" s="419"/>
      <c r="Q4" s="419"/>
      <c r="R4" s="21" t="str">
        <f>+A4</f>
        <v>PUGET SOUND ENERGY-ELECTRIC</v>
      </c>
      <c r="S4" s="21"/>
      <c r="T4" s="22"/>
      <c r="U4" s="22"/>
      <c r="V4" s="22"/>
      <c r="W4" s="21" t="str">
        <f>PSPL</f>
        <v>PUGET SOUND ENERGY-ELECTRIC</v>
      </c>
      <c r="X4" s="22"/>
      <c r="Y4" s="22"/>
      <c r="Z4" s="25"/>
      <c r="AA4" s="21" t="str">
        <f>PSPL</f>
        <v>PUGET SOUND ENERGY-ELECTRIC</v>
      </c>
      <c r="AB4" s="22"/>
      <c r="AC4" s="22"/>
      <c r="AD4" s="22"/>
      <c r="AE4" s="21" t="str">
        <f>PSPL</f>
        <v>PUGET SOUND ENERGY-ELECTRIC</v>
      </c>
      <c r="AF4" s="22"/>
      <c r="AG4" s="22"/>
      <c r="AH4" s="22"/>
      <c r="AI4" s="22"/>
      <c r="AJ4" s="21" t="str">
        <f>PSPL</f>
        <v>PUGET SOUND ENERGY-ELECTRIC</v>
      </c>
      <c r="AK4" s="22"/>
      <c r="AL4" s="22"/>
      <c r="AM4" s="22"/>
      <c r="AN4" s="21" t="str">
        <f>PSPL</f>
        <v>PUGET SOUND ENERGY-ELECTRIC</v>
      </c>
      <c r="AO4" s="22"/>
      <c r="AP4" s="22"/>
      <c r="AQ4" s="22"/>
      <c r="AR4" s="22"/>
      <c r="AS4" s="22"/>
      <c r="AT4" s="22"/>
      <c r="AU4" s="22"/>
      <c r="AV4" s="22"/>
      <c r="AW4" s="21" t="str">
        <f>PSPL</f>
        <v>PUGET SOUND ENERGY-ELECTRIC</v>
      </c>
      <c r="AX4" s="26"/>
      <c r="AY4" s="27"/>
      <c r="AZ4" s="22"/>
      <c r="BA4" s="22"/>
      <c r="BB4" s="28" t="str">
        <f>PSPL</f>
        <v>PUGET SOUND ENERGY-ELECTRIC</v>
      </c>
      <c r="BC4" s="28"/>
      <c r="BD4" s="28"/>
      <c r="BE4" s="28"/>
      <c r="BF4" s="21" t="str">
        <f>PSPL</f>
        <v>PUGET SOUND ENERGY-ELECTRIC</v>
      </c>
      <c r="BG4" s="22"/>
      <c r="BH4" s="22"/>
      <c r="BI4" s="22"/>
      <c r="BJ4" s="29"/>
      <c r="BK4" s="21" t="str">
        <f>PSPL</f>
        <v>PUGET SOUND ENERGY-ELECTRIC</v>
      </c>
      <c r="BL4" s="22"/>
      <c r="BM4" s="22"/>
      <c r="BN4" s="22"/>
      <c r="BO4" s="22"/>
      <c r="BP4" s="22" t="str">
        <f>PSPL</f>
        <v>PUGET SOUND ENERGY-ELECTRIC</v>
      </c>
      <c r="BQ4" s="22"/>
      <c r="BR4" s="22"/>
      <c r="BS4" s="22"/>
      <c r="BT4" s="21" t="str">
        <f>PSPL</f>
        <v>PUGET SOUND ENERGY-ELECTRIC</v>
      </c>
      <c r="BU4" s="22"/>
      <c r="BV4" s="22"/>
      <c r="BW4" s="22"/>
      <c r="BX4" s="22"/>
      <c r="BY4" s="21" t="str">
        <f>PSPL</f>
        <v>PUGET SOUND ENERGY-ELECTRIC</v>
      </c>
      <c r="BZ4" s="26"/>
      <c r="CA4" s="27"/>
      <c r="CB4" s="22"/>
      <c r="CC4" s="22"/>
      <c r="CD4" s="21" t="str">
        <f>PSPL</f>
        <v>PUGET SOUND ENERGY-ELECTRIC</v>
      </c>
      <c r="CE4" s="26"/>
      <c r="CF4" s="27"/>
      <c r="CG4" s="22"/>
      <c r="CH4" s="22"/>
      <c r="CI4" s="21" t="str">
        <f>PSPL</f>
        <v>PUGET SOUND ENERGY-ELECTRIC</v>
      </c>
      <c r="CJ4" s="26"/>
      <c r="CK4" s="27"/>
      <c r="CL4" s="22"/>
      <c r="CM4" s="22"/>
      <c r="CN4" s="21" t="str">
        <f>PSPL</f>
        <v>PUGET SOUND ENERGY-ELECTRIC</v>
      </c>
      <c r="CO4" s="22"/>
      <c r="CP4" s="22"/>
      <c r="CQ4" s="22"/>
      <c r="CR4" s="29"/>
      <c r="CS4" s="21" t="str">
        <f>PSPL</f>
        <v>PUGET SOUND ENERGY-ELECTRIC</v>
      </c>
      <c r="CT4" s="26"/>
      <c r="CU4" s="26"/>
      <c r="CV4" s="22"/>
      <c r="CW4" s="22"/>
      <c r="CX4" s="26"/>
      <c r="CY4" s="26"/>
      <c r="CZ4" s="26"/>
      <c r="DA4" s="26"/>
      <c r="DB4" s="26"/>
      <c r="DC4" s="26"/>
      <c r="DD4" s="26"/>
      <c r="DE4" s="21" t="str">
        <f>PSPL</f>
        <v>PUGET SOUND ENERGY-ELECTRIC</v>
      </c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30" t="s">
        <v>24</v>
      </c>
      <c r="DR4" s="22"/>
      <c r="DS4" s="22"/>
    </row>
    <row r="5" spans="1:125" s="2" customFormat="1" ht="15" customHeight="1">
      <c r="A5" s="20" t="s">
        <v>25</v>
      </c>
      <c r="B5" s="21"/>
      <c r="C5" s="21"/>
      <c r="D5" s="21"/>
      <c r="E5" s="22"/>
      <c r="F5" s="23"/>
      <c r="G5" s="24"/>
      <c r="H5" s="21" t="s">
        <v>26</v>
      </c>
      <c r="I5" s="24"/>
      <c r="J5" s="24"/>
      <c r="K5" s="24"/>
      <c r="L5" s="24"/>
      <c r="M5" s="419" t="s">
        <v>27</v>
      </c>
      <c r="N5" s="419"/>
      <c r="O5" s="419"/>
      <c r="P5" s="419"/>
      <c r="Q5" s="419"/>
      <c r="R5" s="22" t="s">
        <v>28</v>
      </c>
      <c r="S5" s="21"/>
      <c r="T5" s="22"/>
      <c r="U5" s="21"/>
      <c r="V5" s="21"/>
      <c r="W5" s="22" t="s">
        <v>29</v>
      </c>
      <c r="X5" s="22"/>
      <c r="Y5" s="22"/>
      <c r="Z5" s="25"/>
      <c r="AA5" s="22" t="s">
        <v>30</v>
      </c>
      <c r="AB5" s="22"/>
      <c r="AC5" s="22"/>
      <c r="AD5" s="24"/>
      <c r="AE5" s="22"/>
      <c r="AF5" s="420" t="s">
        <v>31</v>
      </c>
      <c r="AG5" s="420"/>
      <c r="AH5" s="420"/>
      <c r="AI5" s="21"/>
      <c r="AJ5" s="21" t="s">
        <v>32</v>
      </c>
      <c r="AK5" s="22"/>
      <c r="AL5" s="22"/>
      <c r="AM5" s="24"/>
      <c r="AN5" s="22" t="s">
        <v>33</v>
      </c>
      <c r="AO5" s="22"/>
      <c r="AP5" s="22"/>
      <c r="AQ5" s="22"/>
      <c r="AR5" s="22"/>
      <c r="AS5" s="22"/>
      <c r="AT5" s="22"/>
      <c r="AU5" s="24"/>
      <c r="AV5" s="24"/>
      <c r="AW5" s="22" t="s">
        <v>34</v>
      </c>
      <c r="AX5" s="26"/>
      <c r="AY5" s="27"/>
      <c r="AZ5" s="22"/>
      <c r="BA5" s="24"/>
      <c r="BB5" s="31" t="s">
        <v>35</v>
      </c>
      <c r="BC5" s="31"/>
      <c r="BD5" s="31"/>
      <c r="BE5" s="31"/>
      <c r="BF5" s="22" t="s">
        <v>36</v>
      </c>
      <c r="BG5" s="22"/>
      <c r="BH5" s="22"/>
      <c r="BI5" s="22"/>
      <c r="BJ5" s="24"/>
      <c r="BK5" s="22" t="s">
        <v>37</v>
      </c>
      <c r="BL5" s="22"/>
      <c r="BM5" s="22"/>
      <c r="BN5" s="22"/>
      <c r="BO5" s="24"/>
      <c r="BP5" s="21" t="s">
        <v>38</v>
      </c>
      <c r="BQ5" s="22"/>
      <c r="BR5" s="22"/>
      <c r="BS5" s="22"/>
      <c r="BT5" s="22" t="s">
        <v>39</v>
      </c>
      <c r="BU5" s="24"/>
      <c r="BV5" s="24"/>
      <c r="BW5" s="24"/>
      <c r="BX5" s="24"/>
      <c r="BY5" s="22" t="s">
        <v>40</v>
      </c>
      <c r="BZ5" s="26"/>
      <c r="CA5" s="27"/>
      <c r="CB5" s="22"/>
      <c r="CC5" s="24"/>
      <c r="CD5" s="22" t="s">
        <v>41</v>
      </c>
      <c r="CE5" s="26"/>
      <c r="CF5" s="27"/>
      <c r="CG5" s="22"/>
      <c r="CH5" s="24"/>
      <c r="CI5" s="22" t="s">
        <v>42</v>
      </c>
      <c r="CJ5" s="26"/>
      <c r="CK5" s="27"/>
      <c r="CL5" s="22"/>
      <c r="CM5" s="24"/>
      <c r="CN5" s="22" t="s">
        <v>43</v>
      </c>
      <c r="CO5" s="22"/>
      <c r="CP5" s="22"/>
      <c r="CQ5" s="22"/>
      <c r="CR5" s="22"/>
      <c r="CS5" s="21" t="s">
        <v>44</v>
      </c>
      <c r="CT5" s="26"/>
      <c r="CU5" s="26"/>
      <c r="CV5" s="22"/>
      <c r="CW5" s="22"/>
      <c r="CX5" s="26"/>
      <c r="CY5" s="26"/>
      <c r="CZ5" s="26"/>
      <c r="DA5" s="26"/>
      <c r="DB5" s="26"/>
      <c r="DC5" s="26"/>
      <c r="DD5" s="26"/>
      <c r="DE5" s="21" t="s">
        <v>44</v>
      </c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1" t="str">
        <f>PSPL</f>
        <v>PUGET SOUND ENERGY-ELECTRIC</v>
      </c>
      <c r="DR5" s="22"/>
      <c r="DS5" s="24"/>
      <c r="DT5" s="22"/>
      <c r="DU5" s="22"/>
    </row>
    <row r="6" spans="1:125" s="2" customFormat="1" ht="15" customHeight="1">
      <c r="A6" s="22" t="s">
        <v>45</v>
      </c>
      <c r="B6" s="21"/>
      <c r="C6" s="21"/>
      <c r="D6" s="21"/>
      <c r="E6" s="22"/>
      <c r="F6" s="32"/>
      <c r="G6" s="32"/>
      <c r="H6" s="22" t="str">
        <f>TESTYEAR</f>
        <v>FOR THE TWELVE MONTHS ENDED JUNE 30, 2012</v>
      </c>
      <c r="I6" s="32"/>
      <c r="J6" s="32"/>
      <c r="K6" s="32"/>
      <c r="L6" s="32"/>
      <c r="M6" s="418" t="str">
        <f>TESTYEAR</f>
        <v>FOR THE TWELVE MONTHS ENDED JUNE 30, 2012</v>
      </c>
      <c r="N6" s="418"/>
      <c r="O6" s="418"/>
      <c r="P6" s="418"/>
      <c r="Q6" s="418"/>
      <c r="R6" s="22" t="str">
        <f>TESTYEAR</f>
        <v>FOR THE TWELVE MONTHS ENDED JUNE 30, 2012</v>
      </c>
      <c r="S6" s="21"/>
      <c r="T6" s="22"/>
      <c r="U6" s="21"/>
      <c r="V6" s="21"/>
      <c r="W6" s="22" t="str">
        <f>TESTYEAR</f>
        <v>FOR THE TWELVE MONTHS ENDED JUNE 30, 2012</v>
      </c>
      <c r="X6" s="22"/>
      <c r="Y6" s="22"/>
      <c r="Z6" s="25"/>
      <c r="AA6" s="22" t="str">
        <f>TESTYEAR</f>
        <v>FOR THE TWELVE MONTHS ENDED JUNE 30, 2012</v>
      </c>
      <c r="AB6" s="22"/>
      <c r="AC6" s="22"/>
      <c r="AD6" s="32"/>
      <c r="AE6" s="22" t="str">
        <f>TESTYEAR</f>
        <v>FOR THE TWELVE MONTHS ENDED JUNE 30, 2012</v>
      </c>
      <c r="AF6" s="22"/>
      <c r="AG6" s="21"/>
      <c r="AH6" s="21"/>
      <c r="AI6" s="21"/>
      <c r="AJ6" s="22" t="str">
        <f>TESTYEAR</f>
        <v>FOR THE TWELVE MONTHS ENDED JUNE 30, 2012</v>
      </c>
      <c r="AK6" s="21"/>
      <c r="AL6" s="22"/>
      <c r="AM6" s="32"/>
      <c r="AN6" s="22" t="str">
        <f>TESTYEAR</f>
        <v>FOR THE TWELVE MONTHS ENDED JUNE 30, 2012</v>
      </c>
      <c r="AO6" s="22"/>
      <c r="AP6" s="22"/>
      <c r="AQ6" s="22"/>
      <c r="AR6" s="22"/>
      <c r="AS6" s="22"/>
      <c r="AT6" s="22"/>
      <c r="AU6" s="32"/>
      <c r="AV6" s="32"/>
      <c r="AW6" s="22" t="str">
        <f>TESTYEAR</f>
        <v>FOR THE TWELVE MONTHS ENDED JUNE 30, 2012</v>
      </c>
      <c r="AX6" s="26"/>
      <c r="AY6" s="27"/>
      <c r="AZ6" s="22"/>
      <c r="BA6" s="32"/>
      <c r="BB6" s="31" t="str">
        <f>TESTYEAR</f>
        <v>FOR THE TWELVE MONTHS ENDED JUNE 30, 2012</v>
      </c>
      <c r="BC6" s="31"/>
      <c r="BD6" s="31"/>
      <c r="BE6" s="31"/>
      <c r="BF6" s="22" t="str">
        <f>TESTYEAR</f>
        <v>FOR THE TWELVE MONTHS ENDED JUNE 30, 2012</v>
      </c>
      <c r="BG6" s="22"/>
      <c r="BH6" s="22"/>
      <c r="BI6" s="22"/>
      <c r="BJ6" s="32"/>
      <c r="BK6" s="22" t="str">
        <f>TESTYEAR</f>
        <v>FOR THE TWELVE MONTHS ENDED JUNE 30, 2012</v>
      </c>
      <c r="BL6" s="22"/>
      <c r="BM6" s="22"/>
      <c r="BN6" s="22"/>
      <c r="BO6" s="32"/>
      <c r="BP6" s="21" t="str">
        <f>TESTYEAR</f>
        <v>FOR THE TWELVE MONTHS ENDED JUNE 30, 2012</v>
      </c>
      <c r="BQ6" s="22"/>
      <c r="BR6" s="22"/>
      <c r="BS6" s="22"/>
      <c r="BT6" s="22" t="str">
        <f>TESTYEAR</f>
        <v>FOR THE TWELVE MONTHS ENDED JUNE 30, 2012</v>
      </c>
      <c r="BU6" s="32"/>
      <c r="BV6" s="32"/>
      <c r="BW6" s="32"/>
      <c r="BX6" s="32"/>
      <c r="BY6" s="22" t="str">
        <f>TESTYEAR</f>
        <v>FOR THE TWELVE MONTHS ENDED JUNE 30, 2012</v>
      </c>
      <c r="BZ6" s="26"/>
      <c r="CA6" s="27"/>
      <c r="CB6" s="22"/>
      <c r="CC6" s="32"/>
      <c r="CD6" s="22" t="str">
        <f>TESTYEAR</f>
        <v>FOR THE TWELVE MONTHS ENDED JUNE 30, 2012</v>
      </c>
      <c r="CE6" s="26"/>
      <c r="CF6" s="27"/>
      <c r="CG6" s="22"/>
      <c r="CH6" s="32"/>
      <c r="CI6" s="22" t="str">
        <f>TESTYEAR</f>
        <v>FOR THE TWELVE MONTHS ENDED JUNE 30, 2012</v>
      </c>
      <c r="CJ6" s="26"/>
      <c r="CK6" s="27"/>
      <c r="CL6" s="22"/>
      <c r="CM6" s="32"/>
      <c r="CN6" s="22" t="str">
        <f>TESTYEAR</f>
        <v>FOR THE TWELVE MONTHS ENDED JUNE 30, 2012</v>
      </c>
      <c r="CO6" s="22"/>
      <c r="CP6" s="22"/>
      <c r="CQ6" s="22"/>
      <c r="CR6" s="22"/>
      <c r="CS6" s="22" t="str">
        <f>TESTYEAR</f>
        <v>FOR THE TWELVE MONTHS ENDED JUNE 30, 2012</v>
      </c>
      <c r="CT6" s="26"/>
      <c r="CU6" s="26"/>
      <c r="CV6" s="22"/>
      <c r="CW6" s="22"/>
      <c r="CX6" s="26"/>
      <c r="CY6" s="26"/>
      <c r="CZ6" s="26"/>
      <c r="DA6" s="26"/>
      <c r="DB6" s="26"/>
      <c r="DC6" s="26"/>
      <c r="DD6" s="26"/>
      <c r="DE6" s="22" t="str">
        <f>TESTYEAR</f>
        <v>FOR THE TWELVE MONTHS ENDED JUNE 30, 2012</v>
      </c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1" t="s">
        <v>46</v>
      </c>
      <c r="DR6" s="22"/>
      <c r="DS6" s="32"/>
      <c r="DT6" s="29"/>
      <c r="DU6" s="22"/>
    </row>
    <row r="7" spans="1:125" s="2" customFormat="1" ht="15" customHeight="1">
      <c r="A7" s="21" t="s">
        <v>47</v>
      </c>
      <c r="B7" s="21"/>
      <c r="C7" s="21"/>
      <c r="D7" s="21"/>
      <c r="E7" s="22"/>
      <c r="F7" s="22"/>
      <c r="G7" s="22"/>
      <c r="H7" s="21" t="s">
        <v>47</v>
      </c>
      <c r="I7" s="22"/>
      <c r="J7" s="22"/>
      <c r="K7" s="22"/>
      <c r="L7" s="22"/>
      <c r="M7" s="419" t="str">
        <f>DOCKET</f>
        <v>COMMISSION BASIS REPORT</v>
      </c>
      <c r="N7" s="419"/>
      <c r="O7" s="419"/>
      <c r="P7" s="419"/>
      <c r="Q7" s="419"/>
      <c r="R7" s="21" t="str">
        <f>DOCKET</f>
        <v>COMMISSION BASIS REPORT</v>
      </c>
      <c r="S7" s="21"/>
      <c r="T7" s="22"/>
      <c r="U7" s="21"/>
      <c r="V7" s="21"/>
      <c r="W7" s="22" t="str">
        <f>DOCKET</f>
        <v>COMMISSION BASIS REPORT</v>
      </c>
      <c r="X7" s="21"/>
      <c r="Y7" s="21"/>
      <c r="Z7" s="25"/>
      <c r="AA7" s="21" t="str">
        <f>DOCKET</f>
        <v>COMMISSION BASIS REPORT</v>
      </c>
      <c r="AB7" s="22"/>
      <c r="AC7" s="22"/>
      <c r="AD7" s="32"/>
      <c r="AE7" s="21" t="str">
        <f>DOCKET</f>
        <v>COMMISSION BASIS REPORT</v>
      </c>
      <c r="AF7" s="22"/>
      <c r="AG7" s="21"/>
      <c r="AH7" s="21"/>
      <c r="AI7" s="21"/>
      <c r="AJ7" s="22" t="str">
        <f>DOCKET</f>
        <v>COMMISSION BASIS REPORT</v>
      </c>
      <c r="AK7" s="21"/>
      <c r="AL7" s="22"/>
      <c r="AM7" s="22"/>
      <c r="AN7" s="22" t="str">
        <f>DOCKET</f>
        <v>COMMISSION BASIS REPORT</v>
      </c>
      <c r="AO7" s="22"/>
      <c r="AP7" s="22"/>
      <c r="AQ7" s="22"/>
      <c r="AR7" s="22"/>
      <c r="AS7" s="22"/>
      <c r="AT7" s="22"/>
      <c r="AU7" s="32"/>
      <c r="AV7" s="32"/>
      <c r="AW7" s="22" t="str">
        <f>DOCKET</f>
        <v>COMMISSION BASIS REPORT</v>
      </c>
      <c r="AX7" s="26"/>
      <c r="AY7" s="27"/>
      <c r="AZ7" s="22"/>
      <c r="BA7" s="22"/>
      <c r="BB7" s="31" t="str">
        <f>DOCKET</f>
        <v>COMMISSION BASIS REPORT</v>
      </c>
      <c r="BC7" s="31"/>
      <c r="BD7" s="31"/>
      <c r="BE7" s="31"/>
      <c r="BF7" s="21" t="str">
        <f>DOCKET</f>
        <v>COMMISSION BASIS REPORT</v>
      </c>
      <c r="BG7" s="22"/>
      <c r="BH7" s="22"/>
      <c r="BI7" s="21"/>
      <c r="BJ7" s="32"/>
      <c r="BK7" s="418" t="str">
        <f>DOCKET</f>
        <v>COMMISSION BASIS REPORT</v>
      </c>
      <c r="BL7" s="418"/>
      <c r="BM7" s="418"/>
      <c r="BN7" s="418"/>
      <c r="BO7" s="418"/>
      <c r="BP7" s="21" t="str">
        <f>DOCKET</f>
        <v>COMMISSION BASIS REPORT</v>
      </c>
      <c r="BQ7" s="22"/>
      <c r="BR7" s="22"/>
      <c r="BS7" s="22"/>
      <c r="BT7" s="418" t="str">
        <f>DOCKET</f>
        <v>COMMISSION BASIS REPORT</v>
      </c>
      <c r="BU7" s="418"/>
      <c r="BV7" s="418"/>
      <c r="BW7" s="418"/>
      <c r="BX7" s="418"/>
      <c r="BY7" s="22" t="str">
        <f>DOCKET</f>
        <v>COMMISSION BASIS REPORT</v>
      </c>
      <c r="BZ7" s="26"/>
      <c r="CA7" s="27"/>
      <c r="CB7" s="22"/>
      <c r="CC7" s="22"/>
      <c r="CD7" s="22" t="str">
        <f>DOCKET</f>
        <v>COMMISSION BASIS REPORT</v>
      </c>
      <c r="CE7" s="26"/>
      <c r="CF7" s="27"/>
      <c r="CG7" s="22"/>
      <c r="CH7" s="22"/>
      <c r="CI7" s="22" t="str">
        <f>DOCKET</f>
        <v>COMMISSION BASIS REPORT</v>
      </c>
      <c r="CJ7" s="26"/>
      <c r="CK7" s="27"/>
      <c r="CL7" s="22"/>
      <c r="CM7" s="22"/>
      <c r="CN7" s="21" t="str">
        <f>DOCKET</f>
        <v>COMMISSION BASIS REPORT</v>
      </c>
      <c r="CO7" s="22"/>
      <c r="CP7" s="22"/>
      <c r="CQ7" s="22"/>
      <c r="CR7" s="22"/>
      <c r="CS7" s="22" t="str">
        <f>DOCKET</f>
        <v>COMMISSION BASIS REPORT</v>
      </c>
      <c r="CT7" s="26"/>
      <c r="CU7" s="26"/>
      <c r="CV7" s="22"/>
      <c r="CW7" s="22"/>
      <c r="CX7" s="26"/>
      <c r="CY7" s="26"/>
      <c r="CZ7" s="26"/>
      <c r="DA7" s="26"/>
      <c r="DB7" s="26"/>
      <c r="DC7" s="26"/>
      <c r="DD7" s="26"/>
      <c r="DE7" s="22" t="str">
        <f>DOCKET</f>
        <v>COMMISSION BASIS REPORT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2" t="str">
        <f>TESTYEAR</f>
        <v>FOR THE TWELVE MONTHS ENDED JUNE 30, 2012</v>
      </c>
      <c r="DR7" s="22"/>
      <c r="DS7" s="22"/>
      <c r="DT7" s="29"/>
      <c r="DU7" s="22"/>
    </row>
    <row r="8" spans="1:125" s="2" customFormat="1" ht="15" customHeight="1">
      <c r="F8" s="33"/>
      <c r="P8" s="34"/>
      <c r="S8" s="35"/>
      <c r="T8" s="35"/>
      <c r="U8" s="35"/>
      <c r="V8" s="35"/>
      <c r="X8" s="35"/>
      <c r="Y8" s="35"/>
      <c r="Z8" s="36"/>
      <c r="AB8" s="35"/>
      <c r="AC8" s="16"/>
      <c r="AD8" s="16"/>
      <c r="AG8" s="35"/>
      <c r="AH8" s="35"/>
      <c r="AI8" s="35"/>
      <c r="AP8" s="10"/>
      <c r="AQ8" s="10"/>
      <c r="AR8" s="10"/>
      <c r="AS8" s="10" t="s">
        <v>48</v>
      </c>
      <c r="AT8" s="10"/>
      <c r="AU8" s="10"/>
      <c r="AV8" s="10" t="s">
        <v>49</v>
      </c>
      <c r="AW8" s="37"/>
      <c r="AY8" s="17"/>
      <c r="BA8" s="38"/>
      <c r="BC8" s="35"/>
      <c r="BF8" s="39"/>
      <c r="BG8" s="40"/>
      <c r="BH8" s="40"/>
      <c r="BI8" s="39"/>
      <c r="BJ8" s="39"/>
      <c r="BL8" s="35"/>
      <c r="BM8" s="35"/>
      <c r="BT8" s="16"/>
      <c r="BU8" s="16"/>
      <c r="BV8" s="16"/>
      <c r="BW8" s="16"/>
      <c r="BX8" s="16"/>
      <c r="BY8" s="37"/>
      <c r="CA8" s="17" t="s">
        <v>10</v>
      </c>
      <c r="CC8" s="38"/>
      <c r="CD8" s="37"/>
      <c r="CF8" s="17"/>
      <c r="CH8" s="38"/>
      <c r="CI8" s="37"/>
      <c r="CK8" s="17"/>
      <c r="CM8" s="38"/>
      <c r="CS8" s="41"/>
      <c r="CV8" s="42"/>
      <c r="CW8" s="42"/>
      <c r="CX8" s="22"/>
      <c r="CY8" s="22"/>
      <c r="CZ8" s="22"/>
      <c r="DA8" s="21"/>
      <c r="DB8" s="21"/>
      <c r="DC8" s="21"/>
      <c r="DD8" s="21"/>
      <c r="DE8" s="21"/>
      <c r="DF8" s="21"/>
      <c r="DG8" s="22"/>
      <c r="DH8" s="42"/>
      <c r="DI8" s="42"/>
      <c r="DJ8" s="22"/>
      <c r="DK8" s="22"/>
      <c r="DL8" s="22"/>
      <c r="DM8" s="22"/>
      <c r="DN8" s="22"/>
      <c r="DO8" s="22"/>
      <c r="DP8" s="21"/>
      <c r="DQ8" s="22" t="str">
        <f>DOCKET</f>
        <v>COMMISSION BASIS REPORT</v>
      </c>
      <c r="DR8" s="22"/>
      <c r="DS8" s="22"/>
      <c r="DT8" s="29"/>
      <c r="DU8" s="22"/>
    </row>
    <row r="9" spans="1:125" s="2" customFormat="1" ht="15" customHeight="1">
      <c r="A9" s="12" t="s">
        <v>50</v>
      </c>
      <c r="B9" s="35"/>
      <c r="C9" s="35"/>
      <c r="D9" s="43"/>
      <c r="G9" s="10"/>
      <c r="H9" s="12" t="s">
        <v>50</v>
      </c>
      <c r="I9" s="10"/>
      <c r="M9" s="10" t="s">
        <v>50</v>
      </c>
      <c r="N9" s="35"/>
      <c r="O9" s="12"/>
      <c r="P9" s="12"/>
      <c r="Q9" s="12" t="s">
        <v>51</v>
      </c>
      <c r="R9" s="10" t="s">
        <v>50</v>
      </c>
      <c r="S9" s="35"/>
      <c r="T9" s="12"/>
      <c r="U9" s="12"/>
      <c r="V9" s="35"/>
      <c r="W9" s="12" t="s">
        <v>50</v>
      </c>
      <c r="Z9" s="44"/>
      <c r="AA9" s="12" t="s">
        <v>50</v>
      </c>
      <c r="AD9" s="10" t="s">
        <v>10</v>
      </c>
      <c r="AE9" s="10" t="s">
        <v>50</v>
      </c>
      <c r="AG9" s="35"/>
      <c r="AH9" s="35"/>
      <c r="AI9" s="35"/>
      <c r="AJ9" s="12" t="s">
        <v>50</v>
      </c>
      <c r="AN9" s="10" t="s">
        <v>50</v>
      </c>
      <c r="AP9" s="10" t="s">
        <v>52</v>
      </c>
      <c r="AQ9" s="10" t="s">
        <v>53</v>
      </c>
      <c r="AR9" s="10" t="s">
        <v>54</v>
      </c>
      <c r="AS9" s="10" t="s">
        <v>55</v>
      </c>
      <c r="AT9" s="10" t="s">
        <v>54</v>
      </c>
      <c r="AU9" s="10" t="s">
        <v>52</v>
      </c>
      <c r="AV9" s="10" t="s">
        <v>56</v>
      </c>
      <c r="AW9" s="37" t="s">
        <v>57</v>
      </c>
      <c r="AY9" s="17"/>
      <c r="AZ9" s="12"/>
      <c r="BA9" s="12"/>
      <c r="BB9" s="10" t="s">
        <v>50</v>
      </c>
      <c r="BF9" s="10" t="s">
        <v>50</v>
      </c>
      <c r="BG9" s="39"/>
      <c r="BH9" s="39"/>
      <c r="BI9" s="39"/>
      <c r="BJ9" s="39"/>
      <c r="BK9" s="12" t="s">
        <v>50</v>
      </c>
      <c r="BO9" s="10" t="s">
        <v>10</v>
      </c>
      <c r="BP9" s="12" t="s">
        <v>50</v>
      </c>
      <c r="BQ9" s="35"/>
      <c r="BR9" s="35"/>
      <c r="BT9" s="12" t="s">
        <v>50</v>
      </c>
      <c r="BU9" s="45"/>
      <c r="BV9" s="45"/>
      <c r="BW9" s="45"/>
      <c r="BX9" s="45"/>
      <c r="BY9" s="37" t="s">
        <v>57</v>
      </c>
      <c r="CA9" s="17"/>
      <c r="CB9" s="12"/>
      <c r="CC9" s="12"/>
      <c r="CD9" s="12" t="s">
        <v>50</v>
      </c>
      <c r="CF9" s="12"/>
      <c r="CG9" s="12"/>
      <c r="CH9" s="12"/>
      <c r="CI9" s="46" t="s">
        <v>50</v>
      </c>
      <c r="CJ9" s="47"/>
      <c r="CK9" s="47"/>
      <c r="CL9" s="47"/>
      <c r="CM9" s="48"/>
      <c r="CN9" s="10" t="s">
        <v>50</v>
      </c>
      <c r="CS9" s="49"/>
      <c r="CU9" s="50" t="s">
        <v>58</v>
      </c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1"/>
      <c r="DH9" s="50"/>
      <c r="DI9" s="50"/>
      <c r="DJ9" s="50"/>
      <c r="DK9" s="50"/>
      <c r="DL9" s="51"/>
      <c r="DM9" s="51"/>
      <c r="DN9" s="51"/>
      <c r="DO9" s="51"/>
      <c r="DP9" s="50"/>
      <c r="DU9" s="10"/>
    </row>
    <row r="10" spans="1:125" s="2" customFormat="1" ht="15" customHeight="1">
      <c r="A10" s="52" t="s">
        <v>59</v>
      </c>
      <c r="B10" s="53" t="s">
        <v>60</v>
      </c>
      <c r="C10" s="53"/>
      <c r="D10" s="53"/>
      <c r="E10" s="53"/>
      <c r="F10" s="53"/>
      <c r="G10" s="54"/>
      <c r="H10" s="52" t="s">
        <v>59</v>
      </c>
      <c r="I10" s="53" t="s">
        <v>60</v>
      </c>
      <c r="J10" s="53"/>
      <c r="K10" s="54" t="s">
        <v>61</v>
      </c>
      <c r="L10" s="54" t="s">
        <v>62</v>
      </c>
      <c r="M10" s="54" t="s">
        <v>59</v>
      </c>
      <c r="N10" s="53" t="s">
        <v>60</v>
      </c>
      <c r="O10" s="52" t="s">
        <v>63</v>
      </c>
      <c r="P10" s="52" t="s">
        <v>64</v>
      </c>
      <c r="Q10" s="52" t="s">
        <v>65</v>
      </c>
      <c r="R10" s="54" t="s">
        <v>59</v>
      </c>
      <c r="S10" s="53" t="s">
        <v>60</v>
      </c>
      <c r="T10" s="52" t="s">
        <v>63</v>
      </c>
      <c r="U10" s="52" t="s">
        <v>64</v>
      </c>
      <c r="V10" s="54" t="s">
        <v>62</v>
      </c>
      <c r="W10" s="52" t="s">
        <v>59</v>
      </c>
      <c r="X10" s="55" t="s">
        <v>60</v>
      </c>
      <c r="Y10" s="53"/>
      <c r="Z10" s="56" t="s">
        <v>61</v>
      </c>
      <c r="AA10" s="52" t="s">
        <v>59</v>
      </c>
      <c r="AB10" s="55" t="s">
        <v>60</v>
      </c>
      <c r="AC10" s="54"/>
      <c r="AD10" s="54" t="s">
        <v>61</v>
      </c>
      <c r="AE10" s="54" t="s">
        <v>59</v>
      </c>
      <c r="AF10" s="55" t="s">
        <v>60</v>
      </c>
      <c r="AG10" s="54"/>
      <c r="AH10" s="54" t="s">
        <v>61</v>
      </c>
      <c r="AI10" s="54" t="s">
        <v>62</v>
      </c>
      <c r="AJ10" s="54" t="s">
        <v>59</v>
      </c>
      <c r="AK10" s="57" t="s">
        <v>60</v>
      </c>
      <c r="AL10" s="55"/>
      <c r="AM10" s="58" t="s">
        <v>61</v>
      </c>
      <c r="AN10" s="54" t="s">
        <v>59</v>
      </c>
      <c r="AO10" s="54" t="s">
        <v>66</v>
      </c>
      <c r="AP10" s="54" t="s">
        <v>67</v>
      </c>
      <c r="AQ10" s="54" t="s">
        <v>68</v>
      </c>
      <c r="AR10" s="54" t="s">
        <v>69</v>
      </c>
      <c r="AS10" s="54" t="s">
        <v>70</v>
      </c>
      <c r="AT10" s="54" t="s">
        <v>71</v>
      </c>
      <c r="AU10" s="54" t="s">
        <v>68</v>
      </c>
      <c r="AV10" s="54" t="s">
        <v>72</v>
      </c>
      <c r="AW10" s="59" t="s">
        <v>59</v>
      </c>
      <c r="AX10" s="55" t="s">
        <v>60</v>
      </c>
      <c r="AY10" s="60" t="s">
        <v>63</v>
      </c>
      <c r="AZ10" s="61" t="s">
        <v>64</v>
      </c>
      <c r="BA10" s="52" t="s">
        <v>62</v>
      </c>
      <c r="BB10" s="54" t="s">
        <v>59</v>
      </c>
      <c r="BC10" s="55" t="s">
        <v>60</v>
      </c>
      <c r="BD10" s="53"/>
      <c r="BE10" s="54" t="s">
        <v>61</v>
      </c>
      <c r="BF10" s="54" t="s">
        <v>59</v>
      </c>
      <c r="BG10" s="57" t="s">
        <v>60</v>
      </c>
      <c r="BH10" s="54" t="s">
        <v>73</v>
      </c>
      <c r="BI10" s="54" t="s">
        <v>64</v>
      </c>
      <c r="BJ10" s="62" t="s">
        <v>62</v>
      </c>
      <c r="BK10" s="52" t="s">
        <v>59</v>
      </c>
      <c r="BL10" s="55" t="s">
        <v>60</v>
      </c>
      <c r="BM10" s="54"/>
      <c r="BN10" s="54"/>
      <c r="BO10" s="54" t="s">
        <v>61</v>
      </c>
      <c r="BP10" s="52" t="s">
        <v>59</v>
      </c>
      <c r="BQ10" s="57" t="s">
        <v>60</v>
      </c>
      <c r="BR10" s="54"/>
      <c r="BS10" s="58" t="s">
        <v>61</v>
      </c>
      <c r="BT10" s="52" t="s">
        <v>59</v>
      </c>
      <c r="BU10" s="63"/>
      <c r="BV10" s="54" t="s">
        <v>63</v>
      </c>
      <c r="BW10" s="54" t="s">
        <v>64</v>
      </c>
      <c r="BX10" s="52" t="s">
        <v>62</v>
      </c>
      <c r="BY10" s="59" t="s">
        <v>59</v>
      </c>
      <c r="BZ10" s="55" t="s">
        <v>60</v>
      </c>
      <c r="CA10" s="60" t="s">
        <v>63</v>
      </c>
      <c r="CB10" s="61" t="s">
        <v>64</v>
      </c>
      <c r="CC10" s="52" t="s">
        <v>62</v>
      </c>
      <c r="CD10" s="54" t="s">
        <v>59</v>
      </c>
      <c r="CE10" s="53" t="s">
        <v>60</v>
      </c>
      <c r="CF10" s="52" t="s">
        <v>63</v>
      </c>
      <c r="CG10" s="52" t="s">
        <v>64</v>
      </c>
      <c r="CH10" s="52" t="s">
        <v>62</v>
      </c>
      <c r="CI10" s="64" t="s">
        <v>59</v>
      </c>
      <c r="CJ10" s="65" t="s">
        <v>60</v>
      </c>
      <c r="CK10" s="60" t="s">
        <v>63</v>
      </c>
      <c r="CL10" s="61" t="s">
        <v>64</v>
      </c>
      <c r="CM10" s="52" t="s">
        <v>62</v>
      </c>
      <c r="CN10" s="54" t="s">
        <v>59</v>
      </c>
      <c r="CO10" s="55" t="s">
        <v>60</v>
      </c>
      <c r="CP10" s="53"/>
      <c r="CQ10" s="53"/>
      <c r="CR10" s="58" t="s">
        <v>74</v>
      </c>
      <c r="CS10" s="49"/>
      <c r="CU10" s="66" t="s">
        <v>75</v>
      </c>
      <c r="CV10" s="10" t="s">
        <v>76</v>
      </c>
      <c r="CW10" s="10" t="s">
        <v>70</v>
      </c>
      <c r="CX10" s="10" t="s">
        <v>77</v>
      </c>
      <c r="CY10" s="10" t="s">
        <v>78</v>
      </c>
      <c r="CZ10" s="10" t="s">
        <v>79</v>
      </c>
      <c r="DA10" s="10" t="s">
        <v>80</v>
      </c>
      <c r="DB10" s="10" t="s">
        <v>81</v>
      </c>
      <c r="DC10" s="10" t="s">
        <v>82</v>
      </c>
      <c r="DD10" s="12" t="s">
        <v>83</v>
      </c>
      <c r="DE10" s="10"/>
      <c r="DF10" s="10"/>
      <c r="DG10" s="10" t="s">
        <v>84</v>
      </c>
      <c r="DH10" s="10" t="s">
        <v>85</v>
      </c>
      <c r="DI10" s="10" t="s">
        <v>86</v>
      </c>
      <c r="DJ10" s="10" t="s">
        <v>87</v>
      </c>
      <c r="DK10" s="10" t="s">
        <v>88</v>
      </c>
      <c r="DL10" s="10" t="s">
        <v>89</v>
      </c>
      <c r="DM10" s="10" t="s">
        <v>90</v>
      </c>
      <c r="DN10" s="10" t="s">
        <v>91</v>
      </c>
      <c r="DO10" s="10" t="s">
        <v>92</v>
      </c>
      <c r="DP10" s="10" t="s">
        <v>93</v>
      </c>
      <c r="DS10" s="10" t="s">
        <v>63</v>
      </c>
      <c r="DT10" s="10"/>
      <c r="DU10" s="10" t="s">
        <v>64</v>
      </c>
    </row>
    <row r="11" spans="1:125" ht="15" customHeight="1">
      <c r="A11" s="14">
        <v>1</v>
      </c>
      <c r="B11" s="67" t="s">
        <v>94</v>
      </c>
      <c r="C11" s="68"/>
      <c r="D11" s="68"/>
      <c r="F11" s="69"/>
      <c r="H11" s="14">
        <v>1</v>
      </c>
      <c r="I11" s="2" t="s">
        <v>95</v>
      </c>
      <c r="M11" s="70"/>
      <c r="N11" s="71"/>
      <c r="O11" s="71"/>
      <c r="P11" s="71"/>
      <c r="Q11" s="71"/>
      <c r="Z11" s="5"/>
      <c r="AA11" s="14"/>
      <c r="AB11" s="72"/>
      <c r="AC11" s="73"/>
      <c r="AD11" s="74"/>
      <c r="AE11" s="75"/>
      <c r="AF11" s="75"/>
      <c r="AG11" s="75"/>
      <c r="AH11" s="75"/>
      <c r="AI11" s="75"/>
      <c r="AP11" s="10" t="s">
        <v>96</v>
      </c>
      <c r="AQ11" s="10" t="s">
        <v>97</v>
      </c>
      <c r="AR11" s="10" t="s">
        <v>97</v>
      </c>
      <c r="AS11" s="10" t="s">
        <v>97</v>
      </c>
      <c r="AT11" s="10" t="s">
        <v>97</v>
      </c>
      <c r="AU11" s="10" t="s">
        <v>97</v>
      </c>
      <c r="AX11" s="76"/>
      <c r="AY11" s="77"/>
      <c r="BB11" s="4"/>
      <c r="BC11" s="4"/>
      <c r="BD11" s="4"/>
      <c r="BE11" s="4"/>
      <c r="BF11" s="68"/>
      <c r="BG11" s="68"/>
      <c r="BH11" s="68"/>
      <c r="BI11" s="68"/>
      <c r="BJ11" s="68"/>
      <c r="BK11" s="14"/>
      <c r="BL11" s="78"/>
      <c r="BM11" s="79"/>
      <c r="BN11" s="75"/>
      <c r="BO11" s="75"/>
      <c r="BT11" s="14"/>
      <c r="BU11" s="74"/>
      <c r="BV11" s="80"/>
      <c r="BW11" s="80"/>
      <c r="BX11" s="80"/>
      <c r="BZ11" s="76"/>
      <c r="CA11" s="77"/>
      <c r="CD11" s="16"/>
      <c r="CE11" s="81"/>
      <c r="CF11" s="82"/>
      <c r="CG11" s="82"/>
      <c r="CH11" s="83"/>
      <c r="CI11" s="84"/>
      <c r="CJ11" s="84"/>
      <c r="CK11" s="84"/>
      <c r="CL11" s="84"/>
      <c r="CM11" s="84"/>
      <c r="CR11" s="14"/>
      <c r="CS11" s="85" t="s">
        <v>50</v>
      </c>
      <c r="CT11" s="2"/>
      <c r="CU11" s="66" t="s">
        <v>98</v>
      </c>
      <c r="CV11" s="10" t="s">
        <v>99</v>
      </c>
      <c r="CW11" s="10" t="s">
        <v>100</v>
      </c>
      <c r="CX11" s="10" t="s">
        <v>101</v>
      </c>
      <c r="CY11" s="10" t="s">
        <v>102</v>
      </c>
      <c r="CZ11" s="86" t="s">
        <v>103</v>
      </c>
      <c r="DA11" s="86" t="s">
        <v>104</v>
      </c>
      <c r="DB11" s="10" t="s">
        <v>105</v>
      </c>
      <c r="DC11" s="10" t="s">
        <v>106</v>
      </c>
      <c r="DD11" s="12" t="s">
        <v>107</v>
      </c>
      <c r="DE11" s="85" t="s">
        <v>50</v>
      </c>
      <c r="DF11" s="2"/>
      <c r="DG11" s="10" t="s">
        <v>108</v>
      </c>
      <c r="DH11" s="86" t="s">
        <v>109</v>
      </c>
      <c r="DI11" s="10" t="s">
        <v>110</v>
      </c>
      <c r="DJ11" s="86" t="s">
        <v>111</v>
      </c>
      <c r="DK11" s="86" t="s">
        <v>112</v>
      </c>
      <c r="DL11" s="10" t="s">
        <v>113</v>
      </c>
      <c r="DM11" s="10" t="s">
        <v>114</v>
      </c>
      <c r="DN11" s="10" t="s">
        <v>115</v>
      </c>
      <c r="DO11" s="10" t="s">
        <v>116</v>
      </c>
      <c r="DP11" s="16" t="s">
        <v>117</v>
      </c>
      <c r="DQ11" s="10" t="s">
        <v>50</v>
      </c>
      <c r="DR11" s="2"/>
      <c r="DS11" s="10" t="s">
        <v>118</v>
      </c>
      <c r="DT11" s="10" t="s">
        <v>93</v>
      </c>
      <c r="DU11" s="10" t="s">
        <v>118</v>
      </c>
    </row>
    <row r="12" spans="1:125" ht="15" customHeight="1">
      <c r="A12" s="87">
        <f>+A11+1</f>
        <v>2</v>
      </c>
      <c r="C12" s="88" t="s">
        <v>63</v>
      </c>
      <c r="D12" s="75" t="s">
        <v>119</v>
      </c>
      <c r="E12" s="89" t="s">
        <v>120</v>
      </c>
      <c r="F12" s="14" t="s">
        <v>121</v>
      </c>
      <c r="H12" s="87">
        <f>H11+1</f>
        <v>2</v>
      </c>
      <c r="I12" s="90" t="s">
        <v>122</v>
      </c>
      <c r="K12" s="91">
        <v>5968655.2199999997</v>
      </c>
      <c r="M12" s="14">
        <v>1</v>
      </c>
      <c r="N12" s="92" t="s">
        <v>123</v>
      </c>
      <c r="O12" s="93"/>
      <c r="P12" s="94"/>
      <c r="Q12" s="93"/>
      <c r="R12" s="14">
        <v>1</v>
      </c>
      <c r="S12" s="95"/>
      <c r="U12" s="96"/>
      <c r="V12" s="80"/>
      <c r="W12" s="14">
        <v>1</v>
      </c>
      <c r="X12" s="97" t="s">
        <v>124</v>
      </c>
      <c r="Y12" s="97"/>
      <c r="Z12" s="98">
        <v>306681985.43811303</v>
      </c>
      <c r="AA12" s="14">
        <v>1</v>
      </c>
      <c r="AB12" s="72" t="s">
        <v>125</v>
      </c>
      <c r="AC12" s="99">
        <f>DU50</f>
        <v>4962312346.317709</v>
      </c>
      <c r="AD12" s="74" t="s">
        <v>10</v>
      </c>
      <c r="AE12" s="14">
        <v>1</v>
      </c>
      <c r="AF12" s="100" t="s">
        <v>126</v>
      </c>
      <c r="AG12" s="101"/>
      <c r="AH12" s="101"/>
      <c r="AI12" s="101"/>
      <c r="AJ12" s="14">
        <v>1</v>
      </c>
      <c r="AK12" s="68" t="s">
        <v>127</v>
      </c>
      <c r="AL12" s="102"/>
      <c r="AM12" s="103"/>
      <c r="AN12" s="14">
        <v>1</v>
      </c>
      <c r="AO12" s="4" t="s">
        <v>128</v>
      </c>
      <c r="AP12" s="104">
        <v>9346382.6899999995</v>
      </c>
      <c r="AQ12" s="104">
        <v>2119079610.3600004</v>
      </c>
      <c r="AR12" s="104">
        <v>76416240.889999986</v>
      </c>
      <c r="AS12" s="104">
        <v>48890212.840000004</v>
      </c>
      <c r="AT12" s="104">
        <v>372754.38</v>
      </c>
      <c r="AU12" s="104">
        <f>AQ12-AR12-AS12-AT12</f>
        <v>1993400402.2500002</v>
      </c>
      <c r="AV12" s="105">
        <f>ROUND(AP12/AU12,6)</f>
        <v>4.6889999999999996E-3</v>
      </c>
      <c r="AW12" s="14">
        <v>1</v>
      </c>
      <c r="AX12" s="106" t="s">
        <v>129</v>
      </c>
      <c r="AY12" s="107">
        <v>8487001.4804178961</v>
      </c>
      <c r="AZ12" s="107">
        <v>5741775.9062983952</v>
      </c>
      <c r="BA12" s="108">
        <f>AZ12-AY12</f>
        <v>-2745225.5741195008</v>
      </c>
      <c r="BB12" s="14">
        <v>1</v>
      </c>
      <c r="BC12" s="109" t="s">
        <v>130</v>
      </c>
      <c r="BD12" s="110"/>
      <c r="BE12" s="111"/>
      <c r="BF12" s="14">
        <v>1</v>
      </c>
      <c r="BG12" s="68" t="s">
        <v>131</v>
      </c>
      <c r="BH12" s="112"/>
      <c r="BI12" s="112"/>
      <c r="BJ12" s="112">
        <f>+BI12-BH12</f>
        <v>0</v>
      </c>
      <c r="BK12" s="14">
        <f t="shared" ref="BK12:BK20" si="0">BK11+1</f>
        <v>1</v>
      </c>
      <c r="BL12" s="113" t="s">
        <v>132</v>
      </c>
      <c r="BM12" s="74"/>
      <c r="BN12" s="114"/>
      <c r="BO12" s="74"/>
      <c r="BP12" s="87" t="s">
        <v>133</v>
      </c>
      <c r="BQ12" s="78" t="s">
        <v>134</v>
      </c>
      <c r="BR12" s="78"/>
      <c r="BS12" s="115"/>
      <c r="BT12" s="14">
        <v>1</v>
      </c>
      <c r="BU12" s="116" t="s">
        <v>135</v>
      </c>
      <c r="BV12" s="98">
        <f>CU42</f>
        <v>20062310.43</v>
      </c>
      <c r="BW12" s="98">
        <v>0</v>
      </c>
      <c r="BX12" s="98">
        <f>BW12-BV12</f>
        <v>-20062310.43</v>
      </c>
      <c r="BY12" s="117">
        <v>1</v>
      </c>
      <c r="BZ12" s="68" t="s">
        <v>136</v>
      </c>
      <c r="CA12" s="118">
        <v>3917359.7580071497</v>
      </c>
      <c r="CB12" s="118">
        <v>6871398.2466023946</v>
      </c>
      <c r="CC12" s="107">
        <f>CB12-CA12</f>
        <v>2954038.4885952449</v>
      </c>
      <c r="CD12" s="14">
        <v>1</v>
      </c>
      <c r="CE12" s="107" t="s">
        <v>137</v>
      </c>
      <c r="CF12" s="119"/>
      <c r="CG12" s="119"/>
      <c r="CH12" s="119">
        <f>CG12-CF12</f>
        <v>0</v>
      </c>
      <c r="CI12" s="120" t="s">
        <v>133</v>
      </c>
      <c r="CJ12" s="84" t="s">
        <v>138</v>
      </c>
      <c r="CK12" s="121"/>
      <c r="CL12" s="121"/>
      <c r="CM12" s="121">
        <f>CL12-CK12</f>
        <v>0</v>
      </c>
      <c r="CN12" s="14">
        <v>1</v>
      </c>
      <c r="CO12" s="68" t="s">
        <v>33</v>
      </c>
      <c r="CR12" s="122">
        <f>AV16</f>
        <v>5.084E-3</v>
      </c>
      <c r="CS12" s="85" t="s">
        <v>59</v>
      </c>
      <c r="CT12" s="2"/>
      <c r="CU12" s="66" t="s">
        <v>139</v>
      </c>
      <c r="CV12" s="123">
        <v>5.01</v>
      </c>
      <c r="CW12" s="123">
        <f t="shared" ref="CW12:DD12" si="1">CV12+0.01</f>
        <v>5.0199999999999996</v>
      </c>
      <c r="CX12" s="123">
        <f t="shared" si="1"/>
        <v>5.0299999999999994</v>
      </c>
      <c r="CY12" s="123">
        <f t="shared" si="1"/>
        <v>5.0399999999999991</v>
      </c>
      <c r="CZ12" s="123">
        <f t="shared" si="1"/>
        <v>5.0499999999999989</v>
      </c>
      <c r="DA12" s="123">
        <f t="shared" si="1"/>
        <v>5.0599999999999987</v>
      </c>
      <c r="DB12" s="123">
        <f t="shared" si="1"/>
        <v>5.0699999999999985</v>
      </c>
      <c r="DC12" s="123">
        <f t="shared" si="1"/>
        <v>5.0799999999999983</v>
      </c>
      <c r="DD12" s="123">
        <f t="shared" si="1"/>
        <v>5.0899999999999981</v>
      </c>
      <c r="DE12" s="85" t="s">
        <v>59</v>
      </c>
      <c r="DF12" s="2"/>
      <c r="DG12" s="123">
        <f>DD12+0.01</f>
        <v>5.0999999999999979</v>
      </c>
      <c r="DH12" s="123">
        <f t="shared" ref="DH12:DO12" si="2">DG12+0.01</f>
        <v>5.1099999999999977</v>
      </c>
      <c r="DI12" s="123">
        <f t="shared" si="2"/>
        <v>5.1199999999999974</v>
      </c>
      <c r="DJ12" s="123">
        <f t="shared" si="2"/>
        <v>5.1299999999999972</v>
      </c>
      <c r="DK12" s="123">
        <f t="shared" si="2"/>
        <v>5.139999999999997</v>
      </c>
      <c r="DL12" s="123">
        <f t="shared" si="2"/>
        <v>5.1499999999999968</v>
      </c>
      <c r="DM12" s="123">
        <f t="shared" si="2"/>
        <v>5.1599999999999966</v>
      </c>
      <c r="DN12" s="123">
        <f t="shared" si="2"/>
        <v>5.1699999999999964</v>
      </c>
      <c r="DO12" s="123">
        <f t="shared" si="2"/>
        <v>5.1799999999999962</v>
      </c>
      <c r="DP12" s="16"/>
      <c r="DQ12" s="54" t="s">
        <v>59</v>
      </c>
      <c r="DR12" s="124"/>
      <c r="DS12" s="54" t="s">
        <v>98</v>
      </c>
      <c r="DT12" s="54" t="s">
        <v>117</v>
      </c>
      <c r="DU12" s="54" t="s">
        <v>98</v>
      </c>
    </row>
    <row r="13" spans="1:125" ht="15" customHeight="1">
      <c r="A13" s="87">
        <f>+A12+1</f>
        <v>3</v>
      </c>
      <c r="C13" s="125" t="s">
        <v>140</v>
      </c>
      <c r="D13" s="126" t="s">
        <v>140</v>
      </c>
      <c r="E13" s="127" t="s">
        <v>141</v>
      </c>
      <c r="F13" s="128">
        <v>6.9000000000000006E-2</v>
      </c>
      <c r="H13" s="87">
        <f t="shared" ref="H13:H39" si="3">+H12+1</f>
        <v>3</v>
      </c>
      <c r="I13" s="90" t="s">
        <v>142</v>
      </c>
      <c r="K13" s="129">
        <v>6655432.7199999997</v>
      </c>
      <c r="M13" s="14">
        <f t="shared" ref="M13:M31" si="4">M12+1</f>
        <v>2</v>
      </c>
      <c r="N13" s="130" t="s">
        <v>143</v>
      </c>
      <c r="O13" s="131"/>
      <c r="P13" s="131"/>
      <c r="Q13" s="131">
        <f t="shared" ref="Q13:Q19" si="5">P13-O13</f>
        <v>0</v>
      </c>
      <c r="R13" s="14">
        <f t="shared" ref="R13:R26" si="6">R12+1</f>
        <v>2</v>
      </c>
      <c r="S13" s="95"/>
      <c r="U13" s="132"/>
      <c r="V13" s="80"/>
      <c r="W13" s="14">
        <f>W12+1</f>
        <v>2</v>
      </c>
      <c r="X13" s="68"/>
      <c r="Y13" s="68"/>
      <c r="Z13" s="133"/>
      <c r="AA13" s="14">
        <f>AA12+1</f>
        <v>2</v>
      </c>
      <c r="AB13" s="72"/>
      <c r="AC13" s="132" t="s">
        <v>10</v>
      </c>
      <c r="AD13" s="134" t="s">
        <v>10</v>
      </c>
      <c r="AE13" s="14">
        <f>+AE12+1</f>
        <v>2</v>
      </c>
      <c r="AF13" s="135" t="s">
        <v>144</v>
      </c>
      <c r="AG13" s="101"/>
      <c r="AH13" s="136"/>
      <c r="AI13" s="137">
        <v>88991716.260000005</v>
      </c>
      <c r="AJ13" s="14">
        <v>2</v>
      </c>
      <c r="AK13" s="68" t="s">
        <v>145</v>
      </c>
      <c r="AL13" s="102"/>
      <c r="AM13" s="103"/>
      <c r="AN13" s="14">
        <f>AN12+1</f>
        <v>2</v>
      </c>
      <c r="AO13" s="4" t="s">
        <v>146</v>
      </c>
      <c r="AP13" s="138">
        <v>10795680.85</v>
      </c>
      <c r="AQ13" s="138">
        <v>2195900041.2200003</v>
      </c>
      <c r="AR13" s="138">
        <v>58504972.799999997</v>
      </c>
      <c r="AS13" s="138">
        <v>42174023.880000003</v>
      </c>
      <c r="AT13" s="138">
        <v>355270.64</v>
      </c>
      <c r="AU13" s="138">
        <f t="shared" ref="AU13:AU14" si="7">AQ13-AR13-AS13-AT13</f>
        <v>2094865773.9000001</v>
      </c>
      <c r="AV13" s="105">
        <f t="shared" ref="AV13:AV14" si="8">ROUND(AP13/AU13,6)</f>
        <v>5.1529999999999996E-3</v>
      </c>
      <c r="AW13" s="14">
        <f t="shared" ref="AW13:AW20" si="9">AW12+1</f>
        <v>2</v>
      </c>
      <c r="AX13" s="139"/>
      <c r="AY13" s="140"/>
      <c r="AZ13" s="140"/>
      <c r="BA13" s="140"/>
      <c r="BB13" s="14">
        <v>2</v>
      </c>
      <c r="BC13" s="141" t="s">
        <v>147</v>
      </c>
      <c r="BD13" s="141"/>
      <c r="BE13" s="142"/>
      <c r="BF13" s="14">
        <f t="shared" ref="BF13:BF20" si="10">BF12+1</f>
        <v>2</v>
      </c>
      <c r="BG13" s="68"/>
      <c r="BH13" s="143"/>
      <c r="BI13" s="143"/>
      <c r="BJ13" s="73"/>
      <c r="BK13" s="14">
        <f>BK12+1</f>
        <v>2</v>
      </c>
      <c r="BL13" s="68" t="s">
        <v>148</v>
      </c>
      <c r="BM13" s="134"/>
      <c r="BN13" s="144">
        <v>3.5E-4</v>
      </c>
      <c r="BO13" s="74"/>
      <c r="BP13" s="87">
        <f>1+BP12</f>
        <v>2</v>
      </c>
      <c r="BQ13" s="145"/>
      <c r="BR13" s="145"/>
      <c r="BS13" s="136"/>
      <c r="BT13" s="14">
        <f>BT12+1</f>
        <v>2</v>
      </c>
      <c r="BU13" s="68"/>
      <c r="BV13" s="146"/>
      <c r="BW13" s="80"/>
      <c r="BX13" s="80"/>
      <c r="BY13" s="117">
        <f t="shared" ref="BY13:BY20" si="11">BY12+1</f>
        <v>2</v>
      </c>
      <c r="BZ13" s="68"/>
      <c r="CA13" s="140"/>
      <c r="CB13" s="140"/>
      <c r="CC13" s="147"/>
      <c r="CD13" s="14">
        <f t="shared" ref="CD13:CD19" si="12">CD12+1</f>
        <v>2</v>
      </c>
      <c r="CE13" s="107" t="s">
        <v>149</v>
      </c>
      <c r="CF13" s="148"/>
      <c r="CG13" s="148"/>
      <c r="CH13" s="149">
        <f>CG13-CF13</f>
        <v>0</v>
      </c>
      <c r="CI13" s="120">
        <f t="shared" ref="CI13:CI20" si="13">1+CI12</f>
        <v>2</v>
      </c>
      <c r="CJ13" s="84" t="s">
        <v>150</v>
      </c>
      <c r="CK13" s="150"/>
      <c r="CL13" s="150"/>
      <c r="CM13" s="150">
        <f>CL13-CK13</f>
        <v>0</v>
      </c>
      <c r="CN13" s="14">
        <v>2</v>
      </c>
      <c r="CO13" s="68" t="s">
        <v>151</v>
      </c>
      <c r="CR13" s="122">
        <v>2E-3</v>
      </c>
      <c r="CS13" s="151" t="s">
        <v>152</v>
      </c>
      <c r="CT13" s="70"/>
      <c r="CU13" s="71"/>
      <c r="CV13" s="70"/>
      <c r="CW13" s="70"/>
      <c r="CX13" s="70"/>
      <c r="CY13" s="70"/>
      <c r="CZ13" s="70"/>
      <c r="DA13" s="70"/>
      <c r="DB13" s="70"/>
      <c r="DC13" s="70"/>
      <c r="DD13" s="70"/>
      <c r="DE13" s="151" t="s">
        <v>152</v>
      </c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</row>
    <row r="14" spans="1:125" ht="15" customHeight="1">
      <c r="A14" s="87">
        <f t="shared" ref="A14:A52" si="14">+A13+1</f>
        <v>4</v>
      </c>
      <c r="B14" s="152">
        <v>40725</v>
      </c>
      <c r="C14" s="153">
        <v>1634237.6510000001</v>
      </c>
      <c r="D14" s="154">
        <v>1656364.5461299999</v>
      </c>
      <c r="E14" s="155">
        <v>22126.895129999844</v>
      </c>
      <c r="F14" s="155">
        <v>20600.139370000001</v>
      </c>
      <c r="H14" s="87">
        <f t="shared" si="3"/>
        <v>4</v>
      </c>
      <c r="I14" s="90" t="s">
        <v>10</v>
      </c>
      <c r="K14" s="156"/>
      <c r="M14" s="14">
        <f t="shared" si="4"/>
        <v>3</v>
      </c>
      <c r="N14" s="130" t="s">
        <v>153</v>
      </c>
      <c r="O14" s="157"/>
      <c r="P14" s="157"/>
      <c r="Q14" s="157">
        <f t="shared" si="5"/>
        <v>0</v>
      </c>
      <c r="R14" s="14">
        <f t="shared" si="6"/>
        <v>3</v>
      </c>
      <c r="S14" s="158"/>
      <c r="T14" s="159"/>
      <c r="U14" s="160"/>
      <c r="V14" s="112"/>
      <c r="W14" s="14">
        <f t="shared" ref="W14:W30" si="15">W13+1</f>
        <v>3</v>
      </c>
      <c r="X14" s="68" t="s">
        <v>154</v>
      </c>
      <c r="Y14" s="161" t="s">
        <v>10</v>
      </c>
      <c r="Z14" s="162" t="s">
        <v>10</v>
      </c>
      <c r="AA14" s="14">
        <f t="shared" ref="AA14:AA24" si="16">AA13+1</f>
        <v>3</v>
      </c>
      <c r="AB14" s="72" t="s">
        <v>155</v>
      </c>
      <c r="AC14" s="163">
        <v>3.2399999999999998E-2</v>
      </c>
      <c r="AD14" s="134" t="s">
        <v>10</v>
      </c>
      <c r="AE14" s="14">
        <f t="shared" ref="AE14:AE46" si="17">+AE13+1</f>
        <v>3</v>
      </c>
      <c r="AF14" s="135" t="s">
        <v>156</v>
      </c>
      <c r="AG14" s="101"/>
      <c r="AI14" s="164">
        <v>78714329.299999997</v>
      </c>
      <c r="AJ14" s="14">
        <v>3</v>
      </c>
      <c r="AK14" s="68"/>
      <c r="AL14" s="102"/>
      <c r="AM14" s="103"/>
      <c r="AN14" s="14">
        <f t="shared" ref="AN14:AN29" si="18">AN13+1</f>
        <v>3</v>
      </c>
      <c r="AO14" s="4" t="s">
        <v>157</v>
      </c>
      <c r="AP14" s="165">
        <v>11515729.949999999</v>
      </c>
      <c r="AQ14" s="165">
        <v>2252228204.4699998</v>
      </c>
      <c r="AR14" s="165">
        <v>46263193.119999997</v>
      </c>
      <c r="AS14" s="165">
        <v>76933064.269999996</v>
      </c>
      <c r="AT14" s="165">
        <v>369825.04</v>
      </c>
      <c r="AU14" s="165">
        <f t="shared" si="7"/>
        <v>2128662122.04</v>
      </c>
      <c r="AV14" s="166">
        <f t="shared" si="8"/>
        <v>5.4099999999999999E-3</v>
      </c>
      <c r="AW14" s="14">
        <f t="shared" si="9"/>
        <v>3</v>
      </c>
      <c r="AX14" s="4" t="s">
        <v>158</v>
      </c>
      <c r="AY14" s="167">
        <v>663227.7991765613</v>
      </c>
      <c r="AZ14" s="168">
        <f>(AZ12/(AY12/AY14))</f>
        <v>448698.56644726079</v>
      </c>
      <c r="BA14" s="108">
        <f>AZ14-AY14</f>
        <v>-214529.23272930051</v>
      </c>
      <c r="BB14" s="14">
        <v>3</v>
      </c>
      <c r="BC14" s="169" t="s">
        <v>159</v>
      </c>
      <c r="BD14" s="169"/>
      <c r="BE14" s="170">
        <f>BE12-BE13</f>
        <v>0</v>
      </c>
      <c r="BF14" s="14">
        <f t="shared" si="10"/>
        <v>3</v>
      </c>
      <c r="BG14" s="68" t="s">
        <v>160</v>
      </c>
      <c r="BH14" s="104">
        <f>SUM(BH12:BH13)</f>
        <v>0</v>
      </c>
      <c r="BI14" s="104">
        <f>SUM(BI12:BI13)</f>
        <v>0</v>
      </c>
      <c r="BJ14" s="171">
        <f>SUM(BJ12:BJ13)</f>
        <v>0</v>
      </c>
      <c r="BK14" s="14">
        <f t="shared" si="0"/>
        <v>3</v>
      </c>
      <c r="BL14" s="68"/>
      <c r="BM14" s="134"/>
      <c r="BN14" s="172"/>
      <c r="BO14" s="74"/>
      <c r="BP14" s="87">
        <f>1+BP13</f>
        <v>3</v>
      </c>
      <c r="BS14" s="173"/>
      <c r="BT14" s="14">
        <f t="shared" ref="BT14:BT20" si="19">BT13+1</f>
        <v>3</v>
      </c>
      <c r="BU14" s="174" t="s">
        <v>160</v>
      </c>
      <c r="BV14" s="175">
        <f>SUM(BV12:BV13)</f>
        <v>20062310.43</v>
      </c>
      <c r="BW14" s="175">
        <f>SUM(BW12:BW13)</f>
        <v>0</v>
      </c>
      <c r="BX14" s="175">
        <f>SUM(BX12:BX13)</f>
        <v>-20062310.43</v>
      </c>
      <c r="BY14" s="117">
        <f t="shared" si="11"/>
        <v>3</v>
      </c>
      <c r="BZ14" s="68"/>
      <c r="CA14" s="176"/>
      <c r="CB14" s="176"/>
      <c r="CC14" s="176"/>
      <c r="CD14" s="14">
        <f t="shared" si="12"/>
        <v>3</v>
      </c>
      <c r="CE14" s="107" t="s">
        <v>161</v>
      </c>
      <c r="CF14" s="177">
        <f>SUM(CF12:CF13)</f>
        <v>0</v>
      </c>
      <c r="CG14" s="177">
        <f>SUM(CG12:CG13)</f>
        <v>0</v>
      </c>
      <c r="CH14" s="177">
        <f>SUM(CH12:CH13)</f>
        <v>0</v>
      </c>
      <c r="CI14" s="120">
        <f t="shared" si="13"/>
        <v>3</v>
      </c>
      <c r="CJ14" s="84" t="s">
        <v>162</v>
      </c>
      <c r="CK14" s="178">
        <f>SUM(CK12:CK13)</f>
        <v>0</v>
      </c>
      <c r="CL14" s="178">
        <f>SUM(CL12:CL13)</f>
        <v>0</v>
      </c>
      <c r="CM14" s="178">
        <f>SUM(CM12:CM13)</f>
        <v>0</v>
      </c>
      <c r="CN14" s="14">
        <v>3</v>
      </c>
      <c r="CO14" s="68" t="str">
        <f>"STATE UTILITY TAX ( ( 1 - LINE 1 ) * "&amp;UTG*100&amp;"% )"</f>
        <v>STATE UTILITY TAX ( ( 1 - LINE 1 ) * 3.8734% )</v>
      </c>
      <c r="CQ14" s="179">
        <v>3.8733999999999998E-2</v>
      </c>
      <c r="CR14" s="180">
        <f>ROUND(UTG-(UTG*BD),6)</f>
        <v>3.8537000000000002E-2</v>
      </c>
      <c r="CS14" s="14">
        <v>1</v>
      </c>
      <c r="CT14" s="68" t="s">
        <v>163</v>
      </c>
      <c r="CU14" s="74"/>
      <c r="CV14" s="77"/>
      <c r="CW14" s="77"/>
      <c r="CX14" s="77"/>
      <c r="CY14" s="77"/>
      <c r="CZ14" s="77"/>
      <c r="DA14" s="77"/>
      <c r="DB14" s="77"/>
      <c r="DC14" s="77"/>
      <c r="DD14" s="141"/>
      <c r="DE14" s="181">
        <v>1</v>
      </c>
      <c r="DF14" s="68" t="s">
        <v>163</v>
      </c>
      <c r="DG14" s="14"/>
      <c r="DH14" s="77"/>
      <c r="DI14" s="77"/>
      <c r="DK14" s="77"/>
      <c r="DL14" s="68"/>
      <c r="DM14" s="14"/>
      <c r="DN14" s="14"/>
      <c r="DO14" s="14"/>
      <c r="DQ14" s="14">
        <v>1</v>
      </c>
      <c r="DR14" s="76" t="s">
        <v>164</v>
      </c>
    </row>
    <row r="15" spans="1:125" ht="15" customHeight="1" thickBot="1">
      <c r="A15" s="87">
        <f t="shared" si="14"/>
        <v>5</v>
      </c>
      <c r="B15" s="152">
        <v>40756</v>
      </c>
      <c r="C15" s="153">
        <v>1680701.564</v>
      </c>
      <c r="D15" s="154">
        <v>1685824.3661100001</v>
      </c>
      <c r="E15" s="155">
        <v>5122.8021100000478</v>
      </c>
      <c r="F15" s="155">
        <v>4769.3287600000003</v>
      </c>
      <c r="H15" s="87">
        <f t="shared" si="3"/>
        <v>5</v>
      </c>
      <c r="I15" s="4" t="s">
        <v>165</v>
      </c>
      <c r="K15" s="165">
        <f>SUM(K12:K14)</f>
        <v>12624087.939999999</v>
      </c>
      <c r="M15" s="14">
        <f t="shared" si="4"/>
        <v>4</v>
      </c>
      <c r="N15" s="130" t="s">
        <v>166</v>
      </c>
      <c r="O15" s="157"/>
      <c r="P15" s="157"/>
      <c r="Q15" s="157">
        <f t="shared" si="5"/>
        <v>0</v>
      </c>
      <c r="R15" s="14">
        <f t="shared" si="6"/>
        <v>4</v>
      </c>
      <c r="S15" s="158"/>
      <c r="T15" s="159"/>
      <c r="U15" s="182"/>
      <c r="V15" s="112"/>
      <c r="W15" s="14">
        <f t="shared" si="15"/>
        <v>4</v>
      </c>
      <c r="X15" s="68" t="s">
        <v>167</v>
      </c>
      <c r="Z15" s="183">
        <v>-328882.96709935868</v>
      </c>
      <c r="AA15" s="14">
        <f t="shared" si="16"/>
        <v>4</v>
      </c>
      <c r="AB15" s="72" t="s">
        <v>104</v>
      </c>
      <c r="AC15" s="7"/>
      <c r="AD15" s="184">
        <f>+AC12*AC14</f>
        <v>160778920.02069375</v>
      </c>
      <c r="AE15" s="14">
        <f t="shared" si="17"/>
        <v>4</v>
      </c>
      <c r="AF15" s="135" t="s">
        <v>168</v>
      </c>
      <c r="AG15" s="101"/>
      <c r="AI15" s="164">
        <v>11372743.810000001</v>
      </c>
      <c r="AJ15" s="14">
        <v>4</v>
      </c>
      <c r="AK15" s="68" t="s">
        <v>169</v>
      </c>
      <c r="AL15" s="185"/>
      <c r="AM15" s="186"/>
      <c r="AN15" s="14">
        <f t="shared" si="18"/>
        <v>4</v>
      </c>
      <c r="AP15" s="101"/>
      <c r="AQ15" s="101"/>
      <c r="AR15" s="101"/>
      <c r="AS15" s="101"/>
      <c r="AT15" s="101"/>
      <c r="AU15" s="136"/>
      <c r="AV15" s="136"/>
      <c r="AW15" s="14">
        <f t="shared" si="9"/>
        <v>4</v>
      </c>
      <c r="AX15" s="4" t="s">
        <v>129</v>
      </c>
      <c r="AY15" s="187">
        <f>SUM(AY12:AY14)</f>
        <v>9150229.2795944568</v>
      </c>
      <c r="AZ15" s="187">
        <f>SUM(AZ12:AZ14)</f>
        <v>6190474.472745656</v>
      </c>
      <c r="BA15" s="188">
        <f>SUM(BA12:BA14)</f>
        <v>-2959754.8068488012</v>
      </c>
      <c r="BB15" s="14">
        <v>4</v>
      </c>
      <c r="BC15" s="4"/>
      <c r="BD15" s="4"/>
      <c r="BE15" s="101"/>
      <c r="BF15" s="14">
        <f t="shared" si="10"/>
        <v>4</v>
      </c>
      <c r="BG15" s="68"/>
      <c r="BH15" s="189"/>
      <c r="BI15" s="189"/>
      <c r="BJ15" s="189"/>
      <c r="BK15" s="14">
        <f t="shared" si="0"/>
        <v>4</v>
      </c>
      <c r="BL15" s="68" t="s">
        <v>170</v>
      </c>
      <c r="BM15" s="134"/>
      <c r="BN15" s="172"/>
      <c r="BO15" s="190">
        <f>BN12*BN13</f>
        <v>0</v>
      </c>
      <c r="BP15" s="87">
        <f>1+BP14</f>
        <v>4</v>
      </c>
      <c r="BQ15" s="4" t="s">
        <v>171</v>
      </c>
      <c r="BS15" s="191">
        <f>-BS12</f>
        <v>0</v>
      </c>
      <c r="BT15" s="14">
        <f t="shared" si="19"/>
        <v>4</v>
      </c>
      <c r="BU15" s="68"/>
      <c r="BV15" s="189"/>
      <c r="BW15" s="189"/>
      <c r="BX15" s="189"/>
      <c r="BY15" s="117">
        <f t="shared" si="11"/>
        <v>4</v>
      </c>
      <c r="BZ15" s="68" t="s">
        <v>172</v>
      </c>
      <c r="CA15" s="136">
        <f>SUM(CA12:CA13)</f>
        <v>3917359.7580071497</v>
      </c>
      <c r="CB15" s="136">
        <f>SUM(CB12:CB13)</f>
        <v>6871398.2466023946</v>
      </c>
      <c r="CC15" s="136">
        <f>SUM(CC12:CC13)</f>
        <v>2954038.4885952449</v>
      </c>
      <c r="CD15" s="14">
        <f t="shared" si="12"/>
        <v>4</v>
      </c>
      <c r="CE15" s="192"/>
      <c r="CF15" s="193"/>
      <c r="CG15" s="193"/>
      <c r="CH15" s="194"/>
      <c r="CI15" s="120">
        <f t="shared" si="13"/>
        <v>4</v>
      </c>
      <c r="CJ15" s="195"/>
      <c r="CK15" s="84"/>
      <c r="CL15" s="84"/>
      <c r="CM15" s="195"/>
      <c r="CN15" s="14">
        <v>4</v>
      </c>
      <c r="CO15" s="68"/>
      <c r="CR15" s="196"/>
      <c r="CS15" s="14">
        <f t="shared" ref="CS15:CS19" si="20">CS14+1</f>
        <v>2</v>
      </c>
      <c r="CT15" s="68" t="s">
        <v>173</v>
      </c>
      <c r="CU15" s="98">
        <v>2120008163.8</v>
      </c>
      <c r="CV15" s="98">
        <f>+G40-CV16</f>
        <v>-9707991</v>
      </c>
      <c r="CW15" s="98">
        <f>L17-CW16</f>
        <v>12624087.939999999</v>
      </c>
      <c r="CX15" s="98">
        <v>0</v>
      </c>
      <c r="CY15" s="98"/>
      <c r="CZ15" s="98">
        <v>0</v>
      </c>
      <c r="DA15" s="98">
        <v>0</v>
      </c>
      <c r="DB15" s="98">
        <f>-(AI23+DB18)</f>
        <v>-105404679.55000004</v>
      </c>
      <c r="DC15" s="98"/>
      <c r="DD15" s="98">
        <v>0</v>
      </c>
      <c r="DE15" s="14">
        <f t="shared" ref="DE15:DE19" si="21">DE14+1</f>
        <v>2</v>
      </c>
      <c r="DF15" s="68" t="s">
        <v>173</v>
      </c>
      <c r="DG15" s="98"/>
      <c r="DH15" s="98">
        <v>0</v>
      </c>
      <c r="DI15" s="98">
        <v>0</v>
      </c>
      <c r="DJ15" s="98">
        <v>0</v>
      </c>
      <c r="DK15" s="98">
        <v>0</v>
      </c>
      <c r="DL15" s="98">
        <v>0</v>
      </c>
      <c r="DM15" s="98">
        <v>0</v>
      </c>
      <c r="DN15" s="98"/>
      <c r="DO15" s="98"/>
      <c r="DP15" s="98">
        <f>SUM(CV15:DO15)-DE15</f>
        <v>-102488582.61000004</v>
      </c>
      <c r="DQ15" s="14">
        <f t="shared" ref="DQ15:DQ19" si="22">+DQ14+1</f>
        <v>2</v>
      </c>
      <c r="DR15" s="68" t="s">
        <v>173</v>
      </c>
      <c r="DS15" s="136">
        <f>+CU15</f>
        <v>2120008163.8</v>
      </c>
      <c r="DT15" s="136">
        <f>+DP15</f>
        <v>-102488582.61000004</v>
      </c>
      <c r="DU15" s="98">
        <f>SUM(DS15:DT15)</f>
        <v>2017519581.1899998</v>
      </c>
    </row>
    <row r="16" spans="1:125" ht="15" customHeight="1" thickTop="1">
      <c r="A16" s="87">
        <f>+A15+1</f>
        <v>6</v>
      </c>
      <c r="B16" s="152">
        <v>40787</v>
      </c>
      <c r="C16" s="153">
        <v>1638712.4680000001</v>
      </c>
      <c r="D16" s="154">
        <v>1630721.83764</v>
      </c>
      <c r="E16" s="155">
        <v>-7990.6303600000683</v>
      </c>
      <c r="F16" s="155">
        <v>-7439.2768699999997</v>
      </c>
      <c r="H16" s="87">
        <f t="shared" si="3"/>
        <v>6</v>
      </c>
      <c r="K16" s="197"/>
      <c r="M16" s="14">
        <f t="shared" si="4"/>
        <v>5</v>
      </c>
      <c r="N16" s="130" t="s">
        <v>174</v>
      </c>
      <c r="O16" s="157"/>
      <c r="P16" s="157"/>
      <c r="Q16" s="157">
        <f t="shared" si="5"/>
        <v>0</v>
      </c>
      <c r="R16" s="14">
        <f t="shared" si="6"/>
        <v>5</v>
      </c>
      <c r="S16" s="158"/>
      <c r="T16" s="198"/>
      <c r="U16" s="199"/>
      <c r="V16" s="200"/>
      <c r="W16" s="14">
        <f>W15+1</f>
        <v>5</v>
      </c>
      <c r="X16" s="68" t="s">
        <v>175</v>
      </c>
      <c r="Z16" s="201">
        <v>68601444.118499994</v>
      </c>
      <c r="AA16" s="14">
        <f t="shared" si="16"/>
        <v>5</v>
      </c>
      <c r="AD16" s="197"/>
      <c r="AE16" s="14">
        <f t="shared" si="17"/>
        <v>5</v>
      </c>
      <c r="AF16" s="202" t="s">
        <v>176</v>
      </c>
      <c r="AH16" s="101"/>
      <c r="AI16" s="164">
        <v>-76177364.629999995</v>
      </c>
      <c r="AJ16" s="14">
        <v>5</v>
      </c>
      <c r="AK16" s="68"/>
      <c r="AL16" s="102"/>
      <c r="AM16" s="103"/>
      <c r="AN16" s="14">
        <f>AN15+1</f>
        <v>5</v>
      </c>
      <c r="AO16" s="4" t="s">
        <v>177</v>
      </c>
      <c r="AP16" s="101"/>
      <c r="AQ16" s="101"/>
      <c r="AR16" s="101"/>
      <c r="AS16" s="101"/>
      <c r="AT16" s="101"/>
      <c r="AU16" s="101"/>
      <c r="AV16" s="105">
        <f>ROUND(SUM(AV12:AV14)/3,6)</f>
        <v>5.084E-3</v>
      </c>
      <c r="AW16" s="14">
        <f t="shared" si="9"/>
        <v>5</v>
      </c>
      <c r="BB16" s="14">
        <v>5</v>
      </c>
      <c r="BC16" s="203" t="s">
        <v>178</v>
      </c>
      <c r="BD16" s="204"/>
      <c r="BE16" s="111"/>
      <c r="BF16" s="14">
        <f t="shared" si="10"/>
        <v>5</v>
      </c>
      <c r="BG16" s="68" t="s">
        <v>179</v>
      </c>
      <c r="BH16" s="189"/>
      <c r="BI16" s="189"/>
      <c r="BJ16" s="205">
        <f>-BJ14</f>
        <v>0</v>
      </c>
      <c r="BK16" s="14">
        <f>BK15+1</f>
        <v>5</v>
      </c>
      <c r="BL16" s="68" t="s">
        <v>180</v>
      </c>
      <c r="BM16" s="134"/>
      <c r="BN16" s="206"/>
      <c r="BO16" s="201"/>
      <c r="BP16" s="87"/>
      <c r="BT16" s="14">
        <f>BT15+1</f>
        <v>5</v>
      </c>
      <c r="BU16" s="68" t="s">
        <v>179</v>
      </c>
      <c r="BV16" s="189"/>
      <c r="BW16" s="189"/>
      <c r="BX16" s="69">
        <f>-BX14</f>
        <v>20062310.43</v>
      </c>
      <c r="BY16" s="117">
        <f>BY15+1</f>
        <v>5</v>
      </c>
      <c r="CA16" s="140"/>
      <c r="CB16" s="140"/>
      <c r="CC16" s="140"/>
      <c r="CD16" s="14">
        <f t="shared" si="12"/>
        <v>5</v>
      </c>
      <c r="CE16" s="107" t="s">
        <v>181</v>
      </c>
      <c r="CF16" s="207"/>
      <c r="CG16" s="207"/>
      <c r="CH16" s="119">
        <f>CH14</f>
        <v>0</v>
      </c>
      <c r="CI16" s="120">
        <f t="shared" si="13"/>
        <v>5</v>
      </c>
      <c r="CJ16" s="208" t="s">
        <v>182</v>
      </c>
      <c r="CK16" s="208"/>
      <c r="CL16" s="208"/>
      <c r="CM16" s="209">
        <f>CM14</f>
        <v>0</v>
      </c>
      <c r="CN16" s="14">
        <v>5</v>
      </c>
      <c r="CO16" s="68" t="s">
        <v>183</v>
      </c>
      <c r="CR16" s="122">
        <f>ROUND(SUM(CR12:CR14),6)</f>
        <v>4.5621000000000002E-2</v>
      </c>
      <c r="CS16" s="14">
        <f>CS15+1</f>
        <v>3</v>
      </c>
      <c r="CT16" s="68" t="s">
        <v>184</v>
      </c>
      <c r="CU16" s="80">
        <v>360542.36</v>
      </c>
      <c r="CV16" s="80">
        <f>F39</f>
        <v>-1399</v>
      </c>
      <c r="CW16" s="80"/>
      <c r="CX16" s="80"/>
      <c r="CY16" s="80"/>
      <c r="CZ16" s="80"/>
      <c r="DA16" s="80"/>
      <c r="DB16" s="80"/>
      <c r="DC16" s="80"/>
      <c r="DD16" s="80"/>
      <c r="DE16" s="14">
        <f>DE15+1</f>
        <v>3</v>
      </c>
      <c r="DF16" s="68" t="s">
        <v>184</v>
      </c>
      <c r="DG16" s="80"/>
      <c r="DH16" s="80"/>
      <c r="DI16" s="80"/>
      <c r="DJ16" s="80"/>
      <c r="DK16" s="80"/>
      <c r="DL16" s="80"/>
      <c r="DM16" s="80"/>
      <c r="DN16" s="80"/>
      <c r="DO16" s="80"/>
      <c r="DP16" s="80">
        <f>SUM(CV16:DO16)-DE16</f>
        <v>-1399</v>
      </c>
      <c r="DQ16" s="14">
        <f>+DQ15+1</f>
        <v>3</v>
      </c>
      <c r="DR16" s="68" t="s">
        <v>184</v>
      </c>
      <c r="DS16" s="101">
        <f>+CU16</f>
        <v>360542.36</v>
      </c>
      <c r="DT16" s="101">
        <f>+DP16</f>
        <v>-1399</v>
      </c>
      <c r="DU16" s="80">
        <f>SUM(DS16:DT16)</f>
        <v>359143.36</v>
      </c>
    </row>
    <row r="17" spans="1:125" ht="15" customHeight="1">
      <c r="A17" s="87">
        <f t="shared" si="14"/>
        <v>7</v>
      </c>
      <c r="B17" s="152">
        <v>40817</v>
      </c>
      <c r="C17" s="153">
        <v>1811113.0120000001</v>
      </c>
      <c r="D17" s="154">
        <v>1803065.8778299999</v>
      </c>
      <c r="E17" s="155">
        <v>-8047.1341700002085</v>
      </c>
      <c r="F17" s="155">
        <v>-7491.8819100000001</v>
      </c>
      <c r="H17" s="87">
        <f t="shared" si="3"/>
        <v>7</v>
      </c>
      <c r="I17" s="4" t="s">
        <v>185</v>
      </c>
      <c r="L17" s="91">
        <f>K15</f>
        <v>12624087.939999999</v>
      </c>
      <c r="M17" s="14">
        <f t="shared" si="4"/>
        <v>6</v>
      </c>
      <c r="N17" s="130" t="s">
        <v>186</v>
      </c>
      <c r="O17" s="157"/>
      <c r="P17" s="157"/>
      <c r="Q17" s="157">
        <f t="shared" si="5"/>
        <v>0</v>
      </c>
      <c r="R17" s="14">
        <f t="shared" si="6"/>
        <v>6</v>
      </c>
      <c r="S17" s="210"/>
      <c r="T17" s="211"/>
      <c r="U17" s="211"/>
      <c r="V17" s="211"/>
      <c r="W17" s="14">
        <f t="shared" si="15"/>
        <v>6</v>
      </c>
      <c r="X17" s="4" t="s">
        <v>187</v>
      </c>
      <c r="Z17" s="212">
        <f>Z12+Z15+Z16</f>
        <v>374954546.58951366</v>
      </c>
      <c r="AA17" s="14">
        <f t="shared" si="16"/>
        <v>6</v>
      </c>
      <c r="AB17" s="4" t="s">
        <v>188</v>
      </c>
      <c r="AD17" s="213">
        <v>134146879.88054797</v>
      </c>
      <c r="AE17" s="14">
        <f>+AE16+1</f>
        <v>6</v>
      </c>
      <c r="AF17" s="214" t="s">
        <v>331</v>
      </c>
      <c r="AG17" s="101"/>
      <c r="AH17" s="101"/>
      <c r="AI17" s="164">
        <v>3758865.7200000007</v>
      </c>
      <c r="AJ17" s="14">
        <v>6</v>
      </c>
      <c r="AK17" s="215" t="s">
        <v>189</v>
      </c>
      <c r="AL17" s="216"/>
      <c r="AM17" s="217"/>
      <c r="AN17" s="14">
        <f>AN16+1</f>
        <v>6</v>
      </c>
      <c r="AO17" s="68"/>
      <c r="AP17" s="101"/>
      <c r="AQ17" s="101"/>
      <c r="AR17" s="218"/>
      <c r="AS17" s="218"/>
      <c r="AT17" s="101"/>
      <c r="AU17" s="101"/>
      <c r="AV17" s="101"/>
      <c r="AW17" s="14">
        <f>AW16+1</f>
        <v>6</v>
      </c>
      <c r="AX17" s="219" t="s">
        <v>190</v>
      </c>
      <c r="AY17" s="220"/>
      <c r="AZ17" s="147"/>
      <c r="BA17" s="221">
        <f>-BA15</f>
        <v>2959754.8068488012</v>
      </c>
      <c r="BB17" s="14">
        <v>6</v>
      </c>
      <c r="BC17" s="141" t="s">
        <v>147</v>
      </c>
      <c r="BD17" s="141"/>
      <c r="BE17" s="222"/>
      <c r="BF17" s="14">
        <f>BF16+1</f>
        <v>6</v>
      </c>
      <c r="BG17" s="68"/>
      <c r="BH17" s="189"/>
      <c r="BI17" s="189"/>
      <c r="BJ17" s="205"/>
      <c r="BK17" s="14">
        <f>BK16+1</f>
        <v>6</v>
      </c>
      <c r="BL17" s="68" t="s">
        <v>190</v>
      </c>
      <c r="BM17" s="73"/>
      <c r="BN17" s="172"/>
      <c r="BO17" s="98">
        <f>BO16-BO15</f>
        <v>0</v>
      </c>
      <c r="BP17" s="78"/>
      <c r="BQ17" s="78"/>
      <c r="BR17" s="78"/>
      <c r="BS17" s="78"/>
      <c r="BT17" s="14">
        <f>BT16+1</f>
        <v>6</v>
      </c>
      <c r="BU17" s="68"/>
      <c r="BV17" s="189"/>
      <c r="BW17" s="223"/>
      <c r="BY17" s="117">
        <f>BY16+1</f>
        <v>6</v>
      </c>
      <c r="BZ17" s="174" t="s">
        <v>190</v>
      </c>
      <c r="CA17" s="220"/>
      <c r="CB17" s="147"/>
      <c r="CC17" s="221">
        <f>-CC15</f>
        <v>-2954038.4885952449</v>
      </c>
      <c r="CD17" s="14">
        <f>CD16+1</f>
        <v>6</v>
      </c>
      <c r="CE17" s="224" t="s">
        <v>191</v>
      </c>
      <c r="CF17" s="207"/>
      <c r="CG17" s="225">
        <v>0.35</v>
      </c>
      <c r="CH17" s="149">
        <f>ROUND(-CH16*CG17,0)</f>
        <v>0</v>
      </c>
      <c r="CI17" s="120">
        <f>1+CI16</f>
        <v>6</v>
      </c>
      <c r="CJ17" s="84"/>
      <c r="CK17" s="84"/>
      <c r="CL17" s="84"/>
      <c r="CM17" s="226"/>
      <c r="CN17" s="14">
        <v>6</v>
      </c>
      <c r="CR17" s="122"/>
      <c r="CS17" s="14">
        <f>CS16+1</f>
        <v>4</v>
      </c>
      <c r="CT17" s="68" t="s">
        <v>192</v>
      </c>
      <c r="CU17" s="80">
        <v>123650359.95</v>
      </c>
      <c r="CV17" s="80"/>
      <c r="CW17" s="80"/>
      <c r="CX17" s="80">
        <f>-Q18</f>
        <v>0</v>
      </c>
      <c r="CY17" s="80"/>
      <c r="CZ17" s="80"/>
      <c r="DA17" s="80"/>
      <c r="DB17" s="80"/>
      <c r="DC17" s="80"/>
      <c r="DD17" s="80"/>
      <c r="DE17" s="14">
        <f>DE16+1</f>
        <v>4</v>
      </c>
      <c r="DF17" s="68" t="s">
        <v>192</v>
      </c>
      <c r="DG17" s="80"/>
      <c r="DH17" s="80"/>
      <c r="DI17" s="80"/>
      <c r="DJ17" s="80"/>
      <c r="DK17" s="80"/>
      <c r="DL17" s="80"/>
      <c r="DM17" s="80"/>
      <c r="DN17" s="80"/>
      <c r="DO17" s="80"/>
      <c r="DP17" s="80">
        <f>SUM(CV17:DO17)-DE17</f>
        <v>0</v>
      </c>
      <c r="DQ17" s="14">
        <f>+DQ16+1</f>
        <v>4</v>
      </c>
      <c r="DR17" s="68" t="s">
        <v>192</v>
      </c>
      <c r="DS17" s="101">
        <f>+CU17</f>
        <v>123650359.95</v>
      </c>
      <c r="DT17" s="101">
        <f>+DP17</f>
        <v>0</v>
      </c>
      <c r="DU17" s="80">
        <f>SUM(DS17:DT17)</f>
        <v>123650359.95</v>
      </c>
    </row>
    <row r="18" spans="1:125" ht="15" customHeight="1">
      <c r="A18" s="87">
        <f t="shared" si="14"/>
        <v>8</v>
      </c>
      <c r="B18" s="152">
        <v>41214</v>
      </c>
      <c r="C18" s="153">
        <v>2135645.94</v>
      </c>
      <c r="D18" s="154">
        <v>2098928.1930999998</v>
      </c>
      <c r="E18" s="155">
        <v>-36717.746900000144</v>
      </c>
      <c r="F18" s="155">
        <v>-34184.22236</v>
      </c>
      <c r="H18" s="87">
        <f t="shared" si="3"/>
        <v>8</v>
      </c>
      <c r="M18" s="14">
        <f t="shared" si="4"/>
        <v>7</v>
      </c>
      <c r="N18" s="130" t="s">
        <v>192</v>
      </c>
      <c r="O18" s="227"/>
      <c r="P18" s="227"/>
      <c r="Q18" s="157">
        <f t="shared" si="5"/>
        <v>0</v>
      </c>
      <c r="R18" s="14">
        <f t="shared" si="6"/>
        <v>7</v>
      </c>
      <c r="S18" s="228"/>
      <c r="U18" s="132"/>
      <c r="V18" s="112"/>
      <c r="W18" s="14">
        <f t="shared" si="15"/>
        <v>7</v>
      </c>
      <c r="Z18" s="229" t="s">
        <v>10</v>
      </c>
      <c r="AA18" s="14">
        <f t="shared" si="16"/>
        <v>7</v>
      </c>
      <c r="AD18" s="78"/>
      <c r="AE18" s="14">
        <f t="shared" si="17"/>
        <v>7</v>
      </c>
      <c r="AF18" s="214" t="s">
        <v>193</v>
      </c>
      <c r="AH18" s="101"/>
      <c r="AI18" s="164">
        <v>187535.5072319</v>
      </c>
      <c r="AJ18" s="14">
        <v>7</v>
      </c>
      <c r="AK18" s="90" t="s">
        <v>194</v>
      </c>
      <c r="AL18" s="230"/>
      <c r="AM18" s="217"/>
      <c r="AN18" s="14">
        <f t="shared" si="18"/>
        <v>7</v>
      </c>
      <c r="AO18" s="231" t="s">
        <v>195</v>
      </c>
      <c r="AP18" s="101"/>
      <c r="AQ18" s="104">
        <v>2300087176.9299998</v>
      </c>
      <c r="AR18" s="104">
        <v>123650359.95</v>
      </c>
      <c r="AS18" s="104">
        <v>56068110.82</v>
      </c>
      <c r="AT18" s="104">
        <v>360542.36</v>
      </c>
      <c r="AU18" s="91">
        <f>AQ18-AR18-AS18-AT18</f>
        <v>2120008163.8000002</v>
      </c>
      <c r="AV18" s="91"/>
      <c r="AW18" s="14">
        <f t="shared" si="9"/>
        <v>7</v>
      </c>
      <c r="AX18" s="232" t="s">
        <v>191</v>
      </c>
      <c r="AY18" s="232"/>
      <c r="AZ18" s="233">
        <v>0.35</v>
      </c>
      <c r="BA18" s="221">
        <f>BA17*AZ18</f>
        <v>1035914.1823970804</v>
      </c>
      <c r="BB18" s="14">
        <v>7</v>
      </c>
      <c r="BC18" s="234" t="s">
        <v>196</v>
      </c>
      <c r="BD18" s="234"/>
      <c r="BE18" s="235">
        <f>BE16-BE17</f>
        <v>0</v>
      </c>
      <c r="BF18" s="14">
        <f t="shared" si="10"/>
        <v>7</v>
      </c>
      <c r="BG18" s="68" t="s">
        <v>191</v>
      </c>
      <c r="BH18" s="189"/>
      <c r="BI18" s="223">
        <v>0.35</v>
      </c>
      <c r="BJ18" s="236">
        <f>BJ16*BI18</f>
        <v>0</v>
      </c>
      <c r="BK18" s="14">
        <f t="shared" si="0"/>
        <v>7</v>
      </c>
      <c r="BM18" s="74"/>
      <c r="BN18" s="74" t="s">
        <v>10</v>
      </c>
      <c r="BO18" s="74" t="s">
        <v>10</v>
      </c>
      <c r="BT18" s="14">
        <f t="shared" si="19"/>
        <v>7</v>
      </c>
      <c r="BU18" s="68" t="s">
        <v>197</v>
      </c>
      <c r="BV18" s="237">
        <v>0.35</v>
      </c>
      <c r="BW18" s="7"/>
      <c r="BX18" s="101">
        <f>BX16*BV18</f>
        <v>7021808.6504999995</v>
      </c>
      <c r="BY18" s="117">
        <f t="shared" si="11"/>
        <v>7</v>
      </c>
      <c r="BZ18" s="211" t="s">
        <v>191</v>
      </c>
      <c r="CA18" s="211"/>
      <c r="CB18" s="233">
        <v>0.35</v>
      </c>
      <c r="CC18" s="211">
        <f>CC17*CB18</f>
        <v>-1033913.4710083357</v>
      </c>
      <c r="CD18" s="14">
        <f t="shared" si="12"/>
        <v>7</v>
      </c>
      <c r="CF18" s="207"/>
      <c r="CG18" s="207"/>
      <c r="CH18" s="238"/>
      <c r="CI18" s="120">
        <f t="shared" si="13"/>
        <v>7</v>
      </c>
      <c r="CJ18" s="84" t="s">
        <v>198</v>
      </c>
      <c r="CK18" s="84"/>
      <c r="CL18" s="84"/>
      <c r="CM18" s="239">
        <f>-CM16*35%</f>
        <v>0</v>
      </c>
      <c r="CN18" s="14">
        <v>7</v>
      </c>
      <c r="CO18" s="4" t="str">
        <f>"CONVERSION FACTOR EXCLUDING FEDERAL INCOME TAX ( 1 - LINE "&amp;CN16&amp;" )"</f>
        <v>CONVERSION FACTOR EXCLUDING FEDERAL INCOME TAX ( 1 - LINE 5 )</v>
      </c>
      <c r="CR18" s="122">
        <f>1-CR16</f>
        <v>0.95437899999999998</v>
      </c>
      <c r="CS18" s="14">
        <f t="shared" si="20"/>
        <v>5</v>
      </c>
      <c r="CT18" s="68" t="s">
        <v>199</v>
      </c>
      <c r="CU18" s="222">
        <v>56068110.82</v>
      </c>
      <c r="CV18" s="222"/>
      <c r="CW18" s="222"/>
      <c r="CX18" s="222"/>
      <c r="CY18" s="222"/>
      <c r="CZ18" s="222"/>
      <c r="DA18" s="222" t="s">
        <v>10</v>
      </c>
      <c r="DB18" s="222">
        <f>-AI18-AI21-AI20</f>
        <v>-39907243.847231902</v>
      </c>
      <c r="DC18" s="222"/>
      <c r="DD18" s="222"/>
      <c r="DE18" s="14">
        <f t="shared" si="21"/>
        <v>5</v>
      </c>
      <c r="DF18" s="68" t="s">
        <v>199</v>
      </c>
      <c r="DG18" s="222"/>
      <c r="DH18" s="222"/>
      <c r="DI18" s="222"/>
      <c r="DJ18" s="222"/>
      <c r="DK18" s="222"/>
      <c r="DL18" s="222"/>
      <c r="DM18" s="222"/>
      <c r="DN18" s="222"/>
      <c r="DO18" s="222"/>
      <c r="DP18" s="222">
        <f>SUM(CV18:DO18)-DE18</f>
        <v>-39907243.847231902</v>
      </c>
      <c r="DQ18" s="14">
        <f t="shared" si="22"/>
        <v>5</v>
      </c>
      <c r="DR18" s="68" t="s">
        <v>199</v>
      </c>
      <c r="DS18" s="165">
        <f>+CU18</f>
        <v>56068110.82</v>
      </c>
      <c r="DT18" s="165">
        <f>+DP18</f>
        <v>-39907243.847231902</v>
      </c>
      <c r="DU18" s="222">
        <f>SUM(DS18:DT18)</f>
        <v>16160866.972768098</v>
      </c>
    </row>
    <row r="19" spans="1:125" ht="15" customHeight="1" thickBot="1">
      <c r="A19" s="87">
        <f>+A18+1</f>
        <v>9</v>
      </c>
      <c r="B19" s="152">
        <v>40878</v>
      </c>
      <c r="C19" s="153">
        <v>2391168.9300000002</v>
      </c>
      <c r="D19" s="154">
        <v>2371197.3845600002</v>
      </c>
      <c r="E19" s="155">
        <v>-19971.545440000016</v>
      </c>
      <c r="F19" s="155">
        <v>-18593.5088</v>
      </c>
      <c r="H19" s="87">
        <f t="shared" si="3"/>
        <v>9</v>
      </c>
      <c r="I19" s="68" t="s">
        <v>200</v>
      </c>
      <c r="J19" s="240">
        <f>+BD</f>
        <v>5.084E-3</v>
      </c>
      <c r="K19" s="241">
        <f>+L17*J19</f>
        <v>64180.863086959995</v>
      </c>
      <c r="L19" s="101"/>
      <c r="M19" s="14">
        <f t="shared" si="4"/>
        <v>8</v>
      </c>
      <c r="N19" s="130" t="s">
        <v>201</v>
      </c>
      <c r="O19" s="157"/>
      <c r="P19" s="157"/>
      <c r="Q19" s="157">
        <f t="shared" si="5"/>
        <v>0</v>
      </c>
      <c r="R19" s="14">
        <f t="shared" si="6"/>
        <v>8</v>
      </c>
      <c r="S19" s="95" t="s">
        <v>202</v>
      </c>
      <c r="T19" s="242"/>
      <c r="U19" s="242"/>
      <c r="V19" s="112"/>
      <c r="W19" s="14">
        <f t="shared" si="15"/>
        <v>8</v>
      </c>
      <c r="X19" s="4" t="s">
        <v>203</v>
      </c>
      <c r="Z19" s="198">
        <f>AD15</f>
        <v>160778920.02069375</v>
      </c>
      <c r="AA19" s="14">
        <f t="shared" si="16"/>
        <v>8</v>
      </c>
      <c r="AB19" s="4" t="s">
        <v>190</v>
      </c>
      <c r="AC19" s="7"/>
      <c r="AD19" s="243">
        <f>-AD15+AD17</f>
        <v>-26632040.140145779</v>
      </c>
      <c r="AE19" s="14">
        <f t="shared" si="17"/>
        <v>8</v>
      </c>
      <c r="AF19" s="244" t="s">
        <v>204</v>
      </c>
      <c r="AH19" s="101"/>
      <c r="AI19" s="164">
        <v>-1255610.9099999999</v>
      </c>
      <c r="AJ19" s="14">
        <v>8</v>
      </c>
      <c r="AK19" s="68" t="s">
        <v>205</v>
      </c>
      <c r="AL19" s="245">
        <f>+AL17-AL18</f>
        <v>0</v>
      </c>
      <c r="AM19" s="245">
        <f>+AL19</f>
        <v>0</v>
      </c>
      <c r="AN19" s="14">
        <f>AN18+1</f>
        <v>8</v>
      </c>
      <c r="AO19" s="246"/>
      <c r="AP19" s="101"/>
      <c r="AQ19" s="101"/>
      <c r="AR19" s="101"/>
      <c r="AS19" s="101"/>
      <c r="AT19" s="101"/>
      <c r="AU19" s="101"/>
      <c r="AV19" s="101"/>
      <c r="AW19" s="14">
        <f t="shared" si="9"/>
        <v>8</v>
      </c>
      <c r="AX19" s="247"/>
      <c r="AY19" s="247"/>
      <c r="AZ19" s="247"/>
      <c r="BA19" s="248"/>
      <c r="BB19" s="14">
        <v>8</v>
      </c>
      <c r="BC19" s="4"/>
      <c r="BD19" s="4"/>
      <c r="BE19" s="4"/>
      <c r="BF19" s="14">
        <f t="shared" si="10"/>
        <v>8</v>
      </c>
      <c r="BG19" s="68"/>
      <c r="BH19" s="189"/>
      <c r="BI19" s="223"/>
      <c r="BJ19" s="236"/>
      <c r="BK19" s="14">
        <f>BK18+1</f>
        <v>8</v>
      </c>
      <c r="BL19" s="68" t="s">
        <v>206</v>
      </c>
      <c r="BM19" s="237">
        <v>0.35</v>
      </c>
      <c r="BN19" s="7"/>
      <c r="BO19" s="165">
        <f>BO17*BM19</f>
        <v>0</v>
      </c>
      <c r="BT19" s="14">
        <f>BT18+1</f>
        <v>8</v>
      </c>
      <c r="BX19" s="124"/>
      <c r="BY19" s="117">
        <f t="shared" si="11"/>
        <v>8</v>
      </c>
      <c r="BZ19" s="7"/>
      <c r="CA19" s="7"/>
      <c r="CB19" s="7"/>
      <c r="CC19" s="248"/>
      <c r="CD19" s="14">
        <f t="shared" si="12"/>
        <v>8</v>
      </c>
      <c r="CE19" s="249" t="s">
        <v>171</v>
      </c>
      <c r="CF19" s="250"/>
      <c r="CG19" s="251"/>
      <c r="CH19" s="252">
        <f>-CH16-CH17</f>
        <v>0</v>
      </c>
      <c r="CI19" s="120">
        <f t="shared" si="13"/>
        <v>8</v>
      </c>
      <c r="CJ19" s="84"/>
      <c r="CK19" s="84"/>
      <c r="CL19" s="84"/>
      <c r="CM19" s="253"/>
      <c r="CN19" s="14">
        <v>8</v>
      </c>
      <c r="CO19" s="68" t="str">
        <f>"FEDERAL INCOME TAX ( ( 1 - LINE "&amp;CN16&amp;" ) * "&amp;FIT*100&amp;"% )"</f>
        <v>FEDERAL INCOME TAX ( ( 1 - LINE 5 ) * 35% )</v>
      </c>
      <c r="CQ19" s="254">
        <v>0.35</v>
      </c>
      <c r="CR19" s="180">
        <f>ROUND((1-CR16)*FIT,6)</f>
        <v>0.33403300000000002</v>
      </c>
      <c r="CS19" s="14">
        <f t="shared" si="20"/>
        <v>6</v>
      </c>
      <c r="CT19" s="68" t="s">
        <v>207</v>
      </c>
      <c r="CU19" s="136">
        <f t="shared" ref="CU19:DA19" si="23">SUM(CU15:CU18)</f>
        <v>2300087176.9299998</v>
      </c>
      <c r="CV19" s="136">
        <f t="shared" si="23"/>
        <v>-9709390</v>
      </c>
      <c r="CW19" s="136">
        <f t="shared" si="23"/>
        <v>12624087.939999999</v>
      </c>
      <c r="CX19" s="136">
        <f t="shared" si="23"/>
        <v>0</v>
      </c>
      <c r="CY19" s="136">
        <f t="shared" si="23"/>
        <v>0</v>
      </c>
      <c r="CZ19" s="136">
        <f t="shared" si="23"/>
        <v>0</v>
      </c>
      <c r="DA19" s="136">
        <f t="shared" si="23"/>
        <v>0</v>
      </c>
      <c r="DB19" s="136">
        <f>ROUND(SUM(DB15:DB18),0)</f>
        <v>-145311923</v>
      </c>
      <c r="DC19" s="136"/>
      <c r="DD19" s="136">
        <f>SUM(DD15:DD18)</f>
        <v>0</v>
      </c>
      <c r="DE19" s="14">
        <f t="shared" si="21"/>
        <v>6</v>
      </c>
      <c r="DF19" s="68" t="s">
        <v>207</v>
      </c>
      <c r="DG19" s="136"/>
      <c r="DH19" s="136">
        <f t="shared" ref="DH19:DM19" si="24">SUM(DH15:DH18)</f>
        <v>0</v>
      </c>
      <c r="DI19" s="136">
        <f t="shared" si="24"/>
        <v>0</v>
      </c>
      <c r="DJ19" s="136">
        <f t="shared" si="24"/>
        <v>0</v>
      </c>
      <c r="DK19" s="136">
        <f t="shared" si="24"/>
        <v>0</v>
      </c>
      <c r="DL19" s="136">
        <f t="shared" si="24"/>
        <v>0</v>
      </c>
      <c r="DM19" s="136">
        <f t="shared" si="24"/>
        <v>0</v>
      </c>
      <c r="DN19" s="136"/>
      <c r="DO19" s="136"/>
      <c r="DP19" s="136">
        <f>SUM(DP15:DP18)</f>
        <v>-142397225.45723194</v>
      </c>
      <c r="DQ19" s="14">
        <f t="shared" si="22"/>
        <v>6</v>
      </c>
      <c r="DR19" s="68" t="s">
        <v>207</v>
      </c>
      <c r="DS19" s="255">
        <f>SUM(DS15:DS18)</f>
        <v>2300087176.9299998</v>
      </c>
      <c r="DT19" s="255">
        <f>SUM(DT15:DT18)</f>
        <v>-142397225.45723194</v>
      </c>
      <c r="DU19" s="255">
        <f>SUM(DU15:DU18)</f>
        <v>2157689951.4727678</v>
      </c>
    </row>
    <row r="20" spans="1:125" ht="15" customHeight="1" thickTop="1" thickBot="1">
      <c r="A20" s="87">
        <f t="shared" si="14"/>
        <v>10</v>
      </c>
      <c r="B20" s="152">
        <v>40909</v>
      </c>
      <c r="C20" s="153">
        <v>2329289.64</v>
      </c>
      <c r="D20" s="154">
        <v>2286543.2104199999</v>
      </c>
      <c r="E20" s="155">
        <v>-42746.429580000229</v>
      </c>
      <c r="F20" s="155">
        <v>-39796.925940000001</v>
      </c>
      <c r="H20" s="87">
        <f t="shared" si="3"/>
        <v>10</v>
      </c>
      <c r="I20" s="68" t="s">
        <v>208</v>
      </c>
      <c r="J20" s="240">
        <f>+FF</f>
        <v>2E-3</v>
      </c>
      <c r="K20" s="256">
        <f>+L17*J20</f>
        <v>25248.175879999999</v>
      </c>
      <c r="L20" s="101"/>
      <c r="M20" s="14">
        <f t="shared" si="4"/>
        <v>9</v>
      </c>
      <c r="N20" s="257" t="s">
        <v>209</v>
      </c>
      <c r="O20" s="258">
        <f>SUM(O13:O19)</f>
        <v>0</v>
      </c>
      <c r="P20" s="258">
        <f>SUM(P13:P19)</f>
        <v>0</v>
      </c>
      <c r="Q20" s="258">
        <f>SUM(Q13:Q19)</f>
        <v>0</v>
      </c>
      <c r="R20" s="14">
        <f t="shared" si="6"/>
        <v>9</v>
      </c>
      <c r="S20" s="259" t="s">
        <v>210</v>
      </c>
      <c r="T20" s="260">
        <v>-9373130.7899999991</v>
      </c>
      <c r="U20" s="160">
        <v>0</v>
      </c>
      <c r="V20" s="112">
        <f>U20-T20</f>
        <v>9373130.7899999991</v>
      </c>
      <c r="W20" s="14">
        <f t="shared" si="15"/>
        <v>9</v>
      </c>
      <c r="X20" s="4" t="s">
        <v>211</v>
      </c>
      <c r="Z20" s="98">
        <f>Z17-Z19</f>
        <v>214175626.56881991</v>
      </c>
      <c r="AA20" s="14">
        <f t="shared" si="16"/>
        <v>9</v>
      </c>
      <c r="AB20" s="4" t="s">
        <v>10</v>
      </c>
      <c r="AD20" s="74" t="s">
        <v>10</v>
      </c>
      <c r="AE20" s="14">
        <f t="shared" si="17"/>
        <v>9</v>
      </c>
      <c r="AF20" s="244" t="s">
        <v>212</v>
      </c>
      <c r="AH20" s="101"/>
      <c r="AI20" s="261">
        <v>1043288.34</v>
      </c>
      <c r="AJ20" s="14">
        <v>9</v>
      </c>
      <c r="AK20" s="68"/>
      <c r="AL20" s="78"/>
      <c r="AM20" s="262"/>
      <c r="AN20" s="14">
        <f t="shared" si="18"/>
        <v>9</v>
      </c>
      <c r="AO20" s="263" t="s">
        <v>213</v>
      </c>
      <c r="AP20" s="101"/>
      <c r="AQ20" s="101"/>
      <c r="AR20" s="101"/>
      <c r="AS20" s="101"/>
      <c r="AT20" s="254"/>
      <c r="AU20" s="264">
        <f>AV16</f>
        <v>5.084E-3</v>
      </c>
      <c r="AV20" s="101"/>
      <c r="AW20" s="14">
        <f t="shared" si="9"/>
        <v>9</v>
      </c>
      <c r="AX20" s="106" t="s">
        <v>171</v>
      </c>
      <c r="AY20" s="139"/>
      <c r="AZ20" s="139"/>
      <c r="BA20" s="265">
        <f>BA17-BA18</f>
        <v>1923840.6244517209</v>
      </c>
      <c r="BB20" s="14">
        <v>9</v>
      </c>
      <c r="BC20" s="214" t="s">
        <v>214</v>
      </c>
      <c r="BD20" s="4"/>
      <c r="BE20" s="136">
        <f>BE14+BE18</f>
        <v>0</v>
      </c>
      <c r="BF20" s="14">
        <f t="shared" si="10"/>
        <v>9</v>
      </c>
      <c r="BG20" s="68" t="s">
        <v>171</v>
      </c>
      <c r="BH20" s="189"/>
      <c r="BI20" s="189"/>
      <c r="BJ20" s="266">
        <f>BJ16-BJ18</f>
        <v>0</v>
      </c>
      <c r="BK20" s="14">
        <f t="shared" si="0"/>
        <v>9</v>
      </c>
      <c r="BL20" s="68" t="s">
        <v>171</v>
      </c>
      <c r="BM20" s="254"/>
      <c r="BN20" s="211"/>
      <c r="BO20" s="191">
        <f>BO17-BO19</f>
        <v>0</v>
      </c>
      <c r="BT20" s="14">
        <f t="shared" si="19"/>
        <v>9</v>
      </c>
      <c r="BU20" s="68" t="s">
        <v>171</v>
      </c>
      <c r="BV20" s="254"/>
      <c r="BW20" s="211"/>
      <c r="BX20" s="191">
        <f>+BX16-BX18</f>
        <v>13040501.7795</v>
      </c>
      <c r="BY20" s="117">
        <f t="shared" si="11"/>
        <v>9</v>
      </c>
      <c r="BZ20" s="68" t="s">
        <v>171</v>
      </c>
      <c r="CC20" s="265">
        <f>CC17-CC18</f>
        <v>-1920125.0175869092</v>
      </c>
      <c r="CD20" s="117"/>
      <c r="CE20" s="68"/>
      <c r="CI20" s="120">
        <f t="shared" si="13"/>
        <v>9</v>
      </c>
      <c r="CJ20" s="84" t="s">
        <v>171</v>
      </c>
      <c r="CK20" s="84"/>
      <c r="CL20" s="84"/>
      <c r="CM20" s="267">
        <f>-CM16-CM18</f>
        <v>0</v>
      </c>
      <c r="CN20" s="14">
        <v>9</v>
      </c>
      <c r="CO20" s="68" t="str">
        <f>"CONVERSION FACTOR ( 1 - LINE "&amp;CN19&amp;" )"</f>
        <v>CONVERSION FACTOR ( 1 - LINE 8 )</v>
      </c>
      <c r="CR20" s="268">
        <f>ROUND(1-CR19-CR16,6)</f>
        <v>0.62034599999999995</v>
      </c>
      <c r="CS20" s="14">
        <f>CS19+1</f>
        <v>7</v>
      </c>
      <c r="CU20" s="74"/>
      <c r="CV20" s="74" t="s">
        <v>10</v>
      </c>
      <c r="CW20" s="74" t="s">
        <v>10</v>
      </c>
      <c r="CX20" s="74" t="s">
        <v>10</v>
      </c>
      <c r="CY20" s="74" t="s">
        <v>10</v>
      </c>
      <c r="CZ20" s="74" t="s">
        <v>10</v>
      </c>
      <c r="DA20" s="74" t="s">
        <v>10</v>
      </c>
      <c r="DB20" s="74"/>
      <c r="DC20" s="74"/>
      <c r="DD20" s="74" t="s">
        <v>10</v>
      </c>
      <c r="DE20" s="14">
        <f>DE19+1</f>
        <v>7</v>
      </c>
      <c r="DG20" s="74"/>
      <c r="DH20" s="74"/>
      <c r="DI20" s="74"/>
      <c r="DJ20" s="74" t="s">
        <v>10</v>
      </c>
      <c r="DK20" s="74" t="s">
        <v>10</v>
      </c>
      <c r="DL20" s="74"/>
      <c r="DM20" s="74"/>
      <c r="DN20" s="74"/>
      <c r="DO20" s="74"/>
      <c r="DP20" s="74"/>
      <c r="DQ20" s="14">
        <f>+DQ19+1</f>
        <v>7</v>
      </c>
      <c r="DS20" s="77"/>
      <c r="DT20" s="77"/>
    </row>
    <row r="21" spans="1:125" ht="15" customHeight="1" thickTop="1">
      <c r="A21" s="87">
        <f t="shared" si="14"/>
        <v>11</v>
      </c>
      <c r="B21" s="152"/>
      <c r="C21" s="153"/>
      <c r="D21" s="154"/>
      <c r="E21" s="155"/>
      <c r="F21" s="155"/>
      <c r="H21" s="87">
        <f t="shared" si="3"/>
        <v>11</v>
      </c>
      <c r="I21" s="68"/>
      <c r="J21" s="240"/>
      <c r="K21" s="129"/>
      <c r="L21" s="101"/>
      <c r="M21" s="14"/>
      <c r="N21" s="257"/>
      <c r="O21" s="269"/>
      <c r="P21" s="269"/>
      <c r="Q21" s="269"/>
      <c r="R21" s="14">
        <f t="shared" si="6"/>
        <v>10</v>
      </c>
      <c r="S21" s="259"/>
      <c r="T21" s="260"/>
      <c r="U21" s="160"/>
      <c r="V21" s="112"/>
      <c r="W21" s="14">
        <f t="shared" si="15"/>
        <v>10</v>
      </c>
      <c r="X21" s="4" t="s">
        <v>10</v>
      </c>
      <c r="Z21" s="98"/>
      <c r="AA21" s="14">
        <f t="shared" si="16"/>
        <v>10</v>
      </c>
      <c r="AD21" s="74"/>
      <c r="AE21" s="14">
        <f t="shared" si="17"/>
        <v>10</v>
      </c>
      <c r="AF21" s="244" t="s">
        <v>215</v>
      </c>
      <c r="AH21" s="101"/>
      <c r="AI21" s="164">
        <v>38676420</v>
      </c>
      <c r="AJ21" s="14"/>
      <c r="AK21" s="68"/>
      <c r="AL21" s="78"/>
      <c r="AM21" s="262"/>
      <c r="AN21" s="14">
        <f t="shared" si="18"/>
        <v>10</v>
      </c>
      <c r="AO21" s="263"/>
      <c r="AP21" s="101"/>
      <c r="AQ21" s="101"/>
      <c r="AR21" s="101"/>
      <c r="AS21" s="101"/>
      <c r="AT21" s="254"/>
      <c r="AU21" s="270"/>
      <c r="AV21" s="101"/>
      <c r="AW21" s="14"/>
      <c r="AX21" s="106"/>
      <c r="AY21" s="139"/>
      <c r="AZ21" s="139"/>
      <c r="BA21" s="271"/>
      <c r="BB21" s="14"/>
      <c r="BC21" s="214"/>
      <c r="BD21" s="4"/>
      <c r="BE21" s="136"/>
      <c r="BF21" s="14"/>
      <c r="BG21" s="68"/>
      <c r="BH21" s="189"/>
      <c r="BI21" s="189"/>
      <c r="BJ21" s="272"/>
      <c r="BK21" s="14"/>
      <c r="BL21" s="68"/>
      <c r="BM21" s="254"/>
      <c r="BN21" s="211"/>
      <c r="BO21" s="272"/>
      <c r="BT21" s="14"/>
      <c r="BU21" s="68"/>
      <c r="BV21" s="254"/>
      <c r="BW21" s="211"/>
      <c r="BX21" s="272"/>
      <c r="BY21" s="117"/>
      <c r="BZ21" s="68"/>
      <c r="CC21" s="271"/>
      <c r="CD21" s="117"/>
      <c r="CE21" s="68"/>
      <c r="CI21" s="120"/>
      <c r="CJ21" s="84"/>
      <c r="CK21" s="84"/>
      <c r="CL21" s="84"/>
      <c r="CM21" s="273"/>
      <c r="CN21" s="14"/>
      <c r="CO21" s="68"/>
      <c r="CR21" s="274"/>
      <c r="CS21" s="14">
        <f t="shared" ref="CS21:CS61" si="25">CS20+1</f>
        <v>8</v>
      </c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14">
        <f t="shared" ref="DE21:DE61" si="26">DE20+1</f>
        <v>8</v>
      </c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14">
        <f t="shared" ref="DQ21:DQ61" si="27">+DQ20+1</f>
        <v>8</v>
      </c>
      <c r="DS21" s="77"/>
      <c r="DT21" s="77"/>
    </row>
    <row r="22" spans="1:125" ht="15" customHeight="1" thickBot="1">
      <c r="A22" s="87">
        <f t="shared" si="14"/>
        <v>12</v>
      </c>
      <c r="B22" s="152">
        <v>40940</v>
      </c>
      <c r="C22" s="153">
        <v>2069633.5549999999</v>
      </c>
      <c r="D22" s="154">
        <v>2081677.80351</v>
      </c>
      <c r="E22" s="155">
        <v>12044.248510000063</v>
      </c>
      <c r="F22" s="155">
        <v>11213.19536</v>
      </c>
      <c r="H22" s="87">
        <f t="shared" si="3"/>
        <v>12</v>
      </c>
      <c r="I22" s="174" t="s">
        <v>205</v>
      </c>
      <c r="J22" s="240"/>
      <c r="K22" s="211"/>
      <c r="L22" s="275">
        <f>SUM(K19:K20)</f>
        <v>89429.038966959997</v>
      </c>
      <c r="M22" s="14">
        <f>M20+1</f>
        <v>10</v>
      </c>
      <c r="N22" s="257"/>
      <c r="O22" s="257"/>
      <c r="P22" s="257"/>
      <c r="Q22" s="257"/>
      <c r="R22" s="14">
        <f t="shared" si="6"/>
        <v>11</v>
      </c>
      <c r="U22" s="80"/>
      <c r="V22" s="276"/>
      <c r="W22" s="14">
        <f t="shared" si="15"/>
        <v>11</v>
      </c>
      <c r="X22" s="68" t="s">
        <v>216</v>
      </c>
      <c r="Y22" s="277">
        <v>0.36</v>
      </c>
      <c r="Z22" s="183" t="s">
        <v>10</v>
      </c>
      <c r="AA22" s="14">
        <f t="shared" si="16"/>
        <v>11</v>
      </c>
      <c r="AB22" s="4" t="s">
        <v>206</v>
      </c>
      <c r="AC22" s="254">
        <v>0.35</v>
      </c>
      <c r="AD22" s="115">
        <f>+AD19*0.35</f>
        <v>-9321214.0490510222</v>
      </c>
      <c r="AE22" s="14">
        <f t="shared" si="17"/>
        <v>11</v>
      </c>
      <c r="AF22" s="244"/>
      <c r="AI22" s="278"/>
      <c r="AJ22" s="14">
        <v>10</v>
      </c>
      <c r="AK22" s="68" t="s">
        <v>217</v>
      </c>
      <c r="AL22" s="279"/>
      <c r="AN22" s="14">
        <f t="shared" si="18"/>
        <v>11</v>
      </c>
      <c r="AO22" s="263" t="s">
        <v>218</v>
      </c>
      <c r="AP22" s="101"/>
      <c r="AQ22" s="101"/>
      <c r="AR22" s="101"/>
      <c r="AS22" s="101"/>
      <c r="AT22" s="101"/>
      <c r="AU22" s="91">
        <f>ROUND(AU18*AU20,0)</f>
        <v>10778122</v>
      </c>
      <c r="AV22" s="91"/>
      <c r="BB22" s="14">
        <v>10</v>
      </c>
      <c r="BC22" s="4"/>
      <c r="BD22" s="4"/>
      <c r="BE22" s="4"/>
      <c r="BF22" s="14"/>
      <c r="BG22" s="68"/>
      <c r="BH22" s="189"/>
      <c r="BI22" s="189"/>
      <c r="BJ22" s="280"/>
      <c r="BK22" s="14"/>
      <c r="BL22" s="7"/>
      <c r="BM22" s="211"/>
      <c r="BN22" s="211"/>
      <c r="BO22" s="281"/>
      <c r="BT22" s="14"/>
      <c r="BU22" s="134"/>
      <c r="BV22" s="132"/>
      <c r="BW22" s="132"/>
      <c r="BX22" s="132"/>
      <c r="BY22" s="117"/>
      <c r="CI22" s="117"/>
      <c r="CR22" s="14"/>
      <c r="CS22" s="14">
        <f t="shared" si="25"/>
        <v>9</v>
      </c>
      <c r="CT22" s="68" t="s">
        <v>219</v>
      </c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14">
        <f t="shared" si="26"/>
        <v>9</v>
      </c>
      <c r="DF22" s="68" t="s">
        <v>219</v>
      </c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14">
        <f t="shared" si="27"/>
        <v>9</v>
      </c>
      <c r="DR22" s="113" t="s">
        <v>219</v>
      </c>
      <c r="DS22" s="77"/>
      <c r="DT22" s="77"/>
      <c r="DU22" s="74"/>
    </row>
    <row r="23" spans="1:125" ht="15" customHeight="1" thickTop="1">
      <c r="A23" s="87">
        <f t="shared" si="14"/>
        <v>13</v>
      </c>
      <c r="B23" s="152">
        <v>40969</v>
      </c>
      <c r="C23" s="153">
        <v>2153018.0389999999</v>
      </c>
      <c r="D23" s="154">
        <v>2100451.3324199999</v>
      </c>
      <c r="E23" s="155">
        <v>-52566.706579999998</v>
      </c>
      <c r="F23" s="155">
        <v>-48939.60383</v>
      </c>
      <c r="H23" s="87">
        <f t="shared" si="3"/>
        <v>13</v>
      </c>
      <c r="I23" s="68"/>
      <c r="J23" s="240"/>
      <c r="K23" s="281"/>
      <c r="L23" s="101"/>
      <c r="M23" s="14">
        <f t="shared" si="4"/>
        <v>11</v>
      </c>
      <c r="N23" s="257" t="s">
        <v>220</v>
      </c>
      <c r="O23" s="157">
        <f>-O18</f>
        <v>0</v>
      </c>
      <c r="P23" s="257"/>
      <c r="Q23" s="257"/>
      <c r="R23" s="14">
        <f t="shared" si="6"/>
        <v>12</v>
      </c>
      <c r="S23" s="282" t="s">
        <v>221</v>
      </c>
      <c r="U23" s="98"/>
      <c r="V23" s="276">
        <f>V20</f>
        <v>9373130.7899999991</v>
      </c>
      <c r="W23" s="14">
        <f t="shared" si="15"/>
        <v>12</v>
      </c>
      <c r="X23" s="4" t="s">
        <v>222</v>
      </c>
      <c r="Y23" s="283"/>
      <c r="Z23" s="284">
        <f>Z20*Y22</f>
        <v>77103225.564775169</v>
      </c>
      <c r="AA23" s="14">
        <f t="shared" si="16"/>
        <v>12</v>
      </c>
      <c r="AB23" s="78"/>
      <c r="AC23" s="285"/>
      <c r="AD23" s="286"/>
      <c r="AE23" s="14">
        <f t="shared" si="17"/>
        <v>12</v>
      </c>
      <c r="AF23" s="134" t="s">
        <v>223</v>
      </c>
      <c r="AG23" s="237"/>
      <c r="AI23" s="287">
        <f>SUM(AI13:AI22)</f>
        <v>145311923.39723194</v>
      </c>
      <c r="AJ23" s="14">
        <v>11</v>
      </c>
      <c r="AK23" s="68"/>
      <c r="AL23" s="159"/>
      <c r="AN23" s="14">
        <f t="shared" si="18"/>
        <v>12</v>
      </c>
      <c r="BB23" s="14">
        <v>11</v>
      </c>
      <c r="BC23" s="4" t="s">
        <v>224</v>
      </c>
      <c r="BD23" s="4"/>
      <c r="BE23" s="136">
        <f>-(BE14+BE18)</f>
        <v>0</v>
      </c>
      <c r="BF23" s="68" t="s">
        <v>10</v>
      </c>
      <c r="BG23" s="68"/>
      <c r="BH23" s="189"/>
      <c r="BI23" s="189"/>
      <c r="BJ23" s="189"/>
      <c r="BT23" s="14"/>
      <c r="BU23" s="134"/>
      <c r="BV23" s="132"/>
      <c r="BW23" s="132"/>
      <c r="BX23" s="132"/>
      <c r="BY23" s="117"/>
      <c r="CA23" s="134"/>
      <c r="CB23" s="288"/>
      <c r="CC23" s="288"/>
      <c r="CD23" s="288"/>
      <c r="CE23" s="288"/>
      <c r="CF23" s="288"/>
      <c r="CG23" s="288"/>
      <c r="CH23" s="288"/>
      <c r="CI23" s="117"/>
      <c r="CK23" s="134"/>
      <c r="CL23" s="288"/>
      <c r="CM23" s="288"/>
      <c r="CR23" s="3"/>
      <c r="CS23" s="14">
        <f t="shared" si="25"/>
        <v>10</v>
      </c>
      <c r="DE23" s="14">
        <f t="shared" si="26"/>
        <v>10</v>
      </c>
      <c r="DQ23" s="14">
        <f t="shared" si="27"/>
        <v>10</v>
      </c>
      <c r="DS23" s="77"/>
      <c r="DT23" s="77"/>
    </row>
    <row r="24" spans="1:125" ht="15" customHeight="1" thickBot="1">
      <c r="A24" s="87">
        <f t="shared" si="14"/>
        <v>14</v>
      </c>
      <c r="B24" s="152">
        <v>41000</v>
      </c>
      <c r="C24" s="153">
        <v>1772924.058</v>
      </c>
      <c r="D24" s="154">
        <v>1787806.9559899999</v>
      </c>
      <c r="E24" s="155">
        <v>14882.897989999969</v>
      </c>
      <c r="F24" s="155">
        <v>13855.97803</v>
      </c>
      <c r="H24" s="87">
        <f t="shared" si="3"/>
        <v>14</v>
      </c>
      <c r="I24" s="68" t="s">
        <v>225</v>
      </c>
      <c r="J24" s="240">
        <f>+UTN</f>
        <v>3.8537000000000002E-2</v>
      </c>
      <c r="K24" s="289">
        <f>L17*J24</f>
        <v>486494.47694378003</v>
      </c>
      <c r="L24" s="101"/>
      <c r="M24" s="14">
        <f t="shared" si="4"/>
        <v>12</v>
      </c>
      <c r="N24" s="257" t="s">
        <v>226</v>
      </c>
      <c r="O24" s="157"/>
      <c r="P24" s="257"/>
      <c r="Q24" s="257"/>
      <c r="R24" s="14">
        <f t="shared" si="6"/>
        <v>13</v>
      </c>
      <c r="S24" s="282"/>
      <c r="U24" s="98"/>
      <c r="V24" s="276"/>
      <c r="W24" s="14">
        <f t="shared" si="15"/>
        <v>13</v>
      </c>
      <c r="X24" s="4" t="s">
        <v>227</v>
      </c>
      <c r="Y24" s="5"/>
      <c r="Z24" s="284" t="s">
        <v>10</v>
      </c>
      <c r="AA24" s="14">
        <f t="shared" si="16"/>
        <v>13</v>
      </c>
      <c r="AB24" s="68" t="s">
        <v>228</v>
      </c>
      <c r="AC24" s="290"/>
      <c r="AD24" s="291">
        <f>-AD22</f>
        <v>9321214.0490510222</v>
      </c>
      <c r="AE24" s="14">
        <f t="shared" si="17"/>
        <v>13</v>
      </c>
      <c r="AF24" s="292"/>
      <c r="AH24" s="136"/>
      <c r="AI24" s="78"/>
      <c r="AJ24" s="14">
        <v>12</v>
      </c>
      <c r="AK24" s="215" t="s">
        <v>229</v>
      </c>
      <c r="AL24" s="216">
        <f>+AL22/2</f>
        <v>0</v>
      </c>
      <c r="AN24" s="14">
        <f t="shared" si="18"/>
        <v>13</v>
      </c>
      <c r="AO24" s="4" t="s">
        <v>230</v>
      </c>
      <c r="AU24" s="293">
        <v>11316277.59</v>
      </c>
      <c r="BB24" s="14">
        <v>12</v>
      </c>
      <c r="BC24" s="4"/>
      <c r="BD24" s="4"/>
      <c r="BE24" s="4"/>
      <c r="BF24" s="68"/>
      <c r="BG24" s="68"/>
      <c r="BH24" s="189"/>
      <c r="BI24" s="189"/>
      <c r="BJ24" s="189"/>
      <c r="BT24" s="14"/>
      <c r="BU24" s="134"/>
      <c r="BV24" s="132"/>
      <c r="BW24" s="132"/>
      <c r="BX24" s="132"/>
      <c r="BY24" s="117"/>
      <c r="BZ24" s="68"/>
      <c r="CA24" s="134"/>
      <c r="CB24" s="288"/>
      <c r="CC24" s="288"/>
      <c r="CD24" s="288"/>
      <c r="CE24" s="288"/>
      <c r="CF24" s="288"/>
      <c r="CG24" s="288"/>
      <c r="CH24" s="288"/>
      <c r="CI24" s="117"/>
      <c r="CJ24" s="68"/>
      <c r="CK24" s="134"/>
      <c r="CL24" s="288"/>
      <c r="CM24" s="288"/>
      <c r="CR24" s="294"/>
      <c r="CS24" s="14">
        <f t="shared" si="25"/>
        <v>11</v>
      </c>
      <c r="CT24" s="68" t="s">
        <v>231</v>
      </c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14">
        <f t="shared" si="26"/>
        <v>11</v>
      </c>
      <c r="DF24" s="68" t="s">
        <v>231</v>
      </c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14">
        <f t="shared" si="27"/>
        <v>11</v>
      </c>
      <c r="DR24" s="76" t="s">
        <v>231</v>
      </c>
      <c r="DS24" s="77"/>
      <c r="DT24" s="77"/>
      <c r="DU24" s="74"/>
    </row>
    <row r="25" spans="1:125" ht="15" customHeight="1" thickTop="1">
      <c r="A25" s="87">
        <f t="shared" si="14"/>
        <v>15</v>
      </c>
      <c r="B25" s="152">
        <v>41030</v>
      </c>
      <c r="C25" s="153">
        <v>1714905.054</v>
      </c>
      <c r="D25" s="154">
        <v>1713355.3382900001</v>
      </c>
      <c r="E25" s="155">
        <v>-1549.7157099999022</v>
      </c>
      <c r="F25" s="155">
        <v>-1442.7853299999999</v>
      </c>
      <c r="H25" s="87">
        <f t="shared" si="3"/>
        <v>15</v>
      </c>
      <c r="I25" s="174" t="s">
        <v>232</v>
      </c>
      <c r="K25" s="281"/>
      <c r="L25" s="295">
        <f>SUM(K24:K24)</f>
        <v>486494.47694378003</v>
      </c>
      <c r="M25" s="14">
        <f t="shared" si="4"/>
        <v>13</v>
      </c>
      <c r="N25" s="92" t="s">
        <v>93</v>
      </c>
      <c r="O25" s="258">
        <f>SUM(O20:O24)</f>
        <v>0</v>
      </c>
      <c r="P25" s="257"/>
      <c r="Q25" s="257"/>
      <c r="R25" s="14">
        <f t="shared" si="6"/>
        <v>14</v>
      </c>
      <c r="S25" s="4" t="s">
        <v>191</v>
      </c>
      <c r="U25" s="254">
        <f>FIT</f>
        <v>0.35</v>
      </c>
      <c r="V25" s="222">
        <f>-V23*U25</f>
        <v>-3280595.7764999997</v>
      </c>
      <c r="W25" s="14">
        <f t="shared" si="15"/>
        <v>14</v>
      </c>
      <c r="X25" s="68" t="s">
        <v>167</v>
      </c>
      <c r="Z25" s="213">
        <f>Z15</f>
        <v>-328882.96709935868</v>
      </c>
      <c r="AA25" s="14"/>
      <c r="AE25" s="14">
        <f t="shared" si="17"/>
        <v>14</v>
      </c>
      <c r="AF25" s="296" t="s">
        <v>233</v>
      </c>
      <c r="AG25" s="297"/>
      <c r="AH25" s="213"/>
      <c r="AI25" s="272"/>
      <c r="AJ25" s="14">
        <v>13</v>
      </c>
      <c r="AK25" s="90" t="s">
        <v>194</v>
      </c>
      <c r="AL25" s="298">
        <v>0</v>
      </c>
      <c r="AN25" s="14">
        <f t="shared" si="18"/>
        <v>14</v>
      </c>
      <c r="AO25" s="4" t="s">
        <v>205</v>
      </c>
      <c r="AV25" s="299">
        <f>ROUND(AU22-AU24,0)</f>
        <v>-538156</v>
      </c>
      <c r="BB25" s="14">
        <v>13</v>
      </c>
      <c r="BC25" s="4" t="s">
        <v>234</v>
      </c>
      <c r="BD25" s="300">
        <v>0.35</v>
      </c>
      <c r="BE25" s="301">
        <f>BE23*BD25</f>
        <v>0</v>
      </c>
      <c r="BF25" s="68"/>
      <c r="BG25" s="68"/>
      <c r="BH25" s="189"/>
      <c r="BI25" s="189"/>
      <c r="BJ25" s="189"/>
      <c r="BT25" s="14"/>
      <c r="BU25" s="134"/>
      <c r="BV25" s="132"/>
      <c r="BW25" s="302"/>
      <c r="BX25" s="132"/>
      <c r="BY25" s="303"/>
      <c r="BZ25" s="67"/>
      <c r="CA25" s="285"/>
      <c r="CB25" s="285"/>
      <c r="CC25" s="285"/>
      <c r="CD25" s="285"/>
      <c r="CE25" s="285"/>
      <c r="CF25" s="285"/>
      <c r="CG25" s="285"/>
      <c r="CH25" s="285"/>
      <c r="CI25" s="303"/>
      <c r="CJ25" s="67"/>
      <c r="CK25" s="285"/>
      <c r="CL25" s="285"/>
      <c r="CM25" s="285"/>
      <c r="CR25" s="3"/>
      <c r="CS25" s="14">
        <f t="shared" si="25"/>
        <v>12</v>
      </c>
      <c r="CT25" s="68" t="s">
        <v>235</v>
      </c>
      <c r="CU25" s="98">
        <v>218160727.799999</v>
      </c>
      <c r="CV25" s="98">
        <v>0</v>
      </c>
      <c r="CW25" s="98">
        <v>0</v>
      </c>
      <c r="CX25" s="98">
        <f>Q13</f>
        <v>0</v>
      </c>
      <c r="CY25" s="98"/>
      <c r="CZ25" s="98">
        <v>0</v>
      </c>
      <c r="DA25" s="98">
        <v>0</v>
      </c>
      <c r="DB25" s="98">
        <v>0</v>
      </c>
      <c r="DC25" s="98"/>
      <c r="DD25" s="98">
        <v>0</v>
      </c>
      <c r="DE25" s="14">
        <f t="shared" si="26"/>
        <v>12</v>
      </c>
      <c r="DF25" s="68" t="s">
        <v>235</v>
      </c>
      <c r="DG25" s="98"/>
      <c r="DH25" s="98">
        <v>0</v>
      </c>
      <c r="DI25" s="98">
        <v>0</v>
      </c>
      <c r="DJ25" s="98">
        <v>0</v>
      </c>
      <c r="DK25" s="98">
        <v>0</v>
      </c>
      <c r="DL25" s="98">
        <v>0</v>
      </c>
      <c r="DM25" s="98">
        <v>0</v>
      </c>
      <c r="DN25" s="98"/>
      <c r="DO25" s="98"/>
      <c r="DP25" s="98">
        <f>SUM(CV25:DO25)-DE25</f>
        <v>0</v>
      </c>
      <c r="DQ25" s="14">
        <f t="shared" si="27"/>
        <v>12</v>
      </c>
      <c r="DR25" s="68" t="s">
        <v>143</v>
      </c>
      <c r="DS25" s="136">
        <f>+CU25</f>
        <v>218160727.799999</v>
      </c>
      <c r="DT25" s="136">
        <f>+DP25</f>
        <v>0</v>
      </c>
      <c r="DU25" s="98">
        <f>SUM(DS25:DT25)</f>
        <v>218160727.799999</v>
      </c>
    </row>
    <row r="26" spans="1:125" ht="15" customHeight="1" thickBot="1">
      <c r="A26" s="87">
        <f t="shared" si="14"/>
        <v>16</v>
      </c>
      <c r="B26" s="152">
        <v>41061</v>
      </c>
      <c r="C26" s="153">
        <v>1603914.5830000001</v>
      </c>
      <c r="D26" s="154">
        <v>1614541.98407</v>
      </c>
      <c r="E26" s="155">
        <v>10627.401069999905</v>
      </c>
      <c r="F26" s="155">
        <v>9894.1103999999996</v>
      </c>
      <c r="H26" s="87">
        <f t="shared" si="3"/>
        <v>16</v>
      </c>
      <c r="I26" s="68"/>
      <c r="L26" s="213"/>
      <c r="M26" s="14">
        <f t="shared" si="4"/>
        <v>14</v>
      </c>
      <c r="N26" s="257" t="s">
        <v>201</v>
      </c>
      <c r="O26" s="304">
        <f>-O19</f>
        <v>0</v>
      </c>
      <c r="P26" s="257"/>
      <c r="Q26" s="257"/>
      <c r="R26" s="14">
        <f t="shared" si="6"/>
        <v>15</v>
      </c>
      <c r="S26" s="68" t="s">
        <v>171</v>
      </c>
      <c r="T26" s="68"/>
      <c r="U26" s="77"/>
      <c r="V26" s="191">
        <f>-V23-V25</f>
        <v>-6092535.0134999994</v>
      </c>
      <c r="W26" s="14">
        <f t="shared" si="15"/>
        <v>15</v>
      </c>
      <c r="X26" s="68" t="s">
        <v>175</v>
      </c>
      <c r="Y26" s="305">
        <v>0</v>
      </c>
      <c r="Z26" s="306">
        <f>Z16</f>
        <v>68601444.118499994</v>
      </c>
      <c r="AA26" s="14"/>
      <c r="AE26" s="14">
        <f t="shared" si="17"/>
        <v>15</v>
      </c>
      <c r="AF26" s="214" t="s">
        <v>33</v>
      </c>
      <c r="AG26" s="78"/>
      <c r="AH26" s="240">
        <f>+BD</f>
        <v>5.084E-3</v>
      </c>
      <c r="AI26" s="261">
        <f>(AI23-AI20-AI21)*-AH26</f>
        <v>-536830.82135096716</v>
      </c>
      <c r="AJ26" s="14">
        <v>14</v>
      </c>
      <c r="AK26" s="68" t="s">
        <v>205</v>
      </c>
      <c r="AL26" s="307">
        <f>+AL24-AL25</f>
        <v>0</v>
      </c>
      <c r="AM26" s="308">
        <f>+AL26</f>
        <v>0</v>
      </c>
      <c r="AN26" s="14">
        <f t="shared" si="18"/>
        <v>15</v>
      </c>
      <c r="BB26" s="14">
        <v>14</v>
      </c>
      <c r="BC26" s="4"/>
      <c r="BD26" s="300"/>
      <c r="BE26" s="301"/>
      <c r="BF26" s="68"/>
      <c r="BG26" s="68"/>
      <c r="BH26" s="68"/>
      <c r="BI26" s="309"/>
      <c r="BJ26" s="189"/>
      <c r="BN26" s="136"/>
      <c r="BT26" s="14"/>
      <c r="BU26" s="134"/>
      <c r="BV26" s="132"/>
      <c r="BW26" s="132"/>
      <c r="BX26" s="132"/>
      <c r="BY26" s="303"/>
      <c r="BZ26" s="78"/>
      <c r="CA26" s="107"/>
      <c r="CB26" s="107"/>
      <c r="CC26" s="107"/>
      <c r="CD26" s="107"/>
      <c r="CE26" s="107"/>
      <c r="CF26" s="107"/>
      <c r="CG26" s="107"/>
      <c r="CH26" s="107"/>
      <c r="CI26" s="303"/>
      <c r="CJ26" s="78"/>
      <c r="CK26" s="107"/>
      <c r="CL26" s="107"/>
      <c r="CM26" s="107"/>
      <c r="CR26" s="3"/>
      <c r="CS26" s="14">
        <f t="shared" si="25"/>
        <v>13</v>
      </c>
      <c r="CT26" s="68" t="s">
        <v>236</v>
      </c>
      <c r="CU26" s="80">
        <v>717639197.38999999</v>
      </c>
      <c r="CV26" s="80"/>
      <c r="CW26" s="80"/>
      <c r="CX26" s="80">
        <f>SUM(Q14:Q16)</f>
        <v>0</v>
      </c>
      <c r="CY26" s="80"/>
      <c r="CZ26" s="80"/>
      <c r="DA26" s="80"/>
      <c r="DB26" s="80">
        <f>AI38</f>
        <v>-2586725.58</v>
      </c>
      <c r="DC26" s="80"/>
      <c r="DD26" s="80"/>
      <c r="DE26" s="14">
        <f t="shared" si="26"/>
        <v>13</v>
      </c>
      <c r="DF26" s="68" t="s">
        <v>236</v>
      </c>
      <c r="DG26" s="80"/>
      <c r="DH26" s="80"/>
      <c r="DI26" s="80"/>
      <c r="DJ26" s="80"/>
      <c r="DK26" s="80"/>
      <c r="DL26" s="80"/>
      <c r="DM26" s="80"/>
      <c r="DN26" s="80"/>
      <c r="DO26" s="80"/>
      <c r="DP26" s="80">
        <f>SUM(CV26:DO26)-DE26</f>
        <v>-2586725.58</v>
      </c>
      <c r="DQ26" s="14">
        <f t="shared" si="27"/>
        <v>13</v>
      </c>
      <c r="DR26" s="68" t="s">
        <v>153</v>
      </c>
      <c r="DS26" s="101">
        <f>+CU26</f>
        <v>717639197.38999999</v>
      </c>
      <c r="DT26" s="101">
        <f>+DP26</f>
        <v>-2586725.58</v>
      </c>
      <c r="DU26" s="80">
        <f>SUM(DS26:DT26)</f>
        <v>715052471.80999994</v>
      </c>
    </row>
    <row r="27" spans="1:125" ht="15" customHeight="1" thickTop="1" thickBot="1">
      <c r="A27" s="87">
        <f t="shared" si="14"/>
        <v>17</v>
      </c>
      <c r="C27" s="310">
        <f>SUM(C14:C26)</f>
        <v>22935264.493999999</v>
      </c>
      <c r="D27" s="310">
        <f>SUM(D14:D26)</f>
        <v>22830478.830069996</v>
      </c>
      <c r="E27" s="310">
        <f>SUM(E14:E26)</f>
        <v>-104785.66393000074</v>
      </c>
      <c r="F27" s="311">
        <f>SUM(F14:F26)</f>
        <v>-97555.453120000006</v>
      </c>
      <c r="H27" s="87">
        <f t="shared" si="3"/>
        <v>17</v>
      </c>
      <c r="I27" s="68"/>
      <c r="K27" s="211"/>
      <c r="L27" s="295"/>
      <c r="M27" s="14">
        <f t="shared" si="4"/>
        <v>15</v>
      </c>
      <c r="N27" s="257" t="s">
        <v>237</v>
      </c>
      <c r="O27" s="312">
        <f>SUM(O25:O26)</f>
        <v>0</v>
      </c>
      <c r="P27" s="257"/>
      <c r="Q27" s="257"/>
      <c r="R27" s="7"/>
      <c r="S27" s="7"/>
      <c r="T27" s="7"/>
      <c r="U27" s="7"/>
      <c r="V27" s="7"/>
      <c r="W27" s="14">
        <f t="shared" si="15"/>
        <v>16</v>
      </c>
      <c r="X27" s="313"/>
      <c r="Z27" s="133"/>
      <c r="AA27" s="14"/>
      <c r="AC27" s="290"/>
      <c r="AD27" s="134"/>
      <c r="AE27" s="14">
        <f t="shared" si="17"/>
        <v>16</v>
      </c>
      <c r="AF27" s="214" t="s">
        <v>151</v>
      </c>
      <c r="AG27" s="78"/>
      <c r="AH27" s="240">
        <f>+FF</f>
        <v>2E-3</v>
      </c>
      <c r="AI27" s="261">
        <f>(AI23-AI20-AI21)*-AH27</f>
        <v>-211184.43011446387</v>
      </c>
      <c r="AJ27" s="14">
        <v>15</v>
      </c>
      <c r="AM27" s="197"/>
      <c r="AN27" s="14">
        <f t="shared" si="18"/>
        <v>16</v>
      </c>
      <c r="AO27" s="4" t="s">
        <v>171</v>
      </c>
      <c r="AV27" s="136">
        <f>-AV25</f>
        <v>538156</v>
      </c>
      <c r="BB27" s="14">
        <v>15</v>
      </c>
      <c r="BC27" s="4" t="s">
        <v>238</v>
      </c>
      <c r="BD27" s="4"/>
      <c r="BE27" s="266">
        <f>BE23-BE25</f>
        <v>0</v>
      </c>
      <c r="BF27" s="68"/>
      <c r="BG27" s="68"/>
      <c r="BH27" s="68"/>
      <c r="BI27" s="68"/>
      <c r="BJ27" s="189"/>
      <c r="BK27" s="77"/>
      <c r="BN27" s="5"/>
      <c r="BT27" s="14"/>
      <c r="BV27" s="213"/>
      <c r="BW27" s="213"/>
      <c r="BX27" s="213"/>
      <c r="BY27" s="303"/>
      <c r="BZ27" s="78"/>
      <c r="CA27" s="213"/>
      <c r="CB27" s="213"/>
      <c r="CC27" s="147"/>
      <c r="CD27" s="147"/>
      <c r="CE27" s="147"/>
      <c r="CF27" s="147"/>
      <c r="CG27" s="147"/>
      <c r="CH27" s="147"/>
      <c r="CI27" s="303"/>
      <c r="CJ27" s="78"/>
      <c r="CK27" s="213"/>
      <c r="CL27" s="213"/>
      <c r="CM27" s="147"/>
      <c r="CR27" s="3"/>
      <c r="CS27" s="14">
        <f t="shared" si="25"/>
        <v>14</v>
      </c>
      <c r="CT27" s="68" t="s">
        <v>239</v>
      </c>
      <c r="CU27" s="80">
        <v>84269117.239999995</v>
      </c>
      <c r="CV27" s="80"/>
      <c r="CW27" s="80"/>
      <c r="CX27" s="80">
        <f>Q17</f>
        <v>0</v>
      </c>
      <c r="CY27" s="80"/>
      <c r="CZ27" s="80"/>
      <c r="DA27" s="80"/>
      <c r="DB27" s="80"/>
      <c r="DC27" s="80"/>
      <c r="DD27" s="80"/>
      <c r="DE27" s="14">
        <f t="shared" si="26"/>
        <v>14</v>
      </c>
      <c r="DF27" s="68" t="s">
        <v>239</v>
      </c>
      <c r="DG27" s="80"/>
      <c r="DH27" s="80"/>
      <c r="DI27" s="80"/>
      <c r="DJ27" s="80"/>
      <c r="DK27" s="80"/>
      <c r="DL27" s="80"/>
      <c r="DM27" s="80"/>
      <c r="DN27" s="80"/>
      <c r="DO27" s="80"/>
      <c r="DP27" s="80">
        <f>SUM(CV27:DO27)-DE27</f>
        <v>0</v>
      </c>
      <c r="DQ27" s="14">
        <f t="shared" si="27"/>
        <v>14</v>
      </c>
      <c r="DR27" s="68" t="s">
        <v>186</v>
      </c>
      <c r="DS27" s="101">
        <f>+CU27</f>
        <v>84269117.239999995</v>
      </c>
      <c r="DT27" s="101">
        <f>+DP27</f>
        <v>0</v>
      </c>
      <c r="DU27" s="80">
        <f>SUM(DS27:DT27)</f>
        <v>84269117.239999995</v>
      </c>
    </row>
    <row r="28" spans="1:125" ht="15" customHeight="1" thickTop="1">
      <c r="A28" s="87">
        <f t="shared" si="14"/>
        <v>18</v>
      </c>
      <c r="C28" s="5"/>
      <c r="D28" s="5"/>
      <c r="H28" s="87">
        <f t="shared" si="3"/>
        <v>18</v>
      </c>
      <c r="I28" s="68"/>
      <c r="K28" s="211"/>
      <c r="L28" s="295"/>
      <c r="M28" s="14">
        <f t="shared" si="4"/>
        <v>16</v>
      </c>
      <c r="N28" s="314" t="s">
        <v>240</v>
      </c>
      <c r="O28" s="157"/>
      <c r="P28" s="315"/>
      <c r="Q28" s="269">
        <f>-Q20</f>
        <v>0</v>
      </c>
      <c r="R28" s="7"/>
      <c r="S28" s="7"/>
      <c r="T28" s="7"/>
      <c r="U28" s="7"/>
      <c r="V28" s="7"/>
      <c r="W28" s="14">
        <f t="shared" si="15"/>
        <v>17</v>
      </c>
      <c r="X28" s="106" t="s">
        <v>241</v>
      </c>
      <c r="Y28" s="68"/>
      <c r="Z28" s="316">
        <f>Z23-Z25-Z26</f>
        <v>8830664.4133745283</v>
      </c>
      <c r="AA28" s="14"/>
      <c r="AC28" s="290"/>
      <c r="AD28" s="134"/>
      <c r="AE28" s="14">
        <f t="shared" si="17"/>
        <v>17</v>
      </c>
      <c r="AF28" s="214" t="s">
        <v>242</v>
      </c>
      <c r="AH28" s="240">
        <f>+UTN</f>
        <v>3.8537000000000002E-2</v>
      </c>
      <c r="AI28" s="261">
        <f>(AI23-AI20-AI21)*-AH28</f>
        <v>-4069207.1916605472</v>
      </c>
      <c r="AJ28" s="14">
        <v>16</v>
      </c>
      <c r="AK28" s="68"/>
      <c r="AL28" s="101"/>
      <c r="AM28" s="317"/>
      <c r="AN28" s="14">
        <f t="shared" si="18"/>
        <v>17</v>
      </c>
      <c r="AO28" s="4" t="s">
        <v>243</v>
      </c>
      <c r="AU28" s="237">
        <v>0.35</v>
      </c>
      <c r="AV28" s="198">
        <f>ROUND(-AV25*AU28,0)</f>
        <v>188355</v>
      </c>
      <c r="BB28" s="14"/>
      <c r="BC28" s="4"/>
      <c r="BD28" s="4"/>
      <c r="BE28" s="153"/>
      <c r="BF28" s="68"/>
      <c r="BG28" s="68"/>
      <c r="BH28" s="68"/>
      <c r="BI28" s="68"/>
      <c r="BJ28" s="189"/>
      <c r="BK28" s="77"/>
      <c r="BL28" s="14"/>
      <c r="BM28" s="14"/>
      <c r="BN28" s="136"/>
      <c r="BO28" s="136"/>
      <c r="BT28" s="14"/>
      <c r="BU28" s="134"/>
      <c r="BV28" s="132"/>
      <c r="BW28" s="132"/>
      <c r="BX28" s="132"/>
      <c r="BY28" s="303"/>
      <c r="BZ28" s="318"/>
      <c r="CA28" s="213"/>
      <c r="CB28" s="213"/>
      <c r="CC28" s="147"/>
      <c r="CD28" s="147"/>
      <c r="CE28" s="147"/>
      <c r="CF28" s="147"/>
      <c r="CG28" s="147"/>
      <c r="CH28" s="147"/>
      <c r="CI28" s="303"/>
      <c r="CJ28" s="318"/>
      <c r="CK28" s="213"/>
      <c r="CL28" s="213"/>
      <c r="CM28" s="147"/>
      <c r="CR28" s="3"/>
      <c r="CS28" s="14">
        <f t="shared" si="25"/>
        <v>15</v>
      </c>
      <c r="CT28" s="4" t="s">
        <v>244</v>
      </c>
      <c r="CU28" s="222">
        <v>-72809410.769999996</v>
      </c>
      <c r="CV28" s="222"/>
      <c r="CW28" s="222"/>
      <c r="CX28" s="222">
        <f>Q24</f>
        <v>0</v>
      </c>
      <c r="CY28" s="222"/>
      <c r="CZ28" s="222"/>
      <c r="DA28" s="222"/>
      <c r="DB28" s="222">
        <f>AI35</f>
        <v>72809410.769999996</v>
      </c>
      <c r="DC28" s="222"/>
      <c r="DD28" s="222"/>
      <c r="DE28" s="14">
        <f t="shared" si="26"/>
        <v>15</v>
      </c>
      <c r="DF28" s="4" t="s">
        <v>244</v>
      </c>
      <c r="DG28" s="222"/>
      <c r="DH28" s="222"/>
      <c r="DI28" s="222"/>
      <c r="DJ28" s="222"/>
      <c r="DK28" s="222"/>
      <c r="DL28" s="222"/>
      <c r="DM28" s="222"/>
      <c r="DN28" s="222"/>
      <c r="DO28" s="222"/>
      <c r="DP28" s="222">
        <f>SUM(CV28:DO28)-DE28</f>
        <v>72809410.769999996</v>
      </c>
      <c r="DQ28" s="14">
        <f t="shared" si="27"/>
        <v>15</v>
      </c>
      <c r="DR28" s="4" t="s">
        <v>245</v>
      </c>
      <c r="DS28" s="165">
        <f>+CU28</f>
        <v>-72809410.769999996</v>
      </c>
      <c r="DT28" s="165">
        <f>+DP28</f>
        <v>72809410.769999996</v>
      </c>
      <c r="DU28" s="222">
        <f>SUM(DS28:DT28)</f>
        <v>0</v>
      </c>
    </row>
    <row r="29" spans="1:125" ht="15" customHeight="1" thickBot="1">
      <c r="A29" s="87">
        <f t="shared" si="14"/>
        <v>19</v>
      </c>
      <c r="B29" s="4" t="s">
        <v>246</v>
      </c>
      <c r="C29" s="4" t="s">
        <v>247</v>
      </c>
      <c r="D29" s="133"/>
      <c r="E29" s="319">
        <v>-86266.56441919168</v>
      </c>
      <c r="F29" s="136">
        <v>-8866463</v>
      </c>
      <c r="H29" s="87">
        <f t="shared" si="3"/>
        <v>19</v>
      </c>
      <c r="I29" s="39" t="s">
        <v>248</v>
      </c>
      <c r="K29" s="211"/>
      <c r="L29" s="295"/>
      <c r="M29" s="14">
        <f t="shared" si="4"/>
        <v>17</v>
      </c>
      <c r="N29" s="257"/>
      <c r="O29" s="315"/>
      <c r="P29" s="315" t="s">
        <v>10</v>
      </c>
      <c r="Q29" s="315"/>
      <c r="R29" s="14"/>
      <c r="W29" s="14">
        <f t="shared" si="15"/>
        <v>18</v>
      </c>
      <c r="X29" s="68"/>
      <c r="Z29" s="201">
        <v>0</v>
      </c>
      <c r="AA29" s="14"/>
      <c r="AC29" s="290"/>
      <c r="AD29" s="134"/>
      <c r="AE29" s="14">
        <f t="shared" si="17"/>
        <v>18</v>
      </c>
      <c r="AF29" s="320" t="s">
        <v>249</v>
      </c>
      <c r="AH29" s="240"/>
      <c r="AI29" s="321">
        <f>SUM(AI26:AI28)</f>
        <v>-4817222.4431259781</v>
      </c>
      <c r="AJ29" s="14">
        <v>17</v>
      </c>
      <c r="AK29" s="68" t="s">
        <v>250</v>
      </c>
      <c r="AL29" s="101"/>
      <c r="AM29" s="115">
        <f>+AM19+AM26</f>
        <v>0</v>
      </c>
      <c r="AN29" s="14">
        <f t="shared" si="18"/>
        <v>18</v>
      </c>
      <c r="AO29" s="214" t="s">
        <v>171</v>
      </c>
      <c r="AV29" s="191">
        <f>AV27-AV28</f>
        <v>349801</v>
      </c>
      <c r="BB29" s="14"/>
      <c r="BC29" s="4"/>
      <c r="BD29" s="4"/>
      <c r="BE29" s="153"/>
      <c r="BF29" s="91"/>
      <c r="BG29" s="91"/>
      <c r="BH29" s="91"/>
      <c r="BI29" s="91"/>
      <c r="BJ29" s="91"/>
      <c r="BK29" s="77"/>
      <c r="BL29" s="14"/>
      <c r="BM29" s="14"/>
      <c r="BT29" s="14"/>
      <c r="BU29" s="134"/>
      <c r="BV29" s="132"/>
      <c r="BW29" s="132"/>
      <c r="BX29" s="132"/>
      <c r="BY29" s="303"/>
      <c r="BZ29" s="318"/>
      <c r="CA29" s="213"/>
      <c r="CB29" s="213"/>
      <c r="CC29" s="213"/>
      <c r="CD29" s="213"/>
      <c r="CE29" s="213"/>
      <c r="CF29" s="213"/>
      <c r="CG29" s="213"/>
      <c r="CH29" s="213"/>
      <c r="CI29" s="303"/>
      <c r="CJ29" s="318"/>
      <c r="CK29" s="213"/>
      <c r="CL29" s="213"/>
      <c r="CM29" s="213"/>
      <c r="CR29" s="3"/>
      <c r="CS29" s="14">
        <f t="shared" si="25"/>
        <v>16</v>
      </c>
      <c r="CT29" s="68" t="s">
        <v>251</v>
      </c>
      <c r="CU29" s="136">
        <f>SUM(CU25:CU28)</f>
        <v>947259631.65999901</v>
      </c>
      <c r="CV29" s="136">
        <f t="shared" ref="CV29:DA29" si="28">SUM(CV25:CV28)</f>
        <v>0</v>
      </c>
      <c r="CW29" s="136">
        <f>SUM(CW25:CW28)</f>
        <v>0</v>
      </c>
      <c r="CX29" s="136">
        <f>SUM(CX25:CX28)</f>
        <v>0</v>
      </c>
      <c r="CY29" s="136">
        <f t="shared" si="28"/>
        <v>0</v>
      </c>
      <c r="CZ29" s="136">
        <f t="shared" si="28"/>
        <v>0</v>
      </c>
      <c r="DA29" s="136">
        <f t="shared" si="28"/>
        <v>0</v>
      </c>
      <c r="DB29" s="136">
        <f>SUM(DB25:DB28)</f>
        <v>70222685.189999998</v>
      </c>
      <c r="DC29" s="136"/>
      <c r="DD29" s="136">
        <f>SUM(DD25:DD28)</f>
        <v>0</v>
      </c>
      <c r="DE29" s="14">
        <f t="shared" si="26"/>
        <v>16</v>
      </c>
      <c r="DF29" s="68" t="s">
        <v>251</v>
      </c>
      <c r="DG29" s="136">
        <f>SUM(DG24:DG28)</f>
        <v>0</v>
      </c>
      <c r="DH29" s="136">
        <f>SUM(DH24:DH28)</f>
        <v>0</v>
      </c>
      <c r="DI29" s="136">
        <f>SUM(DI25:DI28)</f>
        <v>0</v>
      </c>
      <c r="DJ29" s="136">
        <f>SUM(DJ24:DJ28)</f>
        <v>0</v>
      </c>
      <c r="DK29" s="136">
        <f>SUM(DK24:DK28)</f>
        <v>0</v>
      </c>
      <c r="DL29" s="136">
        <f>SUM(DL24:DL28)</f>
        <v>0</v>
      </c>
      <c r="DM29" s="136">
        <f>SUM(DM24:DM28)</f>
        <v>0</v>
      </c>
      <c r="DN29" s="136"/>
      <c r="DO29" s="136"/>
      <c r="DP29" s="136">
        <f>SUM(DP25:DP28)</f>
        <v>70222685.189999998</v>
      </c>
      <c r="DQ29" s="14">
        <f t="shared" si="27"/>
        <v>16</v>
      </c>
      <c r="DR29" s="68" t="s">
        <v>251</v>
      </c>
      <c r="DS29" s="255">
        <f>SUM(DS25:DS28)</f>
        <v>947259631.65999901</v>
      </c>
      <c r="DT29" s="255">
        <f>SUM(DT25:DT28)</f>
        <v>70222685.189999998</v>
      </c>
      <c r="DU29" s="255">
        <f>SUM(DU25:DU28)</f>
        <v>1017482316.849999</v>
      </c>
    </row>
    <row r="30" spans="1:125" ht="15" customHeight="1" thickTop="1" thickBot="1">
      <c r="A30" s="87">
        <f t="shared" si="14"/>
        <v>20</v>
      </c>
      <c r="C30" s="4" t="s">
        <v>252</v>
      </c>
      <c r="E30" s="319">
        <v>-5601.4796405594498</v>
      </c>
      <c r="F30" s="319">
        <v>-503465</v>
      </c>
      <c r="H30" s="87">
        <f t="shared" si="3"/>
        <v>20</v>
      </c>
      <c r="I30" s="90" t="s">
        <v>253</v>
      </c>
      <c r="K30" s="275">
        <v>4134767.1</v>
      </c>
      <c r="M30" s="14">
        <f t="shared" si="4"/>
        <v>18</v>
      </c>
      <c r="N30" s="314" t="s">
        <v>254</v>
      </c>
      <c r="O30" s="322">
        <v>0.35</v>
      </c>
      <c r="P30" s="323"/>
      <c r="Q30" s="324">
        <f>Q28*O30</f>
        <v>0</v>
      </c>
      <c r="R30" s="14"/>
      <c r="W30" s="14">
        <f t="shared" si="15"/>
        <v>19</v>
      </c>
      <c r="X30" s="68" t="s">
        <v>255</v>
      </c>
      <c r="Y30" s="68"/>
      <c r="Z30" s="191">
        <f>-SUM(Z28:Z29)</f>
        <v>-8830664.4133745283</v>
      </c>
      <c r="AA30" s="14"/>
      <c r="AC30" s="290"/>
      <c r="AD30" s="134"/>
      <c r="AE30" s="14">
        <f t="shared" si="17"/>
        <v>19</v>
      </c>
      <c r="AF30" s="320"/>
      <c r="AH30" s="240"/>
      <c r="AJ30" s="14">
        <v>18</v>
      </c>
      <c r="AK30" s="325"/>
      <c r="AL30" s="101"/>
      <c r="AM30" s="326"/>
      <c r="AN30" s="14"/>
      <c r="AO30" s="78"/>
      <c r="BB30" s="4"/>
      <c r="BC30" s="4"/>
      <c r="BD30" s="4"/>
      <c r="BE30" s="4"/>
      <c r="BF30" s="4"/>
      <c r="BG30" s="4"/>
      <c r="BH30" s="4"/>
      <c r="BI30" s="4"/>
      <c r="BJ30" s="4"/>
      <c r="BN30" s="327"/>
      <c r="BP30" s="14"/>
      <c r="BV30" s="101"/>
      <c r="BW30" s="101"/>
      <c r="BX30" s="101"/>
      <c r="BY30" s="303"/>
      <c r="BZ30" s="78"/>
      <c r="CA30" s="91"/>
      <c r="CB30" s="91"/>
      <c r="CC30" s="91"/>
      <c r="CD30" s="91"/>
      <c r="CE30" s="91"/>
      <c r="CF30" s="91"/>
      <c r="CG30" s="91"/>
      <c r="CH30" s="91"/>
      <c r="CI30" s="303"/>
      <c r="CJ30" s="78"/>
      <c r="CK30" s="91"/>
      <c r="CL30" s="91"/>
      <c r="CM30" s="91"/>
      <c r="CR30" s="3"/>
      <c r="CS30" s="14">
        <f t="shared" si="25"/>
        <v>17</v>
      </c>
      <c r="CT30" s="68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14">
        <f t="shared" si="26"/>
        <v>17</v>
      </c>
      <c r="DF30" s="68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14">
        <f t="shared" si="27"/>
        <v>17</v>
      </c>
      <c r="DR30" s="68"/>
      <c r="DS30" s="136"/>
      <c r="DT30" s="136"/>
      <c r="DU30" s="77"/>
    </row>
    <row r="31" spans="1:125" ht="15" customHeight="1" thickTop="1" thickBot="1">
      <c r="A31" s="87">
        <f t="shared" si="14"/>
        <v>21</v>
      </c>
      <c r="B31" s="14"/>
      <c r="C31" s="4" t="s">
        <v>256</v>
      </c>
      <c r="E31" s="319">
        <v>-3236.5052817945207</v>
      </c>
      <c r="F31" s="319">
        <v>-205382</v>
      </c>
      <c r="H31" s="87">
        <f t="shared" si="3"/>
        <v>21</v>
      </c>
      <c r="I31" s="90" t="s">
        <v>257</v>
      </c>
      <c r="K31" s="275"/>
      <c r="M31" s="14">
        <f t="shared" si="4"/>
        <v>19</v>
      </c>
      <c r="N31" s="314" t="s">
        <v>238</v>
      </c>
      <c r="O31" s="315" t="s">
        <v>10</v>
      </c>
      <c r="P31" s="315"/>
      <c r="Q31" s="191">
        <f>Q28-Q30</f>
        <v>0</v>
      </c>
      <c r="R31" s="14"/>
      <c r="W31" s="14"/>
      <c r="Y31" s="161"/>
      <c r="Z31" s="159"/>
      <c r="AA31" s="14"/>
      <c r="AC31" s="290"/>
      <c r="AD31" s="134"/>
      <c r="AE31" s="14">
        <f t="shared" si="17"/>
        <v>20</v>
      </c>
      <c r="AF31" s="328" t="s">
        <v>258</v>
      </c>
      <c r="AJ31" s="14">
        <v>19</v>
      </c>
      <c r="AK31" s="325" t="s">
        <v>254</v>
      </c>
      <c r="AL31" s="329">
        <f>FIT</f>
        <v>0.35</v>
      </c>
      <c r="AM31" s="330">
        <f>-AM29*AL31</f>
        <v>0</v>
      </c>
      <c r="AN31" s="14"/>
      <c r="BB31" s="4"/>
      <c r="BC31" s="4"/>
      <c r="BD31" s="4"/>
      <c r="BE31" s="4"/>
      <c r="BF31" s="4"/>
      <c r="BG31" s="4"/>
      <c r="BH31" s="4"/>
      <c r="BI31" s="4"/>
      <c r="BJ31" s="4"/>
      <c r="BN31" s="327"/>
      <c r="BP31" s="14"/>
      <c r="BV31" s="101"/>
      <c r="BW31" s="101"/>
      <c r="BX31" s="101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R31" s="3"/>
      <c r="CS31" s="14">
        <f t="shared" si="25"/>
        <v>18</v>
      </c>
      <c r="CT31" s="174" t="s">
        <v>259</v>
      </c>
      <c r="CU31" s="98">
        <v>117133188.139999</v>
      </c>
      <c r="CV31" s="98">
        <v>0</v>
      </c>
      <c r="CW31" s="98">
        <v>0</v>
      </c>
      <c r="CX31" s="98"/>
      <c r="CY31" s="98"/>
      <c r="CZ31" s="98">
        <v>0</v>
      </c>
      <c r="DA31" s="98">
        <v>0</v>
      </c>
      <c r="DB31" s="98"/>
      <c r="DC31" s="98"/>
      <c r="DD31" s="98">
        <v>0</v>
      </c>
      <c r="DE31" s="14">
        <f t="shared" si="26"/>
        <v>18</v>
      </c>
      <c r="DF31" s="174" t="s">
        <v>259</v>
      </c>
      <c r="DG31" s="98"/>
      <c r="DH31" s="98">
        <v>0</v>
      </c>
      <c r="DI31" s="98">
        <v>0</v>
      </c>
      <c r="DJ31" s="98">
        <v>0</v>
      </c>
      <c r="DK31" s="98">
        <v>0</v>
      </c>
      <c r="DL31" s="98">
        <v>0</v>
      </c>
      <c r="DM31" s="98">
        <v>0</v>
      </c>
      <c r="DN31" s="98"/>
      <c r="DO31" s="98"/>
      <c r="DP31" s="98">
        <f t="shared" ref="DP31:DP45" si="29">SUM(CV31:DO31)-DE31</f>
        <v>0</v>
      </c>
      <c r="DQ31" s="14">
        <f t="shared" si="27"/>
        <v>18</v>
      </c>
      <c r="DR31" s="113" t="s">
        <v>259</v>
      </c>
      <c r="DS31" s="136">
        <f>+CU31</f>
        <v>117133188.139999</v>
      </c>
      <c r="DT31" s="136">
        <f t="shared" ref="DT31:DT45" si="30">+DP31</f>
        <v>0</v>
      </c>
      <c r="DU31" s="98">
        <f t="shared" ref="DU31:DU45" si="31">SUM(DS31:DT31)</f>
        <v>117133188.139999</v>
      </c>
    </row>
    <row r="32" spans="1:125" ht="15" customHeight="1" thickTop="1" thickBot="1">
      <c r="A32" s="87">
        <f t="shared" si="14"/>
        <v>22</v>
      </c>
      <c r="C32" s="68" t="s">
        <v>260</v>
      </c>
      <c r="D32" s="331"/>
      <c r="E32" s="319">
        <v>313.26499310604123</v>
      </c>
      <c r="F32" s="319">
        <v>20874</v>
      </c>
      <c r="H32" s="87">
        <f t="shared" si="3"/>
        <v>22</v>
      </c>
      <c r="I32" s="90" t="s">
        <v>261</v>
      </c>
      <c r="K32" s="295">
        <v>-35674121</v>
      </c>
      <c r="L32" s="78"/>
      <c r="M32" s="14"/>
      <c r="O32" s="136"/>
      <c r="R32" s="14"/>
      <c r="W32" s="14"/>
      <c r="AA32" s="14"/>
      <c r="AC32" s="290"/>
      <c r="AD32" s="134"/>
      <c r="AE32" s="14">
        <f t="shared" si="17"/>
        <v>21</v>
      </c>
      <c r="AF32" s="135" t="s">
        <v>262</v>
      </c>
      <c r="AI32" s="137">
        <v>-85047211.599999994</v>
      </c>
      <c r="AJ32" s="14">
        <v>20</v>
      </c>
      <c r="AK32" s="325" t="s">
        <v>238</v>
      </c>
      <c r="AL32" s="101"/>
      <c r="AM32" s="245">
        <f>-AM29-AM31</f>
        <v>0</v>
      </c>
      <c r="AN32" s="14"/>
      <c r="BB32" s="288"/>
      <c r="BC32" s="288"/>
      <c r="BD32" s="288"/>
      <c r="BE32" s="288"/>
      <c r="BF32" s="288"/>
      <c r="BG32" s="288"/>
      <c r="BH32" s="288"/>
      <c r="BI32" s="288"/>
      <c r="BJ32" s="288"/>
      <c r="BN32" s="327"/>
      <c r="BV32" s="101"/>
      <c r="BW32" s="101"/>
      <c r="BX32" s="101"/>
      <c r="BY32" s="117"/>
      <c r="CC32" s="101"/>
      <c r="CD32" s="101"/>
      <c r="CE32" s="101"/>
      <c r="CF32" s="101"/>
      <c r="CG32" s="101"/>
      <c r="CH32" s="101"/>
      <c r="CI32" s="117"/>
      <c r="CM32" s="101"/>
      <c r="CR32" s="3"/>
      <c r="CS32" s="14">
        <f t="shared" si="25"/>
        <v>19</v>
      </c>
      <c r="CT32" s="68" t="s">
        <v>263</v>
      </c>
      <c r="CU32" s="80">
        <v>13719587.470000001</v>
      </c>
      <c r="CV32" s="80"/>
      <c r="CW32" s="80"/>
      <c r="CX32" s="80"/>
      <c r="CY32" s="80"/>
      <c r="CZ32" s="80"/>
      <c r="DA32" s="80"/>
      <c r="DB32" s="80" t="s">
        <v>10</v>
      </c>
      <c r="DC32" s="80"/>
      <c r="DD32" s="80">
        <v>0</v>
      </c>
      <c r="DE32" s="14">
        <f t="shared" si="26"/>
        <v>19</v>
      </c>
      <c r="DF32" s="68" t="s">
        <v>263</v>
      </c>
      <c r="DG32" s="80"/>
      <c r="DH32" s="80"/>
      <c r="DI32" s="80"/>
      <c r="DJ32" s="80"/>
      <c r="DK32" s="80"/>
      <c r="DL32" s="80"/>
      <c r="DM32" s="80"/>
      <c r="DN32" s="80"/>
      <c r="DO32" s="80"/>
      <c r="DP32" s="80">
        <f t="shared" si="29"/>
        <v>0</v>
      </c>
      <c r="DQ32" s="14">
        <f t="shared" si="27"/>
        <v>19</v>
      </c>
      <c r="DR32" s="68" t="s">
        <v>263</v>
      </c>
      <c r="DS32" s="101">
        <f t="shared" ref="DS32:DS45" si="32">+CU32</f>
        <v>13719587.470000001</v>
      </c>
      <c r="DT32" s="101">
        <f t="shared" si="30"/>
        <v>0</v>
      </c>
      <c r="DU32" s="80">
        <f t="shared" si="31"/>
        <v>13719587.470000001</v>
      </c>
    </row>
    <row r="33" spans="1:125" ht="15" customHeight="1" thickTop="1">
      <c r="A33" s="87">
        <f t="shared" si="14"/>
        <v>23</v>
      </c>
      <c r="C33" s="4" t="s">
        <v>264</v>
      </c>
      <c r="D33" s="68"/>
      <c r="E33" s="319">
        <v>41.829199023789513</v>
      </c>
      <c r="F33" s="319">
        <v>2255</v>
      </c>
      <c r="H33" s="87">
        <f t="shared" si="3"/>
        <v>23</v>
      </c>
      <c r="I33" s="174" t="s">
        <v>265</v>
      </c>
      <c r="K33" s="332"/>
      <c r="L33" s="333">
        <f>SUM(K30:K32)</f>
        <v>-31539353.899999999</v>
      </c>
      <c r="O33" s="136"/>
      <c r="Q33" s="334"/>
      <c r="R33" s="14"/>
      <c r="W33" s="14"/>
      <c r="AA33" s="14"/>
      <c r="AC33" s="290"/>
      <c r="AD33" s="134"/>
      <c r="AE33" s="14">
        <f t="shared" si="17"/>
        <v>22</v>
      </c>
      <c r="AF33" s="135" t="s">
        <v>156</v>
      </c>
      <c r="AI33" s="164">
        <v>-75818237.409999996</v>
      </c>
      <c r="AN33" s="14"/>
      <c r="BV33" s="101"/>
      <c r="BW33" s="101"/>
      <c r="BX33" s="101"/>
      <c r="CR33" s="3"/>
      <c r="CS33" s="14">
        <f t="shared" si="25"/>
        <v>20</v>
      </c>
      <c r="CT33" s="68" t="s">
        <v>266</v>
      </c>
      <c r="CU33" s="80">
        <v>81255580.009999901</v>
      </c>
      <c r="CV33" s="80"/>
      <c r="CW33" s="80"/>
      <c r="CX33" s="80"/>
      <c r="CY33" s="80"/>
      <c r="CZ33" s="80"/>
      <c r="DA33" s="80"/>
      <c r="DB33" s="80" t="s">
        <v>10</v>
      </c>
      <c r="DC33" s="80"/>
      <c r="DD33" s="80">
        <v>0</v>
      </c>
      <c r="DE33" s="14">
        <f t="shared" si="26"/>
        <v>20</v>
      </c>
      <c r="DF33" s="68" t="s">
        <v>266</v>
      </c>
      <c r="DG33" s="80"/>
      <c r="DH33" s="80"/>
      <c r="DI33" s="80"/>
      <c r="DJ33" s="80"/>
      <c r="DK33" s="80"/>
      <c r="DL33" s="80"/>
      <c r="DM33" s="80"/>
      <c r="DN33" s="80"/>
      <c r="DO33" s="80"/>
      <c r="DP33" s="80">
        <f t="shared" si="29"/>
        <v>0</v>
      </c>
      <c r="DQ33" s="14">
        <f t="shared" si="27"/>
        <v>20</v>
      </c>
      <c r="DR33" s="68" t="s">
        <v>266</v>
      </c>
      <c r="DS33" s="101">
        <f t="shared" si="32"/>
        <v>81255580.009999901</v>
      </c>
      <c r="DT33" s="101">
        <f t="shared" si="30"/>
        <v>0</v>
      </c>
      <c r="DU33" s="80">
        <f t="shared" si="31"/>
        <v>81255580.009999901</v>
      </c>
    </row>
    <row r="34" spans="1:125" ht="15" customHeight="1">
      <c r="A34" s="87">
        <f t="shared" si="14"/>
        <v>24</v>
      </c>
      <c r="C34" s="68" t="s">
        <v>267</v>
      </c>
      <c r="E34" s="319">
        <v>-621.85324258710591</v>
      </c>
      <c r="F34" s="319">
        <v>-36083</v>
      </c>
      <c r="H34" s="87">
        <f t="shared" si="3"/>
        <v>24</v>
      </c>
      <c r="I34" s="68"/>
      <c r="K34" s="211"/>
      <c r="L34" s="335"/>
      <c r="M34" s="14"/>
      <c r="O34" s="101"/>
      <c r="R34" s="14"/>
      <c r="AA34" s="14"/>
      <c r="AC34" s="290"/>
      <c r="AD34" s="134"/>
      <c r="AE34" s="14">
        <f t="shared" si="17"/>
        <v>23</v>
      </c>
      <c r="AF34" s="135" t="s">
        <v>268</v>
      </c>
      <c r="AI34" s="261">
        <v>-10870112.060000001</v>
      </c>
      <c r="BN34" s="327"/>
      <c r="BV34" s="101"/>
      <c r="BW34" s="101"/>
      <c r="BX34" s="101"/>
      <c r="CR34" s="3"/>
      <c r="CS34" s="14">
        <f t="shared" si="25"/>
        <v>21</v>
      </c>
      <c r="CT34" s="68" t="s">
        <v>269</v>
      </c>
      <c r="CU34" s="80">
        <v>48756164.934348002</v>
      </c>
      <c r="CV34" s="80">
        <f>F42</f>
        <v>-49363</v>
      </c>
      <c r="CW34" s="80">
        <f>+K19</f>
        <v>64180.863086959995</v>
      </c>
      <c r="CX34" s="80"/>
      <c r="CY34" s="80"/>
      <c r="CZ34" s="80"/>
      <c r="DA34" s="80"/>
      <c r="DB34" s="80">
        <f>AI26</f>
        <v>-536830.82135096716</v>
      </c>
      <c r="DC34" s="80"/>
      <c r="DD34" s="80">
        <f>AV25</f>
        <v>-538156</v>
      </c>
      <c r="DE34" s="14">
        <f t="shared" si="26"/>
        <v>21</v>
      </c>
      <c r="DF34" s="68" t="s">
        <v>269</v>
      </c>
      <c r="DG34" s="80"/>
      <c r="DH34" s="80"/>
      <c r="DI34" s="80"/>
      <c r="DJ34" s="80"/>
      <c r="DK34" s="80">
        <f>BS12</f>
        <v>0</v>
      </c>
      <c r="DL34" s="80"/>
      <c r="DM34" s="80"/>
      <c r="DN34" s="80"/>
      <c r="DO34" s="80"/>
      <c r="DP34" s="80">
        <f t="shared" si="29"/>
        <v>-1060168.9582640072</v>
      </c>
      <c r="DQ34" s="14">
        <f t="shared" si="27"/>
        <v>21</v>
      </c>
      <c r="DR34" s="68" t="s">
        <v>270</v>
      </c>
      <c r="DS34" s="101">
        <f t="shared" si="32"/>
        <v>48756164.934348002</v>
      </c>
      <c r="DT34" s="101">
        <f t="shared" si="30"/>
        <v>-1060168.9582640072</v>
      </c>
      <c r="DU34" s="80">
        <f t="shared" si="31"/>
        <v>47695995.976083994</v>
      </c>
    </row>
    <row r="35" spans="1:125" ht="15" customHeight="1">
      <c r="A35" s="87">
        <f t="shared" si="14"/>
        <v>25</v>
      </c>
      <c r="C35" s="68" t="s">
        <v>271</v>
      </c>
      <c r="E35" s="319">
        <v>-2112.4160547704791</v>
      </c>
      <c r="F35" s="319">
        <v>-118172</v>
      </c>
      <c r="H35" s="87">
        <f t="shared" si="3"/>
        <v>25</v>
      </c>
      <c r="I35" s="68" t="s">
        <v>272</v>
      </c>
      <c r="K35" s="211"/>
      <c r="L35" s="211">
        <f>L17-L22-L25-L33</f>
        <v>43587518.324089259</v>
      </c>
      <c r="M35" s="14"/>
      <c r="O35" s="101"/>
      <c r="R35" s="14"/>
      <c r="AA35" s="14"/>
      <c r="AC35" s="290"/>
      <c r="AD35" s="134"/>
      <c r="AE35" s="14">
        <f t="shared" si="17"/>
        <v>24</v>
      </c>
      <c r="AF35" s="202" t="s">
        <v>176</v>
      </c>
      <c r="AG35" s="78"/>
      <c r="AH35" s="78"/>
      <c r="AI35" s="261">
        <v>72809410.769999996</v>
      </c>
      <c r="AW35" s="7"/>
      <c r="AX35" s="7"/>
      <c r="AY35" s="7"/>
      <c r="AZ35" s="7"/>
      <c r="BA35" s="7"/>
      <c r="BL35" s="336"/>
      <c r="BN35" s="337"/>
      <c r="BV35" s="101"/>
      <c r="BW35" s="101"/>
      <c r="BX35" s="101"/>
      <c r="CR35" s="3"/>
      <c r="CS35" s="14">
        <f t="shared" si="25"/>
        <v>22</v>
      </c>
      <c r="CT35" s="68" t="s">
        <v>273</v>
      </c>
      <c r="CU35" s="80">
        <v>15570220.724729</v>
      </c>
      <c r="CV35" s="80"/>
      <c r="CW35" s="80"/>
      <c r="CX35" s="80"/>
      <c r="CY35" s="80"/>
      <c r="CZ35" s="80"/>
      <c r="DA35" s="80"/>
      <c r="DB35" s="80">
        <f>AI34+AI39</f>
        <v>-11083431.83</v>
      </c>
      <c r="DC35" s="80"/>
      <c r="DD35" s="80"/>
      <c r="DE35" s="14">
        <f t="shared" si="26"/>
        <v>22</v>
      </c>
      <c r="DF35" s="68" t="s">
        <v>273</v>
      </c>
      <c r="DG35" s="80"/>
      <c r="DH35" s="80"/>
      <c r="DI35" s="80"/>
      <c r="DJ35" s="80"/>
      <c r="DK35" s="80"/>
      <c r="DL35" s="80"/>
      <c r="DM35" s="80"/>
      <c r="DN35" s="80"/>
      <c r="DO35" s="80"/>
      <c r="DP35" s="80">
        <f t="shared" si="29"/>
        <v>-11083431.83</v>
      </c>
      <c r="DQ35" s="14">
        <f t="shared" si="27"/>
        <v>22</v>
      </c>
      <c r="DR35" s="68" t="s">
        <v>273</v>
      </c>
      <c r="DS35" s="101">
        <f t="shared" si="32"/>
        <v>15570220.724729</v>
      </c>
      <c r="DT35" s="101">
        <f t="shared" si="30"/>
        <v>-11083431.83</v>
      </c>
      <c r="DU35" s="80">
        <f t="shared" si="31"/>
        <v>4486788.8947289996</v>
      </c>
    </row>
    <row r="36" spans="1:125" ht="15" customHeight="1">
      <c r="A36" s="87">
        <f t="shared" si="14"/>
        <v>26</v>
      </c>
      <c r="C36" s="68" t="s">
        <v>274</v>
      </c>
      <c r="D36" s="338"/>
      <c r="E36" s="319">
        <v>-15.055702879978172</v>
      </c>
      <c r="F36" s="319">
        <v>-838</v>
      </c>
      <c r="H36" s="87">
        <f t="shared" si="3"/>
        <v>26</v>
      </c>
      <c r="I36" s="68"/>
      <c r="K36" s="211"/>
      <c r="L36" s="211"/>
      <c r="O36" s="136"/>
      <c r="R36" s="14"/>
      <c r="AA36" s="14"/>
      <c r="AC36" s="290"/>
      <c r="AD36" s="134"/>
      <c r="AE36" s="14">
        <f t="shared" si="17"/>
        <v>25</v>
      </c>
      <c r="AF36" s="244" t="s">
        <v>215</v>
      </c>
      <c r="AG36" s="78"/>
      <c r="AH36" s="78"/>
      <c r="AI36" s="261">
        <v>-38676420</v>
      </c>
      <c r="AW36" s="7"/>
      <c r="AX36" s="7"/>
      <c r="AY36" s="7"/>
      <c r="AZ36" s="7"/>
      <c r="BA36" s="7"/>
      <c r="BB36" s="4"/>
      <c r="BC36" s="4"/>
      <c r="BD36" s="4"/>
      <c r="BE36" s="4"/>
      <c r="BF36" s="4"/>
      <c r="BG36" s="4"/>
      <c r="BH36" s="4"/>
      <c r="BI36" s="4"/>
      <c r="BJ36" s="4"/>
      <c r="BN36" s="327"/>
      <c r="BV36" s="101"/>
      <c r="BW36" s="101"/>
      <c r="BX36" s="101"/>
      <c r="CR36" s="3"/>
      <c r="CS36" s="14">
        <f t="shared" si="25"/>
        <v>23</v>
      </c>
      <c r="CT36" s="68" t="s">
        <v>275</v>
      </c>
      <c r="CU36" s="80">
        <v>85049595.829999998</v>
      </c>
      <c r="CV36" s="80"/>
      <c r="CW36" s="80"/>
      <c r="CX36" s="80"/>
      <c r="CY36" s="80"/>
      <c r="CZ36" s="80"/>
      <c r="DA36" s="80"/>
      <c r="DB36" s="80">
        <f>AI32</f>
        <v>-85047211.599999994</v>
      </c>
      <c r="DC36" s="80"/>
      <c r="DD36" s="80"/>
      <c r="DE36" s="14">
        <f t="shared" si="26"/>
        <v>23</v>
      </c>
      <c r="DF36" s="68" t="s">
        <v>275</v>
      </c>
      <c r="DG36" s="80"/>
      <c r="DH36" s="80"/>
      <c r="DI36" s="80"/>
      <c r="DJ36" s="80"/>
      <c r="DK36" s="80"/>
      <c r="DL36" s="80"/>
      <c r="DM36" s="80"/>
      <c r="DN36" s="80"/>
      <c r="DO36" s="80"/>
      <c r="DP36" s="80">
        <f t="shared" si="29"/>
        <v>-85047211.599999994</v>
      </c>
      <c r="DQ36" s="14">
        <f t="shared" si="27"/>
        <v>23</v>
      </c>
      <c r="DR36" s="68" t="s">
        <v>275</v>
      </c>
      <c r="DS36" s="101">
        <f t="shared" si="32"/>
        <v>85049595.829999998</v>
      </c>
      <c r="DT36" s="101">
        <f t="shared" si="30"/>
        <v>-85047211.599999994</v>
      </c>
      <c r="DU36" s="80">
        <f t="shared" si="31"/>
        <v>2384.2300000041723</v>
      </c>
    </row>
    <row r="37" spans="1:125" ht="15" customHeight="1">
      <c r="A37" s="87">
        <f t="shared" si="14"/>
        <v>27</v>
      </c>
      <c r="C37" s="68" t="s">
        <v>276</v>
      </c>
      <c r="D37" s="338"/>
      <c r="E37" s="319">
        <v>-119.96915180787397</v>
      </c>
      <c r="F37" s="319">
        <v>-6652</v>
      </c>
      <c r="H37" s="87">
        <f t="shared" si="3"/>
        <v>27</v>
      </c>
      <c r="I37" s="68" t="s">
        <v>191</v>
      </c>
      <c r="J37" s="223">
        <f>FIT</f>
        <v>0.35</v>
      </c>
      <c r="K37" s="211"/>
      <c r="L37" s="165">
        <f>ROUND(L35*J37,0)</f>
        <v>15255631</v>
      </c>
      <c r="R37" s="14"/>
      <c r="AA37" s="14"/>
      <c r="AC37" s="290"/>
      <c r="AD37" s="134"/>
      <c r="AE37" s="14">
        <f t="shared" si="17"/>
        <v>26</v>
      </c>
      <c r="AF37" s="339" t="s">
        <v>277</v>
      </c>
      <c r="AG37" s="78"/>
      <c r="AH37" s="78"/>
      <c r="AI37" s="261">
        <v>155692.01999999999</v>
      </c>
      <c r="AW37" s="7"/>
      <c r="AX37" s="7"/>
      <c r="AY37" s="7"/>
      <c r="AZ37" s="7"/>
      <c r="BA37" s="7"/>
      <c r="BB37" s="159"/>
      <c r="BC37" s="159"/>
      <c r="BD37" s="159"/>
      <c r="BE37" s="159"/>
      <c r="BF37" s="159"/>
      <c r="BG37" s="159"/>
      <c r="BH37" s="159"/>
      <c r="BI37" s="159"/>
      <c r="BJ37" s="159"/>
      <c r="BV37" s="101"/>
      <c r="BW37" s="101"/>
      <c r="BX37" s="101"/>
      <c r="CR37" s="3"/>
      <c r="CS37" s="14">
        <f t="shared" si="25"/>
        <v>24</v>
      </c>
      <c r="CT37" s="68" t="s">
        <v>278</v>
      </c>
      <c r="CU37" s="80">
        <v>99574019.982620895</v>
      </c>
      <c r="CV37" s="80">
        <f>F43</f>
        <v>-19419</v>
      </c>
      <c r="CW37" s="80">
        <f>+K20</f>
        <v>25248.175879999999</v>
      </c>
      <c r="CX37" s="80"/>
      <c r="CY37" s="80"/>
      <c r="CZ37" s="80"/>
      <c r="DA37" s="80"/>
      <c r="DB37" s="80">
        <f>AI27+AI40</f>
        <v>-262946.90011446388</v>
      </c>
      <c r="DC37" s="80">
        <f>AM29</f>
        <v>0</v>
      </c>
      <c r="DD37" s="80"/>
      <c r="DE37" s="14">
        <f t="shared" si="26"/>
        <v>24</v>
      </c>
      <c r="DF37" s="68" t="s">
        <v>278</v>
      </c>
      <c r="DG37" s="80">
        <f>BA12</f>
        <v>-2745225.5741195008</v>
      </c>
      <c r="DH37" s="80">
        <f>+BE18</f>
        <v>0</v>
      </c>
      <c r="DI37" s="80">
        <f>BJ14</f>
        <v>0</v>
      </c>
      <c r="DJ37" s="80"/>
      <c r="DK37" s="80"/>
      <c r="DL37" s="80"/>
      <c r="DM37" s="80">
        <f>+CC15</f>
        <v>2954038.4885952449</v>
      </c>
      <c r="DN37" s="80">
        <f>CH16</f>
        <v>0</v>
      </c>
      <c r="DO37" s="80"/>
      <c r="DP37" s="80">
        <f t="shared" si="29"/>
        <v>-48304.809758719523</v>
      </c>
      <c r="DQ37" s="14">
        <f t="shared" si="27"/>
        <v>24</v>
      </c>
      <c r="DR37" s="68" t="s">
        <v>278</v>
      </c>
      <c r="DS37" s="101">
        <f t="shared" si="32"/>
        <v>99574019.982620895</v>
      </c>
      <c r="DT37" s="101">
        <f t="shared" si="30"/>
        <v>-48304.809758719523</v>
      </c>
      <c r="DU37" s="80">
        <f t="shared" si="31"/>
        <v>99525715.172862172</v>
      </c>
    </row>
    <row r="38" spans="1:125" ht="15" customHeight="1">
      <c r="A38" s="87">
        <f t="shared" si="14"/>
        <v>28</v>
      </c>
      <c r="C38" s="4" t="s">
        <v>279</v>
      </c>
      <c r="D38" s="338"/>
      <c r="E38" s="319">
        <v>103.12409689978632</v>
      </c>
      <c r="F38" s="319">
        <v>5935</v>
      </c>
      <c r="H38" s="87">
        <f t="shared" si="3"/>
        <v>28</v>
      </c>
      <c r="I38" s="68"/>
      <c r="J38" s="223"/>
      <c r="K38" s="211"/>
      <c r="L38" s="213"/>
      <c r="O38" s="136"/>
      <c r="AA38" s="14"/>
      <c r="AC38" s="290"/>
      <c r="AD38" s="134"/>
      <c r="AE38" s="14">
        <f t="shared" si="17"/>
        <v>27</v>
      </c>
      <c r="AF38" s="340" t="s">
        <v>280</v>
      </c>
      <c r="AG38" s="78"/>
      <c r="AH38" s="78"/>
      <c r="AI38" s="261">
        <v>-2586725.58</v>
      </c>
      <c r="AW38" s="7"/>
      <c r="AX38" s="7"/>
      <c r="AY38" s="7"/>
      <c r="AZ38" s="7"/>
      <c r="BA38" s="7"/>
      <c r="BB38" s="341"/>
      <c r="BC38" s="341"/>
      <c r="BD38" s="341"/>
      <c r="BE38" s="341"/>
      <c r="BF38" s="341"/>
      <c r="BG38" s="341"/>
      <c r="BH38" s="341"/>
      <c r="BI38" s="341"/>
      <c r="BJ38" s="341"/>
      <c r="BT38" s="342"/>
      <c r="BU38" s="342"/>
      <c r="BV38" s="342"/>
      <c r="BW38" s="101"/>
      <c r="BX38" s="101"/>
      <c r="CR38" s="3"/>
      <c r="CS38" s="14">
        <f t="shared" si="25"/>
        <v>25</v>
      </c>
      <c r="CT38" s="68" t="s">
        <v>281</v>
      </c>
      <c r="CU38" s="80">
        <v>211288588.26953799</v>
      </c>
      <c r="CV38" s="80"/>
      <c r="CW38" s="80"/>
      <c r="CX38" s="80"/>
      <c r="CY38" s="80"/>
      <c r="CZ38" s="80"/>
      <c r="DA38" s="80"/>
      <c r="DD38" s="80"/>
      <c r="DE38" s="14">
        <f t="shared" si="26"/>
        <v>25</v>
      </c>
      <c r="DF38" s="68" t="s">
        <v>281</v>
      </c>
      <c r="DG38" s="80"/>
      <c r="DH38" s="80"/>
      <c r="DI38" s="80"/>
      <c r="DJ38" s="80"/>
      <c r="DK38" s="80"/>
      <c r="DL38" s="80"/>
      <c r="DM38" s="80"/>
      <c r="DN38" s="80"/>
      <c r="DO38" s="80"/>
      <c r="DP38" s="80">
        <f t="shared" si="29"/>
        <v>0</v>
      </c>
      <c r="DQ38" s="14">
        <f t="shared" si="27"/>
        <v>25</v>
      </c>
      <c r="DR38" s="68" t="s">
        <v>281</v>
      </c>
      <c r="DS38" s="101">
        <f t="shared" si="32"/>
        <v>211288588.26953799</v>
      </c>
      <c r="DT38" s="101">
        <f t="shared" si="30"/>
        <v>0</v>
      </c>
      <c r="DU38" s="80">
        <f t="shared" si="31"/>
        <v>211288588.26953799</v>
      </c>
    </row>
    <row r="39" spans="1:125" ht="15" customHeight="1" thickBot="1">
      <c r="A39" s="87">
        <f t="shared" si="14"/>
        <v>29</v>
      </c>
      <c r="C39" s="4" t="s">
        <v>282</v>
      </c>
      <c r="E39" s="343">
        <v>-39.827922266740551</v>
      </c>
      <c r="F39" s="343">
        <v>-1399</v>
      </c>
      <c r="H39" s="87">
        <f t="shared" si="3"/>
        <v>29</v>
      </c>
      <c r="I39" s="68" t="s">
        <v>171</v>
      </c>
      <c r="K39" s="211"/>
      <c r="L39" s="344">
        <f>L35-L37</f>
        <v>28331887.324089259</v>
      </c>
      <c r="M39" s="345"/>
      <c r="AA39" s="14"/>
      <c r="AC39" s="290"/>
      <c r="AD39" s="134"/>
      <c r="AE39" s="14">
        <f t="shared" si="17"/>
        <v>28</v>
      </c>
      <c r="AF39" s="340" t="s">
        <v>283</v>
      </c>
      <c r="AG39" s="78"/>
      <c r="AH39" s="78"/>
      <c r="AI39" s="261">
        <v>-213319.77000000002</v>
      </c>
      <c r="AV39" s="346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T39" s="347"/>
      <c r="BU39" s="347"/>
      <c r="BV39" s="347"/>
      <c r="BW39" s="348" t="s">
        <v>24</v>
      </c>
      <c r="BX39" s="101"/>
      <c r="CR39" s="3"/>
      <c r="CS39" s="14">
        <f t="shared" si="25"/>
        <v>26</v>
      </c>
      <c r="CT39" s="68" t="s">
        <v>284</v>
      </c>
      <c r="CU39" s="80">
        <v>40063865.101039</v>
      </c>
      <c r="CV39" s="80"/>
      <c r="CW39" s="80"/>
      <c r="CX39" s="80"/>
      <c r="CY39" s="80"/>
      <c r="CZ39" s="80"/>
      <c r="DA39" s="80"/>
      <c r="DB39" s="80"/>
      <c r="DC39" s="80"/>
      <c r="DD39" s="80"/>
      <c r="DE39" s="14">
        <f t="shared" si="26"/>
        <v>26</v>
      </c>
      <c r="DF39" s="68" t="s">
        <v>284</v>
      </c>
      <c r="DG39" s="80"/>
      <c r="DH39" s="80"/>
      <c r="DI39" s="80"/>
      <c r="DJ39" s="80"/>
      <c r="DK39" s="80"/>
      <c r="DL39" s="80"/>
      <c r="DM39" s="80"/>
      <c r="DN39" s="80"/>
      <c r="DO39" s="80"/>
      <c r="DP39" s="80">
        <f t="shared" si="29"/>
        <v>0</v>
      </c>
      <c r="DQ39" s="14">
        <f t="shared" si="27"/>
        <v>26</v>
      </c>
      <c r="DR39" s="68" t="s">
        <v>284</v>
      </c>
      <c r="DS39" s="101">
        <f t="shared" si="32"/>
        <v>40063865.101039</v>
      </c>
      <c r="DT39" s="101">
        <f t="shared" si="30"/>
        <v>0</v>
      </c>
      <c r="DU39" s="80">
        <f t="shared" si="31"/>
        <v>40063865.101039</v>
      </c>
    </row>
    <row r="40" spans="1:125" ht="15" customHeight="1" thickTop="1">
      <c r="A40" s="87">
        <f t="shared" si="14"/>
        <v>30</v>
      </c>
      <c r="B40" s="4" t="s">
        <v>165</v>
      </c>
      <c r="E40" s="153">
        <f>ROUND(SUM(E29:E39),0)</f>
        <v>-97555</v>
      </c>
      <c r="F40" s="136">
        <f>SUM(F29:F39)</f>
        <v>-9709390</v>
      </c>
      <c r="G40" s="136">
        <f>SUM(F29:F39)</f>
        <v>-9709390</v>
      </c>
      <c r="H40" s="87"/>
      <c r="L40" s="1"/>
      <c r="M40" s="345"/>
      <c r="AA40" s="14"/>
      <c r="AC40" s="290"/>
      <c r="AD40" s="134"/>
      <c r="AE40" s="14">
        <f t="shared" si="17"/>
        <v>29</v>
      </c>
      <c r="AF40" s="340" t="s">
        <v>285</v>
      </c>
      <c r="AG40" s="213"/>
      <c r="AH40" s="213"/>
      <c r="AI40" s="261">
        <v>-51762.47</v>
      </c>
      <c r="AW40" s="7"/>
      <c r="AX40" s="7"/>
      <c r="AY40" s="7"/>
      <c r="AZ40" s="7"/>
      <c r="BA40" s="1"/>
      <c r="BB40" s="7"/>
      <c r="BC40" s="7"/>
      <c r="BD40" s="7"/>
      <c r="BE40" s="7"/>
      <c r="BF40" s="7"/>
      <c r="BG40" s="7"/>
      <c r="BH40" s="7"/>
      <c r="BI40" s="7"/>
      <c r="BJ40" s="7"/>
      <c r="BT40" s="342"/>
      <c r="BU40" s="347"/>
      <c r="BV40" s="347"/>
      <c r="BW40" s="348"/>
      <c r="BX40" s="101"/>
      <c r="CR40" s="3"/>
      <c r="CS40" s="14">
        <f t="shared" si="25"/>
        <v>27</v>
      </c>
      <c r="CT40" s="174" t="s">
        <v>286</v>
      </c>
      <c r="CU40" s="80">
        <v>17837765.52</v>
      </c>
      <c r="CV40" s="80"/>
      <c r="CW40" s="80"/>
      <c r="CX40" s="80"/>
      <c r="CY40" s="80"/>
      <c r="CZ40" s="80"/>
      <c r="DA40" s="80"/>
      <c r="DB40" s="80"/>
      <c r="DC40" s="80"/>
      <c r="DD40" s="80"/>
      <c r="DE40" s="14">
        <f t="shared" si="26"/>
        <v>27</v>
      </c>
      <c r="DF40" s="174" t="s">
        <v>286</v>
      </c>
      <c r="DG40" s="80"/>
      <c r="DH40" s="80"/>
      <c r="DI40" s="80"/>
      <c r="DJ40" s="80"/>
      <c r="DK40" s="80"/>
      <c r="DL40" s="80"/>
      <c r="DM40" s="80"/>
      <c r="DN40" s="80"/>
      <c r="DO40" s="80"/>
      <c r="DP40" s="80">
        <f t="shared" si="29"/>
        <v>0</v>
      </c>
      <c r="DQ40" s="14">
        <f t="shared" si="27"/>
        <v>27</v>
      </c>
      <c r="DR40" s="174" t="s">
        <v>286</v>
      </c>
      <c r="DS40" s="101">
        <f t="shared" si="32"/>
        <v>17837765.52</v>
      </c>
      <c r="DT40" s="101">
        <f t="shared" si="30"/>
        <v>0</v>
      </c>
      <c r="DU40" s="80">
        <f t="shared" si="31"/>
        <v>17837765.52</v>
      </c>
    </row>
    <row r="41" spans="1:125" ht="15" customHeight="1">
      <c r="A41" s="87">
        <f t="shared" si="14"/>
        <v>31</v>
      </c>
      <c r="B41" s="285"/>
      <c r="C41" s="285"/>
      <c r="D41" s="4" t="s">
        <v>24</v>
      </c>
      <c r="E41" s="349" t="str">
        <f>IF(ABS(E40-F27)&lt;1,"",E40-F27)</f>
        <v/>
      </c>
      <c r="F41" s="299"/>
      <c r="H41" s="87"/>
      <c r="L41" s="334"/>
      <c r="M41" s="345"/>
      <c r="N41" s="350"/>
      <c r="AA41" s="14"/>
      <c r="AC41" s="290"/>
      <c r="AD41" s="134"/>
      <c r="AE41" s="14">
        <f t="shared" si="17"/>
        <v>30</v>
      </c>
      <c r="AF41" s="340" t="s">
        <v>287</v>
      </c>
      <c r="AI41" s="261">
        <v>-15869.560000000001</v>
      </c>
      <c r="AW41" s="7"/>
      <c r="AX41" s="7"/>
      <c r="AY41" s="7"/>
      <c r="AZ41" s="7"/>
      <c r="BA41" s="7"/>
      <c r="BB41" s="351"/>
      <c r="BC41" s="351"/>
      <c r="BD41" s="351"/>
      <c r="BE41" s="351"/>
      <c r="BF41" s="351"/>
      <c r="BG41" s="351"/>
      <c r="BH41" s="351"/>
      <c r="BI41" s="351"/>
      <c r="BJ41" s="351"/>
      <c r="BT41" s="342"/>
      <c r="BU41" s="352"/>
      <c r="BV41" s="353"/>
      <c r="BW41" s="348" t="s">
        <v>24</v>
      </c>
      <c r="BX41" s="101"/>
      <c r="CR41" s="3"/>
      <c r="CS41" s="14">
        <f t="shared" si="25"/>
        <v>28</v>
      </c>
      <c r="CT41" s="68" t="s">
        <v>288</v>
      </c>
      <c r="CU41" s="80">
        <v>65549105.5</v>
      </c>
      <c r="CV41" s="80"/>
      <c r="CW41" s="80">
        <f>L33</f>
        <v>-31539353.899999999</v>
      </c>
      <c r="CX41" s="80"/>
      <c r="CY41" s="80">
        <f>V20</f>
        <v>9373130.7899999991</v>
      </c>
      <c r="CZ41" s="80"/>
      <c r="DA41" s="80"/>
      <c r="DB41" s="80">
        <f>AI36+AI37</f>
        <v>-38520727.979999997</v>
      </c>
      <c r="DC41" s="80"/>
      <c r="DD41" s="80"/>
      <c r="DE41" s="14">
        <f t="shared" si="26"/>
        <v>28</v>
      </c>
      <c r="DF41" s="68" t="s">
        <v>288</v>
      </c>
      <c r="DG41" s="80"/>
      <c r="DH41" s="80"/>
      <c r="DI41" s="80"/>
      <c r="DJ41" s="80"/>
      <c r="DK41" s="80"/>
      <c r="DM41" s="80"/>
      <c r="DN41" s="80"/>
      <c r="DO41" s="80">
        <f>CM16</f>
        <v>0</v>
      </c>
      <c r="DP41" s="80">
        <f t="shared" si="29"/>
        <v>-60686951.089999996</v>
      </c>
      <c r="DQ41" s="14">
        <f t="shared" si="27"/>
        <v>28</v>
      </c>
      <c r="DR41" s="68" t="s">
        <v>288</v>
      </c>
      <c r="DS41" s="101">
        <f t="shared" si="32"/>
        <v>65549105.5</v>
      </c>
      <c r="DT41" s="101">
        <f t="shared" si="30"/>
        <v>-60686951.089999996</v>
      </c>
      <c r="DU41" s="80">
        <f t="shared" si="31"/>
        <v>4862154.4100000039</v>
      </c>
    </row>
    <row r="42" spans="1:125" ht="15" customHeight="1">
      <c r="A42" s="87">
        <f t="shared" si="14"/>
        <v>32</v>
      </c>
      <c r="B42" s="68" t="s">
        <v>200</v>
      </c>
      <c r="C42" s="68"/>
      <c r="D42" s="68"/>
      <c r="E42" s="240">
        <f>+BD</f>
        <v>5.084E-3</v>
      </c>
      <c r="F42" s="241">
        <f>ROUND(G40*E42,0)</f>
        <v>-49363</v>
      </c>
      <c r="G42" s="101"/>
      <c r="H42" s="87"/>
      <c r="M42" s="345"/>
      <c r="AA42" s="14"/>
      <c r="AC42" s="290"/>
      <c r="AD42" s="134"/>
      <c r="AE42" s="14">
        <f t="shared" si="17"/>
        <v>31</v>
      </c>
      <c r="AF42" s="202" t="s">
        <v>250</v>
      </c>
      <c r="AI42" s="354">
        <f>SUM(AI32:AI41)</f>
        <v>-140314555.66000003</v>
      </c>
      <c r="AW42" s="7"/>
      <c r="AX42" s="7"/>
      <c r="AY42" s="7"/>
      <c r="AZ42" s="7"/>
      <c r="BA42" s="7"/>
      <c r="BB42" s="355"/>
      <c r="BC42" s="355"/>
      <c r="BD42" s="355"/>
      <c r="BE42" s="355"/>
      <c r="BF42" s="355"/>
      <c r="BG42" s="355"/>
      <c r="BH42" s="355"/>
      <c r="BI42" s="355"/>
      <c r="BJ42" s="355"/>
      <c r="BT42" s="342"/>
      <c r="BU42" s="342"/>
      <c r="BV42" s="342"/>
      <c r="BW42" s="348" t="s">
        <v>24</v>
      </c>
      <c r="BX42" s="101"/>
      <c r="CR42" s="3"/>
      <c r="CS42" s="14">
        <f t="shared" si="25"/>
        <v>29</v>
      </c>
      <c r="CT42" s="68" t="s">
        <v>289</v>
      </c>
      <c r="CU42" s="80">
        <v>20062310.43</v>
      </c>
      <c r="CV42" s="80"/>
      <c r="CW42" s="80"/>
      <c r="CX42" s="80"/>
      <c r="CY42" s="80"/>
      <c r="CZ42" s="80"/>
      <c r="DA42" s="80"/>
      <c r="DB42" s="80"/>
      <c r="DC42" s="80"/>
      <c r="DD42" s="80"/>
      <c r="DE42" s="14">
        <f t="shared" si="26"/>
        <v>29</v>
      </c>
      <c r="DF42" s="68" t="s">
        <v>289</v>
      </c>
      <c r="DG42" s="80"/>
      <c r="DH42" s="80"/>
      <c r="DI42" s="80"/>
      <c r="DJ42" s="80"/>
      <c r="DK42" s="80"/>
      <c r="DL42" s="80">
        <f>BX12</f>
        <v>-20062310.43</v>
      </c>
      <c r="DM42" s="80"/>
      <c r="DN42" s="80"/>
      <c r="DO42" s="80"/>
      <c r="DP42" s="80">
        <f t="shared" si="29"/>
        <v>-20062310.43</v>
      </c>
      <c r="DQ42" s="14">
        <f t="shared" si="27"/>
        <v>29</v>
      </c>
      <c r="DR42" s="68" t="s">
        <v>289</v>
      </c>
      <c r="DS42" s="101">
        <f t="shared" si="32"/>
        <v>20062310.43</v>
      </c>
      <c r="DT42" s="101">
        <f t="shared" si="30"/>
        <v>-20062310.43</v>
      </c>
      <c r="DU42" s="80">
        <f>SUM(DS42:DT42)</f>
        <v>0</v>
      </c>
    </row>
    <row r="43" spans="1:125" ht="15" customHeight="1">
      <c r="A43" s="87">
        <f t="shared" si="14"/>
        <v>33</v>
      </c>
      <c r="B43" s="68" t="s">
        <v>208</v>
      </c>
      <c r="C43" s="68"/>
      <c r="D43" s="68"/>
      <c r="E43" s="240">
        <f>+FF</f>
        <v>2E-3</v>
      </c>
      <c r="F43" s="256">
        <f>ROUND(G40*E43,0)</f>
        <v>-19419</v>
      </c>
      <c r="G43" s="101"/>
      <c r="H43" s="87"/>
      <c r="AA43" s="14"/>
      <c r="AC43" s="290"/>
      <c r="AD43" s="134"/>
      <c r="AE43" s="14">
        <f t="shared" si="17"/>
        <v>32</v>
      </c>
      <c r="AF43" s="139"/>
      <c r="AW43" s="7"/>
      <c r="AX43" s="7"/>
      <c r="AY43" s="7"/>
      <c r="AZ43" s="7"/>
      <c r="BA43" s="7"/>
      <c r="BB43" s="355"/>
      <c r="BC43" s="355"/>
      <c r="BD43" s="355"/>
      <c r="BE43" s="355"/>
      <c r="BF43" s="355"/>
      <c r="BG43" s="355"/>
      <c r="BH43" s="355"/>
      <c r="BI43" s="355"/>
      <c r="BJ43" s="355"/>
      <c r="BT43" s="342"/>
      <c r="BU43" s="352"/>
      <c r="BV43" s="353"/>
      <c r="BW43" s="348" t="s">
        <v>24</v>
      </c>
      <c r="BX43" s="101"/>
      <c r="CR43" s="3"/>
      <c r="CS43" s="14">
        <f t="shared" si="25"/>
        <v>30</v>
      </c>
      <c r="CT43" s="68" t="s">
        <v>290</v>
      </c>
      <c r="CU43" s="80">
        <v>207386995.19761899</v>
      </c>
      <c r="CV43" s="80">
        <f>+G47</f>
        <v>-374171</v>
      </c>
      <c r="CW43" s="80">
        <f>+L25</f>
        <v>486494.47694378003</v>
      </c>
      <c r="CX43" s="80"/>
      <c r="CY43" s="80"/>
      <c r="CZ43" s="80"/>
      <c r="DA43" s="80"/>
      <c r="DB43" s="80">
        <f>AI28+AI33+AI41</f>
        <v>-79903314.161660552</v>
      </c>
      <c r="DC43" s="80"/>
      <c r="DD43" s="80"/>
      <c r="DE43" s="14">
        <f t="shared" si="26"/>
        <v>30</v>
      </c>
      <c r="DF43" s="68" t="s">
        <v>290</v>
      </c>
      <c r="DG43" s="80">
        <f>BA14</f>
        <v>-214529.23272930051</v>
      </c>
      <c r="DH43" s="80">
        <f>BE14</f>
        <v>0</v>
      </c>
      <c r="DI43" s="80"/>
      <c r="DJ43" s="80">
        <f>-BO17</f>
        <v>0</v>
      </c>
      <c r="DK43" s="80"/>
      <c r="DL43" s="80"/>
      <c r="DM43" s="80"/>
      <c r="DN43" s="80"/>
      <c r="DO43" s="80"/>
      <c r="DP43" s="80">
        <f t="shared" si="29"/>
        <v>-80005519.917446077</v>
      </c>
      <c r="DQ43" s="14">
        <f t="shared" si="27"/>
        <v>30</v>
      </c>
      <c r="DR43" s="68" t="s">
        <v>290</v>
      </c>
      <c r="DS43" s="101">
        <f t="shared" si="32"/>
        <v>207386995.19761899</v>
      </c>
      <c r="DT43" s="101">
        <f t="shared" si="30"/>
        <v>-80005519.917446077</v>
      </c>
      <c r="DU43" s="80">
        <f t="shared" si="31"/>
        <v>127381475.28017291</v>
      </c>
    </row>
    <row r="44" spans="1:125" ht="15" customHeight="1">
      <c r="A44" s="87">
        <f t="shared" si="14"/>
        <v>34</v>
      </c>
      <c r="B44" s="174" t="s">
        <v>205</v>
      </c>
      <c r="C44" s="68"/>
      <c r="D44" s="68"/>
      <c r="E44" s="240"/>
      <c r="F44" s="211"/>
      <c r="G44" s="275">
        <f>SUM(F42:F43)</f>
        <v>-68782</v>
      </c>
      <c r="H44" s="87"/>
      <c r="AA44" s="14"/>
      <c r="AC44" s="290"/>
      <c r="AD44" s="134"/>
      <c r="AE44" s="14">
        <f t="shared" si="17"/>
        <v>33</v>
      </c>
      <c r="AF44" s="202" t="s">
        <v>272</v>
      </c>
      <c r="AI44" s="356">
        <f>-AI23-AI29-AI42</f>
        <v>-180145.29410594702</v>
      </c>
      <c r="AW44" s="7"/>
      <c r="AX44" s="7"/>
      <c r="AY44" s="7"/>
      <c r="AZ44" s="7"/>
      <c r="BA44" s="7"/>
      <c r="BB44" s="355"/>
      <c r="BC44" s="355"/>
      <c r="BD44" s="355"/>
      <c r="BE44" s="355"/>
      <c r="BF44" s="355"/>
      <c r="BG44" s="355"/>
      <c r="BH44" s="355"/>
      <c r="BI44" s="355"/>
      <c r="BJ44" s="355"/>
      <c r="BT44" s="357"/>
      <c r="BU44" s="352"/>
      <c r="BV44" s="353"/>
      <c r="BW44" s="358"/>
      <c r="BX44" s="101"/>
      <c r="CR44" s="3"/>
      <c r="CS44" s="14">
        <f t="shared" si="25"/>
        <v>31</v>
      </c>
      <c r="CT44" s="68" t="s">
        <v>291</v>
      </c>
      <c r="CU44" s="80">
        <v>133244</v>
      </c>
      <c r="CV44" s="80">
        <f>G51</f>
        <v>-3243253</v>
      </c>
      <c r="CW44" s="80">
        <f>L37</f>
        <v>15255631</v>
      </c>
      <c r="CX44" s="80">
        <f>Q30</f>
        <v>0</v>
      </c>
      <c r="CY44" s="80">
        <f>+V25</f>
        <v>-3280595.7764999997</v>
      </c>
      <c r="CZ44" s="80">
        <f>Z28</f>
        <v>8830664.4133745283</v>
      </c>
      <c r="DA44" s="80">
        <f>AD22</f>
        <v>-9321214.0490510222</v>
      </c>
      <c r="DB44" s="80">
        <f>AI45</f>
        <v>-63050.85293708145</v>
      </c>
      <c r="DC44" s="80">
        <f>AM31</f>
        <v>0</v>
      </c>
      <c r="DD44" s="80">
        <f>AV28</f>
        <v>188355</v>
      </c>
      <c r="DE44" s="14">
        <f t="shared" si="26"/>
        <v>31</v>
      </c>
      <c r="DF44" s="68" t="s">
        <v>291</v>
      </c>
      <c r="DG44" s="80">
        <f>BA18</f>
        <v>1035914.1823970804</v>
      </c>
      <c r="DH44" s="80">
        <f>BE25</f>
        <v>0</v>
      </c>
      <c r="DI44" s="80">
        <f>BJ18</f>
        <v>0</v>
      </c>
      <c r="DJ44" s="80">
        <f>BO19</f>
        <v>0</v>
      </c>
      <c r="DK44" s="80"/>
      <c r="DL44" s="80"/>
      <c r="DM44" s="80">
        <f>+CC18</f>
        <v>-1033913.4710083357</v>
      </c>
      <c r="DN44" s="80">
        <f>CH17</f>
        <v>0</v>
      </c>
      <c r="DO44" s="80">
        <f>CM18</f>
        <v>0</v>
      </c>
      <c r="DP44" s="80">
        <f t="shared" si="29"/>
        <v>8368537.4462751672</v>
      </c>
      <c r="DQ44" s="14">
        <f t="shared" si="27"/>
        <v>31</v>
      </c>
      <c r="DR44" s="68" t="s">
        <v>291</v>
      </c>
      <c r="DS44" s="101">
        <f t="shared" si="32"/>
        <v>133244</v>
      </c>
      <c r="DT44" s="101">
        <f t="shared" si="30"/>
        <v>8368537.4462751672</v>
      </c>
      <c r="DU44" s="80">
        <f t="shared" si="31"/>
        <v>8501781.4462751672</v>
      </c>
    </row>
    <row r="45" spans="1:125" ht="15" customHeight="1">
      <c r="A45" s="87">
        <f t="shared" si="14"/>
        <v>35</v>
      </c>
      <c r="B45" s="68"/>
      <c r="C45" s="68"/>
      <c r="D45" s="68"/>
      <c r="E45" s="240"/>
      <c r="F45" s="281"/>
      <c r="G45" s="101"/>
      <c r="H45" s="87"/>
      <c r="AA45" s="14"/>
      <c r="AC45" s="290"/>
      <c r="AD45" s="1">
        <f>AD24-DA48</f>
        <v>0</v>
      </c>
      <c r="AE45" s="14">
        <f t="shared" si="17"/>
        <v>34</v>
      </c>
      <c r="AF45" s="202" t="s">
        <v>243</v>
      </c>
      <c r="AI45" s="261">
        <f>AI44*0.35</f>
        <v>-63050.85293708145</v>
      </c>
      <c r="AW45" s="7"/>
      <c r="AX45" s="7"/>
      <c r="AY45" s="7"/>
      <c r="AZ45" s="7"/>
      <c r="BA45" s="7"/>
      <c r="BB45" s="355"/>
      <c r="BC45" s="355"/>
      <c r="BD45" s="355"/>
      <c r="BE45" s="355"/>
      <c r="BF45" s="355"/>
      <c r="BG45" s="355"/>
      <c r="BH45" s="355"/>
      <c r="BI45" s="355"/>
      <c r="BJ45" s="355"/>
      <c r="BT45" s="342"/>
      <c r="BU45" s="342"/>
      <c r="BV45" s="357"/>
      <c r="BW45" s="348" t="s">
        <v>24</v>
      </c>
      <c r="BX45" s="101"/>
      <c r="CN45" s="78"/>
      <c r="CO45" s="78"/>
      <c r="CP45" s="78"/>
      <c r="CQ45" s="78"/>
      <c r="CR45" s="9"/>
      <c r="CS45" s="14">
        <f t="shared" si="25"/>
        <v>32</v>
      </c>
      <c r="CT45" s="4" t="s">
        <v>292</v>
      </c>
      <c r="CU45" s="222">
        <v>61579635.468000002</v>
      </c>
      <c r="CV45" s="222"/>
      <c r="CW45" s="222"/>
      <c r="CX45" s="222"/>
      <c r="CY45" s="222"/>
      <c r="CZ45" s="222">
        <f>Z29</f>
        <v>0</v>
      </c>
      <c r="DA45" s="222"/>
      <c r="DB45" s="222"/>
      <c r="DC45" s="222"/>
      <c r="DD45" s="222"/>
      <c r="DE45" s="14">
        <f t="shared" si="26"/>
        <v>32</v>
      </c>
      <c r="DF45" s="4" t="s">
        <v>292</v>
      </c>
      <c r="DG45" s="80"/>
      <c r="DH45" s="222"/>
      <c r="DI45" s="222"/>
      <c r="DJ45" s="222"/>
      <c r="DK45" s="222"/>
      <c r="DL45" s="80">
        <f>BX18</f>
        <v>7021808.6504999995</v>
      </c>
      <c r="DM45" s="80"/>
      <c r="DN45" s="80"/>
      <c r="DO45" s="80"/>
      <c r="DP45" s="222">
        <f t="shared" si="29"/>
        <v>7021808.6504999995</v>
      </c>
      <c r="DQ45" s="14">
        <f t="shared" si="27"/>
        <v>32</v>
      </c>
      <c r="DR45" s="4" t="s">
        <v>292</v>
      </c>
      <c r="DS45" s="101">
        <f t="shared" si="32"/>
        <v>61579635.468000002</v>
      </c>
      <c r="DT45" s="101">
        <f t="shared" si="30"/>
        <v>7021808.6504999995</v>
      </c>
      <c r="DU45" s="80">
        <f t="shared" si="31"/>
        <v>68601444.118499994</v>
      </c>
    </row>
    <row r="46" spans="1:125" ht="15" customHeight="1" thickBot="1">
      <c r="A46" s="87">
        <f t="shared" si="14"/>
        <v>36</v>
      </c>
      <c r="B46" s="68" t="s">
        <v>225</v>
      </c>
      <c r="C46" s="68"/>
      <c r="D46" s="68"/>
      <c r="E46" s="240">
        <f>+UTN</f>
        <v>3.8537000000000002E-2</v>
      </c>
      <c r="F46" s="289">
        <f>ROUND(G40*E46,0)</f>
        <v>-374171</v>
      </c>
      <c r="G46" s="101"/>
      <c r="H46" s="87"/>
      <c r="I46" s="214"/>
      <c r="J46" s="211"/>
      <c r="K46" s="211"/>
      <c r="L46" s="211"/>
      <c r="M46" s="79" t="s">
        <v>10</v>
      </c>
      <c r="Q46" s="1">
        <f>Q31-CX48</f>
        <v>0</v>
      </c>
      <c r="AA46" s="14"/>
      <c r="AC46" s="290"/>
      <c r="AD46" s="134"/>
      <c r="AE46" s="14">
        <f t="shared" si="17"/>
        <v>35</v>
      </c>
      <c r="AF46" s="202" t="s">
        <v>171</v>
      </c>
      <c r="AI46" s="359">
        <f>AI44-AI45</f>
        <v>-117094.44116886557</v>
      </c>
      <c r="AW46" s="7"/>
      <c r="AX46" s="7"/>
      <c r="AY46" s="7"/>
      <c r="AZ46" s="7"/>
      <c r="BA46" s="7"/>
      <c r="BB46" s="355"/>
      <c r="BC46" s="355"/>
      <c r="BD46" s="355"/>
      <c r="BE46" s="355"/>
      <c r="BF46" s="355"/>
      <c r="BG46" s="355"/>
      <c r="BH46" s="355"/>
      <c r="BI46" s="355"/>
      <c r="BJ46" s="355"/>
      <c r="BT46" s="342"/>
      <c r="BU46" s="342"/>
      <c r="BV46" s="357"/>
      <c r="BW46" s="348"/>
      <c r="BX46" s="101"/>
      <c r="CN46" s="360"/>
      <c r="CO46" s="361"/>
      <c r="CP46" s="29"/>
      <c r="CQ46" s="361"/>
      <c r="CR46" s="9"/>
      <c r="CS46" s="14">
        <f t="shared" si="25"/>
        <v>33</v>
      </c>
      <c r="CT46" s="68" t="s">
        <v>293</v>
      </c>
      <c r="CU46" s="362">
        <f t="shared" ref="CU46:DD46" si="33">SUM(CU29:CU45)</f>
        <v>2032219498.2378919</v>
      </c>
      <c r="CV46" s="362">
        <f t="shared" si="33"/>
        <v>-3686206</v>
      </c>
      <c r="CW46" s="362">
        <f t="shared" si="33"/>
        <v>-15707799.384089258</v>
      </c>
      <c r="CX46" s="362">
        <f t="shared" si="33"/>
        <v>0</v>
      </c>
      <c r="CY46" s="362">
        <f t="shared" si="33"/>
        <v>6092535.0134999994</v>
      </c>
      <c r="CZ46" s="362">
        <f t="shared" si="33"/>
        <v>8830664.4133745283</v>
      </c>
      <c r="DA46" s="362">
        <f t="shared" si="33"/>
        <v>-9321214.0490510222</v>
      </c>
      <c r="DB46" s="362">
        <f t="shared" si="33"/>
        <v>-145194828.95606306</v>
      </c>
      <c r="DC46" s="362">
        <f>SUM(DC29:DC45)</f>
        <v>0</v>
      </c>
      <c r="DD46" s="362">
        <f t="shared" si="33"/>
        <v>-349801</v>
      </c>
      <c r="DE46" s="14">
        <f t="shared" si="26"/>
        <v>33</v>
      </c>
      <c r="DF46" s="68" t="s">
        <v>293</v>
      </c>
      <c r="DG46" s="362">
        <f>SUM(DG29:DG45)</f>
        <v>-1923840.6244517209</v>
      </c>
      <c r="DH46" s="362">
        <f t="shared" ref="DH46:DP46" si="34">SUM(DH29:DH45)</f>
        <v>0</v>
      </c>
      <c r="DI46" s="362">
        <f t="shared" si="34"/>
        <v>0</v>
      </c>
      <c r="DJ46" s="362">
        <f t="shared" si="34"/>
        <v>0</v>
      </c>
      <c r="DK46" s="362">
        <f t="shared" si="34"/>
        <v>0</v>
      </c>
      <c r="DL46" s="362">
        <f t="shared" si="34"/>
        <v>-13040501.7795</v>
      </c>
      <c r="DM46" s="362">
        <f t="shared" si="34"/>
        <v>1920125.0175869092</v>
      </c>
      <c r="DN46" s="362">
        <f>SUM(DN29:DN45)</f>
        <v>0</v>
      </c>
      <c r="DO46" s="362">
        <f>SUM(DO29:DO45)</f>
        <v>0</v>
      </c>
      <c r="DP46" s="362">
        <f t="shared" si="34"/>
        <v>-172380867.34869361</v>
      </c>
      <c r="DQ46" s="14">
        <f t="shared" si="27"/>
        <v>33</v>
      </c>
      <c r="DR46" s="68" t="s">
        <v>293</v>
      </c>
      <c r="DS46" s="362">
        <f>SUM(DS29:DS45)</f>
        <v>2032219498.2378919</v>
      </c>
      <c r="DT46" s="362">
        <f>SUM(DT29:DT45)</f>
        <v>-172380867.34869361</v>
      </c>
      <c r="DU46" s="362">
        <f>SUM(DU29:DU45)</f>
        <v>1859838630.8891978</v>
      </c>
    </row>
    <row r="47" spans="1:125" ht="15" customHeight="1" thickTop="1">
      <c r="A47" s="87">
        <f t="shared" si="14"/>
        <v>37</v>
      </c>
      <c r="B47" s="174" t="s">
        <v>232</v>
      </c>
      <c r="C47" s="68"/>
      <c r="D47" s="68"/>
      <c r="F47" s="281"/>
      <c r="G47" s="333">
        <f>SUM(F46:F46)</f>
        <v>-374171</v>
      </c>
      <c r="H47" s="87"/>
      <c r="J47" s="213"/>
      <c r="K47" s="213"/>
      <c r="L47" s="213"/>
      <c r="M47" s="79" t="s">
        <v>10</v>
      </c>
      <c r="AE47" s="14"/>
      <c r="AW47" s="7"/>
      <c r="AX47" s="7"/>
      <c r="AY47" s="7"/>
      <c r="AZ47" s="7"/>
      <c r="BA47" s="7"/>
      <c r="BB47" s="355"/>
      <c r="BC47" s="355"/>
      <c r="BD47" s="355"/>
      <c r="BE47" s="355"/>
      <c r="BF47" s="355"/>
      <c r="BG47" s="355"/>
      <c r="BH47" s="355"/>
      <c r="BI47" s="355"/>
      <c r="BJ47" s="355"/>
      <c r="BT47" s="358"/>
      <c r="BU47" s="348" t="s">
        <v>24</v>
      </c>
      <c r="BV47" s="358"/>
      <c r="BW47" s="348"/>
      <c r="BX47" s="101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363"/>
      <c r="CO47" s="361"/>
      <c r="CP47" s="29"/>
      <c r="CQ47" s="361"/>
      <c r="CR47" s="364"/>
      <c r="CS47" s="14">
        <f t="shared" si="25"/>
        <v>34</v>
      </c>
      <c r="CU47" s="136"/>
      <c r="CV47" s="136" t="s">
        <v>10</v>
      </c>
      <c r="CW47" s="136" t="s">
        <v>10</v>
      </c>
      <c r="CX47" s="136" t="s">
        <v>10</v>
      </c>
      <c r="CY47" s="136" t="s">
        <v>10</v>
      </c>
      <c r="CZ47" s="136" t="s">
        <v>10</v>
      </c>
      <c r="DA47" s="136" t="s">
        <v>10</v>
      </c>
      <c r="DB47" s="136" t="s">
        <v>10</v>
      </c>
      <c r="DC47" s="136" t="s">
        <v>10</v>
      </c>
      <c r="DD47" s="136" t="s">
        <v>10</v>
      </c>
      <c r="DE47" s="14">
        <f t="shared" si="26"/>
        <v>34</v>
      </c>
      <c r="DG47" s="136"/>
      <c r="DH47" s="136" t="s">
        <v>10</v>
      </c>
      <c r="DI47" s="136"/>
      <c r="DJ47" s="136" t="s">
        <v>10</v>
      </c>
      <c r="DK47" s="136" t="s">
        <v>10</v>
      </c>
      <c r="DL47" s="136"/>
      <c r="DM47" s="136"/>
      <c r="DN47" s="136"/>
      <c r="DO47" s="136"/>
      <c r="DP47" s="136"/>
      <c r="DQ47" s="14">
        <f t="shared" si="27"/>
        <v>34</v>
      </c>
      <c r="DS47" s="136"/>
      <c r="DT47" s="136"/>
      <c r="DU47" s="136"/>
    </row>
    <row r="48" spans="1:125" ht="15" customHeight="1">
      <c r="A48" s="87">
        <f t="shared" si="14"/>
        <v>38</v>
      </c>
      <c r="B48" s="68"/>
      <c r="C48" s="68"/>
      <c r="D48" s="68"/>
      <c r="G48" s="101"/>
      <c r="H48" s="87"/>
      <c r="J48" s="299"/>
      <c r="K48" s="299"/>
      <c r="L48" s="299"/>
      <c r="M48" s="79" t="s">
        <v>10</v>
      </c>
      <c r="AW48" s="7"/>
      <c r="AX48" s="7"/>
      <c r="AY48" s="7"/>
      <c r="AZ48" s="7"/>
      <c r="BA48" s="7"/>
      <c r="BT48" s="358"/>
      <c r="BU48" s="348" t="s">
        <v>24</v>
      </c>
      <c r="BV48" s="358"/>
      <c r="BW48" s="348"/>
      <c r="BX48" s="101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363"/>
      <c r="CO48" s="361"/>
      <c r="CP48" s="29"/>
      <c r="CQ48" s="361"/>
      <c r="CR48" s="361"/>
      <c r="CS48" s="14">
        <f t="shared" si="25"/>
        <v>35</v>
      </c>
      <c r="CT48" s="68" t="s">
        <v>294</v>
      </c>
      <c r="CU48" s="98">
        <f>CU19-CU46</f>
        <v>267867678.69210792</v>
      </c>
      <c r="CV48" s="98">
        <f>CV19-CV46</f>
        <v>-6023184</v>
      </c>
      <c r="CW48" s="98">
        <f>CW19-CW46</f>
        <v>28331887.324089259</v>
      </c>
      <c r="CX48" s="98">
        <f>CX19-CX46</f>
        <v>0</v>
      </c>
      <c r="CY48" s="98">
        <f>CY19-CY46+CY29</f>
        <v>-6092535.0134999994</v>
      </c>
      <c r="CZ48" s="98">
        <f>CZ19-CZ46</f>
        <v>-8830664.4133745283</v>
      </c>
      <c r="DA48" s="98">
        <f>DA19-DA46</f>
        <v>9321214.0490510222</v>
      </c>
      <c r="DB48" s="98">
        <f>ROUND(DB19-DB46,0)</f>
        <v>-117094</v>
      </c>
      <c r="DC48" s="98">
        <f>ROUND(DC19-DC46,0)</f>
        <v>0</v>
      </c>
      <c r="DD48" s="98">
        <f>DD19-DD46</f>
        <v>349801</v>
      </c>
      <c r="DE48" s="14">
        <f t="shared" si="26"/>
        <v>35</v>
      </c>
      <c r="DF48" s="68" t="s">
        <v>294</v>
      </c>
      <c r="DG48" s="98">
        <f t="shared" ref="DG48:DP48" si="35">DG19-DG46</f>
        <v>1923840.6244517209</v>
      </c>
      <c r="DH48" s="98">
        <f t="shared" si="35"/>
        <v>0</v>
      </c>
      <c r="DI48" s="98">
        <f t="shared" si="35"/>
        <v>0</v>
      </c>
      <c r="DJ48" s="98">
        <f t="shared" si="35"/>
        <v>0</v>
      </c>
      <c r="DK48" s="98">
        <f t="shared" si="35"/>
        <v>0</v>
      </c>
      <c r="DL48" s="98">
        <f t="shared" si="35"/>
        <v>13040501.7795</v>
      </c>
      <c r="DM48" s="98">
        <f t="shared" si="35"/>
        <v>-1920125.0175869092</v>
      </c>
      <c r="DN48" s="98">
        <f t="shared" si="35"/>
        <v>0</v>
      </c>
      <c r="DO48" s="98">
        <f t="shared" si="35"/>
        <v>0</v>
      </c>
      <c r="DP48" s="98">
        <f t="shared" si="35"/>
        <v>29983641.89146167</v>
      </c>
      <c r="DQ48" s="14">
        <f t="shared" si="27"/>
        <v>35</v>
      </c>
      <c r="DR48" s="4" t="str">
        <f>CT48</f>
        <v>NET OPERATING INCOME</v>
      </c>
      <c r="DS48" s="98">
        <f>DS19-DS46</f>
        <v>267867678.69210792</v>
      </c>
      <c r="DT48" s="98">
        <f>DT19-DT46</f>
        <v>29983641.89146167</v>
      </c>
      <c r="DU48" s="98">
        <f>DU19-DU46</f>
        <v>297851320.58357</v>
      </c>
    </row>
    <row r="49" spans="1:128" ht="15" customHeight="1">
      <c r="A49" s="87">
        <f t="shared" si="14"/>
        <v>39</v>
      </c>
      <c r="B49" s="68" t="s">
        <v>179</v>
      </c>
      <c r="C49" s="68"/>
      <c r="D49" s="68"/>
      <c r="F49" s="211"/>
      <c r="G49" s="295">
        <f>G40-G44-G47</f>
        <v>-9266437</v>
      </c>
      <c r="H49" s="87"/>
      <c r="AW49" s="7"/>
      <c r="AX49" s="7"/>
      <c r="AY49" s="7"/>
      <c r="AZ49" s="7"/>
      <c r="BA49" s="7"/>
      <c r="BT49" s="348" t="s">
        <v>24</v>
      </c>
      <c r="BU49" s="348" t="s">
        <v>24</v>
      </c>
      <c r="BV49" s="348" t="s">
        <v>24</v>
      </c>
      <c r="BW49" s="348" t="s">
        <v>24</v>
      </c>
      <c r="BX49" s="101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29"/>
      <c r="CO49" s="361"/>
      <c r="CP49" s="29"/>
      <c r="CQ49" s="361"/>
      <c r="CR49" s="361"/>
      <c r="CS49" s="14">
        <f t="shared" si="25"/>
        <v>36</v>
      </c>
      <c r="CU49" s="365"/>
      <c r="CV49" s="365"/>
      <c r="CW49" s="365"/>
      <c r="CX49" s="365"/>
      <c r="CY49" s="365"/>
      <c r="CZ49" s="365"/>
      <c r="DA49" s="365"/>
      <c r="DB49" s="365"/>
      <c r="DC49" s="365"/>
      <c r="DD49" s="365"/>
      <c r="DE49" s="14">
        <f t="shared" si="26"/>
        <v>36</v>
      </c>
      <c r="DG49" s="365"/>
      <c r="DH49" s="365"/>
      <c r="DI49" s="365"/>
      <c r="DJ49" s="365"/>
      <c r="DK49" s="365"/>
      <c r="DL49" s="365"/>
      <c r="DM49" s="365"/>
      <c r="DN49" s="365"/>
      <c r="DO49" s="365"/>
      <c r="DP49" s="365"/>
      <c r="DQ49" s="14">
        <f t="shared" si="27"/>
        <v>36</v>
      </c>
      <c r="DR49" s="68"/>
      <c r="DS49" s="365"/>
      <c r="DT49" s="365"/>
      <c r="DU49" s="365"/>
    </row>
    <row r="50" spans="1:128" ht="15" customHeight="1">
      <c r="A50" s="87">
        <f t="shared" si="14"/>
        <v>40</v>
      </c>
      <c r="B50" s="68"/>
      <c r="C50" s="68"/>
      <c r="D50" s="68"/>
      <c r="F50" s="211"/>
      <c r="G50" s="211"/>
      <c r="H50" s="101"/>
      <c r="AF50" s="7"/>
      <c r="AG50" s="7"/>
      <c r="AH50" s="7"/>
      <c r="AI50" s="7"/>
      <c r="AW50" s="7"/>
      <c r="AX50" s="7"/>
      <c r="AY50" s="7"/>
      <c r="AZ50" s="7"/>
      <c r="BA50" s="7"/>
      <c r="BT50" s="348" t="s">
        <v>24</v>
      </c>
      <c r="BU50" s="348" t="s">
        <v>24</v>
      </c>
      <c r="BV50" s="348" t="s">
        <v>24</v>
      </c>
      <c r="BW50" s="348" t="s">
        <v>24</v>
      </c>
      <c r="BX50" s="101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363"/>
      <c r="CO50" s="366"/>
      <c r="CP50" s="361"/>
      <c r="CQ50" s="361"/>
      <c r="CR50" s="361"/>
      <c r="CS50" s="14">
        <f t="shared" si="25"/>
        <v>37</v>
      </c>
      <c r="CT50" s="68" t="s">
        <v>295</v>
      </c>
      <c r="CU50" s="136">
        <f>CU61</f>
        <v>4962312346.317709</v>
      </c>
      <c r="CV50" s="136">
        <v>0</v>
      </c>
      <c r="CW50" s="136">
        <v>0</v>
      </c>
      <c r="CX50" s="136">
        <v>0</v>
      </c>
      <c r="CY50" s="136">
        <f>V17</f>
        <v>0</v>
      </c>
      <c r="CZ50" s="136">
        <v>0</v>
      </c>
      <c r="DA50" s="136">
        <v>0</v>
      </c>
      <c r="DB50" s="136"/>
      <c r="DC50" s="136"/>
      <c r="DD50" s="136">
        <v>0</v>
      </c>
      <c r="DE50" s="14">
        <f t="shared" si="26"/>
        <v>37</v>
      </c>
      <c r="DF50" s="68" t="s">
        <v>295</v>
      </c>
      <c r="DG50" s="136">
        <v>0</v>
      </c>
      <c r="DH50" s="136">
        <v>0</v>
      </c>
      <c r="DI50" s="136">
        <v>0</v>
      </c>
      <c r="DJ50" s="136">
        <v>0</v>
      </c>
      <c r="DK50" s="136">
        <v>0</v>
      </c>
      <c r="DL50" s="136">
        <v>0</v>
      </c>
      <c r="DM50" s="136">
        <v>0</v>
      </c>
      <c r="DN50" s="136">
        <v>0</v>
      </c>
      <c r="DO50" s="136">
        <v>0</v>
      </c>
      <c r="DP50" s="136">
        <f>SUM(CV50:DO50)-DE50</f>
        <v>0</v>
      </c>
      <c r="DQ50" s="14">
        <f t="shared" si="27"/>
        <v>37</v>
      </c>
      <c r="DR50" s="4" t="str">
        <f>CT50</f>
        <v xml:space="preserve">RATE BASE </v>
      </c>
      <c r="DS50" s="136">
        <f>DS61</f>
        <v>4962312346.317709</v>
      </c>
      <c r="DT50" s="136">
        <f>+DP50</f>
        <v>0</v>
      </c>
      <c r="DU50" s="136">
        <f>SUM(DS50:DT50)</f>
        <v>4962312346.317709</v>
      </c>
    </row>
    <row r="51" spans="1:128" ht="15" customHeight="1">
      <c r="A51" s="87">
        <f t="shared" si="14"/>
        <v>41</v>
      </c>
      <c r="B51" s="68" t="s">
        <v>191</v>
      </c>
      <c r="C51" s="68"/>
      <c r="D51" s="68"/>
      <c r="E51" s="223">
        <f>FIT</f>
        <v>0.35</v>
      </c>
      <c r="F51" s="211"/>
      <c r="G51" s="165">
        <f>ROUND(G49*E51,0)</f>
        <v>-3243253</v>
      </c>
      <c r="H51" s="295"/>
      <c r="AE51" s="7"/>
      <c r="AF51" s="7"/>
      <c r="AG51" s="7"/>
      <c r="AH51" s="7"/>
      <c r="AI51" s="7"/>
      <c r="AW51" s="7"/>
      <c r="AX51" s="7"/>
      <c r="AY51" s="7"/>
      <c r="AZ51" s="7"/>
      <c r="BA51" s="7"/>
      <c r="BT51" s="348" t="s">
        <v>24</v>
      </c>
      <c r="BU51" s="348" t="s">
        <v>24</v>
      </c>
      <c r="BV51" s="348" t="s">
        <v>24</v>
      </c>
      <c r="BW51" s="348" t="s">
        <v>24</v>
      </c>
      <c r="BX51" s="101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8"/>
      <c r="CO51" s="78"/>
      <c r="CP51" s="78"/>
      <c r="CQ51" s="78"/>
      <c r="CR51" s="78"/>
      <c r="CS51" s="14">
        <f t="shared" si="25"/>
        <v>38</v>
      </c>
      <c r="CU51" s="141"/>
      <c r="CX51" s="141"/>
      <c r="DE51" s="14">
        <f t="shared" si="26"/>
        <v>38</v>
      </c>
      <c r="DG51" s="68"/>
      <c r="DL51" s="68"/>
      <c r="DM51" s="68"/>
      <c r="DN51" s="68"/>
      <c r="DO51" s="68"/>
      <c r="DQ51" s="14">
        <f t="shared" si="27"/>
        <v>38</v>
      </c>
      <c r="DS51" s="136"/>
      <c r="DT51" s="136"/>
    </row>
    <row r="52" spans="1:128" ht="15" customHeight="1" thickBot="1">
      <c r="A52" s="87">
        <f t="shared" si="14"/>
        <v>42</v>
      </c>
      <c r="B52" s="68" t="s">
        <v>171</v>
      </c>
      <c r="C52" s="68"/>
      <c r="D52" s="68"/>
      <c r="F52" s="211"/>
      <c r="G52" s="344">
        <f>G49-G51</f>
        <v>-6023184</v>
      </c>
      <c r="H52" s="101"/>
      <c r="Z52" s="1">
        <f>Z30-CZ48</f>
        <v>0</v>
      </c>
      <c r="AE52" s="7"/>
      <c r="AF52" s="7"/>
      <c r="AG52" s="7"/>
      <c r="AH52" s="7"/>
      <c r="AI52" s="7"/>
      <c r="AV52" s="1">
        <f>ROUND(AV29-DD48,0)</f>
        <v>0</v>
      </c>
      <c r="AW52" s="7"/>
      <c r="AX52" s="7"/>
      <c r="AY52" s="7"/>
      <c r="AZ52" s="7"/>
      <c r="BA52" s="7"/>
      <c r="BE52" s="1">
        <f>ROUND(BE27-DH48,0)</f>
        <v>0</v>
      </c>
      <c r="BJ52" s="1">
        <f>ROUND(BJ20-DI48,0)</f>
        <v>0</v>
      </c>
      <c r="BO52" s="1">
        <f>ROUND(BO20-DJ48,0)</f>
        <v>0</v>
      </c>
      <c r="BS52" s="1">
        <f>ROUND(BS15-DK48,0)</f>
        <v>0</v>
      </c>
      <c r="BT52" s="348" t="s">
        <v>24</v>
      </c>
      <c r="BU52" s="367"/>
      <c r="BV52" s="348"/>
      <c r="BW52" s="348" t="s">
        <v>24</v>
      </c>
      <c r="BX52" s="1">
        <f>ROUND(BX20-DL48,0)</f>
        <v>0</v>
      </c>
      <c r="BY52" s="7"/>
      <c r="BZ52" s="7"/>
      <c r="CA52" s="7"/>
      <c r="CB52" s="7"/>
      <c r="CC52" s="1">
        <f>ROUND(CC20-DM48,0)</f>
        <v>0</v>
      </c>
      <c r="CD52" s="1"/>
      <c r="CE52" s="1"/>
      <c r="CF52" s="1"/>
      <c r="CG52" s="1"/>
      <c r="CH52" s="1"/>
      <c r="CI52" s="7"/>
      <c r="CJ52" s="7"/>
      <c r="CK52" s="7"/>
      <c r="CL52" s="7"/>
      <c r="CM52" s="1"/>
      <c r="CN52" s="16"/>
      <c r="CO52" s="78"/>
      <c r="CP52" s="78"/>
      <c r="CQ52" s="78"/>
      <c r="CR52" s="75"/>
      <c r="CS52" s="14">
        <f t="shared" si="25"/>
        <v>39</v>
      </c>
      <c r="CT52" s="68" t="s">
        <v>296</v>
      </c>
      <c r="CU52" s="368">
        <f>CU48/CU50</f>
        <v>5.3980414773946973E-2</v>
      </c>
      <c r="CX52" s="141"/>
      <c r="DE52" s="14">
        <f t="shared" si="26"/>
        <v>39</v>
      </c>
      <c r="DF52" s="68" t="s">
        <v>296</v>
      </c>
      <c r="DG52" s="68"/>
      <c r="DL52" s="68"/>
      <c r="DM52" s="68"/>
      <c r="DN52" s="68"/>
      <c r="DO52" s="68"/>
      <c r="DQ52" s="14">
        <f t="shared" si="27"/>
        <v>39</v>
      </c>
      <c r="DR52" s="4" t="str">
        <f>CT52</f>
        <v>RATE OF RETURN</v>
      </c>
      <c r="DS52" s="327">
        <f>DS48/DS50</f>
        <v>5.3980414773946973E-2</v>
      </c>
      <c r="DT52" s="327"/>
      <c r="DU52" s="327">
        <f>DU48/DU50</f>
        <v>6.0022686964594438E-2</v>
      </c>
    </row>
    <row r="53" spans="1:128" ht="15" customHeight="1" thickTop="1">
      <c r="A53" s="87"/>
      <c r="G53" s="136"/>
      <c r="H53" s="295"/>
      <c r="AE53" s="7"/>
      <c r="AF53" s="7"/>
      <c r="AG53" s="7"/>
      <c r="AH53" s="7"/>
      <c r="AI53" s="7"/>
      <c r="AJ53" s="1"/>
      <c r="AK53" s="1"/>
      <c r="AL53" s="1"/>
      <c r="AM53" s="1"/>
      <c r="AW53" s="7"/>
      <c r="AX53" s="7"/>
      <c r="AY53" s="7"/>
      <c r="AZ53" s="7"/>
      <c r="BA53" s="7"/>
      <c r="BT53" s="348" t="s">
        <v>24</v>
      </c>
      <c r="BU53" s="367"/>
      <c r="BV53" s="348"/>
      <c r="BW53" s="348" t="s">
        <v>24</v>
      </c>
      <c r="BX53" s="101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16"/>
      <c r="CO53" s="369"/>
      <c r="CP53" s="78"/>
      <c r="CQ53" s="78"/>
      <c r="CR53" s="75"/>
      <c r="CS53" s="14">
        <f t="shared" si="25"/>
        <v>40</v>
      </c>
      <c r="DE53" s="14">
        <f t="shared" si="26"/>
        <v>40</v>
      </c>
      <c r="DQ53" s="14">
        <f t="shared" si="27"/>
        <v>40</v>
      </c>
    </row>
    <row r="54" spans="1:128" ht="15" customHeight="1">
      <c r="A54" s="87"/>
      <c r="G54" s="1">
        <f>ROUND(G52-CV48,0)</f>
        <v>0</v>
      </c>
      <c r="H54" s="211"/>
      <c r="AE54" s="7"/>
      <c r="AF54" s="7"/>
      <c r="AG54" s="7"/>
      <c r="AH54" s="7"/>
      <c r="AI54" s="7"/>
      <c r="AW54" s="7"/>
      <c r="AX54" s="7"/>
      <c r="AY54" s="7"/>
      <c r="AZ54" s="7"/>
      <c r="BA54" s="7"/>
      <c r="BV54" s="101"/>
      <c r="BW54" s="101"/>
      <c r="BX54" s="101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8"/>
      <c r="CO54" s="78"/>
      <c r="CP54" s="78"/>
      <c r="CQ54" s="78"/>
      <c r="CR54" s="78"/>
      <c r="CS54" s="14">
        <f t="shared" si="25"/>
        <v>41</v>
      </c>
      <c r="CT54" s="4" t="s">
        <v>297</v>
      </c>
      <c r="DE54" s="14">
        <f t="shared" si="26"/>
        <v>41</v>
      </c>
      <c r="DF54" s="4" t="s">
        <v>297</v>
      </c>
      <c r="DQ54" s="14">
        <f t="shared" si="27"/>
        <v>41</v>
      </c>
      <c r="DR54" s="4" t="s">
        <v>297</v>
      </c>
    </row>
    <row r="55" spans="1:128" ht="15" customHeight="1">
      <c r="A55" s="87"/>
      <c r="H55" s="213"/>
      <c r="AE55" s="7"/>
      <c r="AF55" s="7"/>
      <c r="AG55" s="7"/>
      <c r="AH55" s="7"/>
      <c r="AI55" s="7"/>
      <c r="AW55" s="7"/>
      <c r="AX55" s="7"/>
      <c r="AY55" s="7"/>
      <c r="AZ55" s="7"/>
      <c r="BA55" s="7"/>
      <c r="BV55" s="101"/>
      <c r="BW55" s="101"/>
      <c r="BX55" s="101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5"/>
      <c r="CO55" s="78"/>
      <c r="CP55" s="78"/>
      <c r="CQ55" s="78"/>
      <c r="CR55" s="370"/>
      <c r="CS55" s="14">
        <f t="shared" si="25"/>
        <v>42</v>
      </c>
      <c r="CT55" s="4" t="s">
        <v>298</v>
      </c>
      <c r="CU55" s="101">
        <v>8371335804.5255947</v>
      </c>
      <c r="CV55" s="136">
        <v>0</v>
      </c>
      <c r="CW55" s="136">
        <v>0</v>
      </c>
      <c r="CX55" s="136">
        <v>0</v>
      </c>
      <c r="CY55" s="136"/>
      <c r="CZ55" s="136">
        <v>0</v>
      </c>
      <c r="DA55" s="136">
        <v>0</v>
      </c>
      <c r="DB55" s="136">
        <v>0</v>
      </c>
      <c r="DC55" s="136">
        <v>0</v>
      </c>
      <c r="DD55" s="136">
        <v>0</v>
      </c>
      <c r="DE55" s="14">
        <f t="shared" si="26"/>
        <v>42</v>
      </c>
      <c r="DF55" s="4" t="s">
        <v>298</v>
      </c>
      <c r="DG55" s="136"/>
      <c r="DH55" s="136">
        <v>0</v>
      </c>
      <c r="DI55" s="136">
        <v>0</v>
      </c>
      <c r="DJ55" s="136">
        <v>0</v>
      </c>
      <c r="DK55" s="136">
        <v>0</v>
      </c>
      <c r="DL55" s="136">
        <v>0</v>
      </c>
      <c r="DM55" s="136">
        <v>0</v>
      </c>
      <c r="DN55" s="136">
        <v>0</v>
      </c>
      <c r="DO55" s="136">
        <v>0</v>
      </c>
      <c r="DP55" s="136">
        <f t="shared" ref="DP55:DP60" si="36">SUM(CV55:DO55)-DE55</f>
        <v>0</v>
      </c>
      <c r="DQ55" s="14">
        <f t="shared" si="27"/>
        <v>42</v>
      </c>
      <c r="DR55" s="4" t="s">
        <v>298</v>
      </c>
      <c r="DS55" s="136">
        <f t="shared" ref="DS55:DS60" si="37">CU55</f>
        <v>8371335804.5255947</v>
      </c>
      <c r="DT55" s="136">
        <f t="shared" ref="DT55:DT60" si="38">+DP55</f>
        <v>0</v>
      </c>
      <c r="DU55" s="136">
        <f t="shared" ref="DU55:DU60" si="39">+DT55+DS55</f>
        <v>8371335804.5255947</v>
      </c>
    </row>
    <row r="56" spans="1:128" ht="15" customHeight="1">
      <c r="A56" s="87"/>
      <c r="H56" s="213"/>
      <c r="AE56" s="7"/>
      <c r="AF56" s="7"/>
      <c r="AG56" s="7"/>
      <c r="AH56" s="7"/>
      <c r="AI56" s="7"/>
      <c r="AW56" s="7"/>
      <c r="AX56" s="7"/>
      <c r="AY56" s="7"/>
      <c r="AZ56" s="7"/>
      <c r="BA56" s="7"/>
      <c r="BV56" s="101"/>
      <c r="BW56" s="101"/>
      <c r="BX56" s="101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5"/>
      <c r="CO56" s="78"/>
      <c r="CP56" s="78"/>
      <c r="CQ56" s="78"/>
      <c r="CR56" s="370"/>
      <c r="CS56" s="14">
        <f t="shared" si="25"/>
        <v>43</v>
      </c>
      <c r="CT56" s="371" t="s">
        <v>299</v>
      </c>
      <c r="CU56" s="101">
        <v>-3014999833.3664646</v>
      </c>
      <c r="CV56" s="136"/>
      <c r="CW56" s="136"/>
      <c r="CX56" s="136"/>
      <c r="CY56" s="101"/>
      <c r="CZ56" s="136"/>
      <c r="DA56" s="136"/>
      <c r="DB56" s="136"/>
      <c r="DC56" s="136"/>
      <c r="DD56" s="136"/>
      <c r="DE56" s="14">
        <f t="shared" si="26"/>
        <v>43</v>
      </c>
      <c r="DF56" s="371" t="s">
        <v>299</v>
      </c>
      <c r="DG56" s="136"/>
      <c r="DH56" s="136"/>
      <c r="DI56" s="136"/>
      <c r="DJ56" s="136"/>
      <c r="DK56" s="136"/>
      <c r="DL56" s="136"/>
      <c r="DM56" s="136"/>
      <c r="DN56" s="136"/>
      <c r="DO56" s="136"/>
      <c r="DP56" s="136">
        <f t="shared" si="36"/>
        <v>0</v>
      </c>
      <c r="DQ56" s="14">
        <f t="shared" si="27"/>
        <v>43</v>
      </c>
      <c r="DR56" s="371" t="s">
        <v>299</v>
      </c>
      <c r="DS56" s="136">
        <f t="shared" si="37"/>
        <v>-3014999833.3664646</v>
      </c>
      <c r="DT56" s="80">
        <f t="shared" si="38"/>
        <v>0</v>
      </c>
      <c r="DU56" s="80">
        <f t="shared" si="39"/>
        <v>-3014999833.3664646</v>
      </c>
    </row>
    <row r="57" spans="1:128" ht="15" customHeight="1">
      <c r="A57" s="87"/>
      <c r="B57" s="214"/>
      <c r="H57" s="299"/>
      <c r="AA57" s="78"/>
      <c r="AB57" s="78"/>
      <c r="AC57" s="78"/>
      <c r="AD57" s="78"/>
      <c r="AE57" s="7"/>
      <c r="AF57" s="7"/>
      <c r="AG57" s="7"/>
      <c r="AH57" s="7"/>
      <c r="AI57" s="7"/>
      <c r="AW57" s="7"/>
      <c r="AX57" s="7"/>
      <c r="AY57" s="7"/>
      <c r="AZ57" s="7"/>
      <c r="BA57" s="7"/>
      <c r="BV57" s="101"/>
      <c r="BW57" s="101"/>
      <c r="BX57" s="101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5"/>
      <c r="CO57" s="113"/>
      <c r="CP57" s="78"/>
      <c r="CQ57" s="78"/>
      <c r="CR57" s="372"/>
      <c r="CS57" s="14">
        <f t="shared" si="25"/>
        <v>44</v>
      </c>
      <c r="CT57" s="4" t="s">
        <v>300</v>
      </c>
      <c r="CU57" s="101">
        <v>437285426.84999996</v>
      </c>
      <c r="CV57" s="101"/>
      <c r="CW57" s="101"/>
      <c r="CX57" s="101"/>
      <c r="CY57" s="101"/>
      <c r="CZ57" s="101"/>
      <c r="DA57" s="101"/>
      <c r="DB57" s="101"/>
      <c r="DC57" s="101"/>
      <c r="DD57" s="101"/>
      <c r="DE57" s="14">
        <f t="shared" si="26"/>
        <v>44</v>
      </c>
      <c r="DF57" s="4" t="s">
        <v>300</v>
      </c>
      <c r="DG57" s="101"/>
      <c r="DH57" s="101"/>
      <c r="DI57" s="101"/>
      <c r="DJ57" s="101"/>
      <c r="DK57" s="101"/>
      <c r="DL57" s="101"/>
      <c r="DM57" s="101"/>
      <c r="DN57" s="101"/>
      <c r="DO57" s="101"/>
      <c r="DP57" s="101">
        <f t="shared" si="36"/>
        <v>0</v>
      </c>
      <c r="DQ57" s="14">
        <f t="shared" si="27"/>
        <v>44</v>
      </c>
      <c r="DR57" s="4" t="s">
        <v>300</v>
      </c>
      <c r="DS57" s="80">
        <f t="shared" si="37"/>
        <v>437285426.84999996</v>
      </c>
      <c r="DT57" s="80">
        <f t="shared" si="38"/>
        <v>0</v>
      </c>
      <c r="DU57" s="80">
        <f t="shared" si="39"/>
        <v>437285426.84999996</v>
      </c>
    </row>
    <row r="58" spans="1:128" ht="15" customHeight="1">
      <c r="A58" s="87"/>
      <c r="AA58" s="78"/>
      <c r="AB58" s="78"/>
      <c r="AC58" s="78"/>
      <c r="AD58" s="78"/>
      <c r="AI58" s="1">
        <f>ROUND(AI46-DB48,0)</f>
        <v>0</v>
      </c>
      <c r="AW58" s="7"/>
      <c r="AX58" s="7"/>
      <c r="AY58" s="7"/>
      <c r="AZ58" s="7"/>
      <c r="BA58" s="7"/>
      <c r="BV58" s="101"/>
      <c r="BW58" s="101"/>
      <c r="BX58" s="101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5"/>
      <c r="CO58" s="113"/>
      <c r="CP58" s="288"/>
      <c r="CQ58" s="78"/>
      <c r="CR58" s="78"/>
      <c r="CS58" s="14">
        <f t="shared" si="25"/>
        <v>45</v>
      </c>
      <c r="CT58" s="4" t="s">
        <v>301</v>
      </c>
      <c r="CU58" s="101">
        <v>-929775901.69819415</v>
      </c>
      <c r="CV58" s="101"/>
      <c r="CW58" s="101"/>
      <c r="CX58" s="101"/>
      <c r="CY58" s="101"/>
      <c r="CZ58" s="101"/>
      <c r="DA58" s="101"/>
      <c r="DB58" s="101"/>
      <c r="DC58" s="101"/>
      <c r="DD58" s="101"/>
      <c r="DE58" s="14">
        <f t="shared" si="26"/>
        <v>45</v>
      </c>
      <c r="DF58" s="4" t="s">
        <v>301</v>
      </c>
      <c r="DG58" s="101"/>
      <c r="DH58" s="101"/>
      <c r="DI58" s="101"/>
      <c r="DJ58" s="101"/>
      <c r="DK58" s="101"/>
      <c r="DL58" s="101"/>
      <c r="DM58" s="101"/>
      <c r="DN58" s="101"/>
      <c r="DO58" s="101"/>
      <c r="DP58" s="101">
        <f t="shared" si="36"/>
        <v>0</v>
      </c>
      <c r="DQ58" s="14">
        <f t="shared" si="27"/>
        <v>45</v>
      </c>
      <c r="DR58" s="4" t="s">
        <v>301</v>
      </c>
      <c r="DS58" s="80">
        <f t="shared" si="37"/>
        <v>-929775901.69819415</v>
      </c>
      <c r="DT58" s="80">
        <f t="shared" si="38"/>
        <v>0</v>
      </c>
      <c r="DU58" s="80">
        <f t="shared" si="39"/>
        <v>-929775901.69819415</v>
      </c>
    </row>
    <row r="59" spans="1:128" ht="15" customHeight="1">
      <c r="A59" s="87"/>
      <c r="V59" s="1"/>
      <c r="AA59" s="78"/>
      <c r="AB59" s="78"/>
      <c r="AC59" s="78"/>
      <c r="AD59" s="78"/>
      <c r="AW59" s="7"/>
      <c r="AX59" s="7"/>
      <c r="AY59" s="7"/>
      <c r="AZ59" s="7"/>
      <c r="BA59" s="7"/>
      <c r="BV59" s="101"/>
      <c r="BW59" s="101"/>
      <c r="BX59" s="101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5"/>
      <c r="CO59" s="78"/>
      <c r="CP59" s="78"/>
      <c r="CQ59" s="78"/>
      <c r="CR59" s="288"/>
      <c r="CS59" s="14">
        <f t="shared" si="25"/>
        <v>46</v>
      </c>
      <c r="CT59" s="4" t="s">
        <v>302</v>
      </c>
      <c r="CU59" s="101">
        <v>180394294.60677359</v>
      </c>
      <c r="CV59" s="101"/>
      <c r="CW59" s="101"/>
      <c r="CX59" s="101"/>
      <c r="CY59" s="101"/>
      <c r="CZ59" s="101"/>
      <c r="DA59" s="101"/>
      <c r="DB59" s="101"/>
      <c r="DC59" s="101"/>
      <c r="DD59" s="101"/>
      <c r="DE59" s="14">
        <f t="shared" si="26"/>
        <v>46</v>
      </c>
      <c r="DF59" s="4" t="s">
        <v>302</v>
      </c>
      <c r="DG59" s="101"/>
      <c r="DH59" s="101"/>
      <c r="DI59" s="101"/>
      <c r="DJ59" s="101"/>
      <c r="DK59" s="101"/>
      <c r="DL59" s="101"/>
      <c r="DM59" s="101"/>
      <c r="DN59" s="101"/>
      <c r="DO59" s="101"/>
      <c r="DP59" s="101">
        <f t="shared" si="36"/>
        <v>0</v>
      </c>
      <c r="DQ59" s="14">
        <f t="shared" si="27"/>
        <v>46</v>
      </c>
      <c r="DR59" s="4" t="s">
        <v>302</v>
      </c>
      <c r="DS59" s="80">
        <f t="shared" si="37"/>
        <v>180394294.60677359</v>
      </c>
      <c r="DT59" s="80">
        <f t="shared" si="38"/>
        <v>0</v>
      </c>
      <c r="DU59" s="80">
        <f t="shared" si="39"/>
        <v>180394294.60677359</v>
      </c>
    </row>
    <row r="60" spans="1:128" s="373" customFormat="1" ht="15" customHeight="1">
      <c r="A60" s="87"/>
      <c r="B60" s="4"/>
      <c r="C60" s="4"/>
      <c r="D60" s="4"/>
      <c r="E60" s="4"/>
      <c r="F60" s="4"/>
      <c r="G60" s="4"/>
      <c r="H60" s="4"/>
      <c r="I60" s="4"/>
      <c r="J60" s="4"/>
      <c r="K60" s="4"/>
      <c r="L60" s="1">
        <f>L39-CW48</f>
        <v>0</v>
      </c>
      <c r="M60" s="4"/>
      <c r="N60" s="4"/>
      <c r="O60" s="4"/>
      <c r="P60" s="4"/>
      <c r="Q60" s="4"/>
      <c r="R60" s="4"/>
      <c r="S60" s="4"/>
      <c r="T60" s="4"/>
      <c r="U60" s="4"/>
      <c r="V60" s="1">
        <f>V26-CY48</f>
        <v>0</v>
      </c>
      <c r="W60" s="4"/>
      <c r="X60" s="4"/>
      <c r="Y60" s="4"/>
      <c r="Z60" s="4"/>
      <c r="AA60" s="78"/>
      <c r="AB60" s="78"/>
      <c r="AC60" s="78"/>
      <c r="AD60" s="78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7"/>
      <c r="AX60" s="7"/>
      <c r="AY60" s="7"/>
      <c r="AZ60" s="7"/>
      <c r="BA60" s="7"/>
      <c r="BB60" s="5"/>
      <c r="BC60" s="5"/>
      <c r="BD60" s="5"/>
      <c r="BE60" s="5"/>
      <c r="BF60" s="5"/>
      <c r="BG60" s="5"/>
      <c r="BH60" s="5"/>
      <c r="BI60" s="5"/>
      <c r="BJ60" s="5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101"/>
      <c r="BW60" s="101"/>
      <c r="BX60" s="101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5"/>
      <c r="CO60" s="113"/>
      <c r="CP60" s="78"/>
      <c r="CQ60" s="78"/>
      <c r="CR60" s="288"/>
      <c r="CS60" s="14">
        <f t="shared" si="25"/>
        <v>47</v>
      </c>
      <c r="CT60" s="4" t="s">
        <v>303</v>
      </c>
      <c r="CU60" s="165">
        <v>-81927444.599999994</v>
      </c>
      <c r="CV60" s="165"/>
      <c r="CW60" s="165"/>
      <c r="CX60" s="165"/>
      <c r="CY60" s="165"/>
      <c r="CZ60" s="165"/>
      <c r="DA60" s="165"/>
      <c r="DB60" s="165"/>
      <c r="DC60" s="165"/>
      <c r="DD60" s="165"/>
      <c r="DE60" s="14">
        <f t="shared" si="26"/>
        <v>47</v>
      </c>
      <c r="DF60" s="4" t="s">
        <v>303</v>
      </c>
      <c r="DG60" s="165"/>
      <c r="DH60" s="165"/>
      <c r="DI60" s="165"/>
      <c r="DJ60" s="165"/>
      <c r="DK60" s="165"/>
      <c r="DL60" s="165"/>
      <c r="DM60" s="165"/>
      <c r="DN60" s="165"/>
      <c r="DO60" s="165"/>
      <c r="DP60" s="165">
        <f t="shared" si="36"/>
        <v>0</v>
      </c>
      <c r="DQ60" s="14">
        <f t="shared" si="27"/>
        <v>47</v>
      </c>
      <c r="DR60" s="4" t="s">
        <v>303</v>
      </c>
      <c r="DS60" s="80">
        <f t="shared" si="37"/>
        <v>-81927444.599999994</v>
      </c>
      <c r="DT60" s="80">
        <f t="shared" si="38"/>
        <v>0</v>
      </c>
      <c r="DU60" s="80">
        <f t="shared" si="39"/>
        <v>-81927444.599999994</v>
      </c>
      <c r="DV60" s="4"/>
      <c r="DW60" s="4"/>
      <c r="DX60" s="4"/>
    </row>
    <row r="61" spans="1:128" s="373" customFormat="1" ht="15" customHeight="1" thickBot="1">
      <c r="A61" s="8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8"/>
      <c r="AB61" s="78"/>
      <c r="AC61" s="78"/>
      <c r="AD61" s="78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7"/>
      <c r="AX61" s="7"/>
      <c r="AY61" s="7"/>
      <c r="AZ61" s="7"/>
      <c r="BA61" s="7"/>
      <c r="BB61" s="374"/>
      <c r="BC61" s="5"/>
      <c r="BD61" s="5"/>
      <c r="BE61" s="5"/>
      <c r="BF61" s="5"/>
      <c r="BG61" s="374"/>
      <c r="BH61" s="5"/>
      <c r="BI61" s="5"/>
      <c r="BJ61" s="5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101"/>
      <c r="BW61" s="101"/>
      <c r="BX61" s="101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5"/>
      <c r="CO61" s="113"/>
      <c r="CP61" s="78"/>
      <c r="CQ61" s="78"/>
      <c r="CR61" s="288"/>
      <c r="CS61" s="14">
        <f t="shared" si="25"/>
        <v>48</v>
      </c>
      <c r="CT61" s="4" t="s">
        <v>304</v>
      </c>
      <c r="CU61" s="375">
        <f t="shared" ref="CU61:DA61" si="40">SUM(CU55:CU60)</f>
        <v>4962312346.317709</v>
      </c>
      <c r="CV61" s="375">
        <f t="shared" si="40"/>
        <v>0</v>
      </c>
      <c r="CW61" s="375">
        <f t="shared" si="40"/>
        <v>0</v>
      </c>
      <c r="CX61" s="375">
        <f t="shared" si="40"/>
        <v>0</v>
      </c>
      <c r="CY61" s="375">
        <f t="shared" si="40"/>
        <v>0</v>
      </c>
      <c r="CZ61" s="375">
        <f t="shared" si="40"/>
        <v>0</v>
      </c>
      <c r="DA61" s="375">
        <f t="shared" si="40"/>
        <v>0</v>
      </c>
      <c r="DB61" s="375">
        <f>SUM(DB55:DB60)</f>
        <v>0</v>
      </c>
      <c r="DC61" s="375">
        <f>SUM(DC55:DC60)</f>
        <v>0</v>
      </c>
      <c r="DD61" s="375">
        <f>SUM(DD55:DD60)</f>
        <v>0</v>
      </c>
      <c r="DE61" s="14">
        <f t="shared" si="26"/>
        <v>48</v>
      </c>
      <c r="DF61" s="4" t="s">
        <v>304</v>
      </c>
      <c r="DG61" s="375">
        <f>SUM(DG55:DG60)</f>
        <v>0</v>
      </c>
      <c r="DH61" s="375">
        <f t="shared" ref="DH61:DP61" si="41">SUM(DH55:DH60)</f>
        <v>0</v>
      </c>
      <c r="DI61" s="375">
        <f t="shared" si="41"/>
        <v>0</v>
      </c>
      <c r="DJ61" s="375">
        <f t="shared" si="41"/>
        <v>0</v>
      </c>
      <c r="DK61" s="375">
        <f t="shared" si="41"/>
        <v>0</v>
      </c>
      <c r="DL61" s="375">
        <f t="shared" si="41"/>
        <v>0</v>
      </c>
      <c r="DM61" s="375">
        <f t="shared" si="41"/>
        <v>0</v>
      </c>
      <c r="DN61" s="375">
        <f>SUM(DN55:DN60)</f>
        <v>0</v>
      </c>
      <c r="DO61" s="375">
        <f>SUM(DO55:DO60)</f>
        <v>0</v>
      </c>
      <c r="DP61" s="375">
        <f t="shared" si="41"/>
        <v>0</v>
      </c>
      <c r="DQ61" s="14">
        <f t="shared" si="27"/>
        <v>48</v>
      </c>
      <c r="DR61" s="4" t="s">
        <v>304</v>
      </c>
      <c r="DS61" s="376">
        <f>SUM(DS55:DS60)</f>
        <v>4962312346.317709</v>
      </c>
      <c r="DT61" s="376">
        <f>SUM(DT55:DT60)</f>
        <v>0</v>
      </c>
      <c r="DU61" s="376">
        <f>SUM(DU55:DU60)</f>
        <v>4962312346.317709</v>
      </c>
    </row>
    <row r="62" spans="1:128" s="373" customFormat="1" ht="15" customHeight="1" thickTop="1">
      <c r="A62" s="8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8"/>
      <c r="AB62" s="78"/>
      <c r="AC62" s="78"/>
      <c r="AD62" s="78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7"/>
      <c r="AX62" s="7"/>
      <c r="AY62" s="7"/>
      <c r="AZ62" s="7"/>
      <c r="BA62" s="7"/>
      <c r="BB62" s="5"/>
      <c r="BC62" s="5"/>
      <c r="BD62" s="5"/>
      <c r="BE62" s="5"/>
      <c r="BF62" s="5"/>
      <c r="BG62" s="5"/>
      <c r="BH62" s="5"/>
      <c r="BI62" s="5"/>
      <c r="BJ62" s="5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101"/>
      <c r="BW62" s="101"/>
      <c r="BX62" s="101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5"/>
      <c r="CO62" s="78"/>
      <c r="CP62" s="78"/>
      <c r="CQ62" s="78"/>
      <c r="CR62" s="288"/>
      <c r="CS62" s="377"/>
      <c r="CU62" s="378">
        <f>CU61-CU50</f>
        <v>0</v>
      </c>
      <c r="CV62" s="378">
        <f t="shared" ref="CV62:DD62" si="42">CV61-CV50</f>
        <v>0</v>
      </c>
      <c r="CW62" s="378">
        <f t="shared" si="42"/>
        <v>0</v>
      </c>
      <c r="CX62" s="378">
        <f t="shared" si="42"/>
        <v>0</v>
      </c>
      <c r="CY62" s="378">
        <f t="shared" si="42"/>
        <v>0</v>
      </c>
      <c r="CZ62" s="378">
        <f t="shared" si="42"/>
        <v>0</v>
      </c>
      <c r="DA62" s="378">
        <f t="shared" si="42"/>
        <v>0</v>
      </c>
      <c r="DB62" s="378">
        <f t="shared" si="42"/>
        <v>0</v>
      </c>
      <c r="DC62" s="378">
        <f t="shared" si="42"/>
        <v>0</v>
      </c>
      <c r="DD62" s="378">
        <f t="shared" si="42"/>
        <v>0</v>
      </c>
      <c r="DG62" s="378">
        <f t="shared" ref="DG62:DP62" si="43">DG61-DG50</f>
        <v>0</v>
      </c>
      <c r="DH62" s="378">
        <f t="shared" si="43"/>
        <v>0</v>
      </c>
      <c r="DI62" s="378">
        <f t="shared" si="43"/>
        <v>0</v>
      </c>
      <c r="DJ62" s="378">
        <f t="shared" si="43"/>
        <v>0</v>
      </c>
      <c r="DK62" s="378">
        <f t="shared" si="43"/>
        <v>0</v>
      </c>
      <c r="DL62" s="378">
        <f t="shared" si="43"/>
        <v>0</v>
      </c>
      <c r="DM62" s="378">
        <f t="shared" si="43"/>
        <v>0</v>
      </c>
      <c r="DN62" s="378">
        <f>DN61-DN50</f>
        <v>0</v>
      </c>
      <c r="DO62" s="378">
        <f>DO61-DO50</f>
        <v>0</v>
      </c>
      <c r="DP62" s="378">
        <f t="shared" si="43"/>
        <v>0</v>
      </c>
    </row>
    <row r="63" spans="1:128" ht="15" customHeight="1">
      <c r="A63" s="87"/>
      <c r="AA63" s="78"/>
      <c r="AB63" s="78"/>
      <c r="AC63" s="78"/>
      <c r="AD63" s="78"/>
      <c r="AW63" s="7"/>
      <c r="AX63" s="7"/>
      <c r="AY63" s="7"/>
      <c r="AZ63" s="7"/>
      <c r="BA63" s="7"/>
      <c r="BV63" s="101"/>
      <c r="BW63" s="101"/>
      <c r="BX63" s="101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5"/>
      <c r="CO63" s="78"/>
      <c r="CP63" s="78"/>
      <c r="CQ63" s="78"/>
      <c r="CR63" s="379"/>
      <c r="CS63" s="377"/>
      <c r="CT63" s="373"/>
      <c r="CU63" s="373"/>
      <c r="CV63" s="378">
        <f>CV48-G52</f>
        <v>0</v>
      </c>
      <c r="CW63" s="378">
        <f>CW48-L39</f>
        <v>0</v>
      </c>
      <c r="CX63" s="378">
        <f>CX48-Q31</f>
        <v>0</v>
      </c>
      <c r="CY63" s="378">
        <f>CY48-V26</f>
        <v>0</v>
      </c>
      <c r="CZ63" s="378">
        <f>CZ48-Z30</f>
        <v>0</v>
      </c>
      <c r="DA63" s="378">
        <f>DA48-AD24</f>
        <v>0</v>
      </c>
      <c r="DB63" s="378">
        <f>DB48-AI46</f>
        <v>0.44116886556730606</v>
      </c>
      <c r="DC63" s="378">
        <f>DC48-AM32</f>
        <v>0</v>
      </c>
      <c r="DD63" s="378">
        <f>DD48-AV29</f>
        <v>0</v>
      </c>
      <c r="DE63" s="378"/>
      <c r="DF63" s="378"/>
      <c r="DG63" s="378">
        <f>DG48-BA20</f>
        <v>0</v>
      </c>
      <c r="DH63" s="378">
        <f>DH48-BE27</f>
        <v>0</v>
      </c>
      <c r="DI63" s="378">
        <f>DI48-BJ20</f>
        <v>0</v>
      </c>
      <c r="DJ63" s="378">
        <f>DJ48-BO20</f>
        <v>0</v>
      </c>
      <c r="DK63" s="378">
        <f>DK48-BS15</f>
        <v>0</v>
      </c>
      <c r="DL63" s="378">
        <f>DL48-BX20</f>
        <v>0</v>
      </c>
      <c r="DM63" s="378">
        <f>DM48-CC20</f>
        <v>0</v>
      </c>
      <c r="DN63" s="378"/>
      <c r="DO63" s="378">
        <f>DO48-CM20</f>
        <v>0</v>
      </c>
      <c r="DP63" s="378"/>
      <c r="DQ63" s="373"/>
      <c r="DS63" s="373"/>
      <c r="DT63" s="373"/>
      <c r="DU63" s="373"/>
    </row>
    <row r="64" spans="1:128" ht="15" customHeight="1">
      <c r="A64" s="87"/>
      <c r="AA64" s="78"/>
      <c r="AB64" s="78"/>
      <c r="AC64" s="78"/>
      <c r="AD64" s="78"/>
      <c r="AW64" s="7"/>
      <c r="AX64" s="7"/>
      <c r="AY64" s="7"/>
      <c r="AZ64" s="7"/>
      <c r="BA64" s="7"/>
      <c r="BV64" s="101"/>
      <c r="BW64" s="101"/>
      <c r="BX64" s="101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5"/>
      <c r="CO64" s="78"/>
      <c r="CP64" s="78"/>
      <c r="CQ64" s="79"/>
      <c r="CR64" s="288"/>
      <c r="DR64" s="373"/>
    </row>
    <row r="65" spans="1:125" ht="15" customHeight="1">
      <c r="A65" s="87"/>
      <c r="X65" s="78"/>
      <c r="AA65" s="78"/>
      <c r="AB65" s="78"/>
      <c r="AC65" s="78"/>
      <c r="AD65" s="78"/>
      <c r="AW65" s="7"/>
      <c r="AX65" s="7"/>
      <c r="AY65" s="7"/>
      <c r="AZ65" s="7"/>
      <c r="BA65" s="7"/>
      <c r="BV65" s="101"/>
      <c r="BW65" s="101"/>
      <c r="BX65" s="101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5"/>
      <c r="CO65" s="78"/>
      <c r="CP65" s="78"/>
      <c r="CQ65" s="78"/>
      <c r="CR65" s="380"/>
      <c r="DR65" s="373"/>
    </row>
    <row r="66" spans="1:125" ht="15" customHeight="1">
      <c r="X66" s="78"/>
      <c r="Y66" s="78"/>
      <c r="Z66" s="78"/>
      <c r="AA66" s="78"/>
      <c r="AB66" s="78"/>
      <c r="AC66" s="78"/>
      <c r="AD66" s="78"/>
      <c r="AW66" s="7"/>
      <c r="AX66" s="7"/>
      <c r="AY66" s="7"/>
      <c r="AZ66" s="7"/>
      <c r="BA66" s="7"/>
      <c r="BV66" s="101"/>
      <c r="BW66" s="101"/>
      <c r="BX66" s="101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5"/>
      <c r="CO66" s="78"/>
      <c r="CP66" s="78"/>
      <c r="CQ66" s="78"/>
      <c r="CR66" s="380"/>
      <c r="DR66" s="373"/>
    </row>
    <row r="67" spans="1:125" ht="15" customHeight="1">
      <c r="X67" s="78"/>
      <c r="Y67" s="78"/>
      <c r="Z67" s="78"/>
      <c r="AA67" s="78"/>
      <c r="AB67" s="78"/>
      <c r="AC67" s="78"/>
      <c r="AD67" s="78"/>
      <c r="AW67" s="7"/>
      <c r="AX67" s="7"/>
      <c r="AY67" s="7"/>
      <c r="AZ67" s="7"/>
      <c r="BA67" s="7"/>
      <c r="BV67" s="101"/>
      <c r="BW67" s="101"/>
      <c r="BX67" s="101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5"/>
      <c r="CO67" s="78"/>
      <c r="CP67" s="78"/>
      <c r="CQ67" s="78"/>
      <c r="CR67" s="288"/>
      <c r="DR67" s="373"/>
    </row>
    <row r="68" spans="1:125" ht="15" customHeight="1">
      <c r="X68" s="78"/>
      <c r="Y68" s="78"/>
      <c r="Z68" s="78"/>
      <c r="AA68" s="78"/>
      <c r="AB68" s="78"/>
      <c r="AC68" s="78"/>
      <c r="AD68" s="78"/>
      <c r="AW68" s="381"/>
      <c r="AX68" s="382"/>
      <c r="AY68" s="383"/>
      <c r="BA68" s="383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DR68" s="373"/>
    </row>
    <row r="69" spans="1:125" ht="15" customHeight="1">
      <c r="X69" s="78"/>
      <c r="Y69" s="78"/>
      <c r="Z69" s="78"/>
      <c r="AA69" s="78"/>
      <c r="AB69" s="78"/>
      <c r="AC69" s="78"/>
      <c r="AD69" s="78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DR69" s="373"/>
    </row>
    <row r="70" spans="1:125" ht="15" customHeight="1">
      <c r="X70" s="78"/>
      <c r="Y70" s="78"/>
      <c r="Z70" s="78"/>
      <c r="AA70" s="78"/>
      <c r="AB70" s="78"/>
      <c r="AC70" s="78"/>
      <c r="AD70" s="78"/>
      <c r="BP70" s="384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</row>
    <row r="71" spans="1:125" ht="15" customHeight="1">
      <c r="X71" s="78"/>
      <c r="Y71" s="78"/>
      <c r="Z71" s="78"/>
      <c r="AA71" s="78"/>
      <c r="AB71" s="78"/>
      <c r="AC71" s="78"/>
      <c r="AD71" s="78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</row>
    <row r="72" spans="1:125" ht="15" customHeight="1">
      <c r="X72" s="78"/>
      <c r="Y72" s="78"/>
      <c r="Z72" s="78"/>
      <c r="AA72" s="78"/>
      <c r="AB72" s="78"/>
      <c r="AC72" s="78"/>
      <c r="AD72" s="78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</row>
    <row r="73" spans="1:125" ht="15" customHeight="1">
      <c r="X73" s="78"/>
      <c r="Y73" s="78"/>
      <c r="Z73" s="78"/>
      <c r="AA73" s="78"/>
      <c r="AB73" s="78"/>
      <c r="AC73" s="78"/>
      <c r="AD73" s="78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</row>
    <row r="74" spans="1:125" ht="15" customHeight="1">
      <c r="X74" s="78"/>
      <c r="Y74" s="78"/>
      <c r="Z74" s="78"/>
      <c r="AA74" s="78"/>
      <c r="AB74" s="78"/>
      <c r="AC74" s="78"/>
      <c r="AD74" s="78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</row>
    <row r="75" spans="1:125" ht="15" customHeight="1">
      <c r="X75" s="78"/>
      <c r="Y75" s="78"/>
      <c r="Z75" s="78"/>
      <c r="AA75" s="78"/>
      <c r="AB75" s="78"/>
      <c r="AC75" s="78"/>
      <c r="AD75" s="78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</row>
    <row r="76" spans="1:125" ht="15" customHeight="1">
      <c r="X76" s="78"/>
      <c r="Y76" s="78"/>
      <c r="Z76" s="78"/>
      <c r="AA76" s="78"/>
      <c r="AB76" s="78"/>
      <c r="AC76" s="78"/>
      <c r="AD76" s="78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</row>
    <row r="77" spans="1:125" ht="15" customHeight="1">
      <c r="X77" s="78"/>
      <c r="Y77" s="78"/>
      <c r="Z77" s="78"/>
      <c r="AA77" s="78"/>
      <c r="AB77" s="78"/>
      <c r="AC77" s="78"/>
      <c r="AD77" s="78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</row>
    <row r="78" spans="1:125" ht="15" customHeight="1">
      <c r="X78" s="78"/>
      <c r="Y78" s="78"/>
      <c r="Z78" s="78"/>
      <c r="AA78" s="78"/>
      <c r="AB78" s="78"/>
      <c r="AC78" s="78"/>
      <c r="AD78" s="78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DS78" s="136"/>
      <c r="DU78" s="136"/>
    </row>
    <row r="79" spans="1:125" ht="15" customHeight="1">
      <c r="X79" s="78"/>
      <c r="Y79" s="78"/>
      <c r="Z79" s="78"/>
      <c r="AA79" s="78"/>
      <c r="AB79" s="78"/>
      <c r="AC79" s="78"/>
      <c r="AD79" s="78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DS79" s="101"/>
      <c r="DU79" s="101"/>
    </row>
    <row r="80" spans="1:125" ht="15" customHeight="1">
      <c r="X80" s="78"/>
      <c r="Y80" s="78"/>
      <c r="Z80" s="78"/>
      <c r="AA80" s="78"/>
      <c r="AB80" s="78"/>
      <c r="AC80" s="78"/>
      <c r="AD80" s="78"/>
      <c r="BY80" s="381"/>
      <c r="BZ80" s="382"/>
      <c r="CA80" s="383"/>
      <c r="CC80" s="383"/>
      <c r="CD80" s="383"/>
      <c r="CE80" s="383"/>
      <c r="CF80" s="383"/>
      <c r="CG80" s="383"/>
      <c r="CH80" s="383"/>
      <c r="CI80" s="381"/>
      <c r="CJ80" s="382"/>
      <c r="CK80" s="383"/>
      <c r="CM80" s="383"/>
      <c r="DS80" s="337"/>
      <c r="DT80" s="337"/>
      <c r="DU80" s="337"/>
    </row>
    <row r="81" spans="24:30" ht="15" customHeight="1">
      <c r="X81" s="78"/>
      <c r="Y81" s="78"/>
      <c r="Z81" s="78"/>
      <c r="AA81" s="78"/>
      <c r="AB81" s="78"/>
      <c r="AC81" s="78"/>
      <c r="AD81" s="78"/>
    </row>
    <row r="82" spans="24:30" ht="15" customHeight="1">
      <c r="X82" s="78"/>
      <c r="Y82" s="78"/>
      <c r="Z82" s="78"/>
      <c r="AA82" s="78"/>
      <c r="AB82" s="78"/>
      <c r="AC82" s="78"/>
      <c r="AD82" s="78"/>
    </row>
    <row r="83" spans="24:30" ht="15" customHeight="1">
      <c r="X83" s="78"/>
      <c r="Y83" s="78"/>
      <c r="Z83" s="78"/>
      <c r="AA83" s="78"/>
      <c r="AB83" s="78"/>
      <c r="AC83" s="78"/>
      <c r="AD83" s="78"/>
    </row>
    <row r="84" spans="24:30" ht="15" customHeight="1">
      <c r="X84" s="78"/>
      <c r="Y84" s="78"/>
      <c r="Z84" s="78"/>
      <c r="AA84" s="78"/>
      <c r="AB84" s="78"/>
      <c r="AC84" s="78"/>
      <c r="AD84" s="78"/>
    </row>
    <row r="85" spans="24:30" ht="15" customHeight="1">
      <c r="X85" s="78"/>
      <c r="Y85" s="78"/>
      <c r="Z85" s="78"/>
      <c r="AA85" s="78"/>
      <c r="AB85" s="78"/>
      <c r="AC85" s="78"/>
      <c r="AD85" s="78"/>
    </row>
    <row r="86" spans="24:30" ht="15" customHeight="1">
      <c r="X86" s="78"/>
      <c r="Y86" s="78"/>
      <c r="Z86" s="78"/>
      <c r="AA86" s="78"/>
      <c r="AB86" s="78"/>
      <c r="AC86" s="78"/>
      <c r="AD86" s="78"/>
    </row>
    <row r="87" spans="24:30" ht="15" customHeight="1">
      <c r="X87" s="78"/>
      <c r="Y87" s="78"/>
      <c r="Z87" s="78"/>
      <c r="AA87" s="78"/>
      <c r="AB87" s="78"/>
      <c r="AC87" s="78"/>
      <c r="AD87" s="78"/>
    </row>
    <row r="88" spans="24:30" ht="15" customHeight="1">
      <c r="X88" s="78"/>
      <c r="Y88" s="78"/>
      <c r="Z88" s="78"/>
      <c r="AA88" s="78"/>
      <c r="AB88" s="78"/>
      <c r="AC88" s="78"/>
      <c r="AD88" s="78"/>
    </row>
    <row r="89" spans="24:30" ht="15" customHeight="1">
      <c r="X89" s="78"/>
      <c r="Y89" s="78"/>
      <c r="Z89" s="78"/>
      <c r="AA89" s="78"/>
      <c r="AB89" s="78"/>
      <c r="AC89" s="78"/>
      <c r="AD89" s="78"/>
    </row>
    <row r="90" spans="24:30" ht="15" customHeight="1">
      <c r="X90" s="78"/>
      <c r="Y90" s="78"/>
      <c r="Z90" s="78"/>
      <c r="AA90" s="78"/>
      <c r="AB90" s="78"/>
      <c r="AC90" s="78"/>
      <c r="AD90" s="78"/>
    </row>
    <row r="91" spans="24:30" ht="15" customHeight="1">
      <c r="X91" s="78"/>
      <c r="Y91" s="78"/>
      <c r="Z91" s="78"/>
      <c r="AA91" s="78"/>
      <c r="AB91" s="78"/>
      <c r="AC91" s="78"/>
      <c r="AD91" s="78"/>
    </row>
    <row r="92" spans="24:30" ht="15" customHeight="1">
      <c r="X92" s="78"/>
      <c r="Y92" s="78"/>
      <c r="Z92" s="78"/>
      <c r="AA92" s="78"/>
      <c r="AB92" s="78"/>
      <c r="AC92" s="78"/>
      <c r="AD92" s="78"/>
    </row>
    <row r="93" spans="24:30" ht="15" customHeight="1">
      <c r="X93" s="78"/>
      <c r="Y93" s="78"/>
      <c r="Z93" s="78"/>
      <c r="AA93" s="78"/>
      <c r="AB93" s="78"/>
      <c r="AC93" s="78"/>
      <c r="AD93" s="78"/>
    </row>
    <row r="94" spans="24:30" ht="15" customHeight="1">
      <c r="X94" s="78"/>
      <c r="Y94" s="78"/>
      <c r="Z94" s="78"/>
      <c r="AA94" s="78"/>
      <c r="AB94" s="78"/>
      <c r="AC94" s="78"/>
      <c r="AD94" s="78"/>
    </row>
    <row r="95" spans="24:30" ht="15" customHeight="1">
      <c r="X95" s="78"/>
      <c r="Y95" s="78"/>
      <c r="Z95" s="78"/>
      <c r="AA95" s="78"/>
      <c r="AB95" s="78"/>
      <c r="AC95" s="78"/>
      <c r="AD95" s="78"/>
    </row>
    <row r="96" spans="24:30" ht="15" customHeight="1">
      <c r="X96" s="78"/>
      <c r="Y96" s="78"/>
      <c r="Z96" s="78"/>
      <c r="AA96" s="78"/>
      <c r="AB96" s="78"/>
      <c r="AC96" s="78"/>
      <c r="AD96" s="78"/>
    </row>
    <row r="97" spans="24:30" ht="15" customHeight="1">
      <c r="X97" s="78"/>
      <c r="Y97" s="78"/>
      <c r="Z97" s="78"/>
      <c r="AA97" s="78"/>
      <c r="AB97" s="78"/>
      <c r="AC97" s="78"/>
      <c r="AD97" s="78"/>
    </row>
    <row r="98" spans="24:30" ht="15" customHeight="1">
      <c r="X98" s="78"/>
      <c r="Y98" s="78"/>
      <c r="Z98" s="78"/>
      <c r="AA98" s="78"/>
      <c r="AB98" s="78"/>
      <c r="AC98" s="78"/>
      <c r="AD98" s="78"/>
    </row>
    <row r="99" spans="24:30" ht="15" customHeight="1">
      <c r="X99" s="78"/>
      <c r="Y99" s="78"/>
      <c r="Z99" s="78"/>
      <c r="AA99" s="78"/>
      <c r="AB99" s="78"/>
      <c r="AC99" s="78"/>
      <c r="AD99" s="78"/>
    </row>
    <row r="100" spans="24:30" ht="15" customHeight="1">
      <c r="X100" s="78"/>
      <c r="Y100" s="78"/>
      <c r="Z100" s="78"/>
      <c r="AA100" s="78"/>
      <c r="AB100" s="78"/>
      <c r="AC100" s="78"/>
      <c r="AD100" s="78"/>
    </row>
    <row r="101" spans="24:30" ht="15" customHeight="1">
      <c r="X101" s="78"/>
      <c r="Y101" s="78"/>
      <c r="Z101" s="78"/>
      <c r="AA101" s="78"/>
      <c r="AB101" s="78"/>
      <c r="AC101" s="78"/>
      <c r="AD101" s="78"/>
    </row>
    <row r="102" spans="24:30" ht="15" customHeight="1">
      <c r="X102" s="78"/>
      <c r="Y102" s="78"/>
      <c r="Z102" s="78"/>
      <c r="AA102" s="78"/>
      <c r="AB102" s="78"/>
      <c r="AC102" s="78"/>
      <c r="AD102" s="78"/>
    </row>
    <row r="103" spans="24:30" ht="15" customHeight="1">
      <c r="X103" s="78"/>
      <c r="Y103" s="78"/>
      <c r="Z103" s="78"/>
      <c r="AA103" s="78"/>
      <c r="AB103" s="78"/>
      <c r="AC103" s="78"/>
      <c r="AD103" s="78"/>
    </row>
    <row r="104" spans="24:30" ht="15" customHeight="1">
      <c r="X104" s="78"/>
      <c r="Y104" s="78"/>
      <c r="Z104" s="78"/>
      <c r="AA104" s="78"/>
      <c r="AB104" s="78"/>
      <c r="AC104" s="78"/>
      <c r="AD104" s="78"/>
    </row>
    <row r="105" spans="24:30" ht="15" customHeight="1">
      <c r="X105" s="78"/>
      <c r="Y105" s="78"/>
      <c r="Z105" s="78"/>
      <c r="AA105" s="78"/>
      <c r="AB105" s="78"/>
      <c r="AC105" s="78"/>
      <c r="AD105" s="78"/>
    </row>
    <row r="106" spans="24:30" ht="15" customHeight="1">
      <c r="X106" s="78"/>
      <c r="Y106" s="78"/>
      <c r="Z106" s="78"/>
      <c r="AA106" s="78"/>
      <c r="AB106" s="78"/>
      <c r="AC106" s="78"/>
      <c r="AD106" s="78"/>
    </row>
    <row r="107" spans="24:30" ht="15" customHeight="1">
      <c r="X107" s="78"/>
      <c r="Y107" s="78"/>
      <c r="Z107" s="78"/>
      <c r="AA107" s="78"/>
      <c r="AB107" s="78"/>
      <c r="AC107" s="78"/>
      <c r="AD107" s="78"/>
    </row>
    <row r="108" spans="24:30" ht="15" customHeight="1">
      <c r="X108" s="78"/>
      <c r="Y108" s="78"/>
      <c r="Z108" s="78"/>
      <c r="AA108" s="78"/>
      <c r="AB108" s="78"/>
      <c r="AC108" s="78"/>
      <c r="AD108" s="78"/>
    </row>
    <row r="109" spans="24:30" ht="15" customHeight="1">
      <c r="X109" s="78"/>
      <c r="Y109" s="78"/>
      <c r="Z109" s="78"/>
      <c r="AA109" s="78"/>
      <c r="AB109" s="78"/>
      <c r="AC109" s="78"/>
      <c r="AD109" s="78"/>
    </row>
    <row r="110" spans="24:30" ht="15" customHeight="1">
      <c r="X110" s="78"/>
      <c r="Y110" s="78"/>
      <c r="Z110" s="78"/>
      <c r="AA110" s="78"/>
      <c r="AB110" s="78"/>
      <c r="AC110" s="78"/>
      <c r="AD110" s="78"/>
    </row>
    <row r="111" spans="24:30" ht="15" customHeight="1">
      <c r="X111" s="78"/>
      <c r="Y111" s="78"/>
      <c r="Z111" s="78"/>
      <c r="AA111" s="78"/>
      <c r="AB111" s="78"/>
      <c r="AC111" s="78"/>
      <c r="AD111" s="78"/>
    </row>
    <row r="112" spans="24:30" ht="15" customHeight="1">
      <c r="X112" s="78"/>
      <c r="Y112" s="78"/>
      <c r="Z112" s="78"/>
      <c r="AA112" s="78"/>
      <c r="AB112" s="78"/>
      <c r="AC112" s="78"/>
      <c r="AD112" s="78"/>
    </row>
    <row r="113" spans="24:30" ht="15" customHeight="1">
      <c r="X113" s="78"/>
      <c r="Y113" s="78"/>
      <c r="Z113" s="78"/>
      <c r="AA113" s="78"/>
      <c r="AB113" s="78"/>
      <c r="AC113" s="78"/>
      <c r="AD113" s="78"/>
    </row>
    <row r="114" spans="24:30" ht="15" customHeight="1">
      <c r="X114" s="78"/>
      <c r="Y114" s="78"/>
      <c r="Z114" s="78"/>
      <c r="AA114" s="78"/>
      <c r="AB114" s="78"/>
      <c r="AC114" s="78"/>
      <c r="AD114" s="78"/>
    </row>
    <row r="115" spans="24:30" ht="15" customHeight="1">
      <c r="X115" s="78"/>
      <c r="Y115" s="78"/>
      <c r="Z115" s="78"/>
      <c r="AA115" s="78"/>
      <c r="AB115" s="78"/>
      <c r="AC115" s="78"/>
      <c r="AD115" s="78"/>
    </row>
    <row r="116" spans="24:30" ht="15" customHeight="1">
      <c r="X116" s="78"/>
      <c r="Y116" s="78"/>
      <c r="Z116" s="78"/>
      <c r="AA116" s="78"/>
      <c r="AB116" s="78"/>
      <c r="AC116" s="78"/>
      <c r="AD116" s="78"/>
    </row>
    <row r="117" spans="24:30" ht="15" customHeight="1">
      <c r="X117" s="78"/>
      <c r="Y117" s="78"/>
      <c r="Z117" s="78"/>
      <c r="AA117" s="78"/>
      <c r="AB117" s="78"/>
      <c r="AC117" s="78"/>
      <c r="AD117" s="78"/>
    </row>
    <row r="118" spans="24:30" ht="15" customHeight="1">
      <c r="X118" s="78"/>
      <c r="Y118" s="78"/>
      <c r="Z118" s="78"/>
      <c r="AA118" s="78"/>
      <c r="AB118" s="78"/>
      <c r="AC118" s="78"/>
      <c r="AD118" s="78"/>
    </row>
    <row r="119" spans="24:30" ht="15" customHeight="1">
      <c r="X119" s="78"/>
      <c r="Y119" s="78"/>
      <c r="Z119" s="78"/>
      <c r="AA119" s="78"/>
      <c r="AB119" s="78"/>
      <c r="AC119" s="78"/>
      <c r="AD119" s="78"/>
    </row>
    <row r="120" spans="24:30" ht="15" customHeight="1">
      <c r="X120" s="78"/>
      <c r="Y120" s="78"/>
      <c r="Z120" s="78"/>
      <c r="AA120" s="78"/>
      <c r="AB120" s="78"/>
      <c r="AC120" s="78"/>
      <c r="AD120" s="78"/>
    </row>
    <row r="121" spans="24:30" ht="15" customHeight="1">
      <c r="X121" s="78"/>
      <c r="Y121" s="78"/>
      <c r="Z121" s="78"/>
      <c r="AA121" s="78"/>
      <c r="AB121" s="78"/>
      <c r="AC121" s="78"/>
      <c r="AD121" s="78"/>
    </row>
    <row r="122" spans="24:30" ht="15" customHeight="1">
      <c r="X122" s="78"/>
      <c r="Y122" s="78"/>
      <c r="Z122" s="78"/>
      <c r="AA122" s="78"/>
      <c r="AB122" s="78"/>
      <c r="AC122" s="78"/>
      <c r="AD122" s="78"/>
    </row>
    <row r="123" spans="24:30" ht="15" customHeight="1">
      <c r="X123" s="78"/>
      <c r="Y123" s="78"/>
      <c r="Z123" s="78"/>
      <c r="AA123" s="78"/>
      <c r="AB123" s="78"/>
      <c r="AC123" s="78"/>
      <c r="AD123" s="78"/>
    </row>
    <row r="124" spans="24:30" ht="15" customHeight="1">
      <c r="X124" s="78"/>
      <c r="Y124" s="78"/>
      <c r="Z124" s="78"/>
      <c r="AA124" s="78"/>
      <c r="AB124" s="78"/>
      <c r="AC124" s="78"/>
      <c r="AD124" s="78"/>
    </row>
    <row r="125" spans="24:30" ht="15" customHeight="1">
      <c r="X125" s="78"/>
      <c r="Y125" s="78"/>
      <c r="Z125" s="78"/>
    </row>
    <row r="126" spans="24:30" ht="15" customHeight="1">
      <c r="X126" s="78"/>
      <c r="Y126" s="78"/>
      <c r="Z126" s="78"/>
    </row>
    <row r="127" spans="24:30" ht="15" customHeight="1">
      <c r="X127" s="78"/>
      <c r="Y127" s="78"/>
      <c r="Z127" s="78"/>
    </row>
    <row r="128" spans="24:30" ht="15" customHeight="1">
      <c r="X128" s="78"/>
      <c r="Y128" s="78"/>
      <c r="Z128" s="78"/>
    </row>
    <row r="129" spans="24:26" ht="15" customHeight="1">
      <c r="X129" s="78"/>
      <c r="Y129" s="78"/>
      <c r="Z129" s="78"/>
    </row>
    <row r="130" spans="24:26" ht="15" customHeight="1">
      <c r="X130" s="78"/>
      <c r="Y130" s="78"/>
      <c r="Z130" s="78"/>
    </row>
    <row r="131" spans="24:26" ht="15" customHeight="1">
      <c r="X131" s="78"/>
      <c r="Y131" s="78"/>
      <c r="Z131" s="78"/>
    </row>
    <row r="132" spans="24:26" ht="15" customHeight="1">
      <c r="Y132" s="78"/>
      <c r="Z132" s="78"/>
    </row>
  </sheetData>
  <mergeCells count="7">
    <mergeCell ref="BT7:BX7"/>
    <mergeCell ref="M4:Q4"/>
    <mergeCell ref="M5:Q5"/>
    <mergeCell ref="AF5:AH5"/>
    <mergeCell ref="M6:Q6"/>
    <mergeCell ref="M7:Q7"/>
    <mergeCell ref="BK7:BO7"/>
  </mergeCells>
  <printOptions horizontalCentered="1"/>
  <pageMargins left="0.5" right="0.5" top="0.75" bottom="0.5" header="0.5" footer="0.18"/>
  <pageSetup scale="59" orientation="landscape" r:id="rId1"/>
  <headerFooter alignWithMargins="0"/>
  <colBreaks count="1" manualBreakCount="1">
    <brk id="108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" workbookViewId="0">
      <selection activeCell="L6" sqref="L6"/>
    </sheetView>
  </sheetViews>
  <sheetFormatPr defaultRowHeight="15" customHeight="1"/>
  <cols>
    <col min="1" max="1" width="5.5" style="338" customWidth="1"/>
    <col min="2" max="2" width="2" style="338" customWidth="1"/>
    <col min="3" max="3" width="57.83203125" style="338" bestFit="1" customWidth="1"/>
    <col min="4" max="4" width="11.6640625" style="385" customWidth="1"/>
    <col min="5" max="5" width="16.5" style="338" customWidth="1"/>
    <col min="6" max="6" width="18.6640625" style="338" customWidth="1"/>
    <col min="7" max="7" width="16.83203125" style="338" customWidth="1"/>
    <col min="8" max="8" width="9.33203125" style="338"/>
    <col min="9" max="9" width="10.5" style="338" customWidth="1"/>
    <col min="10" max="11" width="9.33203125" style="338"/>
    <col min="12" max="12" width="15.83203125" style="338" bestFit="1" customWidth="1"/>
    <col min="13" max="13" width="14.83203125" style="338" customWidth="1"/>
    <col min="14" max="14" width="15.83203125" style="338" bestFit="1" customWidth="1"/>
    <col min="15" max="16384" width="9.33203125" style="338"/>
  </cols>
  <sheetData>
    <row r="1" spans="1:8" ht="15" customHeight="1">
      <c r="G1" s="386"/>
    </row>
    <row r="2" spans="1:8" ht="14.25" customHeight="1" thickBot="1">
      <c r="A2" s="387" t="s">
        <v>305</v>
      </c>
      <c r="B2" s="387"/>
      <c r="C2" s="387"/>
      <c r="D2" s="387"/>
      <c r="E2" s="387"/>
      <c r="F2" s="387"/>
      <c r="G2" s="387"/>
    </row>
    <row r="3" spans="1:8" ht="15" customHeight="1" thickBot="1">
      <c r="A3" s="387"/>
      <c r="B3" s="387"/>
      <c r="C3" s="387"/>
      <c r="D3" s="387"/>
      <c r="E3" s="387"/>
      <c r="F3" s="387"/>
      <c r="G3" s="8" t="s">
        <v>330</v>
      </c>
    </row>
    <row r="4" spans="1:8" ht="15" customHeight="1">
      <c r="A4" s="387" t="s">
        <v>45</v>
      </c>
      <c r="B4" s="387"/>
      <c r="C4" s="387"/>
      <c r="D4" s="387"/>
      <c r="E4" s="387"/>
      <c r="F4" s="387"/>
      <c r="G4" s="387"/>
    </row>
    <row r="5" spans="1:8" ht="15" customHeight="1">
      <c r="A5" s="387" t="s">
        <v>306</v>
      </c>
      <c r="B5" s="387"/>
      <c r="C5" s="387"/>
      <c r="D5" s="387"/>
      <c r="E5" s="387"/>
      <c r="F5" s="387"/>
      <c r="G5" s="387"/>
    </row>
    <row r="6" spans="1:8" s="388" customFormat="1" ht="15" customHeight="1">
      <c r="C6" s="389"/>
      <c r="D6" s="389"/>
    </row>
    <row r="7" spans="1:8" s="388" customFormat="1" ht="15" customHeight="1">
      <c r="A7" s="390" t="s">
        <v>307</v>
      </c>
      <c r="B7" s="390"/>
      <c r="C7" s="390" t="s">
        <v>308</v>
      </c>
      <c r="D7" s="390"/>
      <c r="E7" s="390" t="s">
        <v>309</v>
      </c>
      <c r="F7" s="390" t="s">
        <v>310</v>
      </c>
      <c r="G7" s="390" t="s">
        <v>311</v>
      </c>
    </row>
    <row r="8" spans="1:8" s="388" customFormat="1" ht="29.25" customHeight="1">
      <c r="D8" s="389"/>
    </row>
    <row r="9" spans="1:8" s="388" customFormat="1" ht="15" customHeight="1">
      <c r="A9" s="391">
        <v>1</v>
      </c>
      <c r="B9" s="391" t="s">
        <v>312</v>
      </c>
      <c r="C9" s="392" t="s">
        <v>313</v>
      </c>
      <c r="D9" s="393">
        <v>41090</v>
      </c>
      <c r="E9" s="394">
        <f>'[2]Pg 6a CustCount_Electric'!D61</f>
        <v>1086382</v>
      </c>
      <c r="F9" s="394">
        <f>'[2]Pg 6b CustCount_Gas'!D53</f>
        <v>760286</v>
      </c>
      <c r="G9" s="394">
        <f>SUM(E9:F9)</f>
        <v>1846668</v>
      </c>
    </row>
    <row r="10" spans="1:8" s="388" customFormat="1" ht="18.95" customHeight="1" thickBot="1">
      <c r="B10" s="389"/>
      <c r="C10" s="395" t="s">
        <v>314</v>
      </c>
      <c r="D10" s="389"/>
      <c r="E10" s="396">
        <f>ROUND(+E9/G9,4)</f>
        <v>0.58830000000000005</v>
      </c>
      <c r="F10" s="396">
        <f>ROUND(+F9/G9,4)</f>
        <v>0.41170000000000001</v>
      </c>
      <c r="G10" s="397">
        <f>SUM(E10:F10)</f>
        <v>1</v>
      </c>
    </row>
    <row r="11" spans="1:8" s="388" customFormat="1" ht="15" customHeight="1" thickTop="1">
      <c r="A11" s="389"/>
      <c r="B11" s="389"/>
      <c r="D11" s="393"/>
    </row>
    <row r="12" spans="1:8" s="388" customFormat="1" ht="15" customHeight="1">
      <c r="A12" s="391">
        <v>2</v>
      </c>
      <c r="B12" s="391" t="s">
        <v>312</v>
      </c>
      <c r="C12" s="392" t="s">
        <v>315</v>
      </c>
      <c r="D12" s="393">
        <v>41090</v>
      </c>
      <c r="E12" s="398">
        <f>'[2]Meter count'!C1698</f>
        <v>714059</v>
      </c>
      <c r="F12" s="398">
        <f>'[2]Meter count'!D1698</f>
        <v>413885</v>
      </c>
      <c r="G12" s="398">
        <f>SUM(E12:F12)</f>
        <v>1127944</v>
      </c>
      <c r="H12" s="399"/>
    </row>
    <row r="13" spans="1:8" s="388" customFormat="1" ht="18.95" customHeight="1" thickBot="1">
      <c r="B13" s="389"/>
      <c r="C13" s="395" t="s">
        <v>314</v>
      </c>
      <c r="D13" s="389"/>
      <c r="E13" s="396">
        <f>ROUND(+E12/G12,4)</f>
        <v>0.6331</v>
      </c>
      <c r="F13" s="396">
        <f>ROUND(+F12/G12,4)</f>
        <v>0.3669</v>
      </c>
      <c r="G13" s="397">
        <f>SUM(E13:F13)</f>
        <v>1</v>
      </c>
    </row>
    <row r="14" spans="1:8" s="388" customFormat="1" ht="15" customHeight="1" thickTop="1">
      <c r="A14" s="389"/>
      <c r="B14" s="389"/>
      <c r="D14" s="389"/>
    </row>
    <row r="15" spans="1:8" s="388" customFormat="1" ht="15" customHeight="1">
      <c r="A15" s="391">
        <v>3</v>
      </c>
      <c r="B15" s="391" t="s">
        <v>312</v>
      </c>
      <c r="C15" s="392" t="s">
        <v>316</v>
      </c>
      <c r="D15" s="389"/>
    </row>
    <row r="16" spans="1:8" s="388" customFormat="1" ht="15" customHeight="1">
      <c r="A16" s="389"/>
      <c r="B16" s="389"/>
      <c r="C16" s="400" t="s">
        <v>317</v>
      </c>
      <c r="D16" s="393">
        <v>41090</v>
      </c>
      <c r="E16" s="401">
        <f>[2]Electric!P312</f>
        <v>3077617333</v>
      </c>
      <c r="F16" s="401">
        <f>[2]Gas!P53</f>
        <v>2690196591</v>
      </c>
      <c r="G16" s="401">
        <f>SUM(E16:F16)</f>
        <v>5767813924</v>
      </c>
    </row>
    <row r="17" spans="1:14" s="388" customFormat="1" ht="15" customHeight="1">
      <c r="A17" s="389"/>
      <c r="B17" s="389"/>
      <c r="C17" s="400" t="s">
        <v>318</v>
      </c>
      <c r="D17" s="393">
        <v>41090</v>
      </c>
      <c r="E17" s="402">
        <f>[2]Electric!P225</f>
        <v>1091713943</v>
      </c>
      <c r="F17" s="402">
        <v>0</v>
      </c>
      <c r="G17" s="402">
        <f>SUM(E17:F17)</f>
        <v>1091713943</v>
      </c>
    </row>
    <row r="18" spans="1:14" s="388" customFormat="1" ht="15" customHeight="1">
      <c r="A18" s="389"/>
      <c r="B18" s="389"/>
      <c r="C18" s="400" t="s">
        <v>319</v>
      </c>
      <c r="D18" s="393">
        <v>41090</v>
      </c>
      <c r="E18" s="402">
        <f>[2]Electric!P402</f>
        <v>157891556</v>
      </c>
      <c r="F18" s="402">
        <f>[2]Gas!P79</f>
        <v>34244684</v>
      </c>
      <c r="G18" s="402">
        <f>SUM(E18:F18)</f>
        <v>192136240</v>
      </c>
    </row>
    <row r="19" spans="1:14" s="388" customFormat="1" ht="15" customHeight="1">
      <c r="A19" s="389"/>
      <c r="B19" s="389"/>
      <c r="C19" s="400" t="s">
        <v>311</v>
      </c>
      <c r="D19" s="403"/>
      <c r="E19" s="404">
        <f>SUM(E16:E18)</f>
        <v>4327222832</v>
      </c>
      <c r="F19" s="404">
        <f>SUM(F16:F18)</f>
        <v>2724441275</v>
      </c>
      <c r="G19" s="404">
        <f>SUM(E19:F19)</f>
        <v>7051664107</v>
      </c>
    </row>
    <row r="20" spans="1:14" s="388" customFormat="1" ht="18.95" customHeight="1" thickBot="1">
      <c r="B20" s="389"/>
      <c r="C20" s="395" t="s">
        <v>314</v>
      </c>
      <c r="D20" s="389"/>
      <c r="E20" s="396">
        <f>ROUND(+E19/G19,4)</f>
        <v>0.61360000000000003</v>
      </c>
      <c r="F20" s="396">
        <f>ROUND(+F19/G19,4)</f>
        <v>0.38640000000000002</v>
      </c>
      <c r="G20" s="397">
        <f>SUM(E20:F20)</f>
        <v>1</v>
      </c>
    </row>
    <row r="21" spans="1:14" s="388" customFormat="1" ht="15" customHeight="1" thickTop="1">
      <c r="A21" s="389"/>
      <c r="B21" s="389"/>
      <c r="D21" s="389"/>
    </row>
    <row r="22" spans="1:14" s="388" customFormat="1" ht="15" customHeight="1">
      <c r="A22" s="391">
        <v>4</v>
      </c>
      <c r="B22" s="391" t="s">
        <v>312</v>
      </c>
      <c r="C22" s="392" t="s">
        <v>320</v>
      </c>
      <c r="D22" s="389" t="s">
        <v>321</v>
      </c>
    </row>
    <row r="23" spans="1:14" s="388" customFormat="1" ht="15" customHeight="1">
      <c r="A23" s="389"/>
      <c r="B23" s="389"/>
      <c r="C23" s="400" t="s">
        <v>322</v>
      </c>
      <c r="D23" s="393">
        <v>41090</v>
      </c>
      <c r="E23" s="394">
        <f>+E9</f>
        <v>1086382</v>
      </c>
      <c r="F23" s="394">
        <f>+F9</f>
        <v>760286</v>
      </c>
      <c r="G23" s="394">
        <f>SUM(E23:F23)</f>
        <v>1846668</v>
      </c>
    </row>
    <row r="24" spans="1:14" s="388" customFormat="1" ht="15" customHeight="1">
      <c r="A24" s="389"/>
      <c r="B24" s="389"/>
      <c r="C24" s="395" t="s">
        <v>323</v>
      </c>
      <c r="D24" s="389"/>
      <c r="E24" s="405">
        <f>+E23/G23</f>
        <v>0.58829307704470968</v>
      </c>
      <c r="F24" s="405">
        <f>+F23/G23</f>
        <v>0.41170692295529027</v>
      </c>
      <c r="G24" s="406">
        <f>SUM(E24:F24)</f>
        <v>1</v>
      </c>
    </row>
    <row r="25" spans="1:14" s="388" customFormat="1" ht="15" customHeight="1">
      <c r="A25" s="389"/>
      <c r="B25" s="389"/>
      <c r="D25" s="389"/>
    </row>
    <row r="26" spans="1:14" s="388" customFormat="1" ht="15" customHeight="1">
      <c r="A26" s="389"/>
      <c r="B26" s="389"/>
      <c r="C26" s="388" t="s">
        <v>324</v>
      </c>
      <c r="D26" s="393">
        <v>41090</v>
      </c>
      <c r="E26" s="394">
        <f>'[2]FERC.P354,5'!M3</f>
        <v>50387385.089340784</v>
      </c>
      <c r="F26" s="394">
        <f>'[2]FERC.P354,5'!M4</f>
        <v>25140397.046695061</v>
      </c>
      <c r="G26" s="407">
        <f>SUM(E26:F26)</f>
        <v>75527782.136035845</v>
      </c>
      <c r="L26" s="408"/>
      <c r="M26" s="408"/>
      <c r="N26" s="408"/>
    </row>
    <row r="27" spans="1:14" s="388" customFormat="1" ht="15" customHeight="1">
      <c r="A27" s="389"/>
      <c r="B27" s="389"/>
      <c r="C27" s="395" t="s">
        <v>323</v>
      </c>
      <c r="D27" s="389"/>
      <c r="E27" s="405">
        <f>+E26/G26</f>
        <v>0.66713709398465093</v>
      </c>
      <c r="F27" s="405">
        <f>+F26/G26</f>
        <v>0.33286290601534907</v>
      </c>
      <c r="G27" s="406">
        <f>SUM(E27:F27)</f>
        <v>1</v>
      </c>
      <c r="L27" s="409"/>
      <c r="M27" s="409"/>
      <c r="N27" s="409"/>
    </row>
    <row r="28" spans="1:14" s="388" customFormat="1" ht="15" customHeight="1">
      <c r="A28" s="389"/>
      <c r="B28" s="389"/>
      <c r="D28" s="389"/>
    </row>
    <row r="29" spans="1:14" s="388" customFormat="1" ht="15" customHeight="1">
      <c r="A29" s="389"/>
      <c r="B29" s="389"/>
      <c r="C29" s="388" t="s">
        <v>325</v>
      </c>
      <c r="D29" s="393">
        <v>41090</v>
      </c>
      <c r="E29" s="394">
        <f>'[2]2012 IS'!B47</f>
        <v>67798022.655370891</v>
      </c>
      <c r="F29" s="394">
        <f>'[2]2012 IS'!C47</f>
        <v>28139982.081547316</v>
      </c>
      <c r="G29" s="410">
        <f>SUM(E29:F29)</f>
        <v>95938004.736918211</v>
      </c>
      <c r="L29" s="408"/>
      <c r="M29" s="408"/>
    </row>
    <row r="30" spans="1:14" s="388" customFormat="1" ht="15" customHeight="1">
      <c r="A30" s="389"/>
      <c r="B30" s="389"/>
      <c r="C30" s="395" t="s">
        <v>323</v>
      </c>
      <c r="D30" s="389"/>
      <c r="E30" s="405">
        <f>+E29/G29</f>
        <v>0.70668576901601243</v>
      </c>
      <c r="F30" s="405">
        <f>+F29/G29</f>
        <v>0.29331423098398751</v>
      </c>
      <c r="G30" s="406">
        <f>SUM(E30:F30)</f>
        <v>1</v>
      </c>
      <c r="L30" s="409"/>
      <c r="M30" s="409"/>
    </row>
    <row r="31" spans="1:14" s="388" customFormat="1" ht="15" customHeight="1">
      <c r="A31" s="389"/>
      <c r="B31" s="389"/>
      <c r="D31" s="389"/>
    </row>
    <row r="32" spans="1:14" s="388" customFormat="1" ht="15" customHeight="1">
      <c r="A32" s="389"/>
      <c r="B32" s="389"/>
      <c r="C32" s="388" t="s">
        <v>326</v>
      </c>
      <c r="D32" s="393">
        <v>41090</v>
      </c>
      <c r="E32" s="394">
        <f>'[2]E &amp; G RB'!D27</f>
        <v>4286949588.9545836</v>
      </c>
      <c r="F32" s="394">
        <f>'[2]E &amp; G RB'!D44</f>
        <v>1809404108.175833</v>
      </c>
      <c r="G32" s="394">
        <f>SUM(E32:F32)</f>
        <v>6096353697.1304169</v>
      </c>
    </row>
    <row r="33" spans="1:13" s="388" customFormat="1" ht="15" customHeight="1">
      <c r="A33" s="389"/>
      <c r="B33" s="389"/>
      <c r="C33" s="395" t="s">
        <v>323</v>
      </c>
      <c r="D33" s="389"/>
      <c r="E33" s="405">
        <f>+E32/G32</f>
        <v>0.7031989615321157</v>
      </c>
      <c r="F33" s="405">
        <f>+F32/G32</f>
        <v>0.29680103846788419</v>
      </c>
      <c r="G33" s="406">
        <f>SUM(E33:F33)</f>
        <v>0.99999999999999989</v>
      </c>
      <c r="L33" s="411"/>
      <c r="M33" s="411"/>
    </row>
    <row r="34" spans="1:13" s="388" customFormat="1" ht="15" customHeight="1">
      <c r="A34" s="389"/>
      <c r="D34" s="389"/>
      <c r="E34" s="412"/>
      <c r="F34" s="412"/>
      <c r="G34" s="412"/>
      <c r="L34" s="411"/>
      <c r="M34" s="411"/>
    </row>
    <row r="35" spans="1:13" s="388" customFormat="1" ht="15" customHeight="1">
      <c r="A35" s="389"/>
      <c r="C35" s="388" t="s">
        <v>327</v>
      </c>
      <c r="D35" s="389"/>
      <c r="E35" s="413">
        <f>+E33+E30+E27+E24</f>
        <v>2.6653149015774886</v>
      </c>
      <c r="F35" s="413">
        <f>+F33+F30+F27+F24</f>
        <v>1.3346850984225109</v>
      </c>
      <c r="G35" s="413">
        <f>+G33+G30+G27+G24</f>
        <v>4</v>
      </c>
      <c r="L35" s="414"/>
    </row>
    <row r="36" spans="1:13" s="388" customFormat="1" ht="18.95" customHeight="1" thickBot="1">
      <c r="C36" s="388" t="s">
        <v>314</v>
      </c>
      <c r="D36" s="389"/>
      <c r="E36" s="396">
        <f>ROUND(+E35/4,4)</f>
        <v>0.6663</v>
      </c>
      <c r="F36" s="396">
        <f>ROUND(+F35/4,4)</f>
        <v>0.3337</v>
      </c>
      <c r="G36" s="397">
        <f>+G35/4</f>
        <v>1</v>
      </c>
      <c r="L36" s="414"/>
    </row>
    <row r="37" spans="1:13" s="388" customFormat="1" ht="15" customHeight="1" thickTop="1">
      <c r="D37" s="389"/>
      <c r="L37" s="414"/>
    </row>
    <row r="38" spans="1:13" s="388" customFormat="1" ht="15" customHeight="1">
      <c r="A38" s="391">
        <v>5</v>
      </c>
      <c r="B38" s="391" t="s">
        <v>312</v>
      </c>
      <c r="C38" s="392" t="s">
        <v>328</v>
      </c>
      <c r="D38" s="389"/>
      <c r="L38" s="414"/>
      <c r="M38" s="414"/>
    </row>
    <row r="39" spans="1:13" s="388" customFormat="1" ht="15" customHeight="1">
      <c r="C39" s="395" t="s">
        <v>329</v>
      </c>
      <c r="D39" s="393">
        <v>41090</v>
      </c>
      <c r="E39" s="394">
        <f>'[2]FERC.P354,5'!D36</f>
        <v>51062419.880000003</v>
      </c>
      <c r="F39" s="394">
        <f>'[2]FERC.P354,5'!D71</f>
        <v>25810760.079999998</v>
      </c>
      <c r="G39" s="394">
        <f>SUM(E39:F39)</f>
        <v>76873179.960000008</v>
      </c>
      <c r="L39" s="414"/>
    </row>
    <row r="40" spans="1:13" s="388" customFormat="1" ht="15" customHeight="1">
      <c r="C40" s="388" t="s">
        <v>311</v>
      </c>
      <c r="D40" s="389"/>
      <c r="E40" s="415">
        <f>SUM(E39:E39)</f>
        <v>51062419.880000003</v>
      </c>
      <c r="F40" s="415">
        <f>SUM(F39:F39)</f>
        <v>25810760.079999998</v>
      </c>
      <c r="G40" s="415">
        <f>SUM(G39:G39)</f>
        <v>76873179.960000008</v>
      </c>
      <c r="L40" s="414"/>
      <c r="M40" s="414"/>
    </row>
    <row r="41" spans="1:13" s="388" customFormat="1" ht="18.95" customHeight="1" thickBot="1">
      <c r="C41" s="388" t="s">
        <v>314</v>
      </c>
      <c r="D41" s="389"/>
      <c r="E41" s="396">
        <f>ROUND(+E40/G40,4)</f>
        <v>0.66420000000000001</v>
      </c>
      <c r="F41" s="396">
        <f>ROUND(+F40/G40,4)</f>
        <v>0.33579999999999999</v>
      </c>
      <c r="G41" s="416">
        <f>SUM(E41:F41)</f>
        <v>1</v>
      </c>
      <c r="L41" s="414"/>
      <c r="M41" s="417"/>
    </row>
    <row r="42" spans="1:13" s="388" customFormat="1" ht="15" customHeight="1" thickTop="1">
      <c r="D42" s="389"/>
    </row>
    <row r="43" spans="1:13" s="388" customFormat="1" ht="15" customHeight="1">
      <c r="D43" s="389"/>
    </row>
  </sheetData>
  <printOptions horizontalCentered="1"/>
  <pageMargins left="0.5" right="0.41" top="0.75" bottom="0.75" header="0.5" footer="0.5"/>
  <pageSetup scale="95" orientation="portrait" verticalDpi="300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093BDB7-81F9-4761-9710-05774FDF2562}"/>
</file>

<file path=customXml/itemProps2.xml><?xml version="1.0" encoding="utf-8"?>
<ds:datastoreItem xmlns:ds="http://schemas.openxmlformats.org/officeDocument/2006/customXml" ds:itemID="{3154153C-025D-46D4-9103-69AAA2675DE3}"/>
</file>

<file path=customXml/itemProps3.xml><?xml version="1.0" encoding="utf-8"?>
<ds:datastoreItem xmlns:ds="http://schemas.openxmlformats.org/officeDocument/2006/customXml" ds:itemID="{55B407D7-7397-4F21-BEDA-43E56619DB09}"/>
</file>

<file path=customXml/itemProps4.xml><?xml version="1.0" encoding="utf-8"?>
<ds:datastoreItem xmlns:ds="http://schemas.openxmlformats.org/officeDocument/2006/customXml" ds:itemID="{91B8F4A8-1F9D-42B9-A313-24FE7A6E2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46</vt:i4>
      </vt:variant>
    </vt:vector>
  </HeadingPairs>
  <TitlesOfParts>
    <vt:vector size="48" baseType="lpstr">
      <vt:lpstr>KJB-5</vt:lpstr>
      <vt:lpstr>Adj.20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_3.14</vt:lpstr>
      <vt:lpstr>_3.15</vt:lpstr>
      <vt:lpstr>_3.16</vt:lpstr>
      <vt:lpstr>_3.17</vt:lpstr>
      <vt:lpstr>_3.18</vt:lpstr>
      <vt:lpstr>_3.19</vt:lpstr>
      <vt:lpstr>_3.20</vt:lpstr>
      <vt:lpstr>_3A</vt:lpstr>
      <vt:lpstr>_3B</vt:lpstr>
      <vt:lpstr>_3Summary</vt:lpstr>
      <vt:lpstr>_4.01</vt:lpstr>
      <vt:lpstr>BD</vt:lpstr>
      <vt:lpstr>DOCKET</vt:lpstr>
      <vt:lpstr>f</vt:lpstr>
      <vt:lpstr>FACTORS</vt:lpstr>
      <vt:lpstr>FF</vt:lpstr>
      <vt:lpstr>FIT</vt:lpstr>
      <vt:lpstr>MOTANA</vt:lpstr>
      <vt:lpstr>MT</vt:lpstr>
      <vt:lpstr>'KJB-5'!Print_Area</vt:lpstr>
      <vt:lpstr>PSPL</vt:lpstr>
      <vt:lpstr>PWRCSTRS</vt:lpstr>
      <vt:lpstr>RATEBASE</vt:lpstr>
      <vt:lpstr>RESALE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