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hisWorkbook" defaultThemeVersion="124226"/>
  <bookViews>
    <workbookView xWindow="48" yWindow="0" windowWidth="12384" windowHeight="9312" activeTab="2"/>
  </bookViews>
  <sheets>
    <sheet name="Table 1" sheetId="28" r:id="rId1"/>
    <sheet name="Table 2" sheetId="17" r:id="rId2"/>
    <sheet name="Tables 3 to 4" sheetId="5" r:id="rId3"/>
    <sheet name="Tables 5" sheetId="13" r:id="rId4"/>
    <sheet name="Table 6" sheetId="3" r:id="rId5"/>
  </sheets>
  <definedNames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DispatchSum">"GRID Thermal Generation!R2C1:R4C2"</definedName>
    <definedName name="_xlnm.Print_Area" localSheetId="0">'Table 1'!$B$1:$L$52</definedName>
    <definedName name="_xlnm.Print_Area" localSheetId="1">'Table 2'!$A$1:$O$35</definedName>
    <definedName name="_xlnm.Print_Area" localSheetId="4">'Table 6'!$A$1:$I$44</definedName>
    <definedName name="_xlnm.Print_Area" localSheetId="2">'Tables 3 to 4'!$A$1:$O$32</definedName>
    <definedName name="_xlnm.Print_Area" localSheetId="3">'Tables 5'!$A$1:$F$31</definedName>
    <definedName name="RevenueSum">"GRID Thermal Revenue!R2C1:R4C2"</definedName>
  </definedNames>
  <calcPr calcId="145621" calcOnSave="0"/>
</workbook>
</file>

<file path=xl/calcChain.xml><?xml version="1.0" encoding="utf-8"?>
<calcChain xmlns="http://schemas.openxmlformats.org/spreadsheetml/2006/main">
  <c r="B3" i="28" l="1"/>
  <c r="H42" i="28" l="1"/>
  <c r="H49" i="28" l="1"/>
  <c r="H51" i="28" s="1"/>
  <c r="H52" i="28" s="1"/>
  <c r="H26" i="28" l="1"/>
  <c r="H33" i="28" l="1"/>
  <c r="H35" i="28" s="1"/>
  <c r="H36" i="28" s="1"/>
  <c r="I42" i="28" l="1"/>
  <c r="H17" i="28" l="1"/>
  <c r="H10" i="28"/>
  <c r="I49" i="28"/>
  <c r="I51" i="28" s="1"/>
  <c r="I52" i="28" s="1"/>
  <c r="H19" i="28" l="1"/>
  <c r="H20" i="28" s="1"/>
  <c r="I26" i="28" l="1"/>
  <c r="I33" i="28" l="1"/>
  <c r="I35" i="28" s="1"/>
  <c r="I36" i="28" s="1"/>
  <c r="J42" i="28" l="1"/>
  <c r="I10" i="28"/>
  <c r="I17" i="28" l="1"/>
  <c r="I19" i="28" s="1"/>
  <c r="I20" i="28" s="1"/>
  <c r="J49" i="28"/>
  <c r="J51" i="28" s="1"/>
  <c r="J52" i="28" s="1"/>
  <c r="J26" i="28" l="1"/>
  <c r="J33" i="28" l="1"/>
  <c r="J35" i="28" s="1"/>
  <c r="J36" i="28" s="1"/>
  <c r="K42" i="28" l="1"/>
  <c r="J10" i="28"/>
  <c r="K49" i="28" l="1"/>
  <c r="K51" i="28" s="1"/>
  <c r="K52" i="28" s="1"/>
  <c r="J17" i="28" l="1"/>
  <c r="J19" i="28" s="1"/>
  <c r="J20" i="28" s="1"/>
  <c r="K26" i="28" l="1"/>
  <c r="K33" i="28" l="1"/>
  <c r="K35" i="28" s="1"/>
  <c r="K36" i="28" s="1"/>
  <c r="L42" i="28" l="1"/>
  <c r="L49" i="28"/>
  <c r="L51" i="28" l="1"/>
  <c r="K10" i="28"/>
  <c r="L52" i="28"/>
  <c r="K17" i="28" l="1"/>
  <c r="K19" i="28" s="1"/>
  <c r="K20" i="28" s="1"/>
  <c r="L26" i="28" l="1"/>
  <c r="L33" i="28" l="1"/>
  <c r="L35" i="28" s="1"/>
  <c r="L36" i="28" s="1"/>
  <c r="L10" i="28" l="1"/>
  <c r="L17" i="28" l="1"/>
  <c r="L19" i="28" s="1"/>
  <c r="L20" i="28" s="1"/>
  <c r="K9" i="5" l="1"/>
  <c r="C31" i="3" l="1"/>
  <c r="C40" i="3" l="1"/>
  <c r="B3" i="3"/>
  <c r="B25" i="28"/>
  <c r="B41" i="28" s="1"/>
  <c r="B29" i="28"/>
  <c r="B45" i="28" s="1"/>
  <c r="E9" i="3"/>
  <c r="E10" i="3" s="1"/>
  <c r="E11" i="3" s="1"/>
  <c r="E12" i="3" s="1"/>
  <c r="E13" i="3" s="1"/>
  <c r="E14" i="3" s="1"/>
  <c r="D25" i="3"/>
  <c r="C25" i="3"/>
  <c r="D24" i="3"/>
  <c r="C24" i="3"/>
  <c r="D23" i="3"/>
  <c r="C23" i="3"/>
  <c r="C9" i="3"/>
  <c r="D9" i="3" s="1"/>
  <c r="D10" i="3" s="1"/>
  <c r="D11" i="3" s="1"/>
  <c r="D12" i="3" s="1"/>
  <c r="D13" i="3" s="1"/>
  <c r="D14" i="3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C28" i="13"/>
  <c r="J27" i="5"/>
  <c r="J25" i="5"/>
  <c r="I26" i="5"/>
  <c r="C25" i="5"/>
  <c r="C26" i="5"/>
  <c r="B26" i="5"/>
  <c r="B25" i="5"/>
  <c r="B12" i="13"/>
  <c r="B29" i="13"/>
  <c r="B28" i="13"/>
  <c r="E9" i="13"/>
  <c r="N9" i="5"/>
  <c r="M9" i="5"/>
  <c r="M5" i="5"/>
  <c r="N5" i="5"/>
  <c r="E9" i="5"/>
  <c r="F9" i="5"/>
  <c r="G9" i="5"/>
  <c r="I25" i="5"/>
  <c r="I27" i="5"/>
  <c r="D24" i="13" l="1"/>
  <c r="B13" i="13"/>
  <c r="C41" i="3"/>
  <c r="B23" i="13"/>
  <c r="C42" i="3"/>
  <c r="B14" i="13" l="1"/>
  <c r="E39" i="3"/>
  <c r="E40" i="3"/>
  <c r="B15" i="13" l="1"/>
  <c r="B24" i="13" s="1"/>
  <c r="E41" i="3"/>
  <c r="B16" i="13" l="1"/>
  <c r="E42" i="3"/>
  <c r="E15" i="3"/>
  <c r="D15" i="3"/>
  <c r="B17" i="13" l="1"/>
  <c r="B18" i="13" s="1"/>
  <c r="B19" i="13" s="1"/>
  <c r="B20" i="13" s="1"/>
  <c r="B21" i="13" s="1"/>
  <c r="B25" i="13" s="1"/>
  <c r="E16" i="3"/>
  <c r="G39" i="3"/>
  <c r="E17" i="3"/>
  <c r="D16" i="3"/>
  <c r="F9" i="3"/>
  <c r="G9" i="3" l="1"/>
  <c r="H9" i="3" s="1"/>
  <c r="F10" i="3"/>
  <c r="F11" i="3" s="1"/>
  <c r="F12" i="3" s="1"/>
  <c r="F13" i="3" s="1"/>
  <c r="F14" i="3" s="1"/>
  <c r="F15" i="3" s="1"/>
  <c r="F16" i="3" s="1"/>
  <c r="G40" i="3"/>
  <c r="D17" i="3"/>
  <c r="F17" i="3"/>
  <c r="F18" i="3" s="1"/>
  <c r="G10" i="3"/>
  <c r="H10" i="3" s="1"/>
  <c r="G11" i="3"/>
  <c r="H11" i="3" s="1"/>
  <c r="F19" i="3" l="1"/>
  <c r="G41" i="3"/>
  <c r="D18" i="3"/>
  <c r="D19" i="3" s="1"/>
  <c r="D20" i="3" s="1"/>
  <c r="E18" i="3"/>
  <c r="J12" i="5"/>
  <c r="G12" i="3"/>
  <c r="F20" i="3" l="1"/>
  <c r="E19" i="3"/>
  <c r="E20" i="3" s="1"/>
  <c r="H12" i="3"/>
  <c r="C13" i="5" s="1"/>
  <c r="G13" i="3"/>
  <c r="J13" i="5" l="1"/>
  <c r="K13" i="5" s="1"/>
  <c r="H13" i="3"/>
  <c r="C14" i="5" s="1"/>
  <c r="J14" i="5" s="1"/>
  <c r="K14" i="5" s="1"/>
  <c r="G14" i="3"/>
  <c r="G15" i="3" l="1"/>
  <c r="H15" i="3" s="1"/>
  <c r="C16" i="5" s="1"/>
  <c r="J16" i="5" s="1"/>
  <c r="K16" i="5" s="1"/>
  <c r="H14" i="3"/>
  <c r="C15" i="5" s="1"/>
  <c r="J15" i="5" s="1"/>
  <c r="K15" i="5" s="1"/>
  <c r="G16" i="3" l="1"/>
  <c r="H16" i="3" s="1"/>
  <c r="C17" i="5" s="1"/>
  <c r="J17" i="5" l="1"/>
  <c r="K17" i="5" s="1"/>
  <c r="G17" i="3"/>
  <c r="H17" i="3" s="1"/>
  <c r="C18" i="5" s="1"/>
  <c r="D56" i="28"/>
  <c r="E56" i="28" s="1"/>
  <c r="F56" i="28" s="1"/>
  <c r="G56" i="28" s="1"/>
  <c r="H56" i="28" s="1"/>
  <c r="I56" i="28" s="1"/>
  <c r="J56" i="28" s="1"/>
  <c r="K56" i="28" s="1"/>
  <c r="L56" i="28" s="1"/>
  <c r="J18" i="5" l="1"/>
  <c r="K18" i="5" s="1"/>
  <c r="G18" i="3"/>
  <c r="H18" i="3" s="1"/>
  <c r="C19" i="5" s="1"/>
  <c r="J19" i="5" l="1"/>
  <c r="K19" i="5" s="1"/>
  <c r="G19" i="3"/>
  <c r="H19" i="3" s="1"/>
  <c r="C20" i="5" s="1"/>
  <c r="G20" i="3"/>
  <c r="H20" i="3" s="1"/>
  <c r="C21" i="5" s="1"/>
  <c r="J20" i="5" l="1"/>
  <c r="K20" i="5" s="1"/>
  <c r="J21" i="5"/>
  <c r="K21" i="5" s="1"/>
  <c r="C42" i="28"/>
  <c r="C26" i="28"/>
  <c r="D42" i="28"/>
  <c r="C49" i="28" l="1"/>
  <c r="C51" i="28" s="1"/>
  <c r="C52" i="28" s="1"/>
  <c r="C33" i="28"/>
  <c r="C35" i="28" s="1"/>
  <c r="C36" i="28" s="1"/>
  <c r="D49" i="28"/>
  <c r="D51" i="28" s="1"/>
  <c r="D52" i="28" s="1"/>
  <c r="D26" i="28" l="1"/>
  <c r="D33" i="28" l="1"/>
  <c r="D35" i="28" s="1"/>
  <c r="D36" i="28" s="1"/>
  <c r="E42" i="28" l="1"/>
  <c r="E49" i="28" l="1"/>
  <c r="E51" i="28" s="1"/>
  <c r="E52" i="28" s="1"/>
  <c r="C10" i="28" l="1"/>
  <c r="D10" i="28"/>
  <c r="E26" i="28" l="1"/>
  <c r="C17" i="28"/>
  <c r="C19" i="28" s="1"/>
  <c r="C20" i="28" s="1"/>
  <c r="D17" i="28" l="1"/>
  <c r="D19" i="28" s="1"/>
  <c r="D20" i="28" s="1"/>
  <c r="E33" i="28" l="1"/>
  <c r="E35" i="28" s="1"/>
  <c r="E36" i="28" s="1"/>
  <c r="F42" i="28" l="1"/>
  <c r="E10" i="28" l="1"/>
  <c r="F49" i="28" l="1"/>
  <c r="F51" i="28" s="1"/>
  <c r="F52" i="28" s="1"/>
  <c r="E17" i="28"/>
  <c r="E19" i="28" s="1"/>
  <c r="E20" i="28" s="1"/>
  <c r="F26" i="28" l="1"/>
  <c r="F33" i="28" l="1"/>
  <c r="F35" i="28" s="1"/>
  <c r="F36" i="28" s="1"/>
  <c r="G42" i="28" l="1"/>
  <c r="F10" i="28" l="1"/>
  <c r="F17" i="28" l="1"/>
  <c r="F19" i="28" s="1"/>
  <c r="F20" i="28" s="1"/>
  <c r="G49" i="28"/>
  <c r="G51" i="28" s="1"/>
  <c r="G52" i="28" s="1"/>
  <c r="G26" i="28" l="1"/>
  <c r="G33" i="28" l="1"/>
  <c r="G35" i="28" s="1"/>
  <c r="G36" i="28" s="1"/>
  <c r="G10" i="28" l="1"/>
  <c r="G17" i="28" l="1"/>
  <c r="G19" i="28" s="1"/>
  <c r="G20" i="28" s="1"/>
  <c r="B12" i="5" l="1"/>
  <c r="B22" i="17"/>
  <c r="B10" i="17"/>
  <c r="B11" i="17" l="1"/>
  <c r="B23" i="17"/>
  <c r="B13" i="5"/>
  <c r="I12" i="5"/>
  <c r="I13" i="5" l="1"/>
  <c r="B14" i="5"/>
  <c r="B24" i="17"/>
  <c r="B12" i="17"/>
  <c r="B25" i="17" l="1"/>
  <c r="B13" i="17"/>
  <c r="B15" i="5"/>
  <c r="I14" i="5"/>
  <c r="I15" i="5" l="1"/>
  <c r="B16" i="5"/>
  <c r="B26" i="17"/>
  <c r="B14" i="17"/>
  <c r="B15" i="17" l="1"/>
  <c r="B27" i="17"/>
  <c r="B17" i="5"/>
  <c r="I16" i="5"/>
  <c r="I17" i="5" l="1"/>
  <c r="B18" i="5"/>
  <c r="B16" i="17"/>
  <c r="B28" i="17"/>
  <c r="B17" i="17" l="1"/>
  <c r="B29" i="17"/>
  <c r="I18" i="5"/>
  <c r="B19" i="5"/>
  <c r="B18" i="17" l="1"/>
  <c r="B31" i="17" s="1"/>
  <c r="B30" i="17"/>
  <c r="I19" i="5"/>
  <c r="B20" i="5"/>
  <c r="I20" i="5" l="1"/>
  <c r="B21" i="5"/>
  <c r="I21" i="5" s="1"/>
  <c r="H28" i="17" l="1"/>
  <c r="H23" i="17" l="1"/>
  <c r="H27" i="17"/>
  <c r="H25" i="17"/>
  <c r="H30" i="17"/>
  <c r="H26" i="17" l="1"/>
  <c r="H29" i="17"/>
  <c r="H24" i="17"/>
  <c r="D24" i="17"/>
  <c r="L24" i="17" l="1"/>
  <c r="D14" i="5" s="1"/>
  <c r="L30" i="17"/>
  <c r="D20" i="5" s="1"/>
  <c r="D30" i="17"/>
  <c r="D31" i="17"/>
  <c r="D23" i="17"/>
  <c r="L23" i="17"/>
  <c r="D13" i="5" s="1"/>
  <c r="D26" i="17" l="1"/>
  <c r="L26" i="17"/>
  <c r="D16" i="5" s="1"/>
  <c r="L28" i="17"/>
  <c r="D18" i="5" s="1"/>
  <c r="D28" i="17"/>
  <c r="G13" i="5"/>
  <c r="L13" i="5"/>
  <c r="F13" i="5"/>
  <c r="C13" i="13" s="1"/>
  <c r="E13" i="13" s="1"/>
  <c r="E13" i="5"/>
  <c r="F14" i="5"/>
  <c r="C14" i="13" s="1"/>
  <c r="E14" i="13" s="1"/>
  <c r="E14" i="5"/>
  <c r="G14" i="5"/>
  <c r="L14" i="5"/>
  <c r="L29" i="17"/>
  <c r="D19" i="5" s="1"/>
  <c r="D29" i="17"/>
  <c r="D27" i="17"/>
  <c r="L27" i="17"/>
  <c r="D17" i="5" s="1"/>
  <c r="D25" i="17"/>
  <c r="L25" i="17"/>
  <c r="D15" i="5" s="1"/>
  <c r="F20" i="5"/>
  <c r="C20" i="13" s="1"/>
  <c r="E20" i="5"/>
  <c r="L20" i="5"/>
  <c r="G20" i="5"/>
  <c r="F19" i="5" l="1"/>
  <c r="C19" i="13" s="1"/>
  <c r="G19" i="5"/>
  <c r="E19" i="5"/>
  <c r="L19" i="5"/>
  <c r="F18" i="5"/>
  <c r="C18" i="13" s="1"/>
  <c r="E18" i="5"/>
  <c r="L18" i="5"/>
  <c r="G18" i="5"/>
  <c r="N20" i="5"/>
  <c r="M20" i="5"/>
  <c r="F15" i="5"/>
  <c r="C15" i="13" s="1"/>
  <c r="E15" i="13" s="1"/>
  <c r="L15" i="5"/>
  <c r="G15" i="5"/>
  <c r="E15" i="5"/>
  <c r="F17" i="5"/>
  <c r="C17" i="13" s="1"/>
  <c r="G17" i="5"/>
  <c r="E17" i="5"/>
  <c r="L17" i="5"/>
  <c r="M14" i="5"/>
  <c r="N14" i="5"/>
  <c r="M13" i="5"/>
  <c r="N13" i="5"/>
  <c r="G16" i="5"/>
  <c r="F16" i="5"/>
  <c r="C16" i="13" s="1"/>
  <c r="E16" i="13" s="1"/>
  <c r="E16" i="5"/>
  <c r="L16" i="5"/>
  <c r="N16" i="5" l="1"/>
  <c r="M16" i="5"/>
  <c r="N18" i="5"/>
  <c r="M18" i="5"/>
  <c r="N19" i="5"/>
  <c r="M19" i="5"/>
  <c r="N17" i="5"/>
  <c r="M17" i="5"/>
  <c r="M15" i="5"/>
  <c r="N15" i="5"/>
  <c r="H31" i="17" l="1"/>
  <c r="L31" i="17"/>
  <c r="D21" i="5" s="1"/>
  <c r="F21" i="5" l="1"/>
  <c r="C21" i="13" s="1"/>
  <c r="G21" i="5"/>
  <c r="E21" i="5"/>
  <c r="L21" i="5"/>
  <c r="N21" i="5" l="1"/>
  <c r="M21" i="5"/>
  <c r="H22" i="17" l="1"/>
  <c r="L22" i="17" l="1"/>
  <c r="D12" i="5" s="1"/>
  <c r="L12" i="5" l="1"/>
  <c r="E12" i="5"/>
  <c r="D22" i="17"/>
  <c r="N12" i="5" l="1"/>
  <c r="M12" i="5"/>
  <c r="F12" i="5"/>
  <c r="C12" i="13" s="1"/>
  <c r="G12" i="5"/>
  <c r="C25" i="13" l="1"/>
  <c r="E12" i="13"/>
</calcChain>
</file>

<file path=xl/sharedStrings.xml><?xml version="1.0" encoding="utf-8"?>
<sst xmlns="http://schemas.openxmlformats.org/spreadsheetml/2006/main" count="180" uniqueCount="109">
  <si>
    <t>On-Peak Hours</t>
  </si>
  <si>
    <t>On-Peak</t>
  </si>
  <si>
    <t>Off-Peak</t>
  </si>
  <si>
    <t>Year</t>
  </si>
  <si>
    <t>($/kW-yr)</t>
  </si>
  <si>
    <t>Costs</t>
  </si>
  <si>
    <t>Energy Cost</t>
  </si>
  <si>
    <t>Avoided</t>
  </si>
  <si>
    <t>Total</t>
  </si>
  <si>
    <t>Total Avoided Costs</t>
  </si>
  <si>
    <t>At Stated Capacity Factor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</si>
  <si>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</si>
  <si>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</si>
  <si>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</si>
  <si>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</si>
  <si>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</si>
  <si>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</si>
  <si>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</si>
  <si>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</si>
  <si>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</si>
  <si>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</si>
  <si>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Total Avoided Costs at 85% CF</t>
  </si>
  <si>
    <t>Difference</t>
  </si>
  <si>
    <t>On- &amp; Off- Peak Energy Prices</t>
  </si>
  <si>
    <t>(f)</t>
  </si>
  <si>
    <t>Table 2</t>
  </si>
  <si>
    <t>Table 3</t>
  </si>
  <si>
    <t>Table 4</t>
  </si>
  <si>
    <t>Table 5</t>
  </si>
  <si>
    <t>Table 6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</si>
  <si>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</si>
  <si>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</si>
  <si>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</si>
  <si>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</si>
  <si>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</si>
  <si>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</si>
  <si>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</si>
  <si>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</si>
  <si>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Total Requirements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</si>
  <si>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</si>
  <si>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</si>
  <si>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</si>
  <si>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</si>
  <si>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</si>
  <si>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</si>
  <si>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</si>
  <si>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</si>
  <si>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</si>
  <si>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</si>
  <si>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</si>
  <si>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</si>
  <si>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</si>
  <si>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</si>
  <si>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</si>
  <si>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Net Load</t>
  </si>
  <si>
    <t>Thermal Generation</t>
  </si>
  <si>
    <t>Other Generation</t>
  </si>
  <si>
    <t>Reserves</t>
  </si>
  <si>
    <t>Surplus / (Deficit)</t>
  </si>
  <si>
    <t>aMW</t>
  </si>
  <si>
    <t>Avoided Resource</t>
  </si>
  <si>
    <t>Avoided Costs</t>
  </si>
  <si>
    <t>Proposed</t>
  </si>
  <si>
    <t>Comparison between Proposed and Current Avoided Costs</t>
  </si>
  <si>
    <t>Annual Seasonal Average</t>
  </si>
  <si>
    <t>Loads and Resources</t>
  </si>
  <si>
    <t>Long Term Sales</t>
  </si>
  <si>
    <t>Long Term Purchases</t>
  </si>
  <si>
    <t>Percent Surplus / (Deficit)</t>
  </si>
  <si>
    <t>Total Resources after Reserves</t>
  </si>
  <si>
    <t>Table 1</t>
  </si>
  <si>
    <t>Non-Firm Energy</t>
  </si>
  <si>
    <t>Discount Rate</t>
  </si>
  <si>
    <t>GRID Production Cost Study</t>
  </si>
  <si>
    <t>$/MWh</t>
  </si>
  <si>
    <t>Total Cost of Displaceable Resources</t>
  </si>
  <si>
    <t>Note:</t>
  </si>
  <si>
    <t xml:space="preserve">  Payment Factor</t>
  </si>
  <si>
    <t>Avoided Costs ($/MWh)</t>
  </si>
  <si>
    <t>($/MWh)</t>
  </si>
  <si>
    <t>Washington Approved</t>
  </si>
  <si>
    <t>$/MWH</t>
  </si>
  <si>
    <t>Total Avoided Cost</t>
  </si>
  <si>
    <t>Peak (January)</t>
  </si>
  <si>
    <t>SCCT Frame (2 Frame "F") - West Side Options (1500')</t>
  </si>
  <si>
    <t xml:space="preserve">  Capacity Factor</t>
  </si>
  <si>
    <t>Short Term Firm Sales</t>
  </si>
  <si>
    <t>Short Term Firm Purchase</t>
  </si>
  <si>
    <t>Peak (July)</t>
  </si>
  <si>
    <t>month offset</t>
  </si>
  <si>
    <t xml:space="preserve">  Plant capacity</t>
  </si>
  <si>
    <t xml:space="preserve">  Plant capacity cost</t>
  </si>
  <si>
    <t xml:space="preserve">  Fixed O&amp;M plus on-going capital cost </t>
  </si>
  <si>
    <t xml:space="preserve">  Fixed Pipeline Costs Included Above</t>
  </si>
  <si>
    <t>MW</t>
  </si>
  <si>
    <t>(1)</t>
  </si>
  <si>
    <t>Note: (1)</t>
  </si>
  <si>
    <t xml:space="preserve">  Variable O&amp;M and Other Costs </t>
  </si>
  <si>
    <t>Annual Wtd Average</t>
  </si>
  <si>
    <t>Source: GRID Production Cost Study</t>
  </si>
  <si>
    <t>Annual Wtd Average: Weighted by the number of days in a month</t>
  </si>
  <si>
    <t xml:space="preserve">  Variable O&amp;M </t>
  </si>
  <si>
    <t xml:space="preserve">   capacity surplus during the winter peak 2012.</t>
  </si>
  <si>
    <t xml:space="preserve">  Avoided Costs Approved by the Commission February 10, 2011</t>
  </si>
  <si>
    <t xml:space="preserve">  No capacity payment is made in 2012 because the Company is </t>
  </si>
  <si>
    <t>Plant Costs - 2011 IRP - Table 6.4</t>
  </si>
  <si>
    <t>(1)   Discount Rate - 2011 IRP</t>
  </si>
  <si>
    <t xml:space="preserve">  8760 is the number of hours in the year, 57% is the percent of On-Peak Hours</t>
  </si>
  <si>
    <t>Company Official Inflation Forecast  - Dated December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</si>
</sst>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mmm"/>
    <numFmt numFmtId="169" formatCode="_(* #,##0.00_);_(* \(#,##0.00\);_(* &quot;-&quot;_);_(@_)"/>
    <numFmt numFmtId="170" formatCode="_(&quot;$&quot;* #,##0_);_(&quot;$&quot;* \(#,##0\);_(&quot;$&quot;* &quot;-&quot;??_);_(@_)"/>
    <numFmt numFmtId="171" formatCode="0.0"/>
    <numFmt numFmtId="172" formatCode="_(* #,##0_);[Red]_(* \(#,##0\);_(* &quot;-&quot;_);_(@_)"/>
    <numFmt numFmtId="173" formatCode="&quot;$&quot;###0;[Red]\(&quot;$&quot;###0\)"/>
  </numFmts>
  <fonts count="22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sz val="8"/>
      <name val="Arial"/>
      <family val="2"/>
    </font>
    <font>
      <b/>
      <sz val="8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172" fontId="0" fillId="0" borderId="0"/>
    <xf numFmtId="44" fontId="1" fillId="0" borderId="0" applyFont="0" applyFill="0" applyBorder="0" applyAlignment="0" applyProtection="0"/>
    <xf numFmtId="173" fontId="17" fillId="0" borderId="0" applyFont="0" applyFill="0" applyBorder="0" applyProtection="0">
      <alignment horizontal="right"/>
    </xf>
    <xf numFmtId="0" fontId="14" fillId="0" borderId="0" applyNumberFormat="0" applyFill="0" applyBorder="0" applyAlignment="0">
      <protection locked="0"/>
    </xf>
    <xf numFmtId="171" fontId="18" fillId="0" borderId="0" applyNumberFormat="0" applyFill="0" applyBorder="0" applyAlignment="0" applyProtection="0"/>
    <xf numFmtId="0" fontId="19" fillId="0" borderId="1" applyNumberFormat="0" applyBorder="0" applyAlignment="0"/>
    <xf numFmtId="41" fontId="3" fillId="0" borderId="0"/>
    <xf numFmtId="172" fontId="3" fillId="0" borderId="0"/>
    <xf numFmtId="172" fontId="3" fillId="0" borderId="0"/>
    <xf numFmtId="0" fontId="3" fillId="0" borderId="0"/>
    <xf numFmtId="172" fontId="3" fillId="0" borderId="0"/>
    <xf numFmtId="172" fontId="1" fillId="0" borderId="0"/>
    <xf numFmtId="12" fontId="20" fillId="2" borderId="2">
      <alignment horizontal="left"/>
    </xf>
    <xf numFmtId="9" fontId="1" fillId="0" borderId="0" applyFont="0" applyFill="0" applyBorder="0" applyAlignment="0" applyProtection="0"/>
    <xf numFmtId="37" fontId="19" fillId="3" borderId="0" applyNumberFormat="0" applyBorder="0" applyAlignment="0" applyProtection="0"/>
    <xf numFmtId="37" fontId="15" fillId="0" borderId="0"/>
    <xf numFmtId="3" fontId="21" fillId="4" borderId="3" applyProtection="0"/>
  </cellStyleXfs>
  <cellXfs count="174">
    <xf numFmtId="172" fontId="0" fillId="0" borderId="0" xfId="0"/>
    <xf numFmtId="172" fontId="4" fillId="0" borderId="0" xfId="0" applyFont="1" applyFill="1" applyAlignment="1">
      <alignment horizontal="centerContinuous"/>
    </xf>
    <xf numFmtId="172" fontId="12" fillId="0" borderId="0" xfId="0" applyFont="1" applyFill="1" applyAlignment="1">
      <alignment horizontal="centerContinuous"/>
    </xf>
    <xf numFmtId="172" fontId="12" fillId="0" borderId="0" xfId="0" applyFont="1" applyFill="1"/>
    <xf numFmtId="172" fontId="12" fillId="0" borderId="0" xfId="0" applyFont="1" applyFill="1" applyBorder="1" applyAlignment="1">
      <alignment horizontal="centerContinuous"/>
    </xf>
    <xf numFmtId="172" fontId="12" fillId="0" borderId="0" xfId="0" applyFont="1" applyFill="1" applyBorder="1"/>
    <xf numFmtId="172" fontId="12" fillId="0" borderId="4" xfId="0" applyFont="1" applyFill="1" applyBorder="1" applyAlignment="1">
      <alignment horizontal="center"/>
    </xf>
    <xf numFmtId="172" fontId="12" fillId="0" borderId="5" xfId="0" applyFont="1" applyFill="1" applyBorder="1" applyAlignment="1">
      <alignment horizontal="center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6" xfId="0" applyFont="1" applyFill="1" applyBorder="1" applyAlignment="1">
      <alignment horizontal="centerContinuous"/>
    </xf>
    <xf numFmtId="172" fontId="3" fillId="0" borderId="7" xfId="0" applyFont="1" applyFill="1" applyBorder="1" applyAlignment="1">
      <alignment horizontal="centerContinuous"/>
    </xf>
    <xf numFmtId="172" fontId="3" fillId="0" borderId="8" xfId="0" applyFont="1" applyFill="1" applyBorder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172" fontId="3" fillId="0" borderId="0" xfId="0" applyFont="1" applyFill="1" applyAlignment="1">
      <alignment horizontal="right"/>
    </xf>
    <xf numFmtId="8" fontId="3" fillId="0" borderId="9" xfId="0" applyNumberFormat="1" applyFont="1" applyFill="1" applyBorder="1" applyAlignment="1">
      <alignment horizontal="center"/>
    </xf>
    <xf numFmtId="166" fontId="3" fillId="0" borderId="9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2" fontId="12" fillId="0" borderId="11" xfId="0" applyFont="1" applyFill="1" applyBorder="1" applyAlignment="1">
      <alignment horizontal="center"/>
    </xf>
    <xf numFmtId="172" fontId="8" fillId="0" borderId="0" xfId="0" applyFont="1" applyFill="1"/>
    <xf numFmtId="172" fontId="3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9" fillId="0" borderId="0" xfId="0" applyFont="1" applyFill="1"/>
    <xf numFmtId="172" fontId="5" fillId="0" borderId="0" xfId="0" applyFont="1" applyFill="1" applyBorder="1" applyAlignment="1">
      <alignment horizontal="center"/>
    </xf>
    <xf numFmtId="172" fontId="7" fillId="0" borderId="0" xfId="0" quotePrefix="1" applyFont="1" applyFill="1" applyAlignment="1">
      <alignment horizontal="center"/>
    </xf>
    <xf numFmtId="8" fontId="7" fillId="0" borderId="0" xfId="0" applyNumberFormat="1" applyFont="1" applyFill="1" applyAlignment="1"/>
    <xf numFmtId="172" fontId="3" fillId="0" borderId="0" xfId="0" quotePrefix="1" applyFont="1" applyFill="1"/>
    <xf numFmtId="172" fontId="2" fillId="0" borderId="0" xfId="0" applyFont="1" applyFill="1" applyBorder="1" applyAlignment="1">
      <alignment horizontal="left"/>
    </xf>
    <xf numFmtId="166" fontId="3" fillId="0" borderId="9" xfId="0" quotePrefix="1" applyNumberFormat="1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left"/>
    </xf>
    <xf numFmtId="166" fontId="3" fillId="0" borderId="0" xfId="0" applyNumberFormat="1" applyFont="1" applyFill="1"/>
    <xf numFmtId="172" fontId="9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2" fontId="3" fillId="0" borderId="0" xfId="0" applyFont="1" applyFill="1" applyBorder="1" applyAlignment="1">
      <alignment horizontal="left"/>
    </xf>
    <xf numFmtId="8" fontId="3" fillId="0" borderId="0" xfId="0" applyNumberFormat="1" applyFont="1" applyFill="1" applyBorder="1"/>
    <xf numFmtId="17" fontId="3" fillId="0" borderId="0" xfId="0" applyNumberFormat="1" applyFont="1" applyFill="1" applyBorder="1" applyAlignment="1">
      <alignment horizontal="center"/>
    </xf>
    <xf numFmtId="172" fontId="12" fillId="0" borderId="6" xfId="0" applyFont="1" applyFill="1" applyBorder="1" applyAlignment="1">
      <alignment horizontal="centerContinuous"/>
    </xf>
    <xf numFmtId="172" fontId="12" fillId="0" borderId="8" xfId="0" applyFont="1" applyFill="1" applyBorder="1" applyAlignment="1">
      <alignment horizontal="centerContinuous"/>
    </xf>
    <xf numFmtId="172" fontId="12" fillId="0" borderId="0" xfId="0" applyFont="1" applyFill="1" applyBorder="1" applyAlignment="1">
      <alignment horizontal="center"/>
    </xf>
    <xf numFmtId="172" fontId="12" fillId="0" borderId="5" xfId="0" applyFont="1" applyFill="1" applyBorder="1" applyAlignment="1">
      <alignment horizontal="centerContinuous"/>
    </xf>
    <xf numFmtId="172" fontId="12" fillId="0" borderId="4" xfId="0" applyFont="1" applyFill="1" applyBorder="1"/>
    <xf numFmtId="172" fontId="12" fillId="0" borderId="11" xfId="0" applyFont="1" applyFill="1" applyBorder="1"/>
    <xf numFmtId="172" fontId="12" fillId="0" borderId="14" xfId="0" applyFont="1" applyFill="1" applyBorder="1"/>
    <xf numFmtId="172" fontId="12" fillId="0" borderId="0" xfId="0" quotePrefix="1" applyFont="1" applyFill="1" applyBorder="1" applyAlignment="1">
      <alignment horizontal="center"/>
    </xf>
    <xf numFmtId="172" fontId="12" fillId="0" borderId="15" xfId="0" applyFont="1" applyFill="1" applyBorder="1" applyAlignment="1">
      <alignment horizontal="centerContinuous"/>
    </xf>
    <xf numFmtId="172" fontId="12" fillId="0" borderId="4" xfId="0" applyFont="1" applyFill="1" applyBorder="1" applyAlignment="1">
      <alignment horizontal="centerContinuous"/>
    </xf>
    <xf numFmtId="172" fontId="12" fillId="0" borderId="16" xfId="0" applyFont="1" applyFill="1" applyBorder="1" applyAlignment="1">
      <alignment horizontal="center"/>
    </xf>
    <xf numFmtId="172" fontId="12" fillId="0" borderId="17" xfId="0" applyFont="1" applyFill="1" applyBorder="1" applyAlignment="1">
      <alignment horizontal="centerContinuous"/>
    </xf>
    <xf numFmtId="172" fontId="12" fillId="0" borderId="12" xfId="0" applyFont="1" applyFill="1" applyBorder="1" applyAlignment="1">
      <alignment horizontal="centerContinuous"/>
    </xf>
    <xf numFmtId="172" fontId="12" fillId="0" borderId="18" xfId="0" applyFont="1" applyFill="1" applyBorder="1" applyAlignment="1">
      <alignment horizontal="centerContinuous"/>
    </xf>
    <xf numFmtId="172" fontId="12" fillId="0" borderId="13" xfId="0" applyFont="1" applyFill="1" applyBorder="1" applyAlignment="1">
      <alignment horizontal="centerContinuous"/>
    </xf>
    <xf numFmtId="172" fontId="12" fillId="0" borderId="0" xfId="0" quotePrefix="1" applyFont="1" applyFill="1" applyBorder="1" applyAlignment="1">
      <alignment horizontal="centerContinuous"/>
    </xf>
    <xf numFmtId="172" fontId="12" fillId="0" borderId="17" xfId="0" applyFont="1" applyFill="1" applyBorder="1" applyAlignment="1">
      <alignment horizontal="center"/>
    </xf>
    <xf numFmtId="172" fontId="12" fillId="0" borderId="10" xfId="0" applyFont="1" applyFill="1" applyBorder="1" applyAlignment="1">
      <alignment horizontal="centerContinuous"/>
    </xf>
    <xf numFmtId="9" fontId="12" fillId="0" borderId="11" xfId="13" applyFont="1" applyFill="1" applyBorder="1" applyAlignment="1">
      <alignment horizontal="center"/>
    </xf>
    <xf numFmtId="172" fontId="12" fillId="0" borderId="15" xfId="0" quotePrefix="1" applyFont="1" applyFill="1" applyBorder="1" applyAlignment="1">
      <alignment horizontal="centerContinuous"/>
    </xf>
    <xf numFmtId="172" fontId="12" fillId="0" borderId="15" xfId="0" quotePrefix="1" applyFont="1" applyFill="1" applyBorder="1" applyAlignment="1">
      <alignment horizontal="center"/>
    </xf>
    <xf numFmtId="172" fontId="12" fillId="0" borderId="6" xfId="0" quotePrefix="1" applyFont="1" applyFill="1" applyBorder="1" applyAlignment="1">
      <alignment horizontal="centerContinuous"/>
    </xf>
    <xf numFmtId="172" fontId="12" fillId="0" borderId="8" xfId="0" quotePrefix="1" applyFont="1" applyFill="1" applyBorder="1" applyAlignment="1">
      <alignment horizontal="centerContinuous"/>
    </xf>
    <xf numFmtId="172" fontId="12" fillId="0" borderId="18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72" fontId="12" fillId="0" borderId="4" xfId="0" quotePrefix="1" applyFont="1" applyFill="1" applyBorder="1" applyAlignment="1">
      <alignment horizontal="centerContinuous"/>
    </xf>
    <xf numFmtId="172" fontId="12" fillId="0" borderId="6" xfId="0" applyFont="1" applyFill="1" applyBorder="1" applyAlignment="1">
      <alignment horizontal="center"/>
    </xf>
    <xf numFmtId="172" fontId="12" fillId="0" borderId="7" xfId="0" applyFont="1" applyFill="1" applyBorder="1" applyAlignment="1">
      <alignment horizontal="center"/>
    </xf>
    <xf numFmtId="172" fontId="12" fillId="0" borderId="8" xfId="0" applyFont="1" applyFill="1" applyBorder="1" applyAlignment="1">
      <alignment horizontal="center"/>
    </xf>
    <xf numFmtId="172" fontId="12" fillId="0" borderId="9" xfId="0" applyFont="1" applyFill="1" applyBorder="1" applyAlignment="1">
      <alignment horizontal="centerContinuous"/>
    </xf>
    <xf numFmtId="43" fontId="3" fillId="0" borderId="0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10" fontId="3" fillId="0" borderId="0" xfId="9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72" fontId="3" fillId="0" borderId="10" xfId="0" applyFont="1" applyFill="1" applyBorder="1" applyAlignment="1">
      <alignment horizontal="center"/>
    </xf>
    <xf numFmtId="17" fontId="3" fillId="0" borderId="10" xfId="0" applyNumberFormat="1" applyFont="1" applyFill="1" applyBorder="1" applyAlignment="1">
      <alignment horizontal="center"/>
    </xf>
    <xf numFmtId="172" fontId="3" fillId="0" borderId="13" xfId="0" applyFont="1" applyFill="1" applyBorder="1" applyAlignment="1">
      <alignment horizontal="center"/>
    </xf>
    <xf numFmtId="39" fontId="3" fillId="0" borderId="0" xfId="0" quotePrefix="1" applyNumberFormat="1" applyFont="1" applyFill="1" applyBorder="1" applyAlignment="1">
      <alignment horizontal="center"/>
    </xf>
    <xf numFmtId="172" fontId="3" fillId="0" borderId="0" xfId="0" applyFont="1" applyFill="1" applyAlignment="1">
      <alignment horizontal="left"/>
    </xf>
    <xf numFmtId="164" fontId="3" fillId="0" borderId="0" xfId="0" quotePrefix="1" applyNumberFormat="1" applyFont="1" applyFill="1"/>
    <xf numFmtId="170" fontId="3" fillId="0" borderId="0" xfId="1" applyNumberFormat="1" applyFont="1" applyFill="1"/>
    <xf numFmtId="10" fontId="3" fillId="0" borderId="0" xfId="13" applyNumberFormat="1" applyFont="1" applyFill="1"/>
    <xf numFmtId="41" fontId="3" fillId="0" borderId="0" xfId="6" applyFont="1" applyFill="1"/>
    <xf numFmtId="41" fontId="3" fillId="0" borderId="0" xfId="6" applyFont="1" applyFill="1" applyAlignment="1">
      <alignment horizontal="center"/>
    </xf>
    <xf numFmtId="8" fontId="3" fillId="0" borderId="0" xfId="6" applyNumberFormat="1" applyFont="1" applyFill="1" applyBorder="1"/>
    <xf numFmtId="44" fontId="3" fillId="0" borderId="0" xfId="1" applyFont="1" applyFill="1"/>
    <xf numFmtId="41" fontId="3" fillId="0" borderId="0" xfId="6" applyFont="1" applyFill="1" applyAlignment="1">
      <alignment horizontal="left"/>
    </xf>
    <xf numFmtId="41" fontId="11" fillId="0" borderId="0" xfId="6" applyFont="1" applyFill="1"/>
    <xf numFmtId="164" fontId="11" fillId="0" borderId="0" xfId="6" applyNumberFormat="1" applyFont="1" applyFill="1"/>
    <xf numFmtId="10" fontId="3" fillId="0" borderId="0" xfId="6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/>
    <xf numFmtId="172" fontId="10" fillId="0" borderId="0" xfId="0" applyFont="1" applyFill="1"/>
    <xf numFmtId="172" fontId="3" fillId="0" borderId="0" xfId="0" quotePrefix="1" applyFont="1" applyFill="1" applyBorder="1" applyAlignment="1">
      <alignment horizontal="centerContinuous"/>
    </xf>
    <xf numFmtId="41" fontId="7" fillId="0" borderId="0" xfId="0" applyNumberFormat="1" applyFont="1" applyFill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172" fontId="3" fillId="0" borderId="4" xfId="0" applyFont="1" applyFill="1" applyBorder="1"/>
    <xf numFmtId="172" fontId="3" fillId="0" borderId="4" xfId="0" applyFont="1" applyFill="1" applyBorder="1" applyAlignment="1">
      <alignment horizontal="centerContinuous"/>
    </xf>
    <xf numFmtId="172" fontId="3" fillId="0" borderId="15" xfId="0" applyFont="1" applyFill="1" applyBorder="1" applyAlignment="1">
      <alignment horizontal="centerContinuous"/>
    </xf>
    <xf numFmtId="172" fontId="3" fillId="0" borderId="16" xfId="0" applyFont="1" applyFill="1" applyBorder="1" applyAlignment="1">
      <alignment horizontal="center"/>
    </xf>
    <xf numFmtId="172" fontId="3" fillId="0" borderId="12" xfId="0" applyFont="1" applyFill="1" applyBorder="1" applyAlignment="1">
      <alignment horizontal="centerContinuous"/>
    </xf>
    <xf numFmtId="172" fontId="3" fillId="0" borderId="11" xfId="0" applyFont="1" applyFill="1" applyBorder="1" applyAlignment="1">
      <alignment horizontal="center"/>
    </xf>
    <xf numFmtId="172" fontId="3" fillId="0" borderId="16" xfId="0" applyFont="1" applyFill="1" applyBorder="1"/>
    <xf numFmtId="17" fontId="3" fillId="0" borderId="10" xfId="0" applyNumberFormat="1" applyFont="1" applyFill="1" applyBorder="1" applyAlignment="1">
      <alignment horizontal="centerContinuous"/>
    </xf>
    <xf numFmtId="172" fontId="3" fillId="0" borderId="18" xfId="0" applyFont="1" applyFill="1" applyBorder="1"/>
    <xf numFmtId="172" fontId="3" fillId="0" borderId="13" xfId="0" applyFont="1" applyFill="1" applyBorder="1" applyAlignment="1">
      <alignment horizontal="centerContinuous"/>
    </xf>
    <xf numFmtId="172" fontId="3" fillId="0" borderId="14" xfId="0" applyFont="1" applyFill="1" applyBorder="1" applyAlignment="1">
      <alignment horizontal="center"/>
    </xf>
    <xf numFmtId="172" fontId="3" fillId="0" borderId="10" xfId="8" applyFont="1" applyFill="1" applyBorder="1"/>
    <xf numFmtId="172" fontId="2" fillId="0" borderId="4" xfId="8" applyFont="1" applyFill="1" applyBorder="1" applyAlignment="1">
      <alignment horizontal="center"/>
    </xf>
    <xf numFmtId="172" fontId="2" fillId="0" borderId="4" xfId="8" applyFont="1" applyFill="1" applyBorder="1" applyAlignment="1">
      <alignment horizontal="center" wrapText="1"/>
    </xf>
    <xf numFmtId="172" fontId="3" fillId="0" borderId="0" xfId="8" applyFont="1" applyFill="1" applyBorder="1"/>
    <xf numFmtId="172" fontId="3" fillId="0" borderId="0" xfId="8" applyFont="1" applyFill="1"/>
    <xf numFmtId="172" fontId="13" fillId="0" borderId="14" xfId="8" applyFont="1" applyFill="1" applyBorder="1" applyAlignment="1">
      <alignment horizontal="centerContinuous"/>
    </xf>
    <xf numFmtId="172" fontId="16" fillId="0" borderId="14" xfId="8" quotePrefix="1" applyFont="1" applyFill="1" applyBorder="1" applyAlignment="1">
      <alignment horizontal="center" wrapText="1"/>
    </xf>
    <xf numFmtId="172" fontId="16" fillId="0" borderId="14" xfId="8" applyFont="1" applyFill="1" applyBorder="1" applyAlignment="1">
      <alignment horizontal="center" wrapText="1"/>
    </xf>
    <xf numFmtId="172" fontId="6" fillId="0" borderId="0" xfId="8" quotePrefix="1" applyFont="1" applyFill="1" applyBorder="1" applyAlignment="1">
      <alignment horizontal="center"/>
    </xf>
    <xf numFmtId="0" fontId="3" fillId="0" borderId="0" xfId="8" applyNumberFormat="1" applyFont="1" applyFill="1"/>
    <xf numFmtId="6" fontId="3" fillId="0" borderId="0" xfId="8" applyNumberFormat="1" applyFont="1" applyFill="1" applyAlignment="1">
      <alignment horizontal="right"/>
    </xf>
    <xf numFmtId="8" fontId="3" fillId="0" borderId="0" xfId="8" applyNumberFormat="1" applyFont="1" applyFill="1" applyAlignment="1">
      <alignment horizontal="right"/>
    </xf>
    <xf numFmtId="8" fontId="3" fillId="0" borderId="0" xfId="8" applyNumberFormat="1" applyFont="1" applyFill="1" applyBorder="1" applyAlignment="1">
      <alignment horizontal="right"/>
    </xf>
    <xf numFmtId="165" fontId="3" fillId="0" borderId="0" xfId="8" applyNumberFormat="1" applyFont="1" applyFill="1" applyAlignment="1">
      <alignment horizontal="center"/>
    </xf>
    <xf numFmtId="0" fontId="3" fillId="0" borderId="0" xfId="8" applyNumberFormat="1" applyFont="1" applyFill="1" applyBorder="1"/>
    <xf numFmtId="165" fontId="3" fillId="0" borderId="0" xfId="8" applyNumberFormat="1" applyFont="1" applyFill="1" applyBorder="1" applyAlignment="1">
      <alignment horizontal="center"/>
    </xf>
    <xf numFmtId="8" fontId="3" fillId="0" borderId="0" xfId="8" applyNumberFormat="1" applyFont="1" applyFill="1" applyBorder="1" applyAlignment="1">
      <alignment horizontal="center"/>
    </xf>
    <xf numFmtId="8" fontId="3" fillId="0" borderId="0" xfId="8" applyNumberFormat="1" applyFont="1" applyFill="1" applyBorder="1"/>
    <xf numFmtId="172" fontId="3" fillId="0" borderId="0" xfId="7" applyFont="1" applyFill="1"/>
    <xf numFmtId="9" fontId="3" fillId="0" borderId="0" xfId="8" applyNumberFormat="1" applyFont="1" applyFill="1"/>
    <xf numFmtId="10" fontId="3" fillId="0" borderId="0" xfId="8" applyNumberFormat="1" applyFont="1" applyFill="1"/>
    <xf numFmtId="172" fontId="4" fillId="0" borderId="0" xfId="10" applyFont="1" applyFill="1" applyAlignment="1">
      <alignment horizontal="centerContinuous"/>
    </xf>
    <xf numFmtId="172" fontId="8" fillId="0" borderId="0" xfId="10" applyFont="1" applyFill="1" applyAlignment="1">
      <alignment horizontal="centerContinuous"/>
    </xf>
    <xf numFmtId="172" fontId="3" fillId="0" borderId="0" xfId="11" applyFont="1"/>
    <xf numFmtId="172" fontId="1" fillId="0" borderId="0" xfId="11"/>
    <xf numFmtId="172" fontId="4" fillId="0" borderId="0" xfId="11" applyFont="1" applyAlignment="1">
      <alignment horizontal="centerContinuous"/>
    </xf>
    <xf numFmtId="0" fontId="2" fillId="0" borderId="0" xfId="11" applyNumberFormat="1" applyFont="1" applyAlignment="1">
      <alignment horizontal="center"/>
    </xf>
    <xf numFmtId="1" fontId="2" fillId="0" borderId="0" xfId="11" applyNumberFormat="1" applyFont="1" applyAlignment="1">
      <alignment horizontal="center"/>
    </xf>
    <xf numFmtId="172" fontId="2" fillId="0" borderId="15" xfId="11" applyFont="1" applyBorder="1" applyAlignment="1">
      <alignment horizontal="center"/>
    </xf>
    <xf numFmtId="164" fontId="3" fillId="0" borderId="0" xfId="11" applyNumberFormat="1" applyFont="1"/>
    <xf numFmtId="164" fontId="11" fillId="0" borderId="0" xfId="11" applyNumberFormat="1" applyFont="1"/>
    <xf numFmtId="1" fontId="3" fillId="0" borderId="0" xfId="11" applyNumberFormat="1" applyFont="1" applyFill="1"/>
    <xf numFmtId="167" fontId="3" fillId="0" borderId="0" xfId="13" applyNumberFormat="1" applyFont="1"/>
    <xf numFmtId="168" fontId="6" fillId="0" borderId="0" xfId="11" quotePrefix="1" applyNumberFormat="1" applyFont="1" applyAlignment="1">
      <alignment horizontal="center"/>
    </xf>
    <xf numFmtId="172" fontId="3" fillId="0" borderId="0" xfId="11" applyNumberFormat="1" applyFont="1"/>
    <xf numFmtId="172" fontId="3" fillId="0" borderId="0" xfId="8" quotePrefix="1" applyFont="1" applyFill="1"/>
    <xf numFmtId="41" fontId="3" fillId="0" borderId="0" xfId="6" quotePrefix="1" applyFont="1" applyFill="1"/>
    <xf numFmtId="172" fontId="2" fillId="0" borderId="7" xfId="8" applyFont="1" applyFill="1" applyBorder="1" applyAlignment="1">
      <alignment horizontal="centerContinuous"/>
    </xf>
    <xf numFmtId="172" fontId="2" fillId="0" borderId="15" xfId="8" applyFont="1" applyFill="1" applyBorder="1" applyAlignment="1">
      <alignment horizontal="centerContinuous"/>
    </xf>
    <xf numFmtId="172" fontId="2" fillId="0" borderId="8" xfId="8" applyFont="1" applyFill="1" applyBorder="1" applyAlignment="1">
      <alignment horizontal="centerContinuous"/>
    </xf>
    <xf numFmtId="172" fontId="3" fillId="0" borderId="6" xfId="8" applyFont="1" applyFill="1" applyBorder="1" applyAlignment="1">
      <alignment horizontal="centerContinuous"/>
    </xf>
    <xf numFmtId="172" fontId="3" fillId="0" borderId="7" xfId="8" applyFont="1" applyFill="1" applyBorder="1" applyAlignment="1">
      <alignment horizontal="centerContinuous"/>
    </xf>
    <xf numFmtId="172" fontId="3" fillId="0" borderId="8" xfId="8" applyFont="1" applyFill="1" applyBorder="1" applyAlignment="1">
      <alignment horizontal="centerContinuous"/>
    </xf>
    <xf numFmtId="1" fontId="3" fillId="0" borderId="4" xfId="0" applyNumberFormat="1" applyFont="1" applyFill="1" applyBorder="1" applyAlignment="1">
      <alignment horizontal="center"/>
    </xf>
    <xf numFmtId="172" fontId="3" fillId="0" borderId="0" xfId="8" applyFont="1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/>
    </xf>
    <xf numFmtId="164" fontId="11" fillId="0" borderId="0" xfId="11" applyNumberFormat="1" applyFont="1" applyFill="1"/>
  </cellXfs>
  <cellStyles count="17">
    <cellStyle name="Currency" xfId="1" builtinId="4"/>
    <cellStyle name="Currency No Comma" xfId="2"/>
    <cellStyle name="Input" xfId="3" builtinId="20" customBuiltin="1"/>
    <cellStyle name="MCP" xfId="4"/>
    <cellStyle name="noninput" xfId="5"/>
    <cellStyle name="Normal" xfId="0" builtinId="0" customBuiltin="1"/>
    <cellStyle name="Normal_DRR AC Study - Utah Valley - 53 MW 90 CF (2.28.2005)" xfId="6"/>
    <cellStyle name="Normal_OR AC Sch 37 - AC  Study (Gold) _2009 06 19" xfId="7"/>
    <cellStyle name="Normal_OR AC Sch 37 - AC  Study (Gold) _2009 07 07" xfId="8"/>
    <cellStyle name="Normal_UT AC 2004 - AC Study (As Ordered by Commission)" xfId="9"/>
    <cellStyle name="Normal_WA AC 2009 - AC Study - 2009 12 09 (pipeline)" xfId="10"/>
    <cellStyle name="Normal_WA AC 2009 - L&amp;R Study_2009 12 08 (vs 2008)" xfId="11"/>
    <cellStyle name="Password" xfId="12"/>
    <cellStyle name="Percent" xfId="1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S56"/>
  <sheetViews>
    <sheetView zoomScale="85" zoomScaleNormal="85" workbookViewId="0">
      <pane xSplit="2" ySplit="5" topLeftCell="C6" activePane="bottomRight" state="frozen"/>
      <selection activeCell="C21" sqref="C21"/>
      <selection pane="topRight" activeCell="C21" sqref="C21"/>
      <selection pane="bottomLeft" activeCell="C21" sqref="C21"/>
      <selection pane="bottomRight" activeCell="O17" sqref="O17"/>
    </sheetView>
  </sheetViews>
  <sheetFormatPr defaultColWidth="10.6640625" defaultRowHeight="13.2" x14ac:dyDescent="0.25"/>
  <cols>
    <col min="1" max="1" width="1.77734375" style="151" customWidth="1"/>
    <col min="2" max="2" width="31.44140625" style="150" bestFit="1" customWidth="1"/>
    <col min="3" max="4" width="8.109375" style="150" bestFit="1" customWidth="1"/>
    <col min="5" max="5" width="9" style="150" bestFit="1" customWidth="1"/>
    <col min="6" max="6" width="8.109375" style="150" bestFit="1" customWidth="1"/>
    <col min="7" max="12" width="9" style="150" bestFit="1" customWidth="1"/>
    <col min="13" max="13" width="2.44140625" style="151" customWidth="1"/>
    <col min="14" max="16384" width="10.6640625" style="151"/>
  </cols>
  <sheetData>
    <row r="1" spans="2:19" ht="15.6" x14ac:dyDescent="0.3">
      <c r="B1" s="148" t="s">
        <v>70</v>
      </c>
      <c r="C1" s="148"/>
      <c r="D1" s="148"/>
      <c r="E1" s="149"/>
      <c r="F1" s="148"/>
      <c r="G1" s="148"/>
      <c r="H1" s="148"/>
      <c r="I1" s="148"/>
      <c r="J1" s="148"/>
      <c r="K1" s="148"/>
      <c r="L1" s="148"/>
    </row>
    <row r="2" spans="2:19" ht="15.6" x14ac:dyDescent="0.3">
      <c r="B2" s="148" t="s">
        <v>65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2:19" ht="15.6" x14ac:dyDescent="0.3">
      <c r="B3" s="148" t="str">
        <f>C5&amp;" through "&amp;L5</f>
        <v>2012 through 2021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5" spans="2:19" x14ac:dyDescent="0.25">
      <c r="C5" s="153">
        <v>2012</v>
      </c>
      <c r="D5" s="153">
        <v>2013</v>
      </c>
      <c r="E5" s="153">
        <v>2014</v>
      </c>
      <c r="F5" s="153">
        <v>2015</v>
      </c>
      <c r="G5" s="154">
        <v>2016</v>
      </c>
      <c r="H5" s="154">
        <v>2017</v>
      </c>
      <c r="I5" s="154">
        <v>2018</v>
      </c>
      <c r="J5" s="154">
        <v>2019</v>
      </c>
      <c r="K5" s="154">
        <v>2020</v>
      </c>
      <c r="L5" s="154">
        <v>2021</v>
      </c>
    </row>
    <row r="6" spans="2:19" x14ac:dyDescent="0.25">
      <c r="B6" s="155" t="s">
        <v>59</v>
      </c>
    </row>
    <row r="7" spans="2:19" x14ac:dyDescent="0.25">
      <c r="B7" s="150" t="s">
        <v>54</v>
      </c>
      <c r="C7" s="156">
        <v>2244.9782866484788</v>
      </c>
      <c r="D7" s="156">
        <v>2264.3556404032238</v>
      </c>
      <c r="E7" s="156">
        <v>2284.764495426055</v>
      </c>
      <c r="F7" s="156">
        <v>2289.9888892616709</v>
      </c>
      <c r="G7" s="156">
        <v>2294.1804667486613</v>
      </c>
      <c r="H7" s="156">
        <v>2314.5196381201185</v>
      </c>
      <c r="I7" s="156">
        <v>2320.2965719100725</v>
      </c>
      <c r="J7" s="156">
        <v>2325.6024554717164</v>
      </c>
      <c r="K7" s="156">
        <v>2328.4551798634147</v>
      </c>
      <c r="L7" s="156">
        <v>2329.4235844671507</v>
      </c>
    </row>
    <row r="8" spans="2:19" x14ac:dyDescent="0.25">
      <c r="B8" s="150" t="s">
        <v>66</v>
      </c>
      <c r="C8" s="156">
        <v>333.52586520947176</v>
      </c>
      <c r="D8" s="156">
        <v>259.04073059360735</v>
      </c>
      <c r="E8" s="156">
        <v>258.61333333333334</v>
      </c>
      <c r="F8" s="156">
        <v>218.70155251141554</v>
      </c>
      <c r="G8" s="156">
        <v>218.71493624772313</v>
      </c>
      <c r="H8" s="156">
        <v>218.93607305936072</v>
      </c>
      <c r="I8" s="156">
        <v>219.03433789954337</v>
      </c>
      <c r="J8" s="156">
        <v>219.04073059360732</v>
      </c>
      <c r="K8" s="156">
        <v>218.59526411657561</v>
      </c>
      <c r="L8" s="156">
        <v>219.06027397260274</v>
      </c>
    </row>
    <row r="9" spans="2:19" x14ac:dyDescent="0.25">
      <c r="B9" s="150" t="s">
        <v>86</v>
      </c>
      <c r="C9" s="157">
        <v>5.4189435336976324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</row>
    <row r="10" spans="2:19" x14ac:dyDescent="0.25">
      <c r="B10" s="150" t="s">
        <v>38</v>
      </c>
      <c r="C10" s="156">
        <f t="shared" ref="C10:G10" si="0">SUM(C7:C9)</f>
        <v>2583.9230953916481</v>
      </c>
      <c r="D10" s="156">
        <f t="shared" si="0"/>
        <v>2523.3963709968311</v>
      </c>
      <c r="E10" s="156">
        <f t="shared" si="0"/>
        <v>2543.3778287593882</v>
      </c>
      <c r="F10" s="156">
        <f t="shared" si="0"/>
        <v>2508.6904417730866</v>
      </c>
      <c r="G10" s="156">
        <f t="shared" si="0"/>
        <v>2512.8954029963843</v>
      </c>
      <c r="H10" s="156">
        <f t="shared" ref="H10:L10" si="1">SUM(H7:H9)</f>
        <v>2533.4557111794793</v>
      </c>
      <c r="I10" s="156">
        <f t="shared" si="1"/>
        <v>2539.3309098096161</v>
      </c>
      <c r="J10" s="156">
        <f t="shared" si="1"/>
        <v>2544.6431860653238</v>
      </c>
      <c r="K10" s="156">
        <f t="shared" si="1"/>
        <v>2547.0504439799902</v>
      </c>
      <c r="L10" s="156">
        <f t="shared" si="1"/>
        <v>2548.4838584397535</v>
      </c>
    </row>
    <row r="11" spans="2:19" x14ac:dyDescent="0.25">
      <c r="C11" s="156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2:19" x14ac:dyDescent="0.25">
      <c r="B12" s="150" t="s">
        <v>67</v>
      </c>
      <c r="C12" s="156">
        <v>272.37467784230694</v>
      </c>
      <c r="D12" s="156">
        <v>255.26265664008125</v>
      </c>
      <c r="E12" s="156">
        <v>255.25574576793514</v>
      </c>
      <c r="F12" s="156">
        <v>255.26215529989861</v>
      </c>
      <c r="G12" s="156">
        <v>244.33677778325864</v>
      </c>
      <c r="H12" s="156">
        <v>244.218347069305</v>
      </c>
      <c r="I12" s="156">
        <v>243.51539821085751</v>
      </c>
      <c r="J12" s="156">
        <v>238.82674250309495</v>
      </c>
      <c r="K12" s="156">
        <v>238.96009085247536</v>
      </c>
      <c r="L12" s="156">
        <v>238.83700135012694</v>
      </c>
      <c r="O12" s="156"/>
      <c r="P12" s="156"/>
      <c r="Q12" s="156"/>
      <c r="R12" s="156"/>
      <c r="S12" s="156"/>
    </row>
    <row r="13" spans="2:19" x14ac:dyDescent="0.25">
      <c r="B13" s="150" t="s">
        <v>87</v>
      </c>
      <c r="C13" s="156">
        <v>378.6429872495446</v>
      </c>
      <c r="D13" s="156">
        <v>41.963470319634702</v>
      </c>
      <c r="E13" s="156">
        <v>5.4337899543378994</v>
      </c>
      <c r="F13" s="156">
        <v>2.6940639269406392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</row>
    <row r="14" spans="2:19" x14ac:dyDescent="0.25">
      <c r="B14" s="150" t="s">
        <v>55</v>
      </c>
      <c r="C14" s="156">
        <v>1921.7922652185134</v>
      </c>
      <c r="D14" s="156">
        <v>1922.0516657626115</v>
      </c>
      <c r="E14" s="156">
        <v>1922.6599226934734</v>
      </c>
      <c r="F14" s="156">
        <v>1923.0970553418749</v>
      </c>
      <c r="G14" s="156">
        <v>1923.3342181774392</v>
      </c>
      <c r="H14" s="156">
        <v>1922.8620572710986</v>
      </c>
      <c r="I14" s="156">
        <v>1922.8056073510079</v>
      </c>
      <c r="J14" s="156">
        <v>1922.732980730003</v>
      </c>
      <c r="K14" s="156">
        <v>1923.4963756979309</v>
      </c>
      <c r="L14" s="156">
        <v>1923.0239355930166</v>
      </c>
    </row>
    <row r="15" spans="2:19" x14ac:dyDescent="0.25">
      <c r="B15" s="150" t="s">
        <v>56</v>
      </c>
      <c r="C15" s="156">
        <v>561.93306252570073</v>
      </c>
      <c r="D15" s="156">
        <v>565.79153031651549</v>
      </c>
      <c r="E15" s="156">
        <v>568.82129518656347</v>
      </c>
      <c r="F15" s="156">
        <v>570.76491044602415</v>
      </c>
      <c r="G15" s="156">
        <v>570.55737829207692</v>
      </c>
      <c r="H15" s="156">
        <v>572.83867595075287</v>
      </c>
      <c r="I15" s="156">
        <v>563.35018801691274</v>
      </c>
      <c r="J15" s="156">
        <v>542.60096864516618</v>
      </c>
      <c r="K15" s="156">
        <v>537.76079479298619</v>
      </c>
      <c r="L15" s="156">
        <v>459.94930639074153</v>
      </c>
    </row>
    <row r="16" spans="2:19" x14ac:dyDescent="0.25">
      <c r="B16" s="150" t="s">
        <v>57</v>
      </c>
      <c r="C16" s="173">
        <v>-43.501367712304869</v>
      </c>
      <c r="D16" s="173">
        <v>-45.320857791683224</v>
      </c>
      <c r="E16" s="157">
        <v>-43.195993149947491</v>
      </c>
      <c r="F16" s="157">
        <v>-42.769264879225226</v>
      </c>
      <c r="G16" s="157">
        <v>-42.235675500102914</v>
      </c>
      <c r="H16" s="157">
        <v>-40.544766637564841</v>
      </c>
      <c r="I16" s="157">
        <v>-38.28636728415502</v>
      </c>
      <c r="J16" s="157">
        <v>-39.001703406846929</v>
      </c>
      <c r="K16" s="157">
        <v>-37.08310102373224</v>
      </c>
      <c r="L16" s="157">
        <v>-35.337580137503991</v>
      </c>
    </row>
    <row r="17" spans="2:12" x14ac:dyDescent="0.25">
      <c r="B17" s="150" t="s">
        <v>69</v>
      </c>
      <c r="C17" s="156">
        <f t="shared" ref="C17:G17" si="2">SUM(C12:C16)</f>
        <v>3091.241625123761</v>
      </c>
      <c r="D17" s="156">
        <f t="shared" si="2"/>
        <v>2739.7484652471599</v>
      </c>
      <c r="E17" s="156">
        <f t="shared" si="2"/>
        <v>2708.9747604523627</v>
      </c>
      <c r="F17" s="156">
        <f t="shared" si="2"/>
        <v>2709.0489201355131</v>
      </c>
      <c r="G17" s="156">
        <f t="shared" si="2"/>
        <v>2695.9926987526719</v>
      </c>
      <c r="H17" s="156">
        <f t="shared" ref="H17:L17" si="3">SUM(H12:H16)</f>
        <v>2699.3743136535918</v>
      </c>
      <c r="I17" s="156">
        <f t="shared" si="3"/>
        <v>2691.3848262946235</v>
      </c>
      <c r="J17" s="156">
        <f t="shared" si="3"/>
        <v>2665.1589884714172</v>
      </c>
      <c r="K17" s="156">
        <f t="shared" si="3"/>
        <v>2663.1341603196602</v>
      </c>
      <c r="L17" s="156">
        <f t="shared" si="3"/>
        <v>2586.4726631963813</v>
      </c>
    </row>
    <row r="18" spans="2:12" x14ac:dyDescent="0.25">
      <c r="C18" s="156"/>
      <c r="D18" s="156"/>
      <c r="E18" s="156"/>
      <c r="F18" s="156"/>
      <c r="G18" s="156"/>
      <c r="H18" s="156"/>
      <c r="I18" s="156"/>
      <c r="J18" s="156"/>
      <c r="K18" s="156"/>
      <c r="L18" s="156"/>
    </row>
    <row r="19" spans="2:12" x14ac:dyDescent="0.25">
      <c r="B19" s="158" t="s">
        <v>58</v>
      </c>
      <c r="C19" s="156">
        <f t="shared" ref="C19:G19" si="4">C17-C10</f>
        <v>507.31852973211289</v>
      </c>
      <c r="D19" s="156">
        <f t="shared" si="4"/>
        <v>216.35209425032872</v>
      </c>
      <c r="E19" s="156">
        <f t="shared" si="4"/>
        <v>165.59693169297452</v>
      </c>
      <c r="F19" s="156">
        <f t="shared" si="4"/>
        <v>200.35847836242647</v>
      </c>
      <c r="G19" s="156">
        <f t="shared" si="4"/>
        <v>183.09729575628762</v>
      </c>
      <c r="H19" s="156">
        <f t="shared" ref="H19:L19" si="5">H17-H10</f>
        <v>165.9186024741125</v>
      </c>
      <c r="I19" s="156">
        <f t="shared" si="5"/>
        <v>152.05391648500745</v>
      </c>
      <c r="J19" s="156">
        <f t="shared" si="5"/>
        <v>120.51580240609337</v>
      </c>
      <c r="K19" s="156">
        <f t="shared" si="5"/>
        <v>116.08371633966999</v>
      </c>
      <c r="L19" s="156">
        <f t="shared" si="5"/>
        <v>37.988804756627815</v>
      </c>
    </row>
    <row r="20" spans="2:12" x14ac:dyDescent="0.25">
      <c r="B20" s="158" t="s">
        <v>68</v>
      </c>
      <c r="C20" s="159">
        <f>C19/C10</f>
        <v>0.19633654369857245</v>
      </c>
      <c r="D20" s="159">
        <f t="shared" ref="D20:G20" si="6">IF(D10&lt;&gt;0,D19/D10,0)</f>
        <v>8.5738450263706273E-2</v>
      </c>
      <c r="E20" s="159">
        <f t="shared" si="6"/>
        <v>6.5109056869363996E-2</v>
      </c>
      <c r="F20" s="159">
        <f t="shared" si="6"/>
        <v>7.9865763836855674E-2</v>
      </c>
      <c r="G20" s="159">
        <f t="shared" si="6"/>
        <v>7.2863078796658959E-2</v>
      </c>
      <c r="H20" s="159">
        <f t="shared" ref="H20:L20" si="7">IF(H10&lt;&gt;0,H19/H10,0)</f>
        <v>6.5491021509457209E-2</v>
      </c>
      <c r="I20" s="159">
        <f t="shared" si="7"/>
        <v>5.9879520190776372E-2</v>
      </c>
      <c r="J20" s="159">
        <f t="shared" si="7"/>
        <v>4.7360589911405994E-2</v>
      </c>
      <c r="K20" s="159">
        <f t="shared" si="7"/>
        <v>4.5575742959483356E-2</v>
      </c>
      <c r="L20" s="159">
        <f t="shared" si="7"/>
        <v>1.4906433341071081E-2</v>
      </c>
    </row>
    <row r="22" spans="2:12" x14ac:dyDescent="0.25">
      <c r="B22" s="155" t="s">
        <v>88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</row>
    <row r="23" spans="2:12" x14ac:dyDescent="0.25">
      <c r="B23" s="150" t="s">
        <v>54</v>
      </c>
      <c r="C23" s="156">
        <v>3328.6627015499998</v>
      </c>
      <c r="D23" s="156">
        <v>3355.85923495</v>
      </c>
      <c r="E23" s="156">
        <v>3389.2967116</v>
      </c>
      <c r="F23" s="156">
        <v>3402.5014349500002</v>
      </c>
      <c r="G23" s="156">
        <v>3415.9889349500004</v>
      </c>
      <c r="H23" s="156">
        <v>3451.2202349500003</v>
      </c>
      <c r="I23" s="156">
        <v>3468.00090155</v>
      </c>
      <c r="J23" s="156">
        <v>3476.04023495</v>
      </c>
      <c r="K23" s="156">
        <v>3483.34823495</v>
      </c>
      <c r="L23" s="156">
        <v>3491.5170349500004</v>
      </c>
    </row>
    <row r="24" spans="2:12" x14ac:dyDescent="0.25">
      <c r="B24" s="150" t="s">
        <v>66</v>
      </c>
      <c r="C24" s="156">
        <v>793.7</v>
      </c>
      <c r="D24" s="156">
        <v>793.7</v>
      </c>
      <c r="E24" s="156">
        <v>793.7</v>
      </c>
      <c r="F24" s="156">
        <v>693.7</v>
      </c>
      <c r="G24" s="156">
        <v>693.7</v>
      </c>
      <c r="H24" s="156">
        <v>693.7</v>
      </c>
      <c r="I24" s="156">
        <v>693.7</v>
      </c>
      <c r="J24" s="156">
        <v>693.7</v>
      </c>
      <c r="K24" s="156">
        <v>693.7</v>
      </c>
      <c r="L24" s="156">
        <v>693.7</v>
      </c>
    </row>
    <row r="25" spans="2:12" x14ac:dyDescent="0.25">
      <c r="B25" s="150" t="str">
        <f>B9</f>
        <v>Short Term Firm Sales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</row>
    <row r="26" spans="2:12" x14ac:dyDescent="0.25">
      <c r="B26" s="150" t="s">
        <v>38</v>
      </c>
      <c r="C26" s="156">
        <f t="shared" ref="C26:G26" si="8">SUM(C23:C25)</f>
        <v>4122.3627015499997</v>
      </c>
      <c r="D26" s="156">
        <f t="shared" si="8"/>
        <v>4149.5592349500002</v>
      </c>
      <c r="E26" s="156">
        <f t="shared" si="8"/>
        <v>4182.9967115999998</v>
      </c>
      <c r="F26" s="156">
        <f t="shared" si="8"/>
        <v>4096.2014349500005</v>
      </c>
      <c r="G26" s="156">
        <f t="shared" si="8"/>
        <v>4109.6889349500007</v>
      </c>
      <c r="H26" s="156">
        <f t="shared" ref="H26:L26" si="9">SUM(H23:H25)</f>
        <v>4144.9202349500001</v>
      </c>
      <c r="I26" s="156">
        <f t="shared" si="9"/>
        <v>4161.7009015499998</v>
      </c>
      <c r="J26" s="156">
        <f t="shared" si="9"/>
        <v>4169.7402349499998</v>
      </c>
      <c r="K26" s="156">
        <f t="shared" si="9"/>
        <v>4177.0482349499998</v>
      </c>
      <c r="L26" s="156">
        <f t="shared" si="9"/>
        <v>4185.2170349500002</v>
      </c>
    </row>
    <row r="27" spans="2:12" x14ac:dyDescent="0.25">
      <c r="C27" s="156"/>
      <c r="D27" s="156"/>
      <c r="E27" s="156"/>
      <c r="F27" s="156"/>
      <c r="G27" s="156"/>
      <c r="H27" s="156"/>
      <c r="I27" s="156"/>
      <c r="J27" s="156"/>
      <c r="K27" s="156"/>
      <c r="L27" s="156"/>
    </row>
    <row r="28" spans="2:12" x14ac:dyDescent="0.25">
      <c r="B28" s="150" t="s">
        <v>67</v>
      </c>
      <c r="C28" s="156">
        <v>536.65609135</v>
      </c>
      <c r="D28" s="156">
        <v>470.12312345000004</v>
      </c>
      <c r="E28" s="156">
        <v>335.71452345</v>
      </c>
      <c r="F28" s="156">
        <v>335.71452345</v>
      </c>
      <c r="G28" s="156">
        <v>301.71452345</v>
      </c>
      <c r="H28" s="156">
        <v>301.71452345</v>
      </c>
      <c r="I28" s="156">
        <v>301.71452345</v>
      </c>
      <c r="J28" s="156">
        <v>252.95600645000002</v>
      </c>
      <c r="K28" s="156">
        <v>252.95600645000002</v>
      </c>
      <c r="L28" s="156">
        <v>252.95600645000002</v>
      </c>
    </row>
    <row r="29" spans="2:12" x14ac:dyDescent="0.25">
      <c r="B29" s="150" t="str">
        <f>B13</f>
        <v>Short Term Firm Purchase</v>
      </c>
      <c r="C29" s="156">
        <v>0</v>
      </c>
      <c r="D29" s="156">
        <v>100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</row>
    <row r="30" spans="2:12" x14ac:dyDescent="0.25">
      <c r="B30" s="150" t="s">
        <v>55</v>
      </c>
      <c r="C30" s="156">
        <v>1915.492411341228</v>
      </c>
      <c r="D30" s="156">
        <v>1916.8520783131166</v>
      </c>
      <c r="E30" s="156">
        <v>1916.8520783131166</v>
      </c>
      <c r="F30" s="156">
        <v>1916.8520783131162</v>
      </c>
      <c r="G30" s="156">
        <v>1916.8520783131162</v>
      </c>
      <c r="H30" s="156">
        <v>1916.8520783131166</v>
      </c>
      <c r="I30" s="156">
        <v>1916.8520783131162</v>
      </c>
      <c r="J30" s="156">
        <v>1916.8520783131162</v>
      </c>
      <c r="K30" s="156">
        <v>1916.8520783131162</v>
      </c>
      <c r="L30" s="156">
        <v>1916.8520783131166</v>
      </c>
    </row>
    <row r="31" spans="2:12" x14ac:dyDescent="0.25">
      <c r="B31" s="150" t="s">
        <v>56</v>
      </c>
      <c r="C31" s="156">
        <v>1042.752154815</v>
      </c>
      <c r="D31" s="156">
        <v>1042.752154815</v>
      </c>
      <c r="E31" s="156">
        <v>1042.752154815</v>
      </c>
      <c r="F31" s="156">
        <v>1042.752154815</v>
      </c>
      <c r="G31" s="156">
        <v>1042.752154815</v>
      </c>
      <c r="H31" s="156">
        <v>1042.752154815</v>
      </c>
      <c r="I31" s="156">
        <v>1042.752154815</v>
      </c>
      <c r="J31" s="156">
        <v>1042.752154815</v>
      </c>
      <c r="K31" s="156">
        <v>1042.752154815</v>
      </c>
      <c r="L31" s="156">
        <v>873.75215481499993</v>
      </c>
    </row>
    <row r="32" spans="2:12" x14ac:dyDescent="0.25">
      <c r="B32" s="150" t="s">
        <v>57</v>
      </c>
      <c r="C32" s="157">
        <v>-182.42313999999999</v>
      </c>
      <c r="D32" s="157">
        <v>-181.81864000000002</v>
      </c>
      <c r="E32" s="157">
        <v>-183.21019999999999</v>
      </c>
      <c r="F32" s="157">
        <v>-183.28855900000002</v>
      </c>
      <c r="G32" s="157">
        <v>-182.32888600000001</v>
      </c>
      <c r="H32" s="157">
        <v>-181.83074999999999</v>
      </c>
      <c r="I32" s="157">
        <v>-182.16577899999999</v>
      </c>
      <c r="J32" s="157">
        <v>-179.237775</v>
      </c>
      <c r="K32" s="157">
        <v>-179.50188</v>
      </c>
      <c r="L32" s="157">
        <v>-176.18344999999999</v>
      </c>
    </row>
    <row r="33" spans="2:12" x14ac:dyDescent="0.25">
      <c r="B33" s="150" t="s">
        <v>69</v>
      </c>
      <c r="C33" s="156">
        <f t="shared" ref="C33:G33" si="10">SUM(C28:C32)</f>
        <v>3312.4775175062277</v>
      </c>
      <c r="D33" s="156">
        <f t="shared" si="10"/>
        <v>3347.908716578117</v>
      </c>
      <c r="E33" s="156">
        <f t="shared" si="10"/>
        <v>3112.1085565781163</v>
      </c>
      <c r="F33" s="156">
        <f t="shared" si="10"/>
        <v>3112.0301975781163</v>
      </c>
      <c r="G33" s="156">
        <f t="shared" si="10"/>
        <v>3078.9898705781161</v>
      </c>
      <c r="H33" s="156">
        <f t="shared" ref="H33:L33" si="11">SUM(H28:H32)</f>
        <v>3079.4880065781163</v>
      </c>
      <c r="I33" s="156">
        <f t="shared" si="11"/>
        <v>3079.1529775781164</v>
      </c>
      <c r="J33" s="156">
        <f t="shared" si="11"/>
        <v>3033.3224645781161</v>
      </c>
      <c r="K33" s="156">
        <f t="shared" si="11"/>
        <v>3033.0583595781163</v>
      </c>
      <c r="L33" s="156">
        <f t="shared" si="11"/>
        <v>2867.3767895781166</v>
      </c>
    </row>
    <row r="34" spans="2:12" x14ac:dyDescent="0.25">
      <c r="C34" s="156"/>
      <c r="D34" s="156"/>
      <c r="E34" s="156"/>
      <c r="F34" s="156"/>
      <c r="G34" s="156"/>
      <c r="H34" s="156"/>
      <c r="I34" s="156"/>
      <c r="J34" s="156"/>
      <c r="K34" s="156"/>
      <c r="L34" s="156"/>
    </row>
    <row r="35" spans="2:12" x14ac:dyDescent="0.25">
      <c r="B35" s="158" t="s">
        <v>58</v>
      </c>
      <c r="C35" s="156">
        <f t="shared" ref="C35:G35" si="12">C33-C26</f>
        <v>-809.88518404377191</v>
      </c>
      <c r="D35" s="156">
        <f t="shared" si="12"/>
        <v>-801.65051837188321</v>
      </c>
      <c r="E35" s="156">
        <f t="shared" si="12"/>
        <v>-1070.8881550218834</v>
      </c>
      <c r="F35" s="156">
        <f t="shared" si="12"/>
        <v>-984.17123737188422</v>
      </c>
      <c r="G35" s="156">
        <f t="shared" si="12"/>
        <v>-1030.6990643718846</v>
      </c>
      <c r="H35" s="156">
        <f t="shared" ref="H35:L35" si="13">H33-H26</f>
        <v>-1065.4322283718839</v>
      </c>
      <c r="I35" s="156">
        <f t="shared" si="13"/>
        <v>-1082.5479239718834</v>
      </c>
      <c r="J35" s="156">
        <f t="shared" si="13"/>
        <v>-1136.4177703718838</v>
      </c>
      <c r="K35" s="156">
        <f t="shared" si="13"/>
        <v>-1143.9898753718835</v>
      </c>
      <c r="L35" s="156">
        <f t="shared" si="13"/>
        <v>-1317.8402453718836</v>
      </c>
    </row>
    <row r="36" spans="2:12" x14ac:dyDescent="0.25">
      <c r="B36" s="158" t="s">
        <v>68</v>
      </c>
      <c r="C36" s="159">
        <f t="shared" ref="C36:G36" si="14">IF(C26&lt;&gt;0,C35/C26,0)</f>
        <v>-0.19646140882733507</v>
      </c>
      <c r="D36" s="159">
        <f t="shared" si="14"/>
        <v>-0.19318931794488353</v>
      </c>
      <c r="E36" s="159">
        <f t="shared" si="14"/>
        <v>-0.25600980083301761</v>
      </c>
      <c r="F36" s="159">
        <f t="shared" si="14"/>
        <v>-0.24026436516882313</v>
      </c>
      <c r="G36" s="159">
        <f t="shared" si="14"/>
        <v>-0.25079734273962129</v>
      </c>
      <c r="H36" s="159">
        <f t="shared" ref="H36:L36" si="15">IF(H26&lt;&gt;0,H35/H26,0)</f>
        <v>-0.25704529109828239</v>
      </c>
      <c r="I36" s="159">
        <f t="shared" si="15"/>
        <v>-0.26012151031053077</v>
      </c>
      <c r="J36" s="159">
        <f t="shared" si="15"/>
        <v>-0.27253922458925328</v>
      </c>
      <c r="K36" s="159">
        <f t="shared" si="15"/>
        <v>-0.2738751891347449</v>
      </c>
      <c r="L36" s="159">
        <f t="shared" si="15"/>
        <v>-0.31487978624927571</v>
      </c>
    </row>
    <row r="38" spans="2:12" x14ac:dyDescent="0.25">
      <c r="B38" s="155" t="s">
        <v>83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</row>
    <row r="39" spans="2:12" x14ac:dyDescent="0.25">
      <c r="B39" s="150" t="s">
        <v>54</v>
      </c>
      <c r="C39" s="156">
        <v>3580.2537416999999</v>
      </c>
      <c r="D39" s="156">
        <v>3619.4360750400001</v>
      </c>
      <c r="E39" s="156">
        <v>3647.90407504</v>
      </c>
      <c r="F39" s="156">
        <v>3671.9257750400002</v>
      </c>
      <c r="G39" s="156">
        <v>3678.8432750400002</v>
      </c>
      <c r="H39" s="156">
        <v>3702.1915417</v>
      </c>
      <c r="I39" s="156">
        <v>3728.7702002400001</v>
      </c>
      <c r="J39" s="156">
        <v>3736.6870750400003</v>
      </c>
      <c r="K39" s="156">
        <v>3747.1550750400002</v>
      </c>
      <c r="L39" s="156">
        <v>3754.25907504</v>
      </c>
    </row>
    <row r="40" spans="2:12" x14ac:dyDescent="0.25">
      <c r="B40" s="150" t="s">
        <v>66</v>
      </c>
      <c r="C40" s="156">
        <v>285.3</v>
      </c>
      <c r="D40" s="156">
        <v>185.3</v>
      </c>
      <c r="E40" s="156">
        <v>185.3</v>
      </c>
      <c r="F40" s="156">
        <v>85.3</v>
      </c>
      <c r="G40" s="156">
        <v>85.3</v>
      </c>
      <c r="H40" s="156">
        <v>85.3</v>
      </c>
      <c r="I40" s="156">
        <v>85.3</v>
      </c>
      <c r="J40" s="156">
        <v>85.3</v>
      </c>
      <c r="K40" s="156">
        <v>85.3</v>
      </c>
      <c r="L40" s="156">
        <v>85.3</v>
      </c>
    </row>
    <row r="41" spans="2:12" x14ac:dyDescent="0.25">
      <c r="B41" s="150" t="str">
        <f>B25</f>
        <v>Short Term Firm Sales</v>
      </c>
      <c r="C41" s="157">
        <v>0</v>
      </c>
      <c r="D41" s="157">
        <v>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</row>
    <row r="42" spans="2:12" x14ac:dyDescent="0.25">
      <c r="B42" s="150" t="s">
        <v>38</v>
      </c>
      <c r="C42" s="156">
        <f t="shared" ref="C42:G42" si="16">SUM(C39:C41)</f>
        <v>3865.5537417</v>
      </c>
      <c r="D42" s="156">
        <f t="shared" si="16"/>
        <v>3804.7360750400003</v>
      </c>
      <c r="E42" s="156">
        <f t="shared" si="16"/>
        <v>3833.2040750400001</v>
      </c>
      <c r="F42" s="156">
        <f t="shared" si="16"/>
        <v>3757.2257750400004</v>
      </c>
      <c r="G42" s="156">
        <f t="shared" si="16"/>
        <v>3764.1432750400004</v>
      </c>
      <c r="H42" s="156">
        <f t="shared" ref="H42:L42" si="17">SUM(H39:H41)</f>
        <v>3787.4915417000002</v>
      </c>
      <c r="I42" s="156">
        <f t="shared" si="17"/>
        <v>3814.0702002400003</v>
      </c>
      <c r="J42" s="156">
        <f t="shared" si="17"/>
        <v>3821.9870750400005</v>
      </c>
      <c r="K42" s="156">
        <f t="shared" si="17"/>
        <v>3832.4550750400003</v>
      </c>
      <c r="L42" s="156">
        <f t="shared" si="17"/>
        <v>3839.5590750400002</v>
      </c>
    </row>
    <row r="43" spans="2:12" x14ac:dyDescent="0.25">
      <c r="C43" s="156"/>
      <c r="D43" s="156"/>
      <c r="E43" s="156"/>
      <c r="F43" s="156"/>
      <c r="G43" s="156"/>
      <c r="H43" s="156"/>
      <c r="I43" s="156"/>
      <c r="J43" s="156"/>
      <c r="K43" s="156"/>
      <c r="L43" s="156"/>
    </row>
    <row r="44" spans="2:12" x14ac:dyDescent="0.25">
      <c r="B44" s="150" t="s">
        <v>67</v>
      </c>
      <c r="C44" s="156">
        <v>386.76047402100005</v>
      </c>
      <c r="D44" s="156">
        <v>358.32755732100003</v>
      </c>
      <c r="E44" s="156">
        <v>358.32755732100003</v>
      </c>
      <c r="F44" s="156">
        <v>358.32755732100003</v>
      </c>
      <c r="G44" s="156">
        <v>324.32755732100003</v>
      </c>
      <c r="H44" s="156">
        <v>324.32755732100003</v>
      </c>
      <c r="I44" s="156">
        <v>324.32755732100003</v>
      </c>
      <c r="J44" s="156">
        <v>279.76904032100003</v>
      </c>
      <c r="K44" s="156">
        <v>279.76904032100003</v>
      </c>
      <c r="L44" s="156">
        <v>279.76904032100003</v>
      </c>
    </row>
    <row r="45" spans="2:12" x14ac:dyDescent="0.25">
      <c r="B45" s="150" t="str">
        <f>B29</f>
        <v>Short Term Firm Purchase</v>
      </c>
      <c r="C45" s="156">
        <v>525</v>
      </c>
      <c r="D45" s="156">
        <v>0</v>
      </c>
      <c r="E45" s="156">
        <v>0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</row>
    <row r="46" spans="2:12" x14ac:dyDescent="0.25">
      <c r="B46" s="150" t="s">
        <v>55</v>
      </c>
      <c r="C46" s="156">
        <v>2075.4900247736832</v>
      </c>
      <c r="D46" s="156">
        <v>2075.4900247736832</v>
      </c>
      <c r="E46" s="156">
        <v>2077.0309806751566</v>
      </c>
      <c r="F46" s="156">
        <v>2077.0309806751566</v>
      </c>
      <c r="G46" s="156">
        <v>2077.0309806751566</v>
      </c>
      <c r="H46" s="156">
        <v>2077.0309806751566</v>
      </c>
      <c r="I46" s="156">
        <v>2077.0309806751566</v>
      </c>
      <c r="J46" s="156">
        <v>2077.0309806751566</v>
      </c>
      <c r="K46" s="156">
        <v>2077.0309806751566</v>
      </c>
      <c r="L46" s="156">
        <v>2077.0309806751566</v>
      </c>
    </row>
    <row r="47" spans="2:12" x14ac:dyDescent="0.25">
      <c r="B47" s="150" t="s">
        <v>56</v>
      </c>
      <c r="C47" s="156">
        <v>1124.6600933899999</v>
      </c>
      <c r="D47" s="156">
        <v>1124.6600933899999</v>
      </c>
      <c r="E47" s="156">
        <v>1124.6600933899999</v>
      </c>
      <c r="F47" s="156">
        <v>1124.6600933899999</v>
      </c>
      <c r="G47" s="156">
        <v>1124.6600933899999</v>
      </c>
      <c r="H47" s="156">
        <v>1124.6600933899999</v>
      </c>
      <c r="I47" s="156">
        <v>1124.6600933899999</v>
      </c>
      <c r="J47" s="156">
        <v>1124.6600933899999</v>
      </c>
      <c r="K47" s="156">
        <v>1124.6600933899999</v>
      </c>
      <c r="L47" s="156">
        <v>946.66009338999993</v>
      </c>
    </row>
    <row r="48" spans="2:12" x14ac:dyDescent="0.25">
      <c r="B48" s="150" t="s">
        <v>57</v>
      </c>
      <c r="C48" s="157">
        <v>-202.97279399999999</v>
      </c>
      <c r="D48" s="157">
        <v>-199.25594000000001</v>
      </c>
      <c r="E48" s="157">
        <v>-200.47298000000001</v>
      </c>
      <c r="F48" s="157">
        <v>-198.64252999999999</v>
      </c>
      <c r="G48" s="157">
        <v>-201.33719500000001</v>
      </c>
      <c r="H48" s="157">
        <v>-202.69639999999998</v>
      </c>
      <c r="I48" s="157">
        <v>-203.20356600000002</v>
      </c>
      <c r="J48" s="157">
        <v>-200.27104</v>
      </c>
      <c r="K48" s="157">
        <v>-199.78537</v>
      </c>
      <c r="L48" s="157">
        <v>-192.86901</v>
      </c>
    </row>
    <row r="49" spans="2:12" x14ac:dyDescent="0.25">
      <c r="B49" s="150" t="s">
        <v>69</v>
      </c>
      <c r="C49" s="156">
        <f t="shared" ref="C49:G49" si="18">SUM(C44:C48)</f>
        <v>3908.9377981846833</v>
      </c>
      <c r="D49" s="156">
        <f t="shared" si="18"/>
        <v>3359.221735484683</v>
      </c>
      <c r="E49" s="156">
        <f t="shared" si="18"/>
        <v>3359.5456513861564</v>
      </c>
      <c r="F49" s="156">
        <f t="shared" si="18"/>
        <v>3361.3761013861563</v>
      </c>
      <c r="G49" s="156">
        <f t="shared" si="18"/>
        <v>3324.6814363861563</v>
      </c>
      <c r="H49" s="156">
        <f t="shared" ref="H49:L49" si="19">SUM(H44:H48)</f>
        <v>3323.3222313861565</v>
      </c>
      <c r="I49" s="156">
        <f t="shared" si="19"/>
        <v>3322.8150653861562</v>
      </c>
      <c r="J49" s="156">
        <f t="shared" si="19"/>
        <v>3281.1890743861563</v>
      </c>
      <c r="K49" s="156">
        <f t="shared" si="19"/>
        <v>3281.6747443861564</v>
      </c>
      <c r="L49" s="156">
        <f t="shared" si="19"/>
        <v>3110.5911043861565</v>
      </c>
    </row>
    <row r="50" spans="2:12" x14ac:dyDescent="0.25">
      <c r="C50" s="161"/>
      <c r="D50" s="161"/>
      <c r="E50" s="161"/>
      <c r="F50" s="161"/>
      <c r="G50" s="161"/>
      <c r="H50" s="161"/>
      <c r="I50" s="161"/>
      <c r="J50" s="161"/>
      <c r="K50" s="161"/>
      <c r="L50" s="161"/>
    </row>
    <row r="51" spans="2:12" x14ac:dyDescent="0.25">
      <c r="B51" s="158" t="s">
        <v>58</v>
      </c>
      <c r="C51" s="156">
        <f t="shared" ref="C51:G51" si="20">C49-C42</f>
        <v>43.384056484683242</v>
      </c>
      <c r="D51" s="156">
        <f t="shared" si="20"/>
        <v>-445.51433955531729</v>
      </c>
      <c r="E51" s="156">
        <f t="shared" si="20"/>
        <v>-473.65842365384378</v>
      </c>
      <c r="F51" s="156">
        <f t="shared" si="20"/>
        <v>-395.84967365384409</v>
      </c>
      <c r="G51" s="156">
        <f t="shared" si="20"/>
        <v>-439.4618386538441</v>
      </c>
      <c r="H51" s="156">
        <f t="shared" ref="H51:L51" si="21">H49-H42</f>
        <v>-464.16931031384365</v>
      </c>
      <c r="I51" s="156">
        <f t="shared" si="21"/>
        <v>-491.25513485384408</v>
      </c>
      <c r="J51" s="156">
        <f t="shared" si="21"/>
        <v>-540.79800065384416</v>
      </c>
      <c r="K51" s="156">
        <f t="shared" si="21"/>
        <v>-550.78033065384398</v>
      </c>
      <c r="L51" s="156">
        <f t="shared" si="21"/>
        <v>-728.96797065384362</v>
      </c>
    </row>
    <row r="52" spans="2:12" x14ac:dyDescent="0.25">
      <c r="B52" s="158" t="s">
        <v>68</v>
      </c>
      <c r="C52" s="159">
        <f t="shared" ref="C52:G52" si="22">IF(C42&lt;&gt;0,C51/C42,0)</f>
        <v>1.1223244943324402E-2</v>
      </c>
      <c r="D52" s="159">
        <f t="shared" si="22"/>
        <v>-0.11709467641605954</v>
      </c>
      <c r="E52" s="159">
        <f t="shared" si="22"/>
        <v>-0.12356723367223831</v>
      </c>
      <c r="F52" s="159">
        <f t="shared" si="22"/>
        <v>-0.10535690356527211</v>
      </c>
      <c r="G52" s="159">
        <f t="shared" si="22"/>
        <v>-0.11674949823719823</v>
      </c>
      <c r="H52" s="159">
        <f t="shared" ref="H52:L52" si="23">IF(H42&lt;&gt;0,H51/H42,0)</f>
        <v>-0.12255322690582252</v>
      </c>
      <c r="I52" s="159">
        <f t="shared" si="23"/>
        <v>-0.12880075852377648</v>
      </c>
      <c r="J52" s="159">
        <f t="shared" si="23"/>
        <v>-0.14149655402698719</v>
      </c>
      <c r="K52" s="159">
        <f t="shared" si="23"/>
        <v>-0.14371475199825931</v>
      </c>
      <c r="L52" s="159">
        <f t="shared" si="23"/>
        <v>-0.18985720922818444</v>
      </c>
    </row>
    <row r="55" spans="2:12" x14ac:dyDescent="0.25">
      <c r="B55" s="160"/>
    </row>
    <row r="56" spans="2:12" hidden="1" x14ac:dyDescent="0.25">
      <c r="B56" s="150" t="s">
        <v>89</v>
      </c>
      <c r="C56" s="150">
        <v>0</v>
      </c>
      <c r="D56" s="150">
        <f t="shared" ref="D56:G56" si="24">C56+13</f>
        <v>13</v>
      </c>
      <c r="E56" s="150">
        <f t="shared" si="24"/>
        <v>26</v>
      </c>
      <c r="F56" s="150">
        <f t="shared" si="24"/>
        <v>39</v>
      </c>
      <c r="G56" s="150">
        <f t="shared" si="24"/>
        <v>52</v>
      </c>
      <c r="H56" s="150">
        <f t="shared" ref="H56" si="25">G56+13</f>
        <v>65</v>
      </c>
      <c r="I56" s="150">
        <f t="shared" ref="I56" si="26">H56+13</f>
        <v>78</v>
      </c>
      <c r="J56" s="150">
        <f t="shared" ref="J56" si="27">I56+13</f>
        <v>91</v>
      </c>
      <c r="K56" s="150">
        <f t="shared" ref="K56" si="28">J56+13</f>
        <v>104</v>
      </c>
      <c r="L56" s="150">
        <f t="shared" ref="L56" si="29">K56+13</f>
        <v>117</v>
      </c>
    </row>
  </sheetData>
  <phoneticPr fontId="15" type="noConversion"/>
  <printOptions horizontalCentered="1"/>
  <pageMargins left="0.33" right="0.3" top="0.4" bottom="0.4" header="0.5" footer="0.2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B1:N35"/>
  <sheetViews>
    <sheetView zoomScaleNormal="100" workbookViewId="0">
      <pane xSplit="2" ySplit="3" topLeftCell="C4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33203125" defaultRowHeight="13.2" x14ac:dyDescent="0.25"/>
  <cols>
    <col min="1" max="1" width="1.6640625" style="8" customWidth="1"/>
    <col min="2" max="2" width="6.33203125" style="8" customWidth="1"/>
    <col min="3" max="11" width="7.44140625" style="8" customWidth="1"/>
    <col min="12" max="12" width="7.44140625" style="13" customWidth="1"/>
    <col min="13" max="14" width="7.44140625" style="8" customWidth="1"/>
    <col min="15" max="15" width="1.6640625" style="8" customWidth="1"/>
    <col min="16" max="16" width="10.77734375" style="8" customWidth="1"/>
    <col min="17" max="22" width="15.33203125" style="8" customWidth="1"/>
    <col min="23" max="16384" width="9.33203125" style="8"/>
  </cols>
  <sheetData>
    <row r="1" spans="2:14" s="24" customFormat="1" ht="15.6" x14ac:dyDescent="0.3">
      <c r="B1" s="1" t="s">
        <v>25</v>
      </c>
      <c r="C1" s="1"/>
      <c r="D1" s="1"/>
      <c r="E1" s="1"/>
      <c r="F1" s="26"/>
      <c r="G1" s="1"/>
      <c r="H1" s="1"/>
      <c r="I1" s="1"/>
      <c r="J1" s="1"/>
      <c r="K1" s="40"/>
      <c r="L1" s="41"/>
      <c r="M1" s="26"/>
      <c r="N1" s="26"/>
    </row>
    <row r="2" spans="2:14" s="27" customFormat="1" ht="13.8" x14ac:dyDescent="0.25">
      <c r="B2" s="9" t="s">
        <v>78</v>
      </c>
      <c r="C2" s="9"/>
      <c r="D2" s="9"/>
      <c r="E2" s="9"/>
      <c r="F2" s="9"/>
      <c r="G2" s="9"/>
      <c r="H2" s="9"/>
      <c r="I2" s="9"/>
      <c r="J2" s="9"/>
      <c r="K2" s="9"/>
      <c r="L2" s="42"/>
      <c r="M2" s="40"/>
      <c r="N2" s="40"/>
    </row>
    <row r="3" spans="2:14" s="27" customFormat="1" ht="13.8" x14ac:dyDescent="0.25">
      <c r="B3" s="9" t="s">
        <v>71</v>
      </c>
      <c r="C3" s="9"/>
      <c r="D3" s="9"/>
      <c r="E3" s="9"/>
      <c r="F3" s="9"/>
      <c r="G3" s="9"/>
      <c r="H3" s="9"/>
      <c r="I3" s="9"/>
      <c r="J3" s="9"/>
      <c r="K3" s="9"/>
      <c r="L3" s="42"/>
      <c r="M3" s="40"/>
      <c r="N3" s="40"/>
    </row>
    <row r="4" spans="2:14" s="3" customFormat="1" x14ac:dyDescent="0.25">
      <c r="C4" s="54"/>
      <c r="D4" s="54"/>
      <c r="E4" s="54"/>
      <c r="F4" s="22"/>
      <c r="G4" s="22"/>
      <c r="H4" s="22"/>
      <c r="I4" s="22"/>
      <c r="J4" s="22"/>
      <c r="K4" s="22"/>
      <c r="L4" s="43"/>
    </row>
    <row r="5" spans="2:14" s="3" customFormat="1" x14ac:dyDescent="0.25">
      <c r="B5" s="63" t="s">
        <v>3</v>
      </c>
      <c r="C5" s="56" t="s">
        <v>51</v>
      </c>
      <c r="D5" s="73"/>
      <c r="E5" s="73"/>
      <c r="F5" s="56"/>
      <c r="G5" s="56"/>
      <c r="H5" s="48" t="s">
        <v>52</v>
      </c>
      <c r="I5" s="55"/>
      <c r="J5" s="55"/>
      <c r="K5" s="47"/>
      <c r="L5" s="58" t="s">
        <v>51</v>
      </c>
      <c r="M5" s="77"/>
      <c r="N5" s="59"/>
    </row>
    <row r="6" spans="2:14" s="3" customFormat="1" x14ac:dyDescent="0.25">
      <c r="B6" s="70"/>
      <c r="C6" s="74" t="s">
        <v>39</v>
      </c>
      <c r="D6" s="75" t="s">
        <v>40</v>
      </c>
      <c r="E6" s="75" t="s">
        <v>41</v>
      </c>
      <c r="F6" s="75" t="s">
        <v>42</v>
      </c>
      <c r="G6" s="76" t="s">
        <v>43</v>
      </c>
      <c r="H6" s="7" t="s">
        <v>44</v>
      </c>
      <c r="I6" s="7" t="s">
        <v>45</v>
      </c>
      <c r="J6" s="7" t="s">
        <v>46</v>
      </c>
      <c r="K6" s="7" t="s">
        <v>47</v>
      </c>
      <c r="L6" s="74" t="s">
        <v>48</v>
      </c>
      <c r="M6" s="75" t="s">
        <v>49</v>
      </c>
      <c r="N6" s="76" t="s">
        <v>50</v>
      </c>
    </row>
    <row r="7" spans="2:14" s="3" customFormat="1" x14ac:dyDescent="0.25"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2:14" s="3" customFormat="1" x14ac:dyDescent="0.25">
      <c r="B8" s="32" t="s">
        <v>73</v>
      </c>
      <c r="C8" s="15"/>
      <c r="D8" s="1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2:14" ht="12.75" customHeight="1" x14ac:dyDescent="0.25">
      <c r="B9" s="170">
        <v>2012</v>
      </c>
      <c r="C9" s="108">
        <v>26.670502128933546</v>
      </c>
      <c r="D9" s="108">
        <v>25.382980647163102</v>
      </c>
      <c r="E9" s="108">
        <v>24.383424885346685</v>
      </c>
      <c r="F9" s="108">
        <v>22.519624952777807</v>
      </c>
      <c r="G9" s="108">
        <v>17.722444379032257</v>
      </c>
      <c r="H9" s="107">
        <v>13.085027616666837</v>
      </c>
      <c r="I9" s="108">
        <v>25.788908333717096</v>
      </c>
      <c r="J9" s="108">
        <v>31.308107555989295</v>
      </c>
      <c r="K9" s="109">
        <v>30.256770333305415</v>
      </c>
      <c r="L9" s="107">
        <v>29.78591302075133</v>
      </c>
      <c r="M9" s="108">
        <v>31.730934831141184</v>
      </c>
      <c r="N9" s="109">
        <v>33.889071016330071</v>
      </c>
    </row>
    <row r="10" spans="2:14" ht="12.75" customHeight="1" x14ac:dyDescent="0.25">
      <c r="B10" s="114">
        <f t="shared" ref="B10:B18" si="0">B9+1</f>
        <v>2013</v>
      </c>
      <c r="C10" s="78">
        <v>33.81119488132056</v>
      </c>
      <c r="D10" s="78">
        <v>32.193952945532452</v>
      </c>
      <c r="E10" s="78">
        <v>28.769005758064569</v>
      </c>
      <c r="F10" s="78">
        <v>26.907718078574167</v>
      </c>
      <c r="G10" s="78">
        <v>20.241188239247329</v>
      </c>
      <c r="H10" s="79">
        <v>17.929066522222428</v>
      </c>
      <c r="I10" s="78">
        <v>30.580842476278463</v>
      </c>
      <c r="J10" s="78">
        <v>38.051046160680229</v>
      </c>
      <c r="K10" s="110">
        <v>37.985512432389172</v>
      </c>
      <c r="L10" s="79">
        <v>35.942333943842037</v>
      </c>
      <c r="M10" s="78">
        <v>38.263548627765644</v>
      </c>
      <c r="N10" s="110">
        <v>40.530939495092639</v>
      </c>
    </row>
    <row r="11" spans="2:14" ht="12.75" customHeight="1" x14ac:dyDescent="0.25">
      <c r="B11" s="114">
        <f t="shared" si="0"/>
        <v>2014</v>
      </c>
      <c r="C11" s="78">
        <v>37.529537756240735</v>
      </c>
      <c r="D11" s="78">
        <v>35.912245956620509</v>
      </c>
      <c r="E11" s="78">
        <v>32.571864380149108</v>
      </c>
      <c r="F11" s="78">
        <v>27.430948161111111</v>
      </c>
      <c r="G11" s="78">
        <v>21.034882327957099</v>
      </c>
      <c r="H11" s="79">
        <v>18.725803383333194</v>
      </c>
      <c r="I11" s="78">
        <v>34.223136962700472</v>
      </c>
      <c r="J11" s="78">
        <v>41.416045480621278</v>
      </c>
      <c r="K11" s="110">
        <v>41.835473602664344</v>
      </c>
      <c r="L11" s="79">
        <v>40.117311212003074</v>
      </c>
      <c r="M11" s="78">
        <v>42.315869307311047</v>
      </c>
      <c r="N11" s="110">
        <v>44.736270856037734</v>
      </c>
    </row>
    <row r="12" spans="2:14" ht="12.75" customHeight="1" x14ac:dyDescent="0.25">
      <c r="B12" s="114">
        <f t="shared" si="0"/>
        <v>2015</v>
      </c>
      <c r="C12" s="78">
        <v>40.112714265320768</v>
      </c>
      <c r="D12" s="78">
        <v>38.492835735052466</v>
      </c>
      <c r="E12" s="78">
        <v>34.989209096226638</v>
      </c>
      <c r="F12" s="78">
        <v>30.01144038888874</v>
      </c>
      <c r="G12" s="78">
        <v>23.27602625268802</v>
      </c>
      <c r="H12" s="79">
        <v>21.596772358333279</v>
      </c>
      <c r="I12" s="78">
        <v>36.80525392402825</v>
      </c>
      <c r="J12" s="78">
        <v>44.003155563045091</v>
      </c>
      <c r="K12" s="110">
        <v>44.411293763173745</v>
      </c>
      <c r="L12" s="79">
        <v>42.734331518551436</v>
      </c>
      <c r="M12" s="78">
        <v>44.986351069156491</v>
      </c>
      <c r="N12" s="110">
        <v>47.385916915648885</v>
      </c>
    </row>
    <row r="13" spans="2:14" ht="12.75" customHeight="1" x14ac:dyDescent="0.25">
      <c r="B13" s="114">
        <f t="shared" si="0"/>
        <v>2016</v>
      </c>
      <c r="C13" s="78">
        <v>42.676594010059148</v>
      </c>
      <c r="D13" s="78">
        <v>41.286717414331207</v>
      </c>
      <c r="E13" s="78">
        <v>37.978522534982893</v>
      </c>
      <c r="F13" s="78">
        <v>33.012969835806224</v>
      </c>
      <c r="G13" s="78">
        <v>25.983148760752734</v>
      </c>
      <c r="H13" s="79">
        <v>24.408803158333527</v>
      </c>
      <c r="I13" s="78">
        <v>39.173307991935317</v>
      </c>
      <c r="J13" s="78">
        <v>47.197912284946369</v>
      </c>
      <c r="K13" s="110">
        <v>47.202208913888782</v>
      </c>
      <c r="L13" s="79">
        <v>45.353286188172113</v>
      </c>
      <c r="M13" s="78">
        <v>47.916085230555595</v>
      </c>
      <c r="N13" s="110">
        <v>50.147918873656224</v>
      </c>
    </row>
    <row r="14" spans="2:14" ht="12.75" customHeight="1" x14ac:dyDescent="0.25">
      <c r="B14" s="114">
        <f t="shared" si="0"/>
        <v>2017</v>
      </c>
      <c r="C14" s="78">
        <v>45.316361626344182</v>
      </c>
      <c r="D14" s="78">
        <v>43.984726157737896</v>
      </c>
      <c r="E14" s="78">
        <v>40.729513655914374</v>
      </c>
      <c r="F14" s="78">
        <v>35.420491472221912</v>
      </c>
      <c r="G14" s="78">
        <v>29.137098099462367</v>
      </c>
      <c r="H14" s="79">
        <v>27.181552605555495</v>
      </c>
      <c r="I14" s="78">
        <v>41.882153607526774</v>
      </c>
      <c r="J14" s="78">
        <v>49.97981062096774</v>
      </c>
      <c r="K14" s="110">
        <v>49.945530833333521</v>
      </c>
      <c r="L14" s="79">
        <v>48.105509333333345</v>
      </c>
      <c r="M14" s="78">
        <v>50.609765475000152</v>
      </c>
      <c r="N14" s="110">
        <v>52.561184384408655</v>
      </c>
    </row>
    <row r="15" spans="2:14" ht="12.75" customHeight="1" x14ac:dyDescent="0.25">
      <c r="B15" s="114">
        <f t="shared" si="0"/>
        <v>2018</v>
      </c>
      <c r="C15" s="78">
        <v>48.09569041666645</v>
      </c>
      <c r="D15" s="78">
        <v>45.938912342261922</v>
      </c>
      <c r="E15" s="78">
        <v>42.142017854838279</v>
      </c>
      <c r="F15" s="78">
        <v>41.016919883333145</v>
      </c>
      <c r="G15" s="78">
        <v>37.874415663978468</v>
      </c>
      <c r="H15" s="79">
        <v>38.135307197222488</v>
      </c>
      <c r="I15" s="78">
        <v>50.003337419355312</v>
      </c>
      <c r="J15" s="78">
        <v>54.213863440860585</v>
      </c>
      <c r="K15" s="110">
        <v>52.233932933333435</v>
      </c>
      <c r="L15" s="79">
        <v>49.073899389784586</v>
      </c>
      <c r="M15" s="78">
        <v>50.652535455555345</v>
      </c>
      <c r="N15" s="110">
        <v>53.033842841397814</v>
      </c>
    </row>
    <row r="16" spans="2:14" ht="12.75" customHeight="1" x14ac:dyDescent="0.25">
      <c r="B16" s="114">
        <f t="shared" si="0"/>
        <v>2019</v>
      </c>
      <c r="C16" s="78">
        <v>48.775371666666402</v>
      </c>
      <c r="D16" s="78">
        <v>47.760935348214225</v>
      </c>
      <c r="E16" s="78">
        <v>43.420530553763555</v>
      </c>
      <c r="F16" s="78">
        <v>46.773226855555549</v>
      </c>
      <c r="G16" s="78">
        <v>46.677550556451401</v>
      </c>
      <c r="H16" s="79">
        <v>48.820281005555351</v>
      </c>
      <c r="I16" s="78">
        <v>58.519972365591073</v>
      </c>
      <c r="J16" s="78">
        <v>58.384005577957197</v>
      </c>
      <c r="K16" s="110">
        <v>54.87579170833321</v>
      </c>
      <c r="L16" s="79">
        <v>49.872756169354844</v>
      </c>
      <c r="M16" s="78">
        <v>50.669904938888841</v>
      </c>
      <c r="N16" s="110">
        <v>53.441306045698902</v>
      </c>
    </row>
    <row r="17" spans="2:14" ht="12.75" customHeight="1" x14ac:dyDescent="0.25">
      <c r="B17" s="114">
        <f t="shared" si="0"/>
        <v>2020</v>
      </c>
      <c r="C17" s="78">
        <v>49.578326508064542</v>
      </c>
      <c r="D17" s="78">
        <v>44.655725778735444</v>
      </c>
      <c r="E17" s="78">
        <v>41.370329334408609</v>
      </c>
      <c r="F17" s="78">
        <v>43.551675050000142</v>
      </c>
      <c r="G17" s="78">
        <v>43.609671946236645</v>
      </c>
      <c r="H17" s="79">
        <v>45.65984512499989</v>
      </c>
      <c r="I17" s="78">
        <v>57.180587930107713</v>
      </c>
      <c r="J17" s="78">
        <v>56.489840779570081</v>
      </c>
      <c r="K17" s="110">
        <v>54.575773430555643</v>
      </c>
      <c r="L17" s="79">
        <v>49.218047997311601</v>
      </c>
      <c r="M17" s="78">
        <v>50.97089438611124</v>
      </c>
      <c r="N17" s="110">
        <v>53.934183379032362</v>
      </c>
    </row>
    <row r="18" spans="2:14" ht="12.75" customHeight="1" x14ac:dyDescent="0.25">
      <c r="B18" s="115">
        <f t="shared" si="0"/>
        <v>2021</v>
      </c>
      <c r="C18" s="112">
        <v>56.988702497311458</v>
      </c>
      <c r="D18" s="112">
        <v>55.704649729166803</v>
      </c>
      <c r="E18" s="112">
        <v>53.296481126344169</v>
      </c>
      <c r="F18" s="112">
        <v>52.815521158333453</v>
      </c>
      <c r="G18" s="112">
        <v>54.199316599462783</v>
      </c>
      <c r="H18" s="111">
        <v>54.792698530555391</v>
      </c>
      <c r="I18" s="112">
        <v>65.693991478494894</v>
      </c>
      <c r="J18" s="112">
        <v>66.975074543010805</v>
      </c>
      <c r="K18" s="113">
        <v>63.398443791666999</v>
      </c>
      <c r="L18" s="111">
        <v>61.312328158602199</v>
      </c>
      <c r="M18" s="112">
        <v>63.431312261110996</v>
      </c>
      <c r="N18" s="113">
        <v>65.862504618279431</v>
      </c>
    </row>
    <row r="19" spans="2:14" s="3" customFormat="1" x14ac:dyDescent="0.25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2:14" ht="12.75" customHeight="1" x14ac:dyDescent="0.25">
      <c r="B20" s="32" t="s">
        <v>64</v>
      </c>
      <c r="D20" s="31"/>
      <c r="E20" s="31"/>
      <c r="L20" s="44"/>
    </row>
    <row r="21" spans="2:14" ht="12.75" customHeight="1" x14ac:dyDescent="0.25">
      <c r="C21" s="10" t="s">
        <v>51</v>
      </c>
      <c r="D21" s="12"/>
      <c r="E21" s="12"/>
      <c r="G21" s="10" t="s">
        <v>52</v>
      </c>
      <c r="H21" s="11"/>
      <c r="I21" s="12"/>
      <c r="K21" s="10" t="s">
        <v>98</v>
      </c>
      <c r="L21" s="11"/>
      <c r="M21" s="12"/>
    </row>
    <row r="22" spans="2:14" s="13" customFormat="1" ht="12.75" customHeight="1" x14ac:dyDescent="0.25">
      <c r="B22" s="83">
        <f t="shared" ref="B22:B31" si="1">B9</f>
        <v>2012</v>
      </c>
      <c r="D22" s="45">
        <f t="shared" ref="D22:D31" si="2">AVERAGE(C9:G9,L9:N9)</f>
        <v>26.510611982684495</v>
      </c>
      <c r="G22" s="19"/>
      <c r="H22" s="19">
        <f t="shared" ref="H22:H31" si="3">AVERAGE(H9:K9)</f>
        <v>25.109703459919658</v>
      </c>
      <c r="L22" s="19">
        <f>ROUND((SUM(C9,E9,G9,I9,J9,L9,N9)*31+SUM(F9,H9,K9,M9)*30+D9*28)/365,2)</f>
        <v>26.07</v>
      </c>
      <c r="M22" s="19"/>
    </row>
    <row r="23" spans="2:14" s="13" customFormat="1" ht="12.75" customHeight="1" x14ac:dyDescent="0.25">
      <c r="B23" s="83">
        <f t="shared" si="1"/>
        <v>2013</v>
      </c>
      <c r="D23" s="45">
        <f t="shared" si="2"/>
        <v>32.082485246179921</v>
      </c>
      <c r="G23" s="19"/>
      <c r="H23" s="19">
        <f t="shared" si="3"/>
        <v>31.136616897892573</v>
      </c>
      <c r="L23" s="19">
        <f t="shared" ref="L23:L26" si="4">ROUND((SUM(C10,E10,G10,I10,J10,L10,N10)*31+SUM(F10,H10,K10,M10)*30+D10*28)/365,2)</f>
        <v>31.78</v>
      </c>
      <c r="M23" s="19"/>
    </row>
    <row r="24" spans="2:14" s="13" customFormat="1" ht="12.75" customHeight="1" x14ac:dyDescent="0.25">
      <c r="B24" s="83">
        <f t="shared" si="1"/>
        <v>2014</v>
      </c>
      <c r="D24" s="45">
        <f t="shared" si="2"/>
        <v>35.206116244678803</v>
      </c>
      <c r="G24" s="19"/>
      <c r="H24" s="19">
        <f t="shared" si="3"/>
        <v>34.050114857329824</v>
      </c>
      <c r="L24" s="19">
        <f t="shared" si="4"/>
        <v>34.840000000000003</v>
      </c>
      <c r="M24" s="19"/>
    </row>
    <row r="25" spans="2:14" s="13" customFormat="1" ht="12.75" customHeight="1" x14ac:dyDescent="0.25">
      <c r="B25" s="83">
        <f t="shared" si="1"/>
        <v>2015</v>
      </c>
      <c r="D25" s="45">
        <f t="shared" si="2"/>
        <v>37.748603155191674</v>
      </c>
      <c r="G25" s="19"/>
      <c r="H25" s="19">
        <f t="shared" si="3"/>
        <v>36.70411890214509</v>
      </c>
      <c r="L25" s="19">
        <f t="shared" si="4"/>
        <v>37.42</v>
      </c>
      <c r="M25" s="19"/>
    </row>
    <row r="26" spans="2:14" s="13" customFormat="1" ht="12.75" customHeight="1" x14ac:dyDescent="0.25">
      <c r="B26" s="83">
        <f t="shared" si="1"/>
        <v>2016</v>
      </c>
      <c r="D26" s="45">
        <f t="shared" si="2"/>
        <v>40.544405356039519</v>
      </c>
      <c r="G26" s="19"/>
      <c r="H26" s="19">
        <f t="shared" si="3"/>
        <v>39.495558087275995</v>
      </c>
      <c r="L26" s="19">
        <f t="shared" si="4"/>
        <v>40.21</v>
      </c>
      <c r="M26" s="19"/>
    </row>
    <row r="27" spans="2:14" s="13" customFormat="1" ht="12.75" customHeight="1" x14ac:dyDescent="0.25">
      <c r="B27" s="83">
        <f t="shared" si="1"/>
        <v>2017</v>
      </c>
      <c r="D27" s="45">
        <f t="shared" si="2"/>
        <v>43.233081275552863</v>
      </c>
      <c r="G27" s="19"/>
      <c r="H27" s="19">
        <f t="shared" si="3"/>
        <v>42.247261916845886</v>
      </c>
      <c r="L27" s="19">
        <f>ROUND((SUM(C14,E14,G14,I14,J14,L14,N14)*31+SUM(F14,H14,K14,M14)*30+D14*28)/365,2)</f>
        <v>42.92</v>
      </c>
      <c r="M27" s="19"/>
    </row>
    <row r="28" spans="2:14" s="13" customFormat="1" ht="12.75" customHeight="1" x14ac:dyDescent="0.25">
      <c r="B28" s="83">
        <f t="shared" si="1"/>
        <v>2018</v>
      </c>
      <c r="D28" s="45">
        <f t="shared" si="2"/>
        <v>45.978529230976996</v>
      </c>
      <c r="G28" s="19"/>
      <c r="H28" s="19">
        <f t="shared" si="3"/>
        <v>48.646610247692962</v>
      </c>
      <c r="L28" s="19">
        <f t="shared" ref="L28:L31" si="5">ROUND((SUM(C15,E15,G15,I15,J15,L15,N15)*31+SUM(F15,H15,K15,M15)*30+D15*28)/365,2)</f>
        <v>46.89</v>
      </c>
      <c r="M28" s="19"/>
    </row>
    <row r="29" spans="2:14" s="13" customFormat="1" ht="12.75" customHeight="1" x14ac:dyDescent="0.25">
      <c r="B29" s="83">
        <f t="shared" si="1"/>
        <v>2019</v>
      </c>
      <c r="D29" s="45">
        <f t="shared" si="2"/>
        <v>48.42394776682422</v>
      </c>
      <c r="G29" s="19"/>
      <c r="H29" s="19">
        <f t="shared" si="3"/>
        <v>55.15001266435921</v>
      </c>
      <c r="L29" s="19">
        <f t="shared" si="5"/>
        <v>50.69</v>
      </c>
      <c r="M29" s="19"/>
    </row>
    <row r="30" spans="2:14" s="13" customFormat="1" ht="12.75" customHeight="1" x14ac:dyDescent="0.25">
      <c r="B30" s="83">
        <f t="shared" si="1"/>
        <v>2020</v>
      </c>
      <c r="D30" s="45">
        <f t="shared" si="2"/>
        <v>47.111106797487579</v>
      </c>
      <c r="G30" s="19"/>
      <c r="H30" s="19">
        <f t="shared" si="3"/>
        <v>53.476511816308332</v>
      </c>
      <c r="L30" s="19">
        <f t="shared" si="5"/>
        <v>49.28</v>
      </c>
      <c r="M30" s="19"/>
    </row>
    <row r="31" spans="2:14" s="13" customFormat="1" ht="12.75" customHeight="1" x14ac:dyDescent="0.25">
      <c r="B31" s="83">
        <f t="shared" si="1"/>
        <v>2021</v>
      </c>
      <c r="D31" s="45">
        <f t="shared" si="2"/>
        <v>57.951352018576415</v>
      </c>
      <c r="G31" s="19"/>
      <c r="H31" s="19">
        <f t="shared" si="3"/>
        <v>62.715052085932022</v>
      </c>
      <c r="L31" s="19">
        <f t="shared" si="5"/>
        <v>59.58</v>
      </c>
      <c r="M31" s="19"/>
    </row>
    <row r="32" spans="2:14" s="13" customFormat="1" ht="12.75" customHeight="1" x14ac:dyDescent="0.25">
      <c r="B32" s="46"/>
      <c r="L32" s="44"/>
    </row>
    <row r="33" spans="2:12" s="13" customFormat="1" ht="6" customHeight="1" x14ac:dyDescent="0.25">
      <c r="B33" s="46"/>
      <c r="E33" s="45"/>
      <c r="F33" s="19"/>
      <c r="G33" s="19"/>
      <c r="H33" s="19"/>
      <c r="K33" s="19"/>
      <c r="L33" s="19"/>
    </row>
    <row r="34" spans="2:12" ht="12.75" customHeight="1" x14ac:dyDescent="0.25">
      <c r="B34" s="8" t="s">
        <v>99</v>
      </c>
      <c r="D34" s="91"/>
    </row>
    <row r="35" spans="2:12" ht="12.75" customHeight="1" x14ac:dyDescent="0.25">
      <c r="B35" s="8" t="s">
        <v>100</v>
      </c>
    </row>
  </sheetData>
  <phoneticPr fontId="6" type="noConversion"/>
  <printOptions horizontalCentered="1"/>
  <pageMargins left="0.33" right="0.3" top="0.4" bottom="0.4" header="0.5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N33"/>
  <sheetViews>
    <sheetView tabSelected="1" zoomScaleNormal="100" workbookViewId="0">
      <pane xSplit="2" ySplit="7" topLeftCell="C8" activePane="bottomRight" state="frozen"/>
      <selection activeCell="C21" sqref="C21"/>
      <selection pane="topRight" activeCell="C21" sqref="C21"/>
      <selection pane="bottomLeft" activeCell="C21" sqref="C21"/>
      <selection pane="bottomRight" activeCell="D13" sqref="D13"/>
    </sheetView>
  </sheetViews>
  <sheetFormatPr defaultColWidth="9.33203125" defaultRowHeight="13.2" x14ac:dyDescent="0.25"/>
  <cols>
    <col min="1" max="1" width="1.44140625" style="8" customWidth="1"/>
    <col min="2" max="2" width="12" style="8" customWidth="1"/>
    <col min="3" max="3" width="14.44140625" style="8" customWidth="1"/>
    <col min="4" max="4" width="13.77734375" style="8" customWidth="1"/>
    <col min="5" max="7" width="14.77734375" style="8" customWidth="1"/>
    <col min="8" max="8" width="1.6640625" style="13" customWidth="1"/>
    <col min="9" max="9" width="9.77734375" style="8" customWidth="1"/>
    <col min="10" max="10" width="15.33203125" style="8" customWidth="1"/>
    <col min="11" max="11" width="18" style="8" customWidth="1"/>
    <col min="12" max="12" width="14.33203125" style="8" customWidth="1"/>
    <col min="13" max="13" width="15.109375" style="8" customWidth="1"/>
    <col min="14" max="14" width="13.109375" style="8" customWidth="1"/>
    <col min="15" max="15" width="1.44140625" style="8" customWidth="1"/>
    <col min="16" max="16384" width="9.33203125" style="8"/>
  </cols>
  <sheetData>
    <row r="1" spans="2:14" s="24" customFormat="1" ht="15.6" x14ac:dyDescent="0.3">
      <c r="B1" s="1" t="s">
        <v>26</v>
      </c>
      <c r="C1" s="26"/>
      <c r="D1" s="1"/>
      <c r="E1" s="1"/>
      <c r="F1" s="1"/>
      <c r="G1" s="1"/>
      <c r="H1" s="28"/>
      <c r="I1" s="1" t="s">
        <v>27</v>
      </c>
      <c r="J1" s="26"/>
      <c r="K1" s="1"/>
      <c r="L1" s="1"/>
      <c r="M1" s="1"/>
      <c r="N1" s="1"/>
    </row>
    <row r="2" spans="2:14" s="27" customFormat="1" ht="13.8" x14ac:dyDescent="0.25">
      <c r="B2" s="9" t="s">
        <v>82</v>
      </c>
      <c r="C2" s="9"/>
      <c r="D2" s="9"/>
      <c r="E2" s="9"/>
      <c r="F2" s="9"/>
      <c r="G2" s="9"/>
      <c r="H2" s="28"/>
      <c r="I2" s="9" t="s">
        <v>23</v>
      </c>
      <c r="J2" s="9"/>
      <c r="K2" s="9"/>
      <c r="L2" s="9"/>
      <c r="M2" s="9"/>
      <c r="N2" s="9"/>
    </row>
    <row r="3" spans="2:14" s="3" customFormat="1" x14ac:dyDescent="0.25">
      <c r="H3" s="49"/>
    </row>
    <row r="4" spans="2:14" s="3" customFormat="1" x14ac:dyDescent="0.25">
      <c r="B4" s="51"/>
      <c r="C4" s="6" t="s">
        <v>17</v>
      </c>
      <c r="D4" s="59" t="s">
        <v>8</v>
      </c>
      <c r="E4" s="56" t="s">
        <v>9</v>
      </c>
      <c r="F4" s="56"/>
      <c r="G4" s="56"/>
      <c r="H4" s="49"/>
      <c r="I4" s="51"/>
      <c r="J4" s="63" t="s">
        <v>17</v>
      </c>
      <c r="K4" s="6" t="s">
        <v>19</v>
      </c>
      <c r="L4" s="59" t="s">
        <v>8</v>
      </c>
      <c r="M4" s="6" t="s">
        <v>1</v>
      </c>
      <c r="N4" s="6" t="s">
        <v>2</v>
      </c>
    </row>
    <row r="5" spans="2:14" s="3" customFormat="1" x14ac:dyDescent="0.25">
      <c r="B5" s="23" t="s">
        <v>3</v>
      </c>
      <c r="C5" s="23" t="s">
        <v>18</v>
      </c>
      <c r="D5" s="64" t="s">
        <v>7</v>
      </c>
      <c r="E5" s="60" t="s">
        <v>10</v>
      </c>
      <c r="F5" s="50"/>
      <c r="G5" s="61"/>
      <c r="H5" s="49"/>
      <c r="I5" s="23" t="s">
        <v>3</v>
      </c>
      <c r="J5" s="57" t="s">
        <v>18</v>
      </c>
      <c r="K5" s="23" t="s">
        <v>20</v>
      </c>
      <c r="L5" s="64" t="s">
        <v>7</v>
      </c>
      <c r="M5" s="23" t="str">
        <f>TEXT((0.57*8760),"0,000")&amp;" Hours"</f>
        <v>4,993 Hours</v>
      </c>
      <c r="N5" s="23" t="str">
        <f>TEXT((0.43*8760),"0,000")&amp;" Hours"</f>
        <v>3,767 Hours</v>
      </c>
    </row>
    <row r="6" spans="2:14" s="3" customFormat="1" x14ac:dyDescent="0.25">
      <c r="B6" s="52"/>
      <c r="C6" s="23" t="s">
        <v>5</v>
      </c>
      <c r="D6" s="64" t="s">
        <v>6</v>
      </c>
      <c r="E6" s="65">
        <v>0.75</v>
      </c>
      <c r="F6" s="65">
        <v>0.85</v>
      </c>
      <c r="G6" s="65">
        <v>0.9</v>
      </c>
      <c r="H6" s="54"/>
      <c r="I6" s="52"/>
      <c r="J6" s="57" t="s">
        <v>5</v>
      </c>
      <c r="K6" s="23" t="s">
        <v>0</v>
      </c>
      <c r="L6" s="64" t="s">
        <v>6</v>
      </c>
      <c r="M6" s="23"/>
      <c r="N6" s="23"/>
    </row>
    <row r="7" spans="2:14" s="3" customFormat="1" x14ac:dyDescent="0.25">
      <c r="B7" s="53"/>
      <c r="C7" s="66" t="s">
        <v>4</v>
      </c>
      <c r="D7" s="69" t="s">
        <v>79</v>
      </c>
      <c r="E7" s="67" t="s">
        <v>79</v>
      </c>
      <c r="F7" s="67" t="s">
        <v>79</v>
      </c>
      <c r="G7" s="67" t="s">
        <v>79</v>
      </c>
      <c r="H7" s="54"/>
      <c r="I7" s="53"/>
      <c r="J7" s="68" t="s">
        <v>4</v>
      </c>
      <c r="K7" s="67" t="s">
        <v>79</v>
      </c>
      <c r="L7" s="69" t="s">
        <v>79</v>
      </c>
      <c r="M7" s="67" t="s">
        <v>79</v>
      </c>
      <c r="N7" s="67" t="s">
        <v>79</v>
      </c>
    </row>
    <row r="8" spans="2:14" s="3" customFormat="1" x14ac:dyDescent="0.25">
      <c r="C8" s="54" t="s">
        <v>12</v>
      </c>
      <c r="D8" s="62" t="s">
        <v>13</v>
      </c>
      <c r="E8" s="54" t="s">
        <v>14</v>
      </c>
      <c r="F8" s="54" t="s">
        <v>15</v>
      </c>
      <c r="G8" s="54" t="s">
        <v>16</v>
      </c>
      <c r="H8" s="5"/>
      <c r="J8" s="25" t="s">
        <v>12</v>
      </c>
      <c r="K8" s="105" t="s">
        <v>13</v>
      </c>
      <c r="L8" s="25" t="s">
        <v>14</v>
      </c>
      <c r="M8" s="25" t="s">
        <v>15</v>
      </c>
      <c r="N8" s="25" t="s">
        <v>16</v>
      </c>
    </row>
    <row r="9" spans="2:14" s="3" customFormat="1" x14ac:dyDescent="0.25">
      <c r="C9" s="29"/>
      <c r="D9" s="54"/>
      <c r="E9" s="30" t="str">
        <f>" "&amp;$D$8&amp;"+("&amp;$C$8&amp;"/8.76 x "&amp;$E$6&amp;")"</f>
        <v xml:space="preserve"> (b)+((a)/8.76 x 0.75)</v>
      </c>
      <c r="F9" s="30" t="str">
        <f>" "&amp;$D$8&amp;"+("&amp;$C$8&amp;"/8.76 x "&amp;$F$6&amp;")"</f>
        <v xml:space="preserve"> (b)+((a)/8.76 x 0.85)</v>
      </c>
      <c r="G9" s="30" t="str">
        <f>" "&amp;$D$8&amp;"+("&amp;$C$8&amp;"/8.76 x "&amp;$G$6&amp;")"</f>
        <v xml:space="preserve"> (b)+((a)/8.76 x 0.9)</v>
      </c>
      <c r="H9" s="5"/>
      <c r="J9" s="29"/>
      <c r="K9" s="22" t="str">
        <f>$J$8&amp;" /(8.76 x 57%)"</f>
        <v>(a) /(8.76 x 57%)</v>
      </c>
      <c r="L9" s="8"/>
      <c r="M9" s="22" t="str">
        <f>K8&amp;" + "&amp;L8</f>
        <v>(b) + (c)</v>
      </c>
      <c r="N9" s="106" t="str">
        <f>L8</f>
        <v>(c)</v>
      </c>
    </row>
    <row r="10" spans="2:14" s="3" customFormat="1" x14ac:dyDescent="0.25">
      <c r="H10" s="5"/>
    </row>
    <row r="11" spans="2:14" s="13" customFormat="1" x14ac:dyDescent="0.25">
      <c r="B11" s="32" t="s">
        <v>60</v>
      </c>
      <c r="C11" s="19"/>
      <c r="D11" s="20"/>
      <c r="E11" s="20"/>
      <c r="F11" s="20"/>
      <c r="G11" s="20"/>
      <c r="H11" s="19"/>
      <c r="I11" s="32" t="s">
        <v>60</v>
      </c>
      <c r="J11" s="19"/>
      <c r="L11" s="20"/>
      <c r="M11" s="20"/>
      <c r="N11" s="20"/>
    </row>
    <row r="12" spans="2:14" s="13" customFormat="1" x14ac:dyDescent="0.25">
      <c r="B12" s="80">
        <f>'Table 2'!B9</f>
        <v>2012</v>
      </c>
      <c r="C12" s="17" t="s">
        <v>95</v>
      </c>
      <c r="D12" s="33">
        <f>'Table 2'!L22</f>
        <v>26.07</v>
      </c>
      <c r="E12" s="18">
        <f>D12</f>
        <v>26.07</v>
      </c>
      <c r="F12" s="18">
        <f>E12</f>
        <v>26.07</v>
      </c>
      <c r="G12" s="34">
        <f>E12</f>
        <v>26.07</v>
      </c>
      <c r="H12" s="19"/>
      <c r="I12" s="80">
        <f>$B12</f>
        <v>2012</v>
      </c>
      <c r="J12" s="17" t="str">
        <f>C12</f>
        <v>(1)</v>
      </c>
      <c r="K12" s="18"/>
      <c r="L12" s="33">
        <f>D12</f>
        <v>26.07</v>
      </c>
      <c r="M12" s="18">
        <f>K12+L12</f>
        <v>26.07</v>
      </c>
      <c r="N12" s="34">
        <f>L12</f>
        <v>26.07</v>
      </c>
    </row>
    <row r="13" spans="2:14" s="13" customFormat="1" x14ac:dyDescent="0.25">
      <c r="B13" s="81">
        <f>B12+1</f>
        <v>2013</v>
      </c>
      <c r="C13" s="19">
        <f>'Table 6'!H12*3/12</f>
        <v>28.195000000000004</v>
      </c>
      <c r="D13" s="20">
        <f>'Table 2'!L23</f>
        <v>31.78</v>
      </c>
      <c r="E13" s="20">
        <f t="shared" ref="E13:G21" si="0">$D13+$C13/(8.76*E$6)</f>
        <v>36.071476407914766</v>
      </c>
      <c r="F13" s="20">
        <f t="shared" si="0"/>
        <v>35.566596830513028</v>
      </c>
      <c r="G13" s="21">
        <f t="shared" si="0"/>
        <v>35.35623033992897</v>
      </c>
      <c r="H13" s="19"/>
      <c r="I13" s="81">
        <f>$B13</f>
        <v>2013</v>
      </c>
      <c r="J13" s="19">
        <f>C13</f>
        <v>28.195000000000004</v>
      </c>
      <c r="K13" s="20">
        <f>J13/(8.76*0.57)</f>
        <v>5.6466794840983745</v>
      </c>
      <c r="L13" s="20">
        <f>D13</f>
        <v>31.78</v>
      </c>
      <c r="M13" s="20">
        <f>K13+L13</f>
        <v>37.426679484098372</v>
      </c>
      <c r="N13" s="21">
        <f>L13</f>
        <v>31.78</v>
      </c>
    </row>
    <row r="14" spans="2:14" s="13" customFormat="1" x14ac:dyDescent="0.25">
      <c r="B14" s="81">
        <f>B13+1</f>
        <v>2014</v>
      </c>
      <c r="C14" s="19">
        <f>'Table 6'!H13*3/12</f>
        <v>28.73</v>
      </c>
      <c r="D14" s="20">
        <f>'Table 2'!L24</f>
        <v>34.840000000000003</v>
      </c>
      <c r="E14" s="20">
        <f t="shared" si="0"/>
        <v>39.212907153729077</v>
      </c>
      <c r="F14" s="20">
        <f t="shared" si="0"/>
        <v>38.698447488584478</v>
      </c>
      <c r="G14" s="21">
        <f t="shared" si="0"/>
        <v>38.484089294774229</v>
      </c>
      <c r="H14" s="19"/>
      <c r="I14" s="81">
        <f>$B14</f>
        <v>2014</v>
      </c>
      <c r="J14" s="19">
        <f>C14</f>
        <v>28.73</v>
      </c>
      <c r="K14" s="20">
        <f t="shared" ref="K14:K16" si="1">J14/(8.76*0.57)</f>
        <v>5.7538252022750944</v>
      </c>
      <c r="L14" s="20">
        <f>D14</f>
        <v>34.840000000000003</v>
      </c>
      <c r="M14" s="20">
        <f>K14+L14</f>
        <v>40.593825202275099</v>
      </c>
      <c r="N14" s="21">
        <f>L14</f>
        <v>34.840000000000003</v>
      </c>
    </row>
    <row r="15" spans="2:14" s="13" customFormat="1" x14ac:dyDescent="0.25">
      <c r="B15" s="81">
        <f>B14+1</f>
        <v>2015</v>
      </c>
      <c r="C15" s="19">
        <f>'Table 6'!H14*3/12</f>
        <v>29.307500000000001</v>
      </c>
      <c r="D15" s="20">
        <f>'Table 2'!L25</f>
        <v>37.42</v>
      </c>
      <c r="E15" s="20">
        <f t="shared" si="0"/>
        <v>41.880806697108071</v>
      </c>
      <c r="F15" s="20">
        <f t="shared" si="0"/>
        <v>41.356005909213003</v>
      </c>
      <c r="G15" s="21">
        <f t="shared" si="0"/>
        <v>41.137338914256723</v>
      </c>
      <c r="H15" s="19"/>
      <c r="I15" s="81">
        <f>$B15</f>
        <v>2015</v>
      </c>
      <c r="J15" s="19">
        <f>C15</f>
        <v>29.307500000000001</v>
      </c>
      <c r="K15" s="20">
        <f t="shared" si="1"/>
        <v>5.8694824961948253</v>
      </c>
      <c r="L15" s="20">
        <f>D15</f>
        <v>37.42</v>
      </c>
      <c r="M15" s="20">
        <f>K15+L15</f>
        <v>43.289482496194829</v>
      </c>
      <c r="N15" s="21">
        <f>L15</f>
        <v>37.42</v>
      </c>
    </row>
    <row r="16" spans="2:14" s="13" customFormat="1" x14ac:dyDescent="0.25">
      <c r="B16" s="81">
        <f>B15+1</f>
        <v>2016</v>
      </c>
      <c r="C16" s="19">
        <f>'Table 6'!H15*3/12</f>
        <v>29.862500000000001</v>
      </c>
      <c r="D16" s="20">
        <f>'Table 2'!L26</f>
        <v>40.21</v>
      </c>
      <c r="E16" s="20">
        <f t="shared" si="0"/>
        <v>44.755281582952819</v>
      </c>
      <c r="F16" s="20">
        <f t="shared" si="0"/>
        <v>44.220542573193661</v>
      </c>
      <c r="G16" s="21">
        <f t="shared" si="0"/>
        <v>43.997734652460679</v>
      </c>
      <c r="H16" s="19"/>
      <c r="I16" s="81">
        <f>$B16</f>
        <v>2016</v>
      </c>
      <c r="J16" s="19">
        <f>C16</f>
        <v>29.862500000000001</v>
      </c>
      <c r="K16" s="20">
        <f t="shared" si="1"/>
        <v>5.9806336617800211</v>
      </c>
      <c r="L16" s="20">
        <f>D16</f>
        <v>40.21</v>
      </c>
      <c r="M16" s="20">
        <f>K16+L16</f>
        <v>46.190633661780019</v>
      </c>
      <c r="N16" s="21">
        <f>L16</f>
        <v>40.21</v>
      </c>
    </row>
    <row r="17" spans="2:14" s="13" customFormat="1" x14ac:dyDescent="0.25">
      <c r="B17" s="81">
        <f t="shared" ref="B17:B21" si="2">B16+1</f>
        <v>2017</v>
      </c>
      <c r="C17" s="19">
        <f>'Table 6'!H16*3/12</f>
        <v>30.432500000000001</v>
      </c>
      <c r="D17" s="20">
        <f>'Table 2'!L27</f>
        <v>42.92</v>
      </c>
      <c r="E17" s="20">
        <f t="shared" si="0"/>
        <v>47.552039573820394</v>
      </c>
      <c r="F17" s="20">
        <f t="shared" si="0"/>
        <v>47.007093741606234</v>
      </c>
      <c r="G17" s="21">
        <f t="shared" si="0"/>
        <v>46.780032978183662</v>
      </c>
      <c r="H17" s="19"/>
      <c r="I17" s="81">
        <f t="shared" ref="I17:I21" si="3">$B17</f>
        <v>2017</v>
      </c>
      <c r="J17" s="19">
        <f t="shared" ref="J17:J21" si="4">C17</f>
        <v>30.432500000000001</v>
      </c>
      <c r="K17" s="20">
        <f t="shared" ref="K17:K21" si="5">J17/(8.76*0.57)</f>
        <v>6.0947889129215733</v>
      </c>
      <c r="L17" s="20">
        <f t="shared" ref="L17:L21" si="6">D17</f>
        <v>42.92</v>
      </c>
      <c r="M17" s="20">
        <f t="shared" ref="M17:M21" si="7">K17+L17</f>
        <v>49.014788912921574</v>
      </c>
      <c r="N17" s="21">
        <f t="shared" ref="N17:N21" si="8">L17</f>
        <v>42.92</v>
      </c>
    </row>
    <row r="18" spans="2:14" s="13" customFormat="1" x14ac:dyDescent="0.25">
      <c r="B18" s="81">
        <f t="shared" si="2"/>
        <v>2018</v>
      </c>
      <c r="C18" s="19">
        <f>'Table 6'!H17*3/12</f>
        <v>31.01</v>
      </c>
      <c r="D18" s="20">
        <f>'Table 2'!L28</f>
        <v>46.89</v>
      </c>
      <c r="E18" s="20">
        <f t="shared" si="0"/>
        <v>51.609939117199389</v>
      </c>
      <c r="F18" s="20">
        <f t="shared" si="0"/>
        <v>51.05465216223476</v>
      </c>
      <c r="G18" s="21">
        <f t="shared" si="0"/>
        <v>50.823282597666157</v>
      </c>
      <c r="H18" s="19"/>
      <c r="I18" s="81">
        <f t="shared" si="3"/>
        <v>2018</v>
      </c>
      <c r="J18" s="19">
        <f t="shared" si="4"/>
        <v>31.01</v>
      </c>
      <c r="K18" s="20">
        <f t="shared" si="5"/>
        <v>6.2104462068413042</v>
      </c>
      <c r="L18" s="20">
        <f t="shared" si="6"/>
        <v>46.89</v>
      </c>
      <c r="M18" s="20">
        <f t="shared" si="7"/>
        <v>53.100446206841305</v>
      </c>
      <c r="N18" s="21">
        <f t="shared" si="8"/>
        <v>46.89</v>
      </c>
    </row>
    <row r="19" spans="2:14" s="13" customFormat="1" x14ac:dyDescent="0.25">
      <c r="B19" s="81">
        <f t="shared" si="2"/>
        <v>2019</v>
      </c>
      <c r="C19" s="19">
        <f>'Table 6'!H18*3/12</f>
        <v>31.570000000000004</v>
      </c>
      <c r="D19" s="20">
        <f>'Table 2'!L29</f>
        <v>50.69</v>
      </c>
      <c r="E19" s="20">
        <f t="shared" si="0"/>
        <v>55.495175038051748</v>
      </c>
      <c r="F19" s="20">
        <f t="shared" si="0"/>
        <v>54.929860327692722</v>
      </c>
      <c r="G19" s="21">
        <f t="shared" si="0"/>
        <v>54.694312531709791</v>
      </c>
      <c r="H19" s="19"/>
      <c r="I19" s="81">
        <f t="shared" si="3"/>
        <v>2019</v>
      </c>
      <c r="J19" s="19">
        <f t="shared" si="4"/>
        <v>31.570000000000004</v>
      </c>
      <c r="K19" s="20">
        <f t="shared" si="5"/>
        <v>6.3225987342786203</v>
      </c>
      <c r="L19" s="20">
        <f t="shared" si="6"/>
        <v>50.69</v>
      </c>
      <c r="M19" s="20">
        <f t="shared" si="7"/>
        <v>57.012598734278619</v>
      </c>
      <c r="N19" s="21">
        <f t="shared" si="8"/>
        <v>50.69</v>
      </c>
    </row>
    <row r="20" spans="2:14" s="13" customFormat="1" x14ac:dyDescent="0.25">
      <c r="B20" s="81">
        <f t="shared" si="2"/>
        <v>2020</v>
      </c>
      <c r="C20" s="19">
        <f>'Table 6'!H19*3/12</f>
        <v>32.104999999999997</v>
      </c>
      <c r="D20" s="20">
        <f>'Table 2'!L30</f>
        <v>49.28</v>
      </c>
      <c r="E20" s="20">
        <f t="shared" si="0"/>
        <v>54.166605783866061</v>
      </c>
      <c r="F20" s="20">
        <f t="shared" si="0"/>
        <v>53.591710985764166</v>
      </c>
      <c r="G20" s="21">
        <f t="shared" si="0"/>
        <v>53.352171486555051</v>
      </c>
      <c r="H20" s="19"/>
      <c r="I20" s="81">
        <f t="shared" si="3"/>
        <v>2020</v>
      </c>
      <c r="J20" s="19">
        <f t="shared" si="4"/>
        <v>32.104999999999997</v>
      </c>
      <c r="K20" s="20">
        <f t="shared" si="5"/>
        <v>6.4297444524553384</v>
      </c>
      <c r="L20" s="20">
        <f t="shared" si="6"/>
        <v>49.28</v>
      </c>
      <c r="M20" s="20">
        <f t="shared" si="7"/>
        <v>55.70974445245534</v>
      </c>
      <c r="N20" s="21">
        <f t="shared" si="8"/>
        <v>49.28</v>
      </c>
    </row>
    <row r="21" spans="2:14" s="13" customFormat="1" x14ac:dyDescent="0.25">
      <c r="B21" s="82">
        <f t="shared" si="2"/>
        <v>2021</v>
      </c>
      <c r="C21" s="35">
        <f>'Table 6'!H20*3/12</f>
        <v>32.682499999999997</v>
      </c>
      <c r="D21" s="36">
        <f>'Table 2'!L31</f>
        <v>59.58</v>
      </c>
      <c r="E21" s="36">
        <f t="shared" si="0"/>
        <v>64.554505327245053</v>
      </c>
      <c r="F21" s="36">
        <f t="shared" si="0"/>
        <v>63.969269406392691</v>
      </c>
      <c r="G21" s="37">
        <f t="shared" si="0"/>
        <v>63.725421106037544</v>
      </c>
      <c r="H21" s="19"/>
      <c r="I21" s="82">
        <f t="shared" si="3"/>
        <v>2021</v>
      </c>
      <c r="J21" s="35">
        <f t="shared" si="4"/>
        <v>32.682499999999997</v>
      </c>
      <c r="K21" s="36">
        <f t="shared" si="5"/>
        <v>6.5454017463750693</v>
      </c>
      <c r="L21" s="36">
        <f t="shared" si="6"/>
        <v>59.58</v>
      </c>
      <c r="M21" s="36">
        <f t="shared" si="7"/>
        <v>66.125401746375061</v>
      </c>
      <c r="N21" s="37">
        <f t="shared" si="8"/>
        <v>59.58</v>
      </c>
    </row>
    <row r="22" spans="2:14" x14ac:dyDescent="0.25">
      <c r="B22" s="14"/>
      <c r="C22" s="19"/>
      <c r="D22" s="20"/>
      <c r="E22" s="20"/>
      <c r="F22" s="20"/>
      <c r="G22" s="20"/>
      <c r="H22" s="19"/>
      <c r="I22" s="14"/>
      <c r="J22" s="19"/>
      <c r="K22" s="20"/>
      <c r="L22" s="20"/>
      <c r="M22" s="20"/>
      <c r="N22" s="20"/>
    </row>
    <row r="23" spans="2:14" hidden="1" x14ac:dyDescent="0.25">
      <c r="F23" s="172"/>
    </row>
    <row r="24" spans="2:14" x14ac:dyDescent="0.25">
      <c r="B24" s="8" t="s">
        <v>11</v>
      </c>
      <c r="I24" s="8" t="s">
        <v>11</v>
      </c>
    </row>
    <row r="25" spans="2:14" x14ac:dyDescent="0.25">
      <c r="B25" s="16" t="str">
        <f>C8</f>
        <v>(a)</v>
      </c>
      <c r="C25" s="8" t="str">
        <f>"  "&amp;'Table 6'!B1&amp;"  Column "&amp;'Table 6'!H7&amp;" for three months (multiplied by 3/12)"</f>
        <v xml:space="preserve">  Table 6  Column (f) for three months (multiplied by 3/12)</v>
      </c>
      <c r="I25" s="16" t="str">
        <f>J8</f>
        <v>(a)</v>
      </c>
      <c r="J25" s="8" t="str">
        <f>"  "&amp;B$1&amp;"  Column "&amp;C8</f>
        <v xml:space="preserve">  Table 3  Column (a)</v>
      </c>
    </row>
    <row r="26" spans="2:14" x14ac:dyDescent="0.25">
      <c r="B26" s="16" t="str">
        <f>D8</f>
        <v>(b)</v>
      </c>
      <c r="C26" s="8" t="str">
        <f>"  "&amp;'Table 2'!B1&amp;"  Annual Average"</f>
        <v xml:space="preserve">  Table 2  Annual Average</v>
      </c>
      <c r="I26" s="16" t="str">
        <f>K8</f>
        <v>(b)</v>
      </c>
      <c r="J26" s="8" t="s">
        <v>107</v>
      </c>
    </row>
    <row r="27" spans="2:14" x14ac:dyDescent="0.25">
      <c r="B27" s="16" t="s">
        <v>96</v>
      </c>
      <c r="C27" s="8" t="s">
        <v>104</v>
      </c>
      <c r="I27" s="16" t="str">
        <f>L8</f>
        <v>(c)</v>
      </c>
      <c r="J27" s="8" t="str">
        <f>"  "&amp;B$1&amp;"  Column "&amp;D8</f>
        <v xml:space="preserve">  Table 3  Column (b)</v>
      </c>
    </row>
    <row r="28" spans="2:14" x14ac:dyDescent="0.25">
      <c r="B28" s="16"/>
      <c r="C28" s="38" t="s">
        <v>102</v>
      </c>
      <c r="I28" s="16" t="s">
        <v>96</v>
      </c>
      <c r="J28" s="8" t="s">
        <v>104</v>
      </c>
    </row>
    <row r="29" spans="2:14" x14ac:dyDescent="0.25">
      <c r="I29" s="16"/>
      <c r="J29" s="38" t="s">
        <v>102</v>
      </c>
    </row>
    <row r="30" spans="2:14" x14ac:dyDescent="0.25">
      <c r="H30" s="8"/>
    </row>
    <row r="33" spans="5:7" x14ac:dyDescent="0.25">
      <c r="E33" s="39"/>
      <c r="F33" s="39"/>
      <c r="G33" s="39"/>
    </row>
  </sheetData>
  <phoneticPr fontId="6" type="noConversion"/>
  <printOptions horizontalCentered="1"/>
  <pageMargins left="0.33" right="0.3" top="0.4" bottom="0.4" header="0.5" footer="0.2"/>
  <pageSetup scale="84" orientation="landscape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M31"/>
  <sheetViews>
    <sheetView zoomScaleNormal="100" workbookViewId="0">
      <pane xSplit="2" ySplit="7" topLeftCell="C8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33203125" defaultRowHeight="13.2" x14ac:dyDescent="0.25"/>
  <cols>
    <col min="1" max="1" width="2" style="8" customWidth="1"/>
    <col min="2" max="2" width="20.6640625" style="8" customWidth="1"/>
    <col min="3" max="5" width="23.6640625" style="8" customWidth="1"/>
    <col min="6" max="6" width="2.109375" style="8" customWidth="1"/>
    <col min="7" max="7" width="9.33203125" style="8" customWidth="1"/>
    <col min="8" max="16384" width="9.33203125" style="8"/>
  </cols>
  <sheetData>
    <row r="1" spans="2:9" s="24" customFormat="1" ht="15.6" x14ac:dyDescent="0.3">
      <c r="B1" s="1" t="s">
        <v>28</v>
      </c>
      <c r="C1" s="26"/>
      <c r="D1" s="26"/>
      <c r="E1" s="1"/>
    </row>
    <row r="2" spans="2:9" s="27" customFormat="1" ht="13.8" x14ac:dyDescent="0.25">
      <c r="B2" s="9" t="s">
        <v>63</v>
      </c>
      <c r="C2" s="9"/>
      <c r="D2" s="9"/>
      <c r="E2" s="9"/>
    </row>
    <row r="4" spans="2:9" x14ac:dyDescent="0.25">
      <c r="B4" s="116"/>
      <c r="C4" s="117" t="s">
        <v>21</v>
      </c>
      <c r="D4" s="118"/>
      <c r="E4" s="118"/>
    </row>
    <row r="5" spans="2:9" x14ac:dyDescent="0.25">
      <c r="B5" s="119" t="s">
        <v>3</v>
      </c>
      <c r="C5" s="120" t="s">
        <v>62</v>
      </c>
      <c r="D5" s="86" t="s">
        <v>80</v>
      </c>
      <c r="E5" s="121" t="s">
        <v>22</v>
      </c>
    </row>
    <row r="6" spans="2:9" x14ac:dyDescent="0.25">
      <c r="B6" s="122"/>
      <c r="C6" s="123" t="s">
        <v>61</v>
      </c>
      <c r="D6" s="87" t="s">
        <v>61</v>
      </c>
      <c r="E6" s="121"/>
    </row>
    <row r="7" spans="2:9" x14ac:dyDescent="0.25">
      <c r="B7" s="124"/>
      <c r="C7" s="125" t="s">
        <v>79</v>
      </c>
      <c r="D7" s="88" t="s">
        <v>79</v>
      </c>
      <c r="E7" s="126" t="s">
        <v>79</v>
      </c>
    </row>
    <row r="8" spans="2:9" x14ac:dyDescent="0.25">
      <c r="C8" s="105" t="s">
        <v>12</v>
      </c>
      <c r="D8" s="25" t="s">
        <v>13</v>
      </c>
      <c r="E8" s="25" t="s">
        <v>14</v>
      </c>
    </row>
    <row r="9" spans="2:9" x14ac:dyDescent="0.25">
      <c r="C9" s="25"/>
      <c r="D9" s="25"/>
      <c r="E9" s="22" t="str">
        <f>C8&amp;" - "&amp;D8</f>
        <v>(a) - (b)</v>
      </c>
    </row>
    <row r="10" spans="2:9" ht="6.75" customHeight="1" x14ac:dyDescent="0.25">
      <c r="C10" s="25"/>
      <c r="D10" s="25"/>
      <c r="E10" s="22"/>
    </row>
    <row r="11" spans="2:9" s="13" customFormat="1" x14ac:dyDescent="0.25">
      <c r="B11" s="85">
        <v>2011</v>
      </c>
      <c r="C11" s="20"/>
      <c r="D11" s="20">
        <v>31.36</v>
      </c>
      <c r="E11" s="20"/>
    </row>
    <row r="12" spans="2:9" s="13" customFormat="1" x14ac:dyDescent="0.25">
      <c r="B12" s="85">
        <f>B11+1</f>
        <v>2012</v>
      </c>
      <c r="C12" s="20">
        <f>'Tables 3 to 4'!F12</f>
        <v>26.07</v>
      </c>
      <c r="D12" s="20">
        <v>39.617174321783509</v>
      </c>
      <c r="E12" s="20">
        <f>C12-D12</f>
        <v>-13.547174321783508</v>
      </c>
    </row>
    <row r="13" spans="2:9" s="13" customFormat="1" x14ac:dyDescent="0.25">
      <c r="B13" s="85">
        <f>B12+1</f>
        <v>2013</v>
      </c>
      <c r="C13" s="20">
        <f>'Tables 3 to 4'!F13</f>
        <v>35.566596830513028</v>
      </c>
      <c r="D13" s="20">
        <v>41.750894439967766</v>
      </c>
      <c r="E13" s="20">
        <f>C13-D13</f>
        <v>-6.1842976094547382</v>
      </c>
    </row>
    <row r="14" spans="2:9" s="13" customFormat="1" x14ac:dyDescent="0.25">
      <c r="B14" s="85">
        <f t="shared" ref="B14:B21" si="0">B13+1</f>
        <v>2014</v>
      </c>
      <c r="C14" s="20">
        <f>'Tables 3 to 4'!F14</f>
        <v>38.698447488584478</v>
      </c>
      <c r="D14" s="20">
        <v>43.648979317754495</v>
      </c>
      <c r="E14" s="20">
        <f>C14-D14</f>
        <v>-4.9505318291700178</v>
      </c>
      <c r="H14" s="71"/>
      <c r="I14" s="71"/>
    </row>
    <row r="15" spans="2:9" s="13" customFormat="1" x14ac:dyDescent="0.25">
      <c r="B15" s="85">
        <f t="shared" si="0"/>
        <v>2015</v>
      </c>
      <c r="C15" s="20">
        <f>'Tables 3 to 4'!F15</f>
        <v>41.356005909213003</v>
      </c>
      <c r="D15" s="20">
        <v>45.737735697018529</v>
      </c>
      <c r="E15" s="20">
        <f>C15-D15</f>
        <v>-4.3817297878055257</v>
      </c>
    </row>
    <row r="16" spans="2:9" s="13" customFormat="1" x14ac:dyDescent="0.25">
      <c r="B16" s="85">
        <f t="shared" si="0"/>
        <v>2016</v>
      </c>
      <c r="C16" s="20">
        <f>'Tables 3 to 4'!F16</f>
        <v>44.220542573193661</v>
      </c>
      <c r="D16" s="20"/>
      <c r="E16" s="20">
        <f>C16-D16</f>
        <v>44.220542573193661</v>
      </c>
    </row>
    <row r="17" spans="2:13" s="13" customFormat="1" x14ac:dyDescent="0.25">
      <c r="B17" s="85">
        <f t="shared" si="0"/>
        <v>2017</v>
      </c>
      <c r="C17" s="20">
        <f>'Tables 3 to 4'!F17</f>
        <v>47.007093741606234</v>
      </c>
      <c r="D17" s="20"/>
      <c r="E17" s="20"/>
      <c r="H17" s="71"/>
      <c r="I17" s="71"/>
    </row>
    <row r="18" spans="2:13" s="13" customFormat="1" x14ac:dyDescent="0.25">
      <c r="B18" s="85">
        <f t="shared" si="0"/>
        <v>2018</v>
      </c>
      <c r="C18" s="20">
        <f>'Tables 3 to 4'!F18</f>
        <v>51.05465216223476</v>
      </c>
      <c r="D18" s="20"/>
      <c r="E18" s="20"/>
      <c r="H18" s="71"/>
      <c r="I18" s="71"/>
    </row>
    <row r="19" spans="2:13" s="13" customFormat="1" x14ac:dyDescent="0.25">
      <c r="B19" s="85">
        <f t="shared" si="0"/>
        <v>2019</v>
      </c>
      <c r="C19" s="20">
        <f>'Tables 3 to 4'!F19</f>
        <v>54.929860327692722</v>
      </c>
      <c r="D19" s="20"/>
      <c r="E19" s="20"/>
      <c r="H19" s="71"/>
      <c r="I19" s="71"/>
    </row>
    <row r="20" spans="2:13" s="13" customFormat="1" x14ac:dyDescent="0.25">
      <c r="B20" s="85">
        <f t="shared" si="0"/>
        <v>2020</v>
      </c>
      <c r="C20" s="20">
        <f>'Tables 3 to 4'!F20</f>
        <v>53.591710985764166</v>
      </c>
      <c r="D20" s="20"/>
      <c r="E20" s="20"/>
      <c r="H20" s="71"/>
      <c r="I20" s="71"/>
    </row>
    <row r="21" spans="2:13" s="13" customFormat="1" x14ac:dyDescent="0.25">
      <c r="B21" s="85">
        <f t="shared" si="0"/>
        <v>2021</v>
      </c>
      <c r="C21" s="20">
        <f>'Tables 3 to 4'!F21</f>
        <v>63.969269406392691</v>
      </c>
      <c r="D21" s="20"/>
      <c r="E21" s="20"/>
      <c r="H21" s="71"/>
      <c r="I21" s="71"/>
    </row>
    <row r="22" spans="2:13" x14ac:dyDescent="0.25">
      <c r="B22" s="85"/>
      <c r="C22" s="19"/>
      <c r="D22" s="19"/>
      <c r="E22" s="102"/>
      <c r="F22" s="102"/>
      <c r="G22" s="102"/>
      <c r="H22" s="102"/>
      <c r="I22" s="102"/>
      <c r="J22" s="72"/>
      <c r="K22" s="102"/>
      <c r="M22" s="103"/>
    </row>
    <row r="23" spans="2:13" x14ac:dyDescent="0.25">
      <c r="B23" s="90" t="str">
        <f>" Levelized Prices $/MWH  (Nominal) @ "&amp;TEXT($G$24,"?.00%")&amp;" Discount Rate (1)"</f>
        <v xml:space="preserve"> Levelized Prices $/MWH  (Nominal) @ 7.17% Discount Rate (1)</v>
      </c>
      <c r="E23" s="13"/>
      <c r="G23" s="90" t="s">
        <v>72</v>
      </c>
      <c r="L23" s="14"/>
    </row>
    <row r="24" spans="2:13" x14ac:dyDescent="0.25">
      <c r="B24" s="16" t="str">
        <f>" 5 Year ("&amp;B11&amp;" - "&amp;B15&amp;")"</f>
        <v xml:space="preserve"> 5 Year (2011 - 2015)</v>
      </c>
      <c r="C24" s="71"/>
      <c r="D24" s="71">
        <f>-PMT($G$24,COUNT(D11:D15),NPV($G$24,D11:D15))</f>
        <v>39.963724617061288</v>
      </c>
      <c r="E24" s="20"/>
      <c r="G24" s="84">
        <v>7.17E-2</v>
      </c>
      <c r="L24" s="14"/>
    </row>
    <row r="25" spans="2:13" x14ac:dyDescent="0.25">
      <c r="B25" s="16" t="str">
        <f>" 5 Year ("&amp;B12&amp;" - "&amp;B21&amp;")"</f>
        <v xml:space="preserve"> 5 Year (2012 - 2021)</v>
      </c>
      <c r="C25" s="71">
        <f>-PMT($G$24,COUNT(C12:C21),NPV($G$24,C12:C21))</f>
        <v>43.643645924889299</v>
      </c>
      <c r="D25" s="71"/>
      <c r="E25" s="20"/>
      <c r="F25" s="71"/>
      <c r="G25" s="71"/>
      <c r="H25" s="71"/>
      <c r="I25" s="89"/>
      <c r="L25" s="84"/>
      <c r="M25" s="103"/>
    </row>
    <row r="27" spans="2:13" x14ac:dyDescent="0.25">
      <c r="B27" s="16" t="s">
        <v>11</v>
      </c>
    </row>
    <row r="28" spans="2:13" x14ac:dyDescent="0.25">
      <c r="B28" s="16" t="str">
        <f>C8</f>
        <v>(a)</v>
      </c>
      <c r="C28" s="8" t="str">
        <f>"  "&amp;'Tables 3 to 4'!B1&amp;"  Column "&amp;'Tables 3 to 4'!F8</f>
        <v xml:space="preserve">  Table 3  Column (d)</v>
      </c>
    </row>
    <row r="29" spans="2:13" x14ac:dyDescent="0.25">
      <c r="B29" s="16" t="str">
        <f>D8</f>
        <v>(b)</v>
      </c>
      <c r="C29" s="8" t="s">
        <v>103</v>
      </c>
    </row>
    <row r="31" spans="2:13" x14ac:dyDescent="0.25">
      <c r="B31" s="16" t="s">
        <v>76</v>
      </c>
      <c r="C31" s="104" t="s">
        <v>106</v>
      </c>
    </row>
  </sheetData>
  <phoneticPr fontId="6" type="noConversion"/>
  <printOptions horizontalCentered="1"/>
  <pageMargins left="0.33" right="0.3" top="0.4" bottom="0.4" header="0.5" footer="0.2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03"/>
  <sheetViews>
    <sheetView zoomScaleNormal="100" workbookViewId="0">
      <pane xSplit="2" ySplit="7" topLeftCell="C8" activePane="bottomRight" state="frozen"/>
      <selection activeCell="C21" sqref="C21"/>
      <selection pane="topRight" activeCell="C21" sqref="C21"/>
      <selection pane="bottomLeft" activeCell="C21" sqref="C21"/>
      <selection pane="bottomRight" activeCell="K15" sqref="K15"/>
    </sheetView>
  </sheetViews>
  <sheetFormatPr defaultColWidth="9.33203125" defaultRowHeight="13.2" x14ac:dyDescent="0.25"/>
  <cols>
    <col min="1" max="1" width="2.109375" style="3" customWidth="1"/>
    <col min="2" max="2" width="6" style="3" customWidth="1"/>
    <col min="3" max="3" width="9.77734375" style="3" customWidth="1"/>
    <col min="4" max="4" width="12.33203125" style="3" customWidth="1"/>
    <col min="5" max="5" width="9.109375" style="3" customWidth="1"/>
    <col min="6" max="6" width="9.77734375" style="3" bestFit="1" customWidth="1"/>
    <col min="7" max="8" width="10.109375" style="3" customWidth="1"/>
    <col min="9" max="9" width="2.33203125" style="3" customWidth="1"/>
    <col min="10" max="16384" width="9.33203125" style="3"/>
  </cols>
  <sheetData>
    <row r="1" spans="1:8" ht="15.6" x14ac:dyDescent="0.3">
      <c r="B1" s="1" t="s">
        <v>29</v>
      </c>
      <c r="C1" s="2"/>
      <c r="D1" s="2"/>
      <c r="E1" s="2"/>
      <c r="F1" s="2"/>
      <c r="G1" s="2"/>
      <c r="H1" s="2"/>
    </row>
    <row r="2" spans="1:8" ht="15.6" x14ac:dyDescent="0.3">
      <c r="B2" s="1" t="s">
        <v>75</v>
      </c>
      <c r="C2" s="2"/>
      <c r="D2" s="2"/>
      <c r="E2" s="2"/>
      <c r="F2" s="2"/>
      <c r="G2" s="2"/>
      <c r="H2" s="2"/>
    </row>
    <row r="3" spans="1:8" ht="15.6" x14ac:dyDescent="0.3">
      <c r="B3" s="1" t="str">
        <f>B27</f>
        <v>SCCT Frame (2 Frame "F") - West Side Options (1500')</v>
      </c>
      <c r="C3" s="2"/>
      <c r="D3" s="2"/>
      <c r="E3" s="2"/>
      <c r="F3" s="2"/>
      <c r="G3" s="2"/>
      <c r="H3" s="2"/>
    </row>
    <row r="4" spans="1:8" x14ac:dyDescent="0.25">
      <c r="B4" s="4"/>
      <c r="C4" s="4"/>
      <c r="D4" s="4"/>
      <c r="E4" s="4"/>
      <c r="F4" s="4"/>
      <c r="G4" s="4"/>
      <c r="H4" s="4"/>
    </row>
    <row r="5" spans="1:8" s="131" customFormat="1" ht="51.75" customHeight="1" x14ac:dyDescent="0.25">
      <c r="A5" s="127"/>
      <c r="B5" s="128" t="s">
        <v>3</v>
      </c>
      <c r="C5" s="129" t="s">
        <v>32</v>
      </c>
      <c r="D5" s="129" t="s">
        <v>33</v>
      </c>
      <c r="E5" s="129" t="s">
        <v>34</v>
      </c>
      <c r="F5" s="129" t="s">
        <v>35</v>
      </c>
      <c r="G5" s="129" t="s">
        <v>36</v>
      </c>
      <c r="H5" s="129" t="s">
        <v>37</v>
      </c>
    </row>
    <row r="6" spans="1:8" s="131" customFormat="1" ht="18.75" customHeight="1" x14ac:dyDescent="0.25">
      <c r="B6" s="132"/>
      <c r="C6" s="133" t="s">
        <v>30</v>
      </c>
      <c r="D6" s="134" t="s">
        <v>31</v>
      </c>
      <c r="E6" s="134" t="s">
        <v>31</v>
      </c>
      <c r="F6" s="133" t="s">
        <v>74</v>
      </c>
      <c r="G6" s="134" t="s">
        <v>31</v>
      </c>
      <c r="H6" s="134" t="s">
        <v>31</v>
      </c>
    </row>
    <row r="7" spans="1:8" s="131" customFormat="1" x14ac:dyDescent="0.25">
      <c r="C7" s="135" t="s">
        <v>12</v>
      </c>
      <c r="D7" s="135" t="s">
        <v>13</v>
      </c>
      <c r="E7" s="135" t="s">
        <v>14</v>
      </c>
      <c r="F7" s="135" t="s">
        <v>15</v>
      </c>
      <c r="G7" s="135" t="s">
        <v>16</v>
      </c>
      <c r="H7" s="135" t="s">
        <v>24</v>
      </c>
    </row>
    <row r="8" spans="1:8" s="131" customFormat="1" ht="6" customHeight="1" x14ac:dyDescent="0.25"/>
    <row r="9" spans="1:8" s="131" customFormat="1" x14ac:dyDescent="0.25">
      <c r="B9" s="136">
        <v>2010</v>
      </c>
      <c r="C9" s="137">
        <f>C29</f>
        <v>901</v>
      </c>
      <c r="D9" s="138">
        <f>ROUND(C9*C34,2)</f>
        <v>75.77</v>
      </c>
      <c r="E9" s="138">
        <f>C30</f>
        <v>5.42</v>
      </c>
      <c r="F9" s="138">
        <f>C31</f>
        <v>13.870000000000001</v>
      </c>
      <c r="G9" s="139">
        <f t="shared" ref="G9:G15" si="0">ROUND(F9*(8.76*$C$35)+E9,2)</f>
        <v>30.94</v>
      </c>
      <c r="H9" s="139">
        <f>ROUND(D9+G9,2)</f>
        <v>106.71</v>
      </c>
    </row>
    <row r="10" spans="1:8" s="131" customFormat="1" x14ac:dyDescent="0.25">
      <c r="B10" s="136">
        <f t="shared" ref="B10:B20" si="1">B9+1</f>
        <v>2011</v>
      </c>
      <c r="C10" s="140"/>
      <c r="D10" s="138">
        <f>ROUND(D9*(1+$D$39),2)</f>
        <v>77.510000000000005</v>
      </c>
      <c r="E10" s="138">
        <f>ROUND(E9*(1+$D$39),2)</f>
        <v>5.54</v>
      </c>
      <c r="F10" s="138">
        <f>ROUND(F9*(1+$D$39),2)</f>
        <v>14.19</v>
      </c>
      <c r="G10" s="139">
        <f t="shared" si="0"/>
        <v>31.64</v>
      </c>
      <c r="H10" s="139">
        <f t="shared" ref="H10:H15" si="2">ROUND(D10+G10,2)</f>
        <v>109.15</v>
      </c>
    </row>
    <row r="11" spans="1:8" s="131" customFormat="1" x14ac:dyDescent="0.25">
      <c r="B11" s="136">
        <f t="shared" si="1"/>
        <v>2012</v>
      </c>
      <c r="C11" s="140"/>
      <c r="D11" s="138">
        <f>ROUND(D10*(1+$D$40),2)</f>
        <v>78.67</v>
      </c>
      <c r="E11" s="138">
        <f>ROUND(E10*(1+$D$40),2)</f>
        <v>5.62</v>
      </c>
      <c r="F11" s="138">
        <f>ROUND(F10*(1+$D$40),2)</f>
        <v>14.4</v>
      </c>
      <c r="G11" s="139">
        <f t="shared" si="0"/>
        <v>32.11</v>
      </c>
      <c r="H11" s="139">
        <f t="shared" si="2"/>
        <v>110.78</v>
      </c>
    </row>
    <row r="12" spans="1:8" s="131" customFormat="1" x14ac:dyDescent="0.25">
      <c r="B12" s="136">
        <f t="shared" si="1"/>
        <v>2013</v>
      </c>
      <c r="C12" s="140"/>
      <c r="D12" s="138">
        <f>ROUND(D11*(1+$D$41),2)</f>
        <v>80.09</v>
      </c>
      <c r="E12" s="138">
        <f>ROUND(E11*(1+$D$41),2)</f>
        <v>5.72</v>
      </c>
      <c r="F12" s="138">
        <f>ROUND(F11*(1+$D$41),2)</f>
        <v>14.66</v>
      </c>
      <c r="G12" s="139">
        <f t="shared" si="0"/>
        <v>32.69</v>
      </c>
      <c r="H12" s="139">
        <f t="shared" si="2"/>
        <v>112.78</v>
      </c>
    </row>
    <row r="13" spans="1:8" s="131" customFormat="1" x14ac:dyDescent="0.25">
      <c r="A13" s="130"/>
      <c r="B13" s="141">
        <f t="shared" si="1"/>
        <v>2014</v>
      </c>
      <c r="C13" s="142"/>
      <c r="D13" s="138">
        <f>ROUND(D12*(1+$D$42),2)</f>
        <v>81.61</v>
      </c>
      <c r="E13" s="138">
        <f>ROUND(E12*(1+$D$42),2)</f>
        <v>5.83</v>
      </c>
      <c r="F13" s="138">
        <f>ROUND(F12*(1+$D$42),2)</f>
        <v>14.94</v>
      </c>
      <c r="G13" s="139">
        <f t="shared" si="0"/>
        <v>33.31</v>
      </c>
      <c r="H13" s="139">
        <f t="shared" si="2"/>
        <v>114.92</v>
      </c>
    </row>
    <row r="14" spans="1:8" s="130" customFormat="1" x14ac:dyDescent="0.25">
      <c r="B14" s="141">
        <f t="shared" si="1"/>
        <v>2015</v>
      </c>
      <c r="C14" s="142"/>
      <c r="D14" s="138">
        <f>ROUND(D13*(1+$F$39),2)</f>
        <v>83.24</v>
      </c>
      <c r="E14" s="138">
        <f>ROUND(E13*(1+$F$39),2)</f>
        <v>5.95</v>
      </c>
      <c r="F14" s="138">
        <f>ROUND(F13*(1+$F$39),2)</f>
        <v>15.24</v>
      </c>
      <c r="G14" s="139">
        <f t="shared" si="0"/>
        <v>33.99</v>
      </c>
      <c r="H14" s="139">
        <f t="shared" si="2"/>
        <v>117.23</v>
      </c>
    </row>
    <row r="15" spans="1:8" s="130" customFormat="1" x14ac:dyDescent="0.25">
      <c r="B15" s="141">
        <f t="shared" si="1"/>
        <v>2016</v>
      </c>
      <c r="C15" s="142"/>
      <c r="D15" s="138">
        <f>ROUND(D14*(1+$F$40),2)</f>
        <v>84.82</v>
      </c>
      <c r="E15" s="138">
        <f>ROUND(E14*(1+$F$40),2)</f>
        <v>6.06</v>
      </c>
      <c r="F15" s="138">
        <f>ROUND(F14*(1+$F$40),2)</f>
        <v>15.53</v>
      </c>
      <c r="G15" s="139">
        <f t="shared" si="0"/>
        <v>34.630000000000003</v>
      </c>
      <c r="H15" s="139">
        <f t="shared" si="2"/>
        <v>119.45</v>
      </c>
    </row>
    <row r="16" spans="1:8" s="131" customFormat="1" x14ac:dyDescent="0.25">
      <c r="B16" s="136">
        <f t="shared" si="1"/>
        <v>2017</v>
      </c>
      <c r="C16" s="140"/>
      <c r="D16" s="138">
        <f>ROUND(D15*(1+$F$41),2)</f>
        <v>86.43</v>
      </c>
      <c r="E16" s="138">
        <f>ROUND(E15*(1+$F$41),2)</f>
        <v>6.18</v>
      </c>
      <c r="F16" s="138">
        <f>ROUND(F15*(1+$F$41),2)</f>
        <v>15.83</v>
      </c>
      <c r="G16" s="139">
        <f t="shared" ref="G16:G20" si="3">ROUND(F16*(8.76*$C$35)+E16,2)</f>
        <v>35.299999999999997</v>
      </c>
      <c r="H16" s="139">
        <f t="shared" ref="H16:H20" si="4">ROUND(D16+G16,2)</f>
        <v>121.73</v>
      </c>
    </row>
    <row r="17" spans="1:8" s="131" customFormat="1" x14ac:dyDescent="0.25">
      <c r="B17" s="136">
        <f t="shared" si="1"/>
        <v>2018</v>
      </c>
      <c r="C17" s="140"/>
      <c r="D17" s="138">
        <f>ROUND(D16*(1+$F$42),2)</f>
        <v>88.07</v>
      </c>
      <c r="E17" s="138">
        <f>ROUND(E16*(1+$F$42),2)</f>
        <v>6.3</v>
      </c>
      <c r="F17" s="138">
        <f>ROUND(F16*(1+$F$42),2)</f>
        <v>16.13</v>
      </c>
      <c r="G17" s="139">
        <f t="shared" si="3"/>
        <v>35.97</v>
      </c>
      <c r="H17" s="139">
        <f t="shared" si="4"/>
        <v>124.04</v>
      </c>
    </row>
    <row r="18" spans="1:8" s="131" customFormat="1" x14ac:dyDescent="0.25">
      <c r="A18" s="130"/>
      <c r="B18" s="141">
        <f t="shared" si="1"/>
        <v>2019</v>
      </c>
      <c r="C18" s="142"/>
      <c r="D18" s="138">
        <f>ROUND(D17*(1+$H$39),2)</f>
        <v>89.66</v>
      </c>
      <c r="E18" s="138">
        <f>ROUND(E17*(1+$H$39),2)</f>
        <v>6.41</v>
      </c>
      <c r="F18" s="138">
        <f>ROUND(F17*(1+$H$39),2)</f>
        <v>16.420000000000002</v>
      </c>
      <c r="G18" s="139">
        <f t="shared" si="3"/>
        <v>36.619999999999997</v>
      </c>
      <c r="H18" s="139">
        <f t="shared" si="4"/>
        <v>126.28</v>
      </c>
    </row>
    <row r="19" spans="1:8" s="130" customFormat="1" x14ac:dyDescent="0.25">
      <c r="B19" s="141">
        <f t="shared" si="1"/>
        <v>2020</v>
      </c>
      <c r="C19" s="142"/>
      <c r="D19" s="138">
        <f>ROUND(D18*(1+$H$40),2)</f>
        <v>91.18</v>
      </c>
      <c r="E19" s="138">
        <f>ROUND(E18*(1+$H$40),2)</f>
        <v>6.52</v>
      </c>
      <c r="F19" s="138">
        <f>ROUND(F18*(1+$H$40),2)</f>
        <v>16.7</v>
      </c>
      <c r="G19" s="139">
        <f t="shared" si="3"/>
        <v>37.24</v>
      </c>
      <c r="H19" s="139">
        <f t="shared" si="4"/>
        <v>128.41999999999999</v>
      </c>
    </row>
    <row r="20" spans="1:8" s="130" customFormat="1" x14ac:dyDescent="0.25">
      <c r="B20" s="141">
        <f t="shared" si="1"/>
        <v>2021</v>
      </c>
      <c r="C20" s="142"/>
      <c r="D20" s="138">
        <f>ROUND(D19*(1+$H$41),2)</f>
        <v>92.82</v>
      </c>
      <c r="E20" s="138">
        <f>ROUND(E19*(1+$H$41),2)</f>
        <v>6.64</v>
      </c>
      <c r="F20" s="138">
        <f>ROUND(F19*(1+$H$41),2)</f>
        <v>17</v>
      </c>
      <c r="G20" s="139">
        <f t="shared" si="3"/>
        <v>37.909999999999997</v>
      </c>
      <c r="H20" s="139">
        <f t="shared" si="4"/>
        <v>130.72999999999999</v>
      </c>
    </row>
    <row r="21" spans="1:8" s="131" customFormat="1" x14ac:dyDescent="0.25">
      <c r="B21" s="141"/>
      <c r="C21" s="142"/>
      <c r="D21" s="143"/>
      <c r="E21" s="144"/>
      <c r="F21" s="144"/>
      <c r="G21" s="144"/>
      <c r="H21" s="144"/>
    </row>
    <row r="22" spans="1:8" s="131" customFormat="1" x14ac:dyDescent="0.25">
      <c r="B22" s="94" t="s">
        <v>53</v>
      </c>
      <c r="C22" s="94"/>
      <c r="D22" s="94" t="s">
        <v>105</v>
      </c>
      <c r="E22" s="94"/>
      <c r="F22" s="94"/>
      <c r="G22" s="94"/>
      <c r="H22" s="94"/>
    </row>
    <row r="23" spans="1:8" s="131" customFormat="1" x14ac:dyDescent="0.25">
      <c r="B23" s="94"/>
      <c r="C23" s="95" t="str">
        <f>D7</f>
        <v>(b)</v>
      </c>
      <c r="D23" s="96" t="str">
        <f>"= "&amp;C7&amp;" x"&amp;D34</f>
        <v>= (a) x  Payment Factor</v>
      </c>
      <c r="E23" s="94"/>
      <c r="F23" s="94"/>
      <c r="G23" s="94"/>
      <c r="H23" s="94"/>
    </row>
    <row r="24" spans="1:8" s="131" customFormat="1" x14ac:dyDescent="0.25">
      <c r="B24" s="94"/>
      <c r="C24" s="95" t="str">
        <f>G7</f>
        <v>(e)</v>
      </c>
      <c r="D24" s="96" t="str">
        <f>"= "&amp;$F$7&amp;" x  (8.76 x "&amp;TEXT(C35,"?%")&amp;" ) + "&amp;$E$7</f>
        <v>= (d) x  (8.76 x 21% ) + (c)</v>
      </c>
      <c r="E24" s="94"/>
      <c r="F24" s="94"/>
      <c r="G24" s="94"/>
      <c r="H24" s="94"/>
    </row>
    <row r="25" spans="1:8" s="131" customFormat="1" x14ac:dyDescent="0.25">
      <c r="B25" s="94"/>
      <c r="C25" s="95" t="str">
        <f>H7</f>
        <v>(f)</v>
      </c>
      <c r="D25" s="96" t="str">
        <f>"= "&amp;D7&amp;" + "&amp;G7</f>
        <v>= (b) + (e)</v>
      </c>
      <c r="E25" s="94"/>
      <c r="F25" s="94"/>
      <c r="G25" s="94"/>
      <c r="H25" s="94"/>
    </row>
    <row r="26" spans="1:8" s="131" customFormat="1" x14ac:dyDescent="0.25">
      <c r="B26" s="94"/>
      <c r="D26" s="94"/>
      <c r="E26" s="94"/>
      <c r="F26" s="94"/>
      <c r="G26" s="98"/>
      <c r="H26" s="94"/>
    </row>
    <row r="27" spans="1:8" s="131" customFormat="1" x14ac:dyDescent="0.25">
      <c r="B27" s="167" t="s">
        <v>84</v>
      </c>
      <c r="C27" s="164"/>
      <c r="D27" s="165"/>
      <c r="E27" s="164"/>
      <c r="F27" s="164"/>
      <c r="G27" s="164"/>
      <c r="H27" s="166"/>
    </row>
    <row r="28" spans="1:8" s="131" customFormat="1" x14ac:dyDescent="0.25">
      <c r="B28" s="94"/>
      <c r="C28" s="94">
        <v>405</v>
      </c>
      <c r="D28" s="131" t="s">
        <v>90</v>
      </c>
      <c r="E28" s="94"/>
      <c r="H28" s="162" t="s">
        <v>94</v>
      </c>
    </row>
    <row r="29" spans="1:8" s="131" customFormat="1" x14ac:dyDescent="0.25">
      <c r="B29" s="94"/>
      <c r="C29" s="92">
        <v>901</v>
      </c>
      <c r="D29" s="131" t="s">
        <v>91</v>
      </c>
      <c r="E29" s="98"/>
      <c r="F29" s="99"/>
      <c r="G29" s="100"/>
      <c r="H29" s="163" t="s">
        <v>30</v>
      </c>
    </row>
    <row r="30" spans="1:8" s="131" customFormat="1" x14ac:dyDescent="0.25">
      <c r="B30" s="94"/>
      <c r="C30" s="97">
        <v>5.42</v>
      </c>
      <c r="D30" s="131" t="s">
        <v>92</v>
      </c>
      <c r="E30" s="98"/>
      <c r="F30" s="99"/>
      <c r="G30" s="100"/>
      <c r="H30" s="163" t="s">
        <v>31</v>
      </c>
    </row>
    <row r="31" spans="1:8" s="131" customFormat="1" x14ac:dyDescent="0.25">
      <c r="B31" s="94"/>
      <c r="C31" s="97">
        <f>C32+C33</f>
        <v>13.870000000000001</v>
      </c>
      <c r="D31" s="145" t="s">
        <v>97</v>
      </c>
      <c r="E31" s="98"/>
      <c r="F31" s="99"/>
      <c r="G31" s="100"/>
      <c r="H31" s="163" t="s">
        <v>81</v>
      </c>
    </row>
    <row r="32" spans="1:8" s="131" customFormat="1" x14ac:dyDescent="0.25">
      <c r="B32" s="94"/>
      <c r="C32" s="97">
        <v>6.51</v>
      </c>
      <c r="D32" s="145" t="s">
        <v>101</v>
      </c>
      <c r="E32" s="98"/>
      <c r="F32" s="99"/>
      <c r="G32" s="100"/>
      <c r="H32" s="163" t="s">
        <v>81</v>
      </c>
    </row>
    <row r="33" spans="2:8" s="131" customFormat="1" x14ac:dyDescent="0.25">
      <c r="B33" s="94"/>
      <c r="C33" s="97">
        <v>7.36</v>
      </c>
      <c r="D33" s="145" t="s">
        <v>93</v>
      </c>
      <c r="E33" s="98"/>
      <c r="F33" s="99"/>
      <c r="G33" s="100"/>
      <c r="H33" s="163" t="s">
        <v>81</v>
      </c>
    </row>
    <row r="34" spans="2:8" s="131" customFormat="1" x14ac:dyDescent="0.25">
      <c r="B34" s="94"/>
      <c r="C34" s="101">
        <v>8.4099999999999994E-2</v>
      </c>
      <c r="D34" s="131" t="s">
        <v>77</v>
      </c>
      <c r="E34" s="94"/>
      <c r="F34" s="94"/>
      <c r="G34" s="94"/>
      <c r="H34" s="94"/>
    </row>
    <row r="35" spans="2:8" s="131" customFormat="1" x14ac:dyDescent="0.25">
      <c r="B35" s="94"/>
      <c r="C35" s="146">
        <v>0.21</v>
      </c>
      <c r="D35" s="131" t="s">
        <v>85</v>
      </c>
      <c r="E35" s="94"/>
      <c r="F35" s="94"/>
      <c r="G35" s="94"/>
      <c r="H35" s="94"/>
    </row>
    <row r="36" spans="2:8" s="131" customFormat="1" x14ac:dyDescent="0.25">
      <c r="B36" s="94"/>
      <c r="C36" s="146"/>
      <c r="E36" s="94"/>
      <c r="F36" s="94"/>
      <c r="G36" s="94"/>
      <c r="H36" s="94"/>
    </row>
    <row r="37" spans="2:8" s="131" customFormat="1" x14ac:dyDescent="0.25">
      <c r="B37" s="167" t="s">
        <v>108</v>
      </c>
      <c r="C37" s="168"/>
      <c r="D37" s="168"/>
      <c r="E37" s="168"/>
      <c r="F37" s="168"/>
      <c r="G37" s="168"/>
      <c r="H37" s="169"/>
    </row>
    <row r="38" spans="2:8" s="131" customFormat="1" x14ac:dyDescent="0.25">
      <c r="B38" s="171"/>
      <c r="C38" s="136"/>
      <c r="D38" s="93"/>
      <c r="E38" s="171"/>
      <c r="F38" s="171"/>
      <c r="G38" s="171"/>
      <c r="H38" s="171"/>
    </row>
    <row r="39" spans="2:8" s="131" customFormat="1" x14ac:dyDescent="0.25">
      <c r="C39" s="136">
        <v>2011</v>
      </c>
      <c r="D39" s="93">
        <v>2.3E-2</v>
      </c>
      <c r="E39" s="136">
        <f>C42+1</f>
        <v>2015</v>
      </c>
      <c r="F39" s="147">
        <v>0.02</v>
      </c>
      <c r="G39" s="136">
        <f>E42+1</f>
        <v>2019</v>
      </c>
      <c r="H39" s="147">
        <v>1.7999999999999999E-2</v>
      </c>
    </row>
    <row r="40" spans="2:8" s="131" customFormat="1" x14ac:dyDescent="0.25">
      <c r="C40" s="136">
        <f>C39+1</f>
        <v>2012</v>
      </c>
      <c r="D40" s="93">
        <v>1.4999999999999999E-2</v>
      </c>
      <c r="E40" s="136">
        <f>E39+1</f>
        <v>2016</v>
      </c>
      <c r="F40" s="147">
        <v>1.9E-2</v>
      </c>
      <c r="G40" s="136">
        <f>G39+1</f>
        <v>2020</v>
      </c>
      <c r="H40" s="147">
        <v>1.7000000000000001E-2</v>
      </c>
    </row>
    <row r="41" spans="2:8" s="131" customFormat="1" x14ac:dyDescent="0.25">
      <c r="C41" s="136">
        <f>C40+1</f>
        <v>2013</v>
      </c>
      <c r="D41" s="93">
        <v>1.7999999999999999E-2</v>
      </c>
      <c r="E41" s="136">
        <f>E40+1</f>
        <v>2017</v>
      </c>
      <c r="F41" s="147">
        <v>1.9E-2</v>
      </c>
      <c r="G41" s="136">
        <f>G40+1</f>
        <v>2021</v>
      </c>
      <c r="H41" s="147">
        <v>1.7999999999999999E-2</v>
      </c>
    </row>
    <row r="42" spans="2:8" s="131" customFormat="1" x14ac:dyDescent="0.25">
      <c r="C42" s="136">
        <f>C41+1</f>
        <v>2014</v>
      </c>
      <c r="D42" s="147">
        <v>1.9E-2</v>
      </c>
      <c r="E42" s="136">
        <f>E41+1</f>
        <v>2018</v>
      </c>
      <c r="F42" s="147">
        <v>1.9E-2</v>
      </c>
    </row>
    <row r="43" spans="2:8" s="131" customFormat="1" x14ac:dyDescent="0.25"/>
    <row r="44" spans="2:8" s="131" customFormat="1" x14ac:dyDescent="0.25"/>
    <row r="45" spans="2:8" s="131" customFormat="1" x14ac:dyDescent="0.25"/>
    <row r="46" spans="2:8" s="131" customFormat="1" x14ac:dyDescent="0.25"/>
    <row r="47" spans="2:8" s="131" customFormat="1" x14ac:dyDescent="0.25"/>
    <row r="48" spans="2:8" s="131" customFormat="1" x14ac:dyDescent="0.25"/>
    <row r="49" s="131" customFormat="1" x14ac:dyDescent="0.25"/>
    <row r="50" s="131" customFormat="1" x14ac:dyDescent="0.25"/>
    <row r="51" s="131" customFormat="1" x14ac:dyDescent="0.25"/>
    <row r="52" s="131" customFormat="1" x14ac:dyDescent="0.25"/>
    <row r="53" s="131" customFormat="1" x14ac:dyDescent="0.25"/>
    <row r="54" s="131" customFormat="1" x14ac:dyDescent="0.25"/>
    <row r="55" s="131" customFormat="1" x14ac:dyDescent="0.25"/>
    <row r="56" s="131" customFormat="1" x14ac:dyDescent="0.25"/>
    <row r="57" s="131" customFormat="1" x14ac:dyDescent="0.25"/>
    <row r="58" s="131" customFormat="1" x14ac:dyDescent="0.25"/>
    <row r="59" s="131" customFormat="1" x14ac:dyDescent="0.25"/>
    <row r="60" s="131" customFormat="1" x14ac:dyDescent="0.25"/>
    <row r="61" s="131" customFormat="1" x14ac:dyDescent="0.25"/>
    <row r="62" s="131" customFormat="1" x14ac:dyDescent="0.25"/>
    <row r="63" s="131" customFormat="1" x14ac:dyDescent="0.25"/>
    <row r="64" s="131" customFormat="1" x14ac:dyDescent="0.25"/>
    <row r="65" s="131" customFormat="1" x14ac:dyDescent="0.25"/>
    <row r="66" s="131" customFormat="1" x14ac:dyDescent="0.25"/>
    <row r="67" s="131" customFormat="1" x14ac:dyDescent="0.25"/>
    <row r="68" s="131" customFormat="1" x14ac:dyDescent="0.25"/>
    <row r="69" s="131" customFormat="1" x14ac:dyDescent="0.25"/>
    <row r="70" s="131" customFormat="1" x14ac:dyDescent="0.25"/>
    <row r="71" s="131" customFormat="1" x14ac:dyDescent="0.25"/>
    <row r="72" s="131" customFormat="1" x14ac:dyDescent="0.25"/>
    <row r="73" s="131" customFormat="1" x14ac:dyDescent="0.25"/>
    <row r="74" s="131" customFormat="1" x14ac:dyDescent="0.25"/>
    <row r="75" s="131" customFormat="1" x14ac:dyDescent="0.25"/>
    <row r="76" s="131" customFormat="1" x14ac:dyDescent="0.25"/>
    <row r="77" s="131" customFormat="1" x14ac:dyDescent="0.25"/>
    <row r="78" s="131" customFormat="1" x14ac:dyDescent="0.25"/>
    <row r="79" s="131" customFormat="1" x14ac:dyDescent="0.25"/>
    <row r="80" s="131" customFormat="1" x14ac:dyDescent="0.25"/>
    <row r="81" s="131" customFormat="1" x14ac:dyDescent="0.25"/>
    <row r="82" s="131" customFormat="1" x14ac:dyDescent="0.25"/>
    <row r="83" s="131" customFormat="1" x14ac:dyDescent="0.25"/>
    <row r="84" s="131" customFormat="1" x14ac:dyDescent="0.25"/>
    <row r="85" s="131" customFormat="1" x14ac:dyDescent="0.25"/>
    <row r="86" s="131" customFormat="1" x14ac:dyDescent="0.25"/>
    <row r="87" s="131" customFormat="1" x14ac:dyDescent="0.25"/>
    <row r="88" s="131" customFormat="1" x14ac:dyDescent="0.25"/>
    <row r="89" s="131" customFormat="1" x14ac:dyDescent="0.25"/>
    <row r="90" s="131" customFormat="1" x14ac:dyDescent="0.25"/>
    <row r="91" s="131" customFormat="1" x14ac:dyDescent="0.25"/>
    <row r="92" s="131" customFormat="1" x14ac:dyDescent="0.25"/>
    <row r="93" s="131" customFormat="1" x14ac:dyDescent="0.25"/>
    <row r="94" s="131" customFormat="1" x14ac:dyDescent="0.25"/>
    <row r="95" s="131" customFormat="1" x14ac:dyDescent="0.25"/>
    <row r="96" s="131" customFormat="1" x14ac:dyDescent="0.25"/>
    <row r="97" s="131" customFormat="1" x14ac:dyDescent="0.25"/>
    <row r="98" s="131" customFormat="1" x14ac:dyDescent="0.25"/>
    <row r="99" s="131" customFormat="1" x14ac:dyDescent="0.25"/>
    <row r="100" s="131" customFormat="1" x14ac:dyDescent="0.25"/>
    <row r="101" s="131" customFormat="1" x14ac:dyDescent="0.25"/>
    <row r="102" s="131" customFormat="1" x14ac:dyDescent="0.25"/>
    <row r="103" s="131" customFormat="1" x14ac:dyDescent="0.25"/>
    <row r="104" s="131" customFormat="1" x14ac:dyDescent="0.25"/>
    <row r="105" s="131" customFormat="1" x14ac:dyDescent="0.25"/>
    <row r="106" s="131" customFormat="1" x14ac:dyDescent="0.25"/>
    <row r="107" s="131" customFormat="1" x14ac:dyDescent="0.25"/>
    <row r="108" s="131" customFormat="1" x14ac:dyDescent="0.25"/>
    <row r="109" s="131" customFormat="1" x14ac:dyDescent="0.25"/>
    <row r="110" s="131" customFormat="1" x14ac:dyDescent="0.25"/>
    <row r="111" s="131" customFormat="1" x14ac:dyDescent="0.25"/>
    <row r="112" s="131" customFormat="1" x14ac:dyDescent="0.25"/>
    <row r="113" s="131" customFormat="1" x14ac:dyDescent="0.25"/>
    <row r="114" s="131" customFormat="1" x14ac:dyDescent="0.25"/>
    <row r="115" s="131" customFormat="1" x14ac:dyDescent="0.25"/>
    <row r="116" s="131" customFormat="1" x14ac:dyDescent="0.25"/>
    <row r="117" s="131" customFormat="1" x14ac:dyDescent="0.25"/>
    <row r="118" s="131" customFormat="1" x14ac:dyDescent="0.25"/>
    <row r="119" s="131" customFormat="1" x14ac:dyDescent="0.25"/>
    <row r="120" s="131" customFormat="1" x14ac:dyDescent="0.25"/>
    <row r="121" s="131" customFormat="1" x14ac:dyDescent="0.25"/>
    <row r="122" s="131" customFormat="1" x14ac:dyDescent="0.25"/>
    <row r="123" s="131" customFormat="1" x14ac:dyDescent="0.25"/>
    <row r="124" s="131" customFormat="1" x14ac:dyDescent="0.25"/>
    <row r="125" s="131" customFormat="1" x14ac:dyDescent="0.25"/>
    <row r="126" s="131" customFormat="1" x14ac:dyDescent="0.25"/>
    <row r="127" s="131" customFormat="1" x14ac:dyDescent="0.25"/>
    <row r="128" s="131" customFormat="1" x14ac:dyDescent="0.25"/>
    <row r="129" s="131" customFormat="1" x14ac:dyDescent="0.25"/>
    <row r="130" s="131" customFormat="1" x14ac:dyDescent="0.25"/>
    <row r="131" s="131" customFormat="1" x14ac:dyDescent="0.25"/>
    <row r="132" s="131" customFormat="1" x14ac:dyDescent="0.25"/>
    <row r="133" s="131" customFormat="1" x14ac:dyDescent="0.25"/>
    <row r="134" s="131" customFormat="1" x14ac:dyDescent="0.25"/>
    <row r="135" s="131" customFormat="1" x14ac:dyDescent="0.25"/>
    <row r="136" s="131" customFormat="1" x14ac:dyDescent="0.25"/>
    <row r="137" s="131" customFormat="1" x14ac:dyDescent="0.25"/>
    <row r="138" s="131" customFormat="1" x14ac:dyDescent="0.25"/>
    <row r="139" s="131" customFormat="1" x14ac:dyDescent="0.25"/>
    <row r="140" s="131" customFormat="1" x14ac:dyDescent="0.25"/>
    <row r="141" s="131" customFormat="1" x14ac:dyDescent="0.25"/>
    <row r="142" s="131" customFormat="1" x14ac:dyDescent="0.25"/>
    <row r="143" s="131" customFormat="1" x14ac:dyDescent="0.25"/>
    <row r="144" s="131" customFormat="1" x14ac:dyDescent="0.25"/>
    <row r="145" s="131" customFormat="1" x14ac:dyDescent="0.25"/>
    <row r="146" s="131" customFormat="1" x14ac:dyDescent="0.25"/>
    <row r="147" s="131" customFormat="1" x14ac:dyDescent="0.25"/>
    <row r="148" s="131" customFormat="1" x14ac:dyDescent="0.25"/>
    <row r="149" s="131" customFormat="1" x14ac:dyDescent="0.25"/>
    <row r="150" s="131" customFormat="1" x14ac:dyDescent="0.25"/>
    <row r="151" s="131" customFormat="1" x14ac:dyDescent="0.25"/>
    <row r="152" s="131" customFormat="1" x14ac:dyDescent="0.25"/>
    <row r="153" s="131" customFormat="1" x14ac:dyDescent="0.25"/>
    <row r="154" s="131" customFormat="1" x14ac:dyDescent="0.25"/>
    <row r="155" s="131" customFormat="1" x14ac:dyDescent="0.25"/>
    <row r="156" s="131" customFormat="1" x14ac:dyDescent="0.25"/>
    <row r="157" s="131" customFormat="1" x14ac:dyDescent="0.25"/>
    <row r="158" s="131" customFormat="1" x14ac:dyDescent="0.25"/>
    <row r="159" s="131" customFormat="1" x14ac:dyDescent="0.25"/>
    <row r="160" s="131" customFormat="1" x14ac:dyDescent="0.25"/>
    <row r="161" s="131" customFormat="1" x14ac:dyDescent="0.25"/>
    <row r="162" s="131" customFormat="1" x14ac:dyDescent="0.25"/>
    <row r="163" s="131" customFormat="1" x14ac:dyDescent="0.25"/>
    <row r="164" s="131" customFormat="1" x14ac:dyDescent="0.25"/>
    <row r="165" s="131" customFormat="1" x14ac:dyDescent="0.25"/>
    <row r="166" s="131" customFormat="1" x14ac:dyDescent="0.25"/>
    <row r="167" s="131" customFormat="1" x14ac:dyDescent="0.25"/>
    <row r="168" s="131" customFormat="1" x14ac:dyDescent="0.25"/>
    <row r="169" s="131" customFormat="1" x14ac:dyDescent="0.25"/>
    <row r="170" s="131" customFormat="1" x14ac:dyDescent="0.25"/>
    <row r="171" s="131" customFormat="1" x14ac:dyDescent="0.25"/>
    <row r="172" s="131" customFormat="1" x14ac:dyDescent="0.25"/>
    <row r="173" s="131" customFormat="1" x14ac:dyDescent="0.25"/>
    <row r="174" s="131" customFormat="1" x14ac:dyDescent="0.25"/>
    <row r="175" s="131" customFormat="1" x14ac:dyDescent="0.25"/>
    <row r="176" s="131" customFormat="1" x14ac:dyDescent="0.25"/>
    <row r="177" s="131" customFormat="1" x14ac:dyDescent="0.25"/>
    <row r="178" s="131" customFormat="1" x14ac:dyDescent="0.25"/>
    <row r="179" s="131" customFormat="1" x14ac:dyDescent="0.25"/>
    <row r="180" s="131" customFormat="1" x14ac:dyDescent="0.25"/>
    <row r="181" s="131" customFormat="1" x14ac:dyDescent="0.25"/>
    <row r="182" s="131" customFormat="1" x14ac:dyDescent="0.25"/>
    <row r="183" s="131" customFormat="1" x14ac:dyDescent="0.25"/>
    <row r="184" s="131" customFormat="1" x14ac:dyDescent="0.25"/>
    <row r="185" s="131" customFormat="1" x14ac:dyDescent="0.25"/>
    <row r="186" s="131" customFormat="1" x14ac:dyDescent="0.25"/>
    <row r="187" s="131" customFormat="1" x14ac:dyDescent="0.25"/>
    <row r="188" s="131" customFormat="1" x14ac:dyDescent="0.25"/>
    <row r="189" s="131" customFormat="1" x14ac:dyDescent="0.25"/>
    <row r="190" s="131" customFormat="1" x14ac:dyDescent="0.25"/>
    <row r="191" s="131" customFormat="1" x14ac:dyDescent="0.25"/>
    <row r="192" s="131" customFormat="1" x14ac:dyDescent="0.25"/>
    <row r="193" s="131" customFormat="1" x14ac:dyDescent="0.25"/>
    <row r="194" s="131" customFormat="1" x14ac:dyDescent="0.25"/>
    <row r="195" s="131" customFormat="1" x14ac:dyDescent="0.25"/>
    <row r="196" s="131" customFormat="1" x14ac:dyDescent="0.25"/>
    <row r="197" s="131" customFormat="1" x14ac:dyDescent="0.25"/>
    <row r="198" s="131" customFormat="1" x14ac:dyDescent="0.25"/>
    <row r="199" s="131" customFormat="1" x14ac:dyDescent="0.25"/>
    <row r="200" s="131" customFormat="1" x14ac:dyDescent="0.25"/>
    <row r="201" s="131" customFormat="1" x14ac:dyDescent="0.25"/>
    <row r="202" s="131" customFormat="1" x14ac:dyDescent="0.25"/>
    <row r="203" s="131" customFormat="1" x14ac:dyDescent="0.25"/>
    <row r="204" s="131" customFormat="1" x14ac:dyDescent="0.25"/>
    <row r="205" s="131" customFormat="1" x14ac:dyDescent="0.25"/>
    <row r="206" s="131" customFormat="1" x14ac:dyDescent="0.25"/>
    <row r="207" s="131" customFormat="1" x14ac:dyDescent="0.25"/>
    <row r="208" s="131" customFormat="1" x14ac:dyDescent="0.25"/>
    <row r="209" s="131" customFormat="1" x14ac:dyDescent="0.25"/>
    <row r="210" s="131" customFormat="1" x14ac:dyDescent="0.25"/>
    <row r="211" s="131" customFormat="1" x14ac:dyDescent="0.25"/>
    <row r="212" s="131" customFormat="1" x14ac:dyDescent="0.25"/>
    <row r="213" s="131" customFormat="1" x14ac:dyDescent="0.25"/>
    <row r="214" s="131" customFormat="1" x14ac:dyDescent="0.25"/>
    <row r="215" s="131" customFormat="1" x14ac:dyDescent="0.25"/>
    <row r="216" s="131" customFormat="1" x14ac:dyDescent="0.25"/>
    <row r="217" s="131" customFormat="1" x14ac:dyDescent="0.25"/>
    <row r="218" s="131" customFormat="1" x14ac:dyDescent="0.25"/>
    <row r="219" s="131" customFormat="1" x14ac:dyDescent="0.25"/>
    <row r="220" s="131" customFormat="1" x14ac:dyDescent="0.25"/>
    <row r="221" s="131" customFormat="1" x14ac:dyDescent="0.25"/>
    <row r="222" s="131" customFormat="1" x14ac:dyDescent="0.25"/>
    <row r="223" s="131" customFormat="1" x14ac:dyDescent="0.25"/>
    <row r="224" s="131" customFormat="1" x14ac:dyDescent="0.25"/>
    <row r="225" s="131" customFormat="1" x14ac:dyDescent="0.25"/>
    <row r="226" s="131" customFormat="1" x14ac:dyDescent="0.25"/>
    <row r="227" s="131" customFormat="1" x14ac:dyDescent="0.25"/>
    <row r="228" s="131" customFormat="1" x14ac:dyDescent="0.25"/>
    <row r="229" s="131" customFormat="1" x14ac:dyDescent="0.25"/>
    <row r="230" s="131" customFormat="1" x14ac:dyDescent="0.25"/>
    <row r="231" s="131" customFormat="1" x14ac:dyDescent="0.25"/>
    <row r="232" s="131" customFormat="1" x14ac:dyDescent="0.25"/>
    <row r="233" s="131" customFormat="1" x14ac:dyDescent="0.25"/>
    <row r="234" s="131" customFormat="1" x14ac:dyDescent="0.25"/>
    <row r="235" s="131" customFormat="1" x14ac:dyDescent="0.25"/>
    <row r="236" s="131" customFormat="1" x14ac:dyDescent="0.25"/>
    <row r="237" s="131" customFormat="1" x14ac:dyDescent="0.25"/>
    <row r="238" s="131" customFormat="1" x14ac:dyDescent="0.25"/>
    <row r="239" s="131" customFormat="1" x14ac:dyDescent="0.25"/>
    <row r="240" s="131" customFormat="1" x14ac:dyDescent="0.25"/>
    <row r="241" s="131" customFormat="1" x14ac:dyDescent="0.25"/>
    <row r="242" s="131" customFormat="1" x14ac:dyDescent="0.25"/>
    <row r="243" s="131" customFormat="1" x14ac:dyDescent="0.25"/>
    <row r="244" s="131" customFormat="1" x14ac:dyDescent="0.25"/>
    <row r="245" s="131" customFormat="1" x14ac:dyDescent="0.25"/>
    <row r="246" s="131" customFormat="1" x14ac:dyDescent="0.25"/>
    <row r="247" s="131" customFormat="1" x14ac:dyDescent="0.25"/>
    <row r="248" s="131" customFormat="1" x14ac:dyDescent="0.25"/>
    <row r="249" s="131" customFormat="1" x14ac:dyDescent="0.25"/>
    <row r="250" s="131" customFormat="1" x14ac:dyDescent="0.25"/>
    <row r="251" s="131" customFormat="1" x14ac:dyDescent="0.25"/>
    <row r="252" s="131" customFormat="1" x14ac:dyDescent="0.25"/>
    <row r="253" s="131" customFormat="1" x14ac:dyDescent="0.25"/>
    <row r="254" s="131" customFormat="1" x14ac:dyDescent="0.25"/>
    <row r="255" s="131" customFormat="1" x14ac:dyDescent="0.25"/>
    <row r="256" s="131" customFormat="1" x14ac:dyDescent="0.25"/>
    <row r="257" s="131" customFormat="1" x14ac:dyDescent="0.25"/>
    <row r="258" s="131" customFormat="1" x14ac:dyDescent="0.25"/>
    <row r="259" s="131" customFormat="1" x14ac:dyDescent="0.25"/>
    <row r="260" s="131" customFormat="1" x14ac:dyDescent="0.25"/>
    <row r="261" s="131" customFormat="1" x14ac:dyDescent="0.25"/>
    <row r="262" s="131" customFormat="1" x14ac:dyDescent="0.25"/>
    <row r="263" s="131" customFormat="1" x14ac:dyDescent="0.25"/>
    <row r="264" s="131" customFormat="1" x14ac:dyDescent="0.25"/>
    <row r="265" s="131" customFormat="1" x14ac:dyDescent="0.25"/>
    <row r="266" s="131" customFormat="1" x14ac:dyDescent="0.25"/>
    <row r="267" s="131" customFormat="1" x14ac:dyDescent="0.25"/>
    <row r="268" s="131" customFormat="1" x14ac:dyDescent="0.25"/>
    <row r="269" s="131" customFormat="1" x14ac:dyDescent="0.25"/>
    <row r="270" s="131" customFormat="1" x14ac:dyDescent="0.25"/>
    <row r="271" s="131" customFormat="1" x14ac:dyDescent="0.25"/>
    <row r="272" s="131" customFormat="1" x14ac:dyDescent="0.25"/>
    <row r="273" s="131" customFormat="1" x14ac:dyDescent="0.25"/>
    <row r="274" s="131" customFormat="1" x14ac:dyDescent="0.25"/>
    <row r="275" s="131" customFormat="1" x14ac:dyDescent="0.25"/>
    <row r="276" s="131" customFormat="1" x14ac:dyDescent="0.25"/>
    <row r="277" s="131" customFormat="1" x14ac:dyDescent="0.25"/>
    <row r="278" s="131" customFormat="1" x14ac:dyDescent="0.25"/>
    <row r="279" s="131" customFormat="1" x14ac:dyDescent="0.25"/>
    <row r="280" s="131" customFormat="1" x14ac:dyDescent="0.25"/>
    <row r="281" s="131" customFormat="1" x14ac:dyDescent="0.25"/>
    <row r="282" s="131" customFormat="1" x14ac:dyDescent="0.25"/>
    <row r="283" s="131" customFormat="1" x14ac:dyDescent="0.25"/>
    <row r="284" s="131" customFormat="1" x14ac:dyDescent="0.25"/>
    <row r="285" s="131" customFormat="1" x14ac:dyDescent="0.25"/>
    <row r="286" s="131" customFormat="1" x14ac:dyDescent="0.25"/>
    <row r="287" s="131" customFormat="1" x14ac:dyDescent="0.25"/>
    <row r="288" s="131" customFormat="1" x14ac:dyDescent="0.25"/>
    <row r="289" s="131" customFormat="1" x14ac:dyDescent="0.25"/>
    <row r="290" s="131" customFormat="1" x14ac:dyDescent="0.25"/>
    <row r="291" s="131" customFormat="1" x14ac:dyDescent="0.25"/>
    <row r="292" s="131" customFormat="1" x14ac:dyDescent="0.25"/>
    <row r="293" s="131" customFormat="1" x14ac:dyDescent="0.25"/>
    <row r="294" s="131" customFormat="1" x14ac:dyDescent="0.25"/>
    <row r="295" s="131" customFormat="1" x14ac:dyDescent="0.25"/>
    <row r="296" s="131" customFormat="1" x14ac:dyDescent="0.25"/>
    <row r="297" s="131" customFormat="1" x14ac:dyDescent="0.25"/>
    <row r="298" s="131" customFormat="1" x14ac:dyDescent="0.25"/>
    <row r="299" s="131" customFormat="1" x14ac:dyDescent="0.25"/>
    <row r="300" s="131" customFormat="1" x14ac:dyDescent="0.25"/>
    <row r="301" s="131" customFormat="1" x14ac:dyDescent="0.25"/>
    <row r="302" s="131" customFormat="1" x14ac:dyDescent="0.25"/>
    <row r="303" s="131" customFormat="1" x14ac:dyDescent="0.25"/>
    <row r="304" s="131" customFormat="1" x14ac:dyDescent="0.25"/>
    <row r="305" s="131" customFormat="1" x14ac:dyDescent="0.25"/>
    <row r="306" s="131" customFormat="1" x14ac:dyDescent="0.25"/>
    <row r="307" s="131" customFormat="1" x14ac:dyDescent="0.25"/>
    <row r="308" s="131" customFormat="1" x14ac:dyDescent="0.25"/>
    <row r="309" s="131" customFormat="1" x14ac:dyDescent="0.25"/>
    <row r="310" s="131" customFormat="1" x14ac:dyDescent="0.25"/>
    <row r="311" s="131" customFormat="1" x14ac:dyDescent="0.25"/>
    <row r="312" s="131" customFormat="1" x14ac:dyDescent="0.25"/>
    <row r="313" s="131" customFormat="1" x14ac:dyDescent="0.25"/>
    <row r="314" s="131" customFormat="1" x14ac:dyDescent="0.25"/>
    <row r="315" s="131" customFormat="1" x14ac:dyDescent="0.25"/>
    <row r="316" s="131" customFormat="1" x14ac:dyDescent="0.25"/>
    <row r="317" s="131" customFormat="1" x14ac:dyDescent="0.25"/>
    <row r="318" s="131" customFormat="1" x14ac:dyDescent="0.25"/>
    <row r="319" s="131" customFormat="1" x14ac:dyDescent="0.25"/>
    <row r="320" s="131" customFormat="1" x14ac:dyDescent="0.25"/>
    <row r="321" s="131" customFormat="1" x14ac:dyDescent="0.25"/>
    <row r="322" s="131" customFormat="1" x14ac:dyDescent="0.25"/>
    <row r="323" s="131" customFormat="1" x14ac:dyDescent="0.25"/>
    <row r="324" s="131" customFormat="1" x14ac:dyDescent="0.25"/>
    <row r="325" s="131" customFormat="1" x14ac:dyDescent="0.25"/>
    <row r="326" s="131" customFormat="1" x14ac:dyDescent="0.25"/>
    <row r="327" s="131" customFormat="1" x14ac:dyDescent="0.25"/>
    <row r="328" s="131" customFormat="1" x14ac:dyDescent="0.25"/>
    <row r="329" s="131" customFormat="1" x14ac:dyDescent="0.25"/>
    <row r="330" s="131" customFormat="1" x14ac:dyDescent="0.25"/>
    <row r="331" s="131" customFormat="1" x14ac:dyDescent="0.25"/>
    <row r="332" s="131" customFormat="1" x14ac:dyDescent="0.25"/>
    <row r="333" s="131" customFormat="1" x14ac:dyDescent="0.25"/>
    <row r="334" s="131" customFormat="1" x14ac:dyDescent="0.25"/>
    <row r="335" s="131" customFormat="1" x14ac:dyDescent="0.25"/>
    <row r="336" s="131" customFormat="1" x14ac:dyDescent="0.25"/>
    <row r="337" s="131" customFormat="1" x14ac:dyDescent="0.25"/>
    <row r="338" s="131" customFormat="1" x14ac:dyDescent="0.25"/>
    <row r="339" s="131" customFormat="1" x14ac:dyDescent="0.25"/>
    <row r="340" s="131" customFormat="1" x14ac:dyDescent="0.25"/>
    <row r="341" s="131" customFormat="1" x14ac:dyDescent="0.25"/>
    <row r="342" s="131" customFormat="1" x14ac:dyDescent="0.25"/>
    <row r="343" s="131" customFormat="1" x14ac:dyDescent="0.25"/>
    <row r="344" s="131" customFormat="1" x14ac:dyDescent="0.25"/>
    <row r="345" s="131" customFormat="1" x14ac:dyDescent="0.25"/>
    <row r="346" s="131" customFormat="1" x14ac:dyDescent="0.25"/>
    <row r="347" s="131" customFormat="1" x14ac:dyDescent="0.25"/>
    <row r="348" s="131" customFormat="1" x14ac:dyDescent="0.25"/>
    <row r="349" s="131" customFormat="1" x14ac:dyDescent="0.25"/>
    <row r="350" s="131" customFormat="1" x14ac:dyDescent="0.25"/>
    <row r="351" s="131" customFormat="1" x14ac:dyDescent="0.25"/>
    <row r="352" s="131" customFormat="1" x14ac:dyDescent="0.25"/>
    <row r="353" s="131" customFormat="1" x14ac:dyDescent="0.25"/>
    <row r="354" s="131" customFormat="1" x14ac:dyDescent="0.25"/>
    <row r="355" s="131" customFormat="1" x14ac:dyDescent="0.25"/>
    <row r="356" s="131" customFormat="1" x14ac:dyDescent="0.25"/>
    <row r="357" s="131" customFormat="1" x14ac:dyDescent="0.25"/>
    <row r="358" s="131" customFormat="1" x14ac:dyDescent="0.25"/>
    <row r="359" s="131" customFormat="1" x14ac:dyDescent="0.25"/>
    <row r="360" s="131" customFormat="1" x14ac:dyDescent="0.25"/>
    <row r="361" s="131" customFormat="1" x14ac:dyDescent="0.25"/>
    <row r="362" s="131" customFormat="1" x14ac:dyDescent="0.25"/>
    <row r="363" s="131" customFormat="1" x14ac:dyDescent="0.25"/>
    <row r="364" s="131" customFormat="1" x14ac:dyDescent="0.25"/>
    <row r="365" s="131" customFormat="1" x14ac:dyDescent="0.25"/>
    <row r="366" s="131" customFormat="1" x14ac:dyDescent="0.25"/>
    <row r="367" s="131" customFormat="1" x14ac:dyDescent="0.25"/>
    <row r="368" s="131" customFormat="1" x14ac:dyDescent="0.25"/>
    <row r="369" s="131" customFormat="1" x14ac:dyDescent="0.25"/>
    <row r="370" s="131" customFormat="1" x14ac:dyDescent="0.25"/>
    <row r="371" s="131" customFormat="1" x14ac:dyDescent="0.25"/>
    <row r="372" s="131" customFormat="1" x14ac:dyDescent="0.25"/>
    <row r="373" s="131" customFormat="1" x14ac:dyDescent="0.25"/>
    <row r="374" s="131" customFormat="1" x14ac:dyDescent="0.25"/>
    <row r="375" s="131" customFormat="1" x14ac:dyDescent="0.25"/>
    <row r="376" s="131" customFormat="1" x14ac:dyDescent="0.25"/>
    <row r="377" s="131" customFormat="1" x14ac:dyDescent="0.25"/>
    <row r="378" s="131" customFormat="1" x14ac:dyDescent="0.25"/>
    <row r="379" s="131" customFormat="1" x14ac:dyDescent="0.25"/>
    <row r="380" s="131" customFormat="1" x14ac:dyDescent="0.25"/>
    <row r="381" s="131" customFormat="1" x14ac:dyDescent="0.25"/>
    <row r="382" s="131" customFormat="1" x14ac:dyDescent="0.25"/>
    <row r="383" s="131" customFormat="1" x14ac:dyDescent="0.25"/>
    <row r="384" s="131" customFormat="1" x14ac:dyDescent="0.25"/>
    <row r="385" s="131" customFormat="1" x14ac:dyDescent="0.25"/>
    <row r="386" s="131" customFormat="1" x14ac:dyDescent="0.25"/>
    <row r="387" s="131" customFormat="1" x14ac:dyDescent="0.25"/>
    <row r="388" s="131" customFormat="1" x14ac:dyDescent="0.25"/>
    <row r="389" s="131" customFormat="1" x14ac:dyDescent="0.25"/>
    <row r="390" s="131" customFormat="1" x14ac:dyDescent="0.25"/>
    <row r="391" s="131" customFormat="1" x14ac:dyDescent="0.25"/>
    <row r="392" s="131" customFormat="1" x14ac:dyDescent="0.25"/>
    <row r="393" s="131" customFormat="1" x14ac:dyDescent="0.25"/>
    <row r="394" s="131" customFormat="1" x14ac:dyDescent="0.25"/>
    <row r="395" s="131" customFormat="1" x14ac:dyDescent="0.25"/>
    <row r="396" s="131" customFormat="1" x14ac:dyDescent="0.25"/>
    <row r="397" s="131" customFormat="1" x14ac:dyDescent="0.25"/>
    <row r="398" s="131" customFormat="1" x14ac:dyDescent="0.25"/>
    <row r="399" s="131" customFormat="1" x14ac:dyDescent="0.25"/>
    <row r="400" s="131" customFormat="1" x14ac:dyDescent="0.25"/>
    <row r="401" s="131" customFormat="1" x14ac:dyDescent="0.25"/>
    <row r="402" s="131" customFormat="1" x14ac:dyDescent="0.25"/>
    <row r="403" s="131" customFormat="1" x14ac:dyDescent="0.25"/>
  </sheetData>
  <phoneticPr fontId="6" type="noConversion"/>
  <printOptions horizontalCentered="1"/>
  <pageMargins left="0.33" right="0.3" top="0.4" bottom="0.4" header="0.5" footer="0.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4DC9493B9A00C48848E4895C2864180" ma:contentTypeVersion="135" ma:contentTypeDescription="" ma:contentTypeScope="" ma:versionID="4925e0369bd189ec64e03d0fff5749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Letter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2011-12-30T08:00:00+00:00</OpenedDate>
    <Date1 xmlns="dc463f71-b30c-4ab2-9473-d307f9d35888">2012-02-24T08:00:00+00:00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112226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D894E2E-EA66-4BE2-B4B1-99A5989F0E97}"/>
</file>

<file path=customXml/itemProps2.xml><?xml version="1.0" encoding="utf-8"?>
<ds:datastoreItem xmlns:ds="http://schemas.openxmlformats.org/officeDocument/2006/customXml" ds:itemID="{D215C8EB-0093-4107-B19F-03FB3254C9C7}"/>
</file>

<file path=customXml/itemProps3.xml><?xml version="1.0" encoding="utf-8"?>
<ds:datastoreItem xmlns:ds="http://schemas.openxmlformats.org/officeDocument/2006/customXml" ds:itemID="{3C07F090-8D05-4A0F-9E5E-01723A287AA9}"/>
</file>

<file path=customXml/itemProps4.xml><?xml version="1.0" encoding="utf-8"?>
<ds:datastoreItem xmlns:ds="http://schemas.openxmlformats.org/officeDocument/2006/customXml" ds:itemID="{1928A540-7210-4668-96E5-1401ACC8F9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</vt:lpstr>
      <vt:lpstr>Table 2</vt:lpstr>
      <vt:lpstr>Tables 3 to 4</vt:lpstr>
      <vt:lpstr>Tables 5</vt:lpstr>
      <vt:lpstr>Table 6</vt:lpstr>
      <vt:lpstr>'Table 1'!Print_Area</vt:lpstr>
      <vt:lpstr>'Table 2'!Print_Area</vt:lpstr>
      <vt:lpstr>'Table 6'!Print_Area</vt:lpstr>
      <vt:lpstr>'Tables 3 to 4'!Print_Area</vt:lpstr>
      <vt:lpstr>'Tables 5'!Print_Area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Catherine Taliaferro</cp:lastModifiedBy>
  <cp:lastPrinted>2012-02-24T19:39:18Z</cp:lastPrinted>
  <dcterms:created xsi:type="dcterms:W3CDTF">2001-03-19T15:45:46Z</dcterms:created>
  <dcterms:modified xsi:type="dcterms:W3CDTF">2012-02-24T23:53:41Z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0x0101006E56B4D1795A2E4DB2F0B01679ED314A0064DC9493B9A00C48848E4895C2864180</vt:lpwstr>
  </property>
  <property fmtid="{D5CDD505-2E9C-101B-9397-08002B2CF9AE}" pid="3" name="_docset_NoMedatataSyncRequired">
    <vt:lpwstr>False</vt:lpwstr>
  </property>
</Properties>
</file>