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45" firstSheet="5" activeTab="13"/>
  </bookViews>
  <sheets>
    <sheet name="RevReqSummary" sheetId="1" r:id="rId1"/>
    <sheet name="RevReqCalc" sheetId="2" r:id="rId2"/>
    <sheet name="Conversion factor" sheetId="3" r:id="rId3"/>
    <sheet name="cost of capital" sheetId="4" r:id="rId4"/>
    <sheet name="InterestSync" sheetId="5" r:id="rId5"/>
    <sheet name="Adjustments" sheetId="6" r:id="rId6"/>
    <sheet name="summary" sheetId="7" r:id="rId7"/>
    <sheet name="appendix" sheetId="8" r:id="rId8"/>
    <sheet name="Table1" sheetId="9" r:id="rId9"/>
    <sheet name="Table2" sheetId="10" r:id="rId10"/>
    <sheet name="Table3" sheetId="11" r:id="rId11"/>
    <sheet name="Table4" sheetId="12" r:id="rId12"/>
    <sheet name="Table5" sheetId="13" r:id="rId13"/>
    <sheet name="Table6" sheetId="14" r:id="rId14"/>
  </sheets>
  <definedNames>
    <definedName name="_xlnm.Print_Area" localSheetId="5">'Adjustments'!$C$8:$BH$84</definedName>
    <definedName name="_xlnm.Print_Area" localSheetId="2">'Conversion factor'!$B$1:$E$21</definedName>
    <definedName name="_xlnm.Print_Area" localSheetId="3">'cost of capital'!$A$1:$F$15</definedName>
    <definedName name="_xlnm.Print_Area" localSheetId="4">'InterestSync'!$A$1:$D$18</definedName>
    <definedName name="_xlnm.Print_Area" localSheetId="1">'RevReqCalc'!$A$1:$D$22</definedName>
    <definedName name="_xlnm.Print_Area" localSheetId="0">'RevReqSummary'!$C$8:$G$83</definedName>
    <definedName name="_xlnm.Print_Area" localSheetId="6">'summary'!$D$8:$H$83</definedName>
    <definedName name="_xlnm.Print_Area" localSheetId="8">'Table1'!$A$1:$D$65</definedName>
    <definedName name="_xlnm.Print_Area" localSheetId="9">'Table2'!$A$1:$D$66</definedName>
    <definedName name="_xlnm.Print_Area" localSheetId="10">'Table3'!$A$1:$F$17</definedName>
    <definedName name="_xlnm.Print_Area" localSheetId="11">'Table4'!$A$1:$E$18</definedName>
    <definedName name="_xlnm.Print_Area" localSheetId="12">'Table5'!$A$1:$D$24</definedName>
    <definedName name="_xlnm.Print_Area" localSheetId="13">'Table6'!$A$1:$D$22</definedName>
    <definedName name="_xlnm.Print_Titles" localSheetId="5">'Adjustments'!$A:$B,'Adjustments'!$1:$7</definedName>
    <definedName name="_xlnm.Print_Titles" localSheetId="0">'RevReqSummary'!$A:$B,'RevReqSummary'!$1:$7</definedName>
    <definedName name="_xlnm.Print_Titles" localSheetId="6">'summary'!$A:$C,'summary'!$1:$7</definedName>
    <definedName name="_xlnm.Print_Titles" localSheetId="8">'Table1'!$A:$C,'Table1'!$1:$5</definedName>
    <definedName name="_xlnm.Print_Titles" localSheetId="9">'Table2'!$A:$C,'Table2'!$1:$6</definedName>
  </definedNames>
  <calcPr fullCalcOnLoad="1"/>
</workbook>
</file>

<file path=xl/comments8.xml><?xml version="1.0" encoding="utf-8"?>
<comments xmlns="http://schemas.openxmlformats.org/spreadsheetml/2006/main">
  <authors>
    <author>Thomas Schooley</author>
  </authors>
  <commentList>
    <comment ref="B7" authorId="0">
      <text>
        <r>
          <rPr>
            <b/>
            <sz val="10"/>
            <rFont val="Tahoma"/>
            <family val="0"/>
          </rPr>
          <t>Thomas Schooley: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<sst xmlns="http://schemas.openxmlformats.org/spreadsheetml/2006/main" count="506" uniqueCount="372">
  <si>
    <t>Return on Rate Base</t>
  </si>
  <si>
    <t>Difference</t>
  </si>
  <si>
    <t>State of Washington</t>
  </si>
  <si>
    <t>Electric Utility Results of Operations</t>
  </si>
  <si>
    <t>Per Company</t>
  </si>
  <si>
    <t>Total</t>
  </si>
  <si>
    <t>Ratemaking</t>
  </si>
  <si>
    <t>Revenue</t>
  </si>
  <si>
    <t>SO2 Emission</t>
  </si>
  <si>
    <t>Centralia Gain</t>
  </si>
  <si>
    <t>Miscellaneous</t>
  </si>
  <si>
    <t xml:space="preserve">Property </t>
  </si>
  <si>
    <t>International</t>
  </si>
  <si>
    <t>Interest</t>
  </si>
  <si>
    <t>Flow-through</t>
  </si>
  <si>
    <t>JimBridger Mine</t>
  </si>
  <si>
    <t>Colstrip #4</t>
  </si>
  <si>
    <t>Update Cash</t>
  </si>
  <si>
    <t xml:space="preserve">Customer </t>
  </si>
  <si>
    <t>Adjustments</t>
  </si>
  <si>
    <t>Normalization</t>
  </si>
  <si>
    <t>Price Change</t>
  </si>
  <si>
    <t>Normalizing</t>
  </si>
  <si>
    <t>Allowances</t>
  </si>
  <si>
    <t>Gen. Expense</t>
  </si>
  <si>
    <t>ProForma</t>
  </si>
  <si>
    <t>Insurance</t>
  </si>
  <si>
    <t>Colstrip #3</t>
  </si>
  <si>
    <t>Removal</t>
  </si>
  <si>
    <t>Exchange</t>
  </si>
  <si>
    <t>True-up</t>
  </si>
  <si>
    <t>Tax Credit</t>
  </si>
  <si>
    <t>Settlement</t>
  </si>
  <si>
    <t>Rate Base</t>
  </si>
  <si>
    <t>AFUDC</t>
  </si>
  <si>
    <t>Amortization</t>
  </si>
  <si>
    <t>Working Capital</t>
  </si>
  <si>
    <t>Operating Revenues:</t>
  </si>
  <si>
    <t>General Business Revenues</t>
  </si>
  <si>
    <t>Interdepartmental</t>
  </si>
  <si>
    <t>Special Sales</t>
  </si>
  <si>
    <t>Other operating revenues</t>
  </si>
  <si>
    <t>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</si>
  <si>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</si>
  <si>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</si>
  <si>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</si>
  <si>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</si>
  <si>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</si>
  <si>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</si>
  <si>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</si>
  <si>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</si>
  <si>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</si>
  <si>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</si>
  <si>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</si>
  <si>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>Total O&amp;M Expense</t>
  </si>
  <si>
    <t>Depreciation</t>
  </si>
  <si>
    <t>Taxes Other than Income</t>
  </si>
  <si>
    <t>Income Taxes:  Federal</t>
  </si>
  <si>
    <t xml:space="preserve">                       :  State</t>
  </si>
  <si>
    <t>Deferred Income Taxes</t>
  </si>
  <si>
    <t>Investment Tax Credit Adj.</t>
  </si>
  <si>
    <t>Misc. Revenue &amp; Expense</t>
  </si>
  <si>
    <t>Total Operating Expenses:</t>
  </si>
  <si>
    <t>Operating Revenue for Return:</t>
  </si>
  <si>
    <t>Rate Base:</t>
  </si>
  <si>
    <t>Electric Plant in Service</t>
  </si>
  <si>
    <t>Plant Held for Future Use</t>
  </si>
  <si>
    <t>Misc. Deferred Debits</t>
  </si>
  <si>
    <t>Electric Plant Acq Adj</t>
  </si>
  <si>
    <t>Nuclear Fuel</t>
  </si>
  <si>
    <t>Prepayments</t>
  </si>
  <si>
    <t>Fuel Stock</t>
  </si>
  <si>
    <t>Material &amp; Supplies</t>
  </si>
  <si>
    <t>Weatherization Loans</t>
  </si>
  <si>
    <t>Misc. Rate Base</t>
  </si>
  <si>
    <t>Total Electric Plant:</t>
  </si>
  <si>
    <t>Deductions:</t>
  </si>
  <si>
    <t>Accum. Prov. for Depreciation</t>
  </si>
  <si>
    <t>Accum. Prov. for Amortization</t>
  </si>
  <si>
    <t>Accum. Deferred Income Tax</t>
  </si>
  <si>
    <t>Unamortized ITC</t>
  </si>
  <si>
    <t>Customer Advances for Const.</t>
  </si>
  <si>
    <t>Customer Service Deposits</t>
  </si>
  <si>
    <t>Miscellaneous Deductions</t>
  </si>
  <si>
    <t>Total Deductions:</t>
  </si>
  <si>
    <t>Total Rate Base:</t>
  </si>
  <si>
    <t>TAX CALCULATION</t>
  </si>
  <si>
    <t>State Income Tax Rate</t>
  </si>
  <si>
    <t>Federal Income Tax Rate</t>
  </si>
  <si>
    <t>Operating Revenue</t>
  </si>
  <si>
    <t>Other Deductions</t>
  </si>
  <si>
    <t>Interest (AFUDC)</t>
  </si>
  <si>
    <t>Schedule "M" additions</t>
  </si>
  <si>
    <t>Schedule "M" deductions</t>
  </si>
  <si>
    <t>Income Before Tax</t>
  </si>
  <si>
    <t>State Income Tax</t>
  </si>
  <si>
    <t>Taxable Income</t>
  </si>
  <si>
    <t>Adjustments to FIT</t>
  </si>
  <si>
    <t>Federal Income Tax</t>
  </si>
  <si>
    <t>xxxxxxxxxxxxxxxxxxxxxxxxxxxxxx</t>
  </si>
  <si>
    <t>Jurisdiction Specific Adjusted Rate Base</t>
  </si>
  <si>
    <t>Weighted Cost of Debt</t>
  </si>
  <si>
    <t>Pro forma interest Expense</t>
  </si>
  <si>
    <t>Actual Interest Expense</t>
  </si>
  <si>
    <t>Increase/(decrease) interest expense</t>
  </si>
  <si>
    <t>PacifiCorp Results of Operations For Ratemaking Purposes</t>
  </si>
  <si>
    <t>(1)</t>
  </si>
  <si>
    <t>(2)</t>
  </si>
  <si>
    <t>(3)</t>
  </si>
  <si>
    <t>(4)</t>
  </si>
  <si>
    <t>(5)</t>
  </si>
  <si>
    <t>Unadjusted</t>
  </si>
  <si>
    <t>Total Adjusted</t>
  </si>
  <si>
    <t>Results With</t>
  </si>
  <si>
    <t>Results</t>
  </si>
  <si>
    <t xml:space="preserve">at Present Rates </t>
  </si>
  <si>
    <t>Total Rate Base Deductions:</t>
  </si>
  <si>
    <t>Federal Income Tax-Current</t>
  </si>
  <si>
    <t>Cap.Structure</t>
  </si>
  <si>
    <t>Weighted Cost</t>
  </si>
  <si>
    <t>Long-term Debt</t>
  </si>
  <si>
    <t>Short term Debt</t>
  </si>
  <si>
    <t>Conversion Factor</t>
  </si>
  <si>
    <t>Operating Revenue Deductions:</t>
  </si>
  <si>
    <t>Uncollectible Accounts</t>
  </si>
  <si>
    <t>Franchise Tax</t>
  </si>
  <si>
    <t>WA Revenue Tax</t>
  </si>
  <si>
    <t>WUTC Fee</t>
  </si>
  <si>
    <t>Sub-Total</t>
  </si>
  <si>
    <t>Federal Income Tax @ 35%</t>
  </si>
  <si>
    <t>a) Net Rate Base - Washington Jurisdiction</t>
  </si>
  <si>
    <t>b) Proposed Rate of Return</t>
  </si>
  <si>
    <t>c) Net Operating Income Requirement</t>
  </si>
  <si>
    <t>d) Proforma Net Operating Income</t>
  </si>
  <si>
    <t>Weighted Average Cost of Capital</t>
  </si>
  <si>
    <t>customer accounting</t>
  </si>
  <si>
    <t>other taxes</t>
  </si>
  <si>
    <t>Revenue Sensitive Tax Rates</t>
  </si>
  <si>
    <t>Net Operating Income Conversion Factor</t>
  </si>
  <si>
    <t>f) NOI &gt; Revenue Conversion Factor</t>
  </si>
  <si>
    <t>Debt Rate</t>
  </si>
  <si>
    <t>Type of Capital</t>
  </si>
  <si>
    <t>Preferred Stock</t>
  </si>
  <si>
    <t>Common Stock</t>
  </si>
  <si>
    <t>DSM Amort</t>
  </si>
  <si>
    <t>Renewable Energy</t>
  </si>
  <si>
    <t>Trojan</t>
  </si>
  <si>
    <t>for the twelve months ended September 2004</t>
  </si>
  <si>
    <t>Adj.</t>
  </si>
  <si>
    <t>to adj. 7.1</t>
  </si>
  <si>
    <t>FIT above = sum of adjustments</t>
  </si>
  <si>
    <t>NOI</t>
  </si>
  <si>
    <t>Net Rate Base</t>
  </si>
  <si>
    <t>Requirement</t>
  </si>
  <si>
    <t>No.</t>
  </si>
  <si>
    <t>Impact</t>
  </si>
  <si>
    <t>Per Books</t>
  </si>
  <si>
    <t>IRS Settlement Amortization</t>
  </si>
  <si>
    <t>Cash Working Capital</t>
  </si>
  <si>
    <t>Bridger Mine Rate Base</t>
  </si>
  <si>
    <t>Remove</t>
  </si>
  <si>
    <t>Net Operating Income:</t>
  </si>
  <si>
    <t>Tax Rate</t>
  </si>
  <si>
    <t>Nominal</t>
  </si>
  <si>
    <t>PacifiCorp</t>
  </si>
  <si>
    <t>PacifiCorp General Rate Case</t>
  </si>
  <si>
    <t>Mechanics of the Exhibit</t>
  </si>
  <si>
    <t>Company uses inverse known as "Net to Gross Bump-up".</t>
  </si>
  <si>
    <t>Assignees</t>
  </si>
  <si>
    <t>Expense</t>
  </si>
  <si>
    <t>Deferred Tax</t>
  </si>
  <si>
    <t>IRS</t>
  </si>
  <si>
    <t>Advances</t>
  </si>
  <si>
    <t>Remove Current Assets</t>
  </si>
  <si>
    <t>Calculation of Revenue Requirement Deficiency or (Excess):</t>
  </si>
  <si>
    <t>Table 1</t>
  </si>
  <si>
    <t>Table 2</t>
  </si>
  <si>
    <t>Net Rate Base Impacts</t>
  </si>
  <si>
    <t>Net Operating Income Impacts</t>
  </si>
  <si>
    <t>Table 3</t>
  </si>
  <si>
    <t>Rate of Return</t>
  </si>
  <si>
    <t>Table 4</t>
  </si>
  <si>
    <t>Table 5</t>
  </si>
  <si>
    <t>Table 6</t>
  </si>
  <si>
    <t>Net Operating Income "Unadjusted"</t>
  </si>
  <si>
    <t>Net Rate Base "Unadjusted"</t>
  </si>
  <si>
    <t>Net Operating Income Requirement</t>
  </si>
  <si>
    <t>Proforma Net Operating Income</t>
  </si>
  <si>
    <t>Recommended Increase (Decrease) in Net Operating Income</t>
  </si>
  <si>
    <t>Net Operating Income Excess</t>
  </si>
  <si>
    <t>NOI &gt; Revenue Conversion Factor</t>
  </si>
  <si>
    <t>Capital</t>
  </si>
  <si>
    <t>Structure</t>
  </si>
  <si>
    <t>Rate</t>
  </si>
  <si>
    <r>
      <t xml:space="preserve">Revenue Requirement Calculation </t>
    </r>
  </si>
  <si>
    <t xml:space="preserve">Revenue Requirement Increase (Decrease) </t>
  </si>
  <si>
    <t xml:space="preserve">Staff Recommended </t>
  </si>
  <si>
    <t>Staff Recommended</t>
  </si>
  <si>
    <t>Adjustment</t>
  </si>
  <si>
    <t xml:space="preserve"> Total</t>
  </si>
  <si>
    <t xml:space="preserve">Weighted </t>
  </si>
  <si>
    <t>1*</t>
  </si>
  <si>
    <t>2*</t>
  </si>
  <si>
    <t>3*</t>
  </si>
  <si>
    <t>4*</t>
  </si>
  <si>
    <t>5*</t>
  </si>
  <si>
    <t>Sources:</t>
  </si>
  <si>
    <t>1*  From Table 5, line 5</t>
  </si>
  <si>
    <t>2*  From Table 4, line 11</t>
  </si>
  <si>
    <t>3*  Line 1 divided by line 3</t>
  </si>
  <si>
    <t>Adjusted Revenues at Present Rates</t>
  </si>
  <si>
    <t>5*  Line 5 divided by line 7.</t>
  </si>
  <si>
    <t>Notes</t>
  </si>
  <si>
    <t xml:space="preserve">Net Rate Base - Washington Jurisdiction  </t>
  </si>
  <si>
    <t xml:space="preserve">Proposed Rate of Return  </t>
  </si>
  <si>
    <t>Line 3:  Line 1 times line 2</t>
  </si>
  <si>
    <t>Line 5:  Line 3 less line 4</t>
  </si>
  <si>
    <t>Temperature</t>
  </si>
  <si>
    <t>Load Reduction</t>
  </si>
  <si>
    <t>Pole Attachment</t>
  </si>
  <si>
    <t>Green Tag</t>
  </si>
  <si>
    <t>Out of</t>
  </si>
  <si>
    <t>Period</t>
  </si>
  <si>
    <t>Affiliate</t>
  </si>
  <si>
    <t>Management Fee</t>
  </si>
  <si>
    <t>Commitment</t>
  </si>
  <si>
    <t>Corporate Cost</t>
  </si>
  <si>
    <t>A&amp;G</t>
  </si>
  <si>
    <t>BPA</t>
  </si>
  <si>
    <t>James River</t>
  </si>
  <si>
    <t>Royalty Offset</t>
  </si>
  <si>
    <t>Utah Gross</t>
  </si>
  <si>
    <t>Receipts Tax</t>
  </si>
  <si>
    <t>Deferred Income</t>
  </si>
  <si>
    <t>Tax Reclass</t>
  </si>
  <si>
    <t>Year-end Deferred</t>
  </si>
  <si>
    <t>Tax Adj.</t>
  </si>
  <si>
    <t>Low Income</t>
  </si>
  <si>
    <t>Midpoint</t>
  </si>
  <si>
    <t>Malin</t>
  </si>
  <si>
    <t>Deferred Debits</t>
  </si>
  <si>
    <t>Grid West</t>
  </si>
  <si>
    <t>Loan</t>
  </si>
  <si>
    <t>North Umpqua</t>
  </si>
  <si>
    <t>Relicensing</t>
  </si>
  <si>
    <t>Yakama</t>
  </si>
  <si>
    <t>Sale</t>
  </si>
  <si>
    <t>Centralia</t>
  </si>
  <si>
    <t>Line Sale</t>
  </si>
  <si>
    <t>Leaning</t>
  </si>
  <si>
    <t>Juniper</t>
  </si>
  <si>
    <t>Misc. Rate</t>
  </si>
  <si>
    <t>Base</t>
  </si>
  <si>
    <t>MEHC</t>
  </si>
  <si>
    <t>Transition</t>
  </si>
  <si>
    <t>Savings</t>
  </si>
  <si>
    <t>Out of Period Expense Adj.</t>
  </si>
  <si>
    <t>Interest True Up</t>
  </si>
  <si>
    <t xml:space="preserve"> </t>
  </si>
  <si>
    <t>Remove per books</t>
  </si>
  <si>
    <t>working capital</t>
  </si>
  <si>
    <t>current assets</t>
  </si>
  <si>
    <t>Per</t>
  </si>
  <si>
    <t>Staff</t>
  </si>
  <si>
    <t>Per Pacificorp</t>
  </si>
  <si>
    <t>filing</t>
  </si>
  <si>
    <t>difference</t>
  </si>
  <si>
    <t>corrected</t>
  </si>
  <si>
    <t>Customer</t>
  </si>
  <si>
    <t>Deposits</t>
  </si>
  <si>
    <t>Customer Deposits</t>
  </si>
  <si>
    <t>Production</t>
  </si>
  <si>
    <t>Activity</t>
  </si>
  <si>
    <t>(calculated)</t>
  </si>
  <si>
    <t>cross-footing check</t>
  </si>
  <si>
    <t>Capital Structure</t>
  </si>
  <si>
    <t>Long-term Debt / Cost</t>
  </si>
  <si>
    <t>Short term Debt / Cost</t>
  </si>
  <si>
    <t>Preferred Stock / Cost</t>
  </si>
  <si>
    <t>Common Stock / Cost</t>
  </si>
  <si>
    <t>Company</t>
  </si>
  <si>
    <t>Pro Forma</t>
  </si>
  <si>
    <t>Wages</t>
  </si>
  <si>
    <t>Proforma Wage Adjustment</t>
  </si>
  <si>
    <t>MEHC Transition Savings</t>
  </si>
  <si>
    <t>Percentage Increase in Revenues</t>
  </si>
  <si>
    <t>Summary of Adjustments</t>
  </si>
  <si>
    <t>Remove Working Capital</t>
  </si>
  <si>
    <t>Production Activity Deduction</t>
  </si>
  <si>
    <t>O &amp; M</t>
  </si>
  <si>
    <t>TAX ADJUSTMENTS</t>
  </si>
  <si>
    <t>RATE BASE</t>
  </si>
  <si>
    <t>REVENUE</t>
  </si>
  <si>
    <t>footnote</t>
  </si>
  <si>
    <t>PacifiCorp's</t>
  </si>
  <si>
    <t>Impact per Filing</t>
  </si>
  <si>
    <t>A</t>
  </si>
  <si>
    <t>B</t>
  </si>
  <si>
    <t>C</t>
  </si>
  <si>
    <t>D</t>
  </si>
  <si>
    <t>E</t>
  </si>
  <si>
    <t>F</t>
  </si>
  <si>
    <t>G</t>
  </si>
  <si>
    <t>H</t>
  </si>
  <si>
    <t>Staff's</t>
  </si>
  <si>
    <t>Water Year</t>
  </si>
  <si>
    <t>Misc</t>
  </si>
  <si>
    <t>Power Supply</t>
  </si>
  <si>
    <t>Misc. Power Supply</t>
  </si>
  <si>
    <t>Water Year Adjustment</t>
  </si>
  <si>
    <t>ISWC</t>
  </si>
  <si>
    <t>Temperature Normalization (u)</t>
  </si>
  <si>
    <t>ProForma Reduction in Load (u)</t>
  </si>
  <si>
    <t>Revenue Normalizing (u)</t>
  </si>
  <si>
    <t>Centralia Gain (u)</t>
  </si>
  <si>
    <t>Pole Attachment Revenue (u)</t>
  </si>
  <si>
    <t>SO2 Emission Allowances (u)</t>
  </si>
  <si>
    <t>Green Tag Removal (u)</t>
  </si>
  <si>
    <t>Miscellaneous General Expense (u)</t>
  </si>
  <si>
    <t>International Assignees (u)</t>
  </si>
  <si>
    <t>Propety Insurance (u)</t>
  </si>
  <si>
    <t>Affiliate Fee Commitment (u)</t>
  </si>
  <si>
    <t>DSM Amortization Removal (u)</t>
  </si>
  <si>
    <t>Corporate Cost Commitment (u)</t>
  </si>
  <si>
    <t>A&amp;G Expense Commitment (u)</t>
  </si>
  <si>
    <t>BPA Exchange (u)</t>
  </si>
  <si>
    <t>James River Royalty Offset (u)</t>
  </si>
  <si>
    <t>Removal of Colstrip #3 (u)</t>
  </si>
  <si>
    <t>Utah Gross Receipts Tax (u)</t>
  </si>
  <si>
    <t>Reclass Deferred Income Tax (u)</t>
  </si>
  <si>
    <t>Malin Midpoint (u)</t>
  </si>
  <si>
    <t>Flow-through Deferred Tax Adj. (u)</t>
  </si>
  <si>
    <t>Year-end Deferred Tax (u)</t>
  </si>
  <si>
    <t>Renewable Energy Tax Credit (u)</t>
  </si>
  <si>
    <t>Low Income Tax Credit (u)</t>
  </si>
  <si>
    <t>Remove Deferred Debits (u)</t>
  </si>
  <si>
    <t>Grid West Loan (u)</t>
  </si>
  <si>
    <t>North Umpqua Relicensing (u)</t>
  </si>
  <si>
    <t>Yakama Sale (u)</t>
  </si>
  <si>
    <t>Customer Advances (u)</t>
  </si>
  <si>
    <t>Centralia Transmission Line Sale (u)</t>
  </si>
  <si>
    <t>Leaning Juniper (u)</t>
  </si>
  <si>
    <t>Miscellaneous Rate Base Adj. (u)</t>
  </si>
  <si>
    <t>Colstrip 4 AFUDC Adj. (u)</t>
  </si>
  <si>
    <t>Trojan Removal (u)</t>
  </si>
  <si>
    <t>1*  Exhibit ___ (PMW-4) at page 2.17, line 1229</t>
  </si>
  <si>
    <t>Add Adj. 3.6 back to rate base</t>
  </si>
  <si>
    <t>For The Twelve Months Ended March 2006 - Washington</t>
  </si>
  <si>
    <t>Appendix to Exhibit No. ___ (TES-2)</t>
  </si>
  <si>
    <t>NOI Impact</t>
  </si>
  <si>
    <t>Staff Recommended Weighted Average Cost of Capital with a PCAM</t>
  </si>
  <si>
    <t>With PCAM</t>
  </si>
  <si>
    <t>4*  Exhibit ___(TES-2) at 1, line 1, column 3</t>
  </si>
  <si>
    <t>Increase to Revenue Requirements</t>
  </si>
  <si>
    <t>Adjustment 7.1, Interest True-up</t>
  </si>
  <si>
    <t>g) Revenue Requirement Deficiency (line e/line f)</t>
  </si>
  <si>
    <t>Deduction</t>
  </si>
  <si>
    <t>With PCAM Risk Offset</t>
  </si>
  <si>
    <t>Rate Base Impact</t>
  </si>
  <si>
    <t>Increase in Net Operating Income</t>
  </si>
  <si>
    <t>e) Net Operating Income Deficiency</t>
  </si>
  <si>
    <t>REVENUES</t>
  </si>
  <si>
    <t>POWER COSTS</t>
  </si>
  <si>
    <t>Revised CAGW &amp; SO Factors</t>
  </si>
  <si>
    <t>STAFF PROPOSED</t>
  </si>
  <si>
    <t>Revised CAGW</t>
  </si>
  <si>
    <t>&amp; SO Allocators</t>
  </si>
  <si>
    <t>revised</t>
  </si>
  <si>
    <t>Line 1:  From Table 2, line 60</t>
  </si>
  <si>
    <t>Line 4:  From Table 1, line 60</t>
  </si>
  <si>
    <t>Line 2:  From Table 3, line 5</t>
  </si>
  <si>
    <t>Percentage increase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</si>
</sst>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%"/>
    <numFmt numFmtId="175" formatCode="0.00000%"/>
    <numFmt numFmtId="176" formatCode="_(&quot;$&quot;* #,##0.000_);_(&quot;$&quot;* \(#,##0.000\);_(&quot;$&quot;* &quot;-&quot;??_);_(@_)"/>
    <numFmt numFmtId="177" formatCode="0_)"/>
    <numFmt numFmtId="178" formatCode="#,##0.0_);\(#,##0.0\)"/>
    <numFmt numFmtId="179" formatCode="0.00_)"/>
    <numFmt numFmtId="180" formatCode="dd\-mmm\-yy_)"/>
    <numFmt numFmtId="181" formatCode="0.0"/>
    <numFmt numFmtId="182" formatCode="0.00000000%"/>
    <numFmt numFmtId="183" formatCode="0.000000%"/>
    <numFmt numFmtId="184" formatCode="&quot;$&quot;#,##0"/>
    <numFmt numFmtId="185" formatCode="0.000000"/>
    <numFmt numFmtId="186" formatCode="0.0000000%"/>
    <numFmt numFmtId="187" formatCode="0.000000000%"/>
    <numFmt numFmtId="188" formatCode="0.0000000000%"/>
    <numFmt numFmtId="189" formatCode="0.00000000000%"/>
    <numFmt numFmtId="190" formatCode="_(* #,##0.0000000_);_(* \(#,##0.0000000\);_(* &quot;-&quot;??_);_(@_)"/>
    <numFmt numFmtId="191" formatCode="_(* #,##0.00000000_);_(* \(#,##0.00000000\);_(* &quot;-&quot;??_);_(@_)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sz val="10"/>
      <color indexed="13"/>
      <name val="Times New Roman"/>
      <family val="1"/>
    </font>
    <font>
      <sz val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5" fontId="6" fillId="0" borderId="0" xfId="15" applyNumberFormat="1" applyFont="1" applyAlignment="1">
      <alignment/>
    </xf>
    <xf numFmtId="165" fontId="0" fillId="0" borderId="0" xfId="15" applyNumberFormat="1" applyAlignment="1">
      <alignment/>
    </xf>
    <xf numFmtId="174" fontId="6" fillId="0" borderId="0" xfId="21" applyNumberFormat="1" applyFont="1" applyAlignment="1">
      <alignment/>
    </xf>
    <xf numFmtId="165" fontId="6" fillId="0" borderId="0" xfId="15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65" fontId="9" fillId="0" borderId="0" xfId="15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5" fontId="9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9" fillId="0" borderId="3" xfId="0" applyNumberFormat="1" applyFont="1" applyBorder="1" applyAlignment="1" applyProtection="1">
      <alignment/>
      <protection/>
    </xf>
    <xf numFmtId="37" fontId="9" fillId="0" borderId="3" xfId="0" applyNumberFormat="1" applyFont="1" applyFill="1" applyBorder="1" applyAlignment="1" applyProtection="1">
      <alignment/>
      <protection/>
    </xf>
    <xf numFmtId="181" fontId="6" fillId="0" borderId="0" xfId="0" applyNumberFormat="1" applyFont="1" applyFill="1" applyAlignment="1">
      <alignment horizontal="center"/>
    </xf>
    <xf numFmtId="0" fontId="10" fillId="0" borderId="4" xfId="0" applyFont="1" applyBorder="1" applyAlignment="1" applyProtection="1">
      <alignment horizontal="right"/>
      <protection/>
    </xf>
    <xf numFmtId="0" fontId="12" fillId="2" borderId="5" xfId="0" applyFont="1" applyFill="1" applyBorder="1" applyAlignment="1" applyProtection="1">
      <alignment/>
      <protection/>
    </xf>
    <xf numFmtId="37" fontId="9" fillId="0" borderId="4" xfId="0" applyNumberFormat="1" applyFont="1" applyBorder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75" fontId="6" fillId="0" borderId="0" xfId="21" applyNumberFormat="1" applyFont="1" applyAlignment="1">
      <alignment/>
    </xf>
    <xf numFmtId="0" fontId="6" fillId="0" borderId="0" xfId="0" applyFont="1" applyFill="1" applyBorder="1" applyAlignment="1" quotePrefix="1">
      <alignment horizontal="center"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37" fontId="9" fillId="0" borderId="0" xfId="0" applyNumberFormat="1" applyFont="1" applyFill="1" applyAlignment="1" applyProtection="1">
      <alignment/>
      <protection/>
    </xf>
    <xf numFmtId="10" fontId="9" fillId="0" borderId="0" xfId="0" applyNumberFormat="1" applyFont="1" applyFill="1" applyAlignment="1" applyProtection="1">
      <alignment/>
      <protection/>
    </xf>
    <xf numFmtId="37" fontId="9" fillId="0" borderId="6" xfId="0" applyNumberFormat="1" applyFont="1" applyFill="1" applyBorder="1" applyAlignment="1" applyProtection="1">
      <alignment/>
      <protection/>
    </xf>
    <xf numFmtId="5" fontId="9" fillId="0" borderId="1" xfId="0" applyNumberFormat="1" applyFont="1" applyFill="1" applyBorder="1" applyAlignment="1" applyProtection="1">
      <alignment/>
      <protection/>
    </xf>
    <xf numFmtId="37" fontId="9" fillId="0" borderId="4" xfId="0" applyNumberFormat="1" applyFont="1" applyFill="1" applyBorder="1" applyAlignment="1" applyProtection="1">
      <alignment/>
      <protection/>
    </xf>
    <xf numFmtId="169" fontId="6" fillId="0" borderId="0" xfId="17" applyNumberFormat="1" applyFont="1" applyAlignment="1">
      <alignment/>
    </xf>
    <xf numFmtId="165" fontId="6" fillId="0" borderId="0" xfId="0" applyNumberFormat="1" applyFont="1" applyAlignment="1">
      <alignment/>
    </xf>
    <xf numFmtId="9" fontId="6" fillId="0" borderId="0" xfId="21" applyFont="1" applyAlignment="1">
      <alignment/>
    </xf>
    <xf numFmtId="167" fontId="6" fillId="0" borderId="0" xfId="21" applyNumberFormat="1" applyFont="1" applyAlignment="1">
      <alignment/>
    </xf>
    <xf numFmtId="165" fontId="6" fillId="0" borderId="2" xfId="15" applyNumberFormat="1" applyFont="1" applyBorder="1" applyAlignment="1">
      <alignment/>
    </xf>
    <xf numFmtId="0" fontId="6" fillId="0" borderId="0" xfId="0" applyFont="1" applyAlignment="1">
      <alignment horizontal="left"/>
    </xf>
    <xf numFmtId="10" fontId="13" fillId="0" borderId="0" xfId="21" applyNumberFormat="1" applyFont="1" applyAlignment="1">
      <alignment/>
    </xf>
    <xf numFmtId="174" fontId="13" fillId="0" borderId="0" xfId="21" applyNumberFormat="1" applyFont="1" applyAlignment="1">
      <alignment/>
    </xf>
    <xf numFmtId="175" fontId="13" fillId="0" borderId="0" xfId="21" applyNumberFormat="1" applyFont="1" applyAlignment="1">
      <alignment/>
    </xf>
    <xf numFmtId="0" fontId="13" fillId="0" borderId="0" xfId="0" applyFont="1" applyAlignment="1" applyProtection="1">
      <alignment horizontal="right"/>
      <protection/>
    </xf>
    <xf numFmtId="174" fontId="13" fillId="0" borderId="0" xfId="21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10" fontId="13" fillId="0" borderId="0" xfId="21" applyNumberFormat="1" applyFont="1" applyAlignment="1" applyProtection="1">
      <alignment/>
      <protection/>
    </xf>
    <xf numFmtId="167" fontId="13" fillId="0" borderId="0" xfId="21" applyNumberFormat="1" applyFont="1" applyAlignment="1" applyProtection="1">
      <alignment/>
      <protection/>
    </xf>
    <xf numFmtId="0" fontId="6" fillId="0" borderId="0" xfId="0" applyFont="1" applyAlignment="1">
      <alignment horizontal="right"/>
    </xf>
    <xf numFmtId="165" fontId="15" fillId="0" borderId="0" xfId="15" applyNumberFormat="1" applyFont="1" applyAlignment="1">
      <alignment/>
    </xf>
    <xf numFmtId="165" fontId="15" fillId="0" borderId="0" xfId="0" applyNumberFormat="1" applyFont="1" applyAlignment="1">
      <alignment/>
    </xf>
    <xf numFmtId="0" fontId="14" fillId="0" borderId="0" xfId="0" applyFont="1" applyAlignment="1" applyProtection="1">
      <alignment horizontal="left"/>
      <protection/>
    </xf>
    <xf numFmtId="180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4" fontId="13" fillId="0" borderId="0" xfId="21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74" fontId="13" fillId="0" borderId="0" xfId="21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37" fontId="13" fillId="0" borderId="0" xfId="0" applyNumberFormat="1" applyFont="1" applyAlignment="1" applyProtection="1">
      <alignment/>
      <protection/>
    </xf>
    <xf numFmtId="174" fontId="13" fillId="0" borderId="0" xfId="21" applyNumberFormat="1" applyFont="1" applyBorder="1" applyAlignment="1" applyProtection="1">
      <alignment horizontal="right"/>
      <protection/>
    </xf>
    <xf numFmtId="37" fontId="13" fillId="0" borderId="0" xfId="0" applyNumberFormat="1" applyFont="1" applyBorder="1" applyAlignment="1" applyProtection="1">
      <alignment/>
      <protection/>
    </xf>
    <xf numFmtId="174" fontId="13" fillId="0" borderId="2" xfId="21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165" fontId="6" fillId="0" borderId="0" xfId="15" applyNumberFormat="1" applyFont="1" applyFill="1" applyAlignment="1">
      <alignment/>
    </xf>
    <xf numFmtId="0" fontId="6" fillId="0" borderId="0" xfId="0" applyFont="1" applyAlignment="1">
      <alignment wrapText="1"/>
    </xf>
    <xf numFmtId="0" fontId="1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65" fontId="6" fillId="0" borderId="0" xfId="15" applyNumberFormat="1" applyFont="1" applyFill="1" applyAlignment="1">
      <alignment/>
    </xf>
    <xf numFmtId="165" fontId="6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65" fontId="6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 wrapText="1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169" fontId="6" fillId="0" borderId="0" xfId="17" applyNumberFormat="1" applyFont="1" applyFill="1" applyBorder="1" applyAlignment="1">
      <alignment/>
    </xf>
    <xf numFmtId="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5" fontId="6" fillId="0" borderId="0" xfId="15" applyNumberFormat="1" applyFont="1" applyFill="1" applyBorder="1" applyAlignment="1">
      <alignment horizontal="right"/>
    </xf>
    <xf numFmtId="0" fontId="14" fillId="0" borderId="0" xfId="0" applyFont="1" applyAlignment="1" applyProtection="1">
      <alignment/>
      <protection/>
    </xf>
    <xf numFmtId="37" fontId="13" fillId="0" borderId="0" xfId="0" applyNumberFormat="1" applyFont="1" applyFill="1" applyAlignment="1" applyProtection="1">
      <alignment/>
      <protection/>
    </xf>
    <xf numFmtId="37" fontId="14" fillId="0" borderId="0" xfId="0" applyNumberFormat="1" applyFont="1" applyFill="1" applyAlignment="1" applyProtection="1">
      <alignment/>
      <protection/>
    </xf>
    <xf numFmtId="174" fontId="13" fillId="0" borderId="0" xfId="21" applyNumberFormat="1" applyFont="1" applyFill="1" applyAlignment="1" applyProtection="1">
      <alignment/>
      <protection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174" fontId="13" fillId="0" borderId="0" xfId="0" applyNumberFormat="1" applyFont="1" applyAlignment="1" applyProtection="1">
      <alignment/>
      <protection/>
    </xf>
    <xf numFmtId="174" fontId="13" fillId="0" borderId="0" xfId="0" applyNumberFormat="1" applyFont="1" applyAlignment="1" applyProtection="1">
      <alignment horizontal="right"/>
      <protection/>
    </xf>
    <xf numFmtId="166" fontId="6" fillId="0" borderId="0" xfId="21" applyNumberFormat="1" applyFont="1" applyAlignment="1">
      <alignment/>
    </xf>
    <xf numFmtId="167" fontId="13" fillId="0" borderId="0" xfId="21" applyNumberFormat="1" applyFont="1" applyAlignment="1">
      <alignment/>
    </xf>
    <xf numFmtId="0" fontId="9" fillId="0" borderId="0" xfId="0" applyFont="1" applyAlignment="1" applyProtection="1">
      <alignment/>
      <protection/>
    </xf>
    <xf numFmtId="180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>
      <alignment horizontal="center"/>
    </xf>
    <xf numFmtId="181" fontId="9" fillId="0" borderId="0" xfId="15" applyNumberFormat="1" applyFont="1" applyFill="1" applyAlignment="1" applyProtection="1">
      <alignment horizontal="center"/>
      <protection/>
    </xf>
    <xf numFmtId="181" fontId="9" fillId="0" borderId="0" xfId="15" applyNumberFormat="1" applyFont="1" applyFill="1" applyAlignment="1">
      <alignment horizontal="center"/>
    </xf>
    <xf numFmtId="2" fontId="9" fillId="0" borderId="0" xfId="15" applyNumberFormat="1" applyFont="1" applyFill="1" applyAlignment="1">
      <alignment horizontal="center"/>
    </xf>
    <xf numFmtId="165" fontId="9" fillId="0" borderId="0" xfId="15" applyNumberFormat="1" applyFont="1" applyAlignment="1" applyProtection="1">
      <alignment horizontal="center"/>
      <protection/>
    </xf>
    <xf numFmtId="165" fontId="18" fillId="0" borderId="0" xfId="15" applyNumberFormat="1" applyFont="1" applyAlignment="1" applyProtection="1">
      <alignment horizontal="center"/>
      <protection/>
    </xf>
    <xf numFmtId="165" fontId="9" fillId="0" borderId="0" xfId="15" applyNumberFormat="1" applyFont="1" applyAlignment="1">
      <alignment/>
    </xf>
    <xf numFmtId="165" fontId="10" fillId="0" borderId="3" xfId="15" applyNumberFormat="1" applyFont="1" applyBorder="1" applyAlignment="1" applyProtection="1">
      <alignment/>
      <protection/>
    </xf>
    <xf numFmtId="165" fontId="11" fillId="0" borderId="0" xfId="15" applyNumberFormat="1" applyFont="1" applyFill="1" applyAlignment="1" applyProtection="1">
      <alignment/>
      <protection/>
    </xf>
    <xf numFmtId="165" fontId="19" fillId="0" borderId="0" xfId="15" applyNumberFormat="1" applyFont="1" applyFill="1" applyAlignment="1" applyProtection="1">
      <alignment/>
      <protection/>
    </xf>
    <xf numFmtId="165" fontId="9" fillId="0" borderId="0" xfId="15" applyNumberFormat="1" applyFont="1" applyFill="1" applyAlignment="1" applyProtection="1">
      <alignment/>
      <protection/>
    </xf>
    <xf numFmtId="165" fontId="9" fillId="0" borderId="0" xfId="15" applyNumberFormat="1" applyFont="1" applyFill="1" applyAlignment="1">
      <alignment/>
    </xf>
    <xf numFmtId="0" fontId="10" fillId="0" borderId="0" xfId="0" applyFont="1" applyAlignment="1" applyProtection="1">
      <alignment horizontal="right"/>
      <protection/>
    </xf>
    <xf numFmtId="165" fontId="10" fillId="0" borderId="8" xfId="15" applyNumberFormat="1" applyFont="1" applyBorder="1" applyAlignment="1" applyProtection="1">
      <alignment/>
      <protection/>
    </xf>
    <xf numFmtId="165" fontId="10" fillId="0" borderId="0" xfId="15" applyNumberFormat="1" applyFont="1" applyBorder="1" applyAlignment="1" applyProtection="1">
      <alignment/>
      <protection/>
    </xf>
    <xf numFmtId="165" fontId="9" fillId="0" borderId="3" xfId="15" applyNumberFormat="1" applyFont="1" applyBorder="1" applyAlignment="1" applyProtection="1">
      <alignment/>
      <protection/>
    </xf>
    <xf numFmtId="165" fontId="9" fillId="0" borderId="3" xfId="15" applyNumberFormat="1" applyFont="1" applyFill="1" applyBorder="1" applyAlignment="1" applyProtection="1">
      <alignment/>
      <protection/>
    </xf>
    <xf numFmtId="165" fontId="10" fillId="0" borderId="4" xfId="15" applyNumberFormat="1" applyFont="1" applyFill="1" applyBorder="1" applyAlignment="1" applyProtection="1">
      <alignment/>
      <protection/>
    </xf>
    <xf numFmtId="165" fontId="10" fillId="0" borderId="4" xfId="15" applyNumberFormat="1" applyFont="1" applyBorder="1" applyAlignment="1" applyProtection="1">
      <alignment/>
      <protection/>
    </xf>
    <xf numFmtId="165" fontId="10" fillId="0" borderId="0" xfId="15" applyNumberFormat="1" applyFont="1" applyAlignment="1" applyProtection="1">
      <alignment/>
      <protection/>
    </xf>
    <xf numFmtId="10" fontId="10" fillId="2" borderId="5" xfId="0" applyNumberFormat="1" applyFont="1" applyFill="1" applyBorder="1" applyAlignment="1" applyProtection="1">
      <alignment/>
      <protection/>
    </xf>
    <xf numFmtId="174" fontId="9" fillId="2" borderId="5" xfId="0" applyNumberFormat="1" applyFont="1" applyFill="1" applyBorder="1" applyAlignment="1" applyProtection="1">
      <alignment/>
      <protection/>
    </xf>
    <xf numFmtId="10" fontId="9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165" fontId="9" fillId="0" borderId="1" xfId="15" applyNumberFormat="1" applyFont="1" applyBorder="1" applyAlignment="1">
      <alignment/>
    </xf>
    <xf numFmtId="165" fontId="9" fillId="0" borderId="6" xfId="15" applyNumberFormat="1" applyFont="1" applyBorder="1" applyAlignment="1" applyProtection="1">
      <alignment/>
      <protection/>
    </xf>
    <xf numFmtId="165" fontId="9" fillId="0" borderId="9" xfId="15" applyNumberFormat="1" applyFont="1" applyFill="1" applyBorder="1" applyAlignment="1">
      <alignment/>
    </xf>
    <xf numFmtId="165" fontId="9" fillId="0" borderId="4" xfId="15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165" fontId="9" fillId="0" borderId="0" xfId="0" applyNumberFormat="1" applyFont="1" applyAlignment="1">
      <alignment/>
    </xf>
    <xf numFmtId="181" fontId="9" fillId="0" borderId="0" xfId="15" applyNumberFormat="1" applyFont="1" applyAlignment="1" applyProtection="1">
      <alignment horizontal="center"/>
      <protection/>
    </xf>
    <xf numFmtId="181" fontId="9" fillId="0" borderId="0" xfId="15" applyNumberFormat="1" applyFont="1" applyAlignment="1">
      <alignment horizontal="center"/>
    </xf>
    <xf numFmtId="2" fontId="9" fillId="0" borderId="0" xfId="15" applyNumberFormat="1" applyFont="1" applyAlignment="1">
      <alignment horizontal="center"/>
    </xf>
    <xf numFmtId="165" fontId="9" fillId="4" borderId="0" xfId="0" applyNumberFormat="1" applyFont="1" applyFill="1" applyAlignment="1">
      <alignment/>
    </xf>
    <xf numFmtId="0" fontId="9" fillId="0" borderId="0" xfId="0" applyFont="1" applyAlignment="1">
      <alignment wrapText="1"/>
    </xf>
    <xf numFmtId="0" fontId="16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10" fontId="13" fillId="0" borderId="10" xfId="21" applyNumberFormat="1" applyFont="1" applyBorder="1" applyAlignment="1" applyProtection="1">
      <alignment/>
      <protection/>
    </xf>
    <xf numFmtId="175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65" fontId="6" fillId="0" borderId="2" xfId="15" applyNumberFormat="1" applyFont="1" applyBorder="1" applyAlignment="1">
      <alignment horizontal="center"/>
    </xf>
    <xf numFmtId="0" fontId="7" fillId="0" borderId="0" xfId="0" applyFont="1" applyAlignment="1" applyProtection="1">
      <alignment horizontal="left"/>
      <protection/>
    </xf>
    <xf numFmtId="5" fontId="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5" fontId="6" fillId="0" borderId="0" xfId="17" applyNumberFormat="1" applyFont="1" applyFill="1" applyAlignment="1" applyProtection="1">
      <alignment/>
      <protection/>
    </xf>
    <xf numFmtId="5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7" fillId="0" borderId="3" xfId="0" applyNumberFormat="1" applyFont="1" applyBorder="1" applyAlignment="1" applyProtection="1">
      <alignment horizontal="right"/>
      <protection/>
    </xf>
    <xf numFmtId="5" fontId="7" fillId="0" borderId="3" xfId="0" applyNumberFormat="1" applyFont="1" applyFill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8" xfId="0" applyNumberFormat="1" applyFont="1" applyBorder="1" applyAlignment="1" applyProtection="1">
      <alignment horizontal="right"/>
      <protection/>
    </xf>
    <xf numFmtId="37" fontId="6" fillId="0" borderId="8" xfId="0" applyNumberFormat="1" applyFont="1" applyFill="1" applyBorder="1" applyAlignment="1" applyProtection="1">
      <alignment/>
      <protection/>
    </xf>
    <xf numFmtId="37" fontId="6" fillId="0" borderId="3" xfId="0" applyNumberFormat="1" applyFont="1" applyFill="1" applyBorder="1" applyAlignment="1" applyProtection="1">
      <alignment horizontal="right"/>
      <protection/>
    </xf>
    <xf numFmtId="37" fontId="6" fillId="0" borderId="3" xfId="0" applyNumberFormat="1" applyFont="1" applyFill="1" applyBorder="1" applyAlignment="1" applyProtection="1">
      <alignment/>
      <protection/>
    </xf>
    <xf numFmtId="0" fontId="7" fillId="0" borderId="4" xfId="0" applyFont="1" applyBorder="1" applyAlignment="1" applyProtection="1">
      <alignment horizontal="right"/>
      <protection/>
    </xf>
    <xf numFmtId="5" fontId="7" fillId="0" borderId="4" xfId="0" applyNumberFormat="1" applyFont="1" applyFill="1" applyBorder="1" applyAlignment="1" applyProtection="1">
      <alignment/>
      <protection/>
    </xf>
    <xf numFmtId="37" fontId="6" fillId="0" borderId="3" xfId="0" applyNumberFormat="1" applyFont="1" applyBorder="1" applyAlignment="1" applyProtection="1">
      <alignment horizontal="right"/>
      <protection/>
    </xf>
    <xf numFmtId="37" fontId="7" fillId="0" borderId="4" xfId="0" applyNumberFormat="1" applyFont="1" applyFill="1" applyBorder="1" applyAlignment="1" applyProtection="1">
      <alignment/>
      <protection/>
    </xf>
    <xf numFmtId="0" fontId="21" fillId="2" borderId="5" xfId="0" applyFont="1" applyFill="1" applyBorder="1" applyAlignment="1" applyProtection="1">
      <alignment/>
      <protection/>
    </xf>
    <xf numFmtId="167" fontId="7" fillId="0" borderId="5" xfId="0" applyNumberFormat="1" applyFont="1" applyFill="1" applyBorder="1" applyAlignment="1" applyProtection="1">
      <alignment/>
      <protection/>
    </xf>
    <xf numFmtId="174" fontId="6" fillId="0" borderId="5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quotePrefix="1">
      <alignment horizontal="center"/>
    </xf>
    <xf numFmtId="165" fontId="6" fillId="0" borderId="7" xfId="15" applyNumberFormat="1" applyFont="1" applyFill="1" applyBorder="1" applyAlignment="1">
      <alignment/>
    </xf>
    <xf numFmtId="5" fontId="0" fillId="0" borderId="0" xfId="0" applyNumberFormat="1" applyAlignment="1">
      <alignment/>
    </xf>
    <xf numFmtId="169" fontId="0" fillId="0" borderId="0" xfId="17" applyNumberFormat="1" applyAlignment="1">
      <alignment/>
    </xf>
    <xf numFmtId="165" fontId="6" fillId="0" borderId="0" xfId="0" applyNumberFormat="1" applyFont="1" applyFill="1" applyAlignment="1">
      <alignment/>
    </xf>
    <xf numFmtId="10" fontId="13" fillId="0" borderId="1" xfId="21" applyNumberFormat="1" applyFont="1" applyBorder="1" applyAlignment="1" applyProtection="1">
      <alignment/>
      <protection/>
    </xf>
    <xf numFmtId="0" fontId="9" fillId="0" borderId="0" xfId="0" applyFont="1" applyFill="1" applyAlignment="1">
      <alignment/>
    </xf>
    <xf numFmtId="166" fontId="6" fillId="0" borderId="0" xfId="21" applyNumberFormat="1" applyFont="1" applyFill="1" applyBorder="1" applyAlignment="1">
      <alignment/>
    </xf>
    <xf numFmtId="166" fontId="6" fillId="0" borderId="0" xfId="21" applyNumberFormat="1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184" fontId="6" fillId="0" borderId="0" xfId="15" applyNumberFormat="1" applyFont="1" applyFill="1" applyAlignment="1">
      <alignment/>
    </xf>
    <xf numFmtId="169" fontId="6" fillId="0" borderId="0" xfId="17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185" fontId="6" fillId="0" borderId="0" xfId="0" applyNumberFormat="1" applyFont="1" applyFill="1" applyBorder="1" applyAlignment="1">
      <alignment/>
    </xf>
    <xf numFmtId="166" fontId="6" fillId="0" borderId="0" xfId="21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0" fontId="13" fillId="0" borderId="0" xfId="21" applyNumberFormat="1" applyFont="1" applyFill="1" applyAlignment="1">
      <alignment/>
    </xf>
    <xf numFmtId="10" fontId="13" fillId="0" borderId="1" xfId="21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174" fontId="6" fillId="0" borderId="0" xfId="21" applyNumberFormat="1" applyFont="1" applyFill="1" applyBorder="1" applyAlignment="1">
      <alignment horizontal="right"/>
    </xf>
    <xf numFmtId="10" fontId="6" fillId="0" borderId="0" xfId="21" applyNumberFormat="1" applyFont="1" applyFill="1" applyBorder="1" applyAlignment="1">
      <alignment horizontal="right"/>
    </xf>
    <xf numFmtId="174" fontId="14" fillId="0" borderId="7" xfId="21" applyNumberFormat="1" applyFont="1" applyBorder="1" applyAlignment="1" applyProtection="1">
      <alignment horizontal="right"/>
      <protection/>
    </xf>
    <xf numFmtId="43" fontId="6" fillId="0" borderId="0" xfId="15" applyFont="1" applyFill="1" applyAlignment="1">
      <alignment/>
    </xf>
    <xf numFmtId="0" fontId="6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167" fontId="6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169" fontId="6" fillId="0" borderId="0" xfId="17" applyNumberFormat="1" applyFont="1" applyFill="1" applyBorder="1" applyAlignment="1">
      <alignment horizontal="center"/>
    </xf>
    <xf numFmtId="169" fontId="6" fillId="0" borderId="0" xfId="17" applyNumberFormat="1" applyFont="1" applyFill="1" applyAlignment="1">
      <alignment horizontal="center"/>
    </xf>
    <xf numFmtId="169" fontId="6" fillId="0" borderId="1" xfId="17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10" fontId="13" fillId="0" borderId="7" xfId="21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24" fillId="0" borderId="0" xfId="0" applyFont="1" applyFill="1" applyAlignment="1">
      <alignment horizontal="center"/>
    </xf>
    <xf numFmtId="174" fontId="6" fillId="0" borderId="1" xfId="21" applyNumberFormat="1" applyFont="1" applyBorder="1" applyAlignment="1" applyProtection="1">
      <alignment horizontal="right"/>
      <protection/>
    </xf>
    <xf numFmtId="174" fontId="6" fillId="0" borderId="0" xfId="21" applyNumberFormat="1" applyFont="1" applyAlignment="1" applyProtection="1">
      <alignment horizontal="center"/>
      <protection/>
    </xf>
    <xf numFmtId="0" fontId="2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69" fontId="6" fillId="0" borderId="0" xfId="17" applyNumberFormat="1" applyFont="1" applyAlignment="1">
      <alignment horizontal="right"/>
    </xf>
    <xf numFmtId="37" fontId="6" fillId="0" borderId="0" xfId="0" applyNumberFormat="1" applyFont="1" applyAlignment="1" applyProtection="1">
      <alignment/>
      <protection/>
    </xf>
    <xf numFmtId="167" fontId="6" fillId="0" borderId="0" xfId="21" applyNumberFormat="1" applyFont="1" applyAlignment="1">
      <alignment horizontal="right"/>
    </xf>
    <xf numFmtId="175" fontId="6" fillId="0" borderId="0" xfId="21" applyNumberFormat="1" applyFont="1" applyAlignment="1" applyProtection="1">
      <alignment/>
      <protection/>
    </xf>
    <xf numFmtId="165" fontId="6" fillId="0" borderId="0" xfId="15" applyNumberFormat="1" applyFont="1" applyAlignment="1">
      <alignment horizontal="right"/>
    </xf>
    <xf numFmtId="165" fontId="6" fillId="0" borderId="0" xfId="15" applyNumberFormat="1" applyFont="1" applyAlignment="1" applyProtection="1">
      <alignment horizontal="left"/>
      <protection/>
    </xf>
    <xf numFmtId="181" fontId="6" fillId="0" borderId="0" xfId="15" applyNumberFormat="1" applyFont="1" applyAlignment="1" applyProtection="1">
      <alignment horizontal="center"/>
      <protection/>
    </xf>
    <xf numFmtId="169" fontId="6" fillId="0" borderId="0" xfId="17" applyNumberFormat="1" applyFont="1" applyBorder="1" applyAlignment="1">
      <alignment horizontal="center"/>
    </xf>
    <xf numFmtId="169" fontId="6" fillId="0" borderId="0" xfId="17" applyNumberFormat="1" applyFont="1" applyBorder="1" applyAlignment="1">
      <alignment horizontal="left"/>
    </xf>
    <xf numFmtId="169" fontId="6" fillId="0" borderId="0" xfId="17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165" fontId="9" fillId="0" borderId="0" xfId="15" applyNumberFormat="1" applyFont="1" applyFill="1" applyAlignment="1" applyProtection="1">
      <alignment horizontal="center"/>
      <protection/>
    </xf>
    <xf numFmtId="169" fontId="6" fillId="0" borderId="0" xfId="17" applyNumberFormat="1" applyFont="1" applyBorder="1" applyAlignment="1">
      <alignment horizontal="right"/>
    </xf>
    <xf numFmtId="169" fontId="6" fillId="0" borderId="0" xfId="17" applyNumberFormat="1" applyFont="1" applyFill="1" applyBorder="1" applyAlignment="1">
      <alignment horizontal="left"/>
    </xf>
    <xf numFmtId="43" fontId="6" fillId="0" borderId="0" xfId="15" applyFont="1" applyFill="1" applyBorder="1" applyAlignment="1">
      <alignment horizontal="left"/>
    </xf>
    <xf numFmtId="0" fontId="14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"/>
      <protection/>
    </xf>
    <xf numFmtId="191" fontId="6" fillId="0" borderId="0" xfId="15" applyNumberFormat="1" applyFont="1" applyFill="1" applyBorder="1" applyAlignment="1">
      <alignment horizontal="left"/>
    </xf>
    <xf numFmtId="169" fontId="6" fillId="0" borderId="7" xfId="17" applyNumberFormat="1" applyFont="1" applyFill="1" applyBorder="1" applyAlignment="1">
      <alignment horizontal="left"/>
    </xf>
    <xf numFmtId="10" fontId="14" fillId="0" borderId="10" xfId="21" applyNumberFormat="1" applyFont="1" applyBorder="1" applyAlignment="1" applyProtection="1">
      <alignment/>
      <protection/>
    </xf>
    <xf numFmtId="10" fontId="6" fillId="0" borderId="0" xfId="21" applyNumberFormat="1" applyFont="1" applyAlignment="1">
      <alignment/>
    </xf>
    <xf numFmtId="10" fontId="13" fillId="0" borderId="1" xfId="21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169" fontId="6" fillId="0" borderId="7" xfId="17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65" fontId="9" fillId="4" borderId="0" xfId="15" applyNumberFormat="1" applyFont="1" applyFill="1" applyAlignment="1" applyProtection="1">
      <alignment/>
      <protection/>
    </xf>
    <xf numFmtId="165" fontId="6" fillId="4" borderId="0" xfId="15" applyNumberFormat="1" applyFont="1" applyFill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5" fontId="6" fillId="4" borderId="0" xfId="0" applyNumberFormat="1" applyFont="1" applyFill="1" applyAlignment="1" applyProtection="1">
      <alignment/>
      <protection/>
    </xf>
    <xf numFmtId="10" fontId="6" fillId="4" borderId="0" xfId="21" applyNumberFormat="1" applyFont="1" applyFill="1" applyAlignment="1" applyProtection="1">
      <alignment/>
      <protection/>
    </xf>
    <xf numFmtId="169" fontId="14" fillId="4" borderId="7" xfId="17" applyNumberFormat="1" applyFont="1" applyFill="1" applyBorder="1" applyAlignment="1" applyProtection="1">
      <alignment/>
      <protection/>
    </xf>
    <xf numFmtId="37" fontId="7" fillId="4" borderId="4" xfId="0" applyNumberFormat="1" applyFont="1" applyFill="1" applyBorder="1" applyAlignment="1" applyProtection="1">
      <alignment/>
      <protection/>
    </xf>
    <xf numFmtId="5" fontId="7" fillId="4" borderId="4" xfId="0" applyNumberFormat="1" applyFont="1" applyFill="1" applyBorder="1" applyAlignment="1" applyProtection="1">
      <alignment/>
      <protection/>
    </xf>
    <xf numFmtId="37" fontId="6" fillId="4" borderId="0" xfId="0" applyNumberFormat="1" applyFont="1" applyFill="1" applyAlignment="1" applyProtection="1">
      <alignment/>
      <protection/>
    </xf>
    <xf numFmtId="169" fontId="6" fillId="4" borderId="0" xfId="17" applyNumberFormat="1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9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 horizontal="right"/>
      <protection/>
    </xf>
    <xf numFmtId="0" fontId="9" fillId="4" borderId="0" xfId="0" applyFont="1" applyFill="1" applyAlignment="1">
      <alignment horizontal="center"/>
    </xf>
    <xf numFmtId="165" fontId="7" fillId="4" borderId="11" xfId="15" applyNumberFormat="1" applyFont="1" applyFill="1" applyBorder="1" applyAlignment="1">
      <alignment/>
    </xf>
    <xf numFmtId="169" fontId="6" fillId="4" borderId="0" xfId="17" applyNumberFormat="1" applyFont="1" applyFill="1" applyBorder="1" applyAlignment="1">
      <alignment horizontal="left"/>
    </xf>
    <xf numFmtId="169" fontId="6" fillId="4" borderId="0" xfId="17" applyNumberFormat="1" applyFont="1" applyFill="1" applyAlignment="1">
      <alignment/>
    </xf>
    <xf numFmtId="166" fontId="6" fillId="4" borderId="0" xfId="21" applyNumberFormat="1" applyFont="1" applyFill="1" applyAlignment="1">
      <alignment/>
    </xf>
    <xf numFmtId="169" fontId="6" fillId="4" borderId="2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workbookViewId="0" topLeftCell="A6">
      <pane xSplit="2" ySplit="2" topLeftCell="E31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F31" sqref="F31"/>
    </sheetView>
  </sheetViews>
  <sheetFormatPr defaultColWidth="9.140625" defaultRowHeight="12.75"/>
  <cols>
    <col min="1" max="1" width="4.140625" style="0" bestFit="1" customWidth="1"/>
    <col min="2" max="2" width="30.7109375" style="0" customWidth="1"/>
    <col min="3" max="3" width="18.421875" style="0" bestFit="1" customWidth="1"/>
    <col min="4" max="4" width="22.421875" style="0" bestFit="1" customWidth="1"/>
    <col min="5" max="5" width="19.00390625" style="0" bestFit="1" customWidth="1"/>
    <col min="6" max="6" width="20.421875" style="0" customWidth="1"/>
    <col min="7" max="7" width="16.8515625" style="0" bestFit="1" customWidth="1"/>
    <col min="8" max="8" width="15.00390625" style="0" bestFit="1" customWidth="1"/>
    <col min="9" max="9" width="12.28125" style="0" bestFit="1" customWidth="1"/>
    <col min="10" max="10" width="2.140625" style="0" customWidth="1"/>
    <col min="11" max="11" width="15.00390625" style="0" bestFit="1" customWidth="1"/>
    <col min="12" max="12" width="16.140625" style="0" bestFit="1" customWidth="1"/>
  </cols>
  <sheetData>
    <row r="1" spans="1:7" ht="15.75" customHeight="1">
      <c r="A1" s="1"/>
      <c r="B1" s="252"/>
      <c r="C1" s="252"/>
      <c r="D1" s="252"/>
      <c r="E1" s="252"/>
      <c r="F1" s="252"/>
      <c r="G1" s="252"/>
    </row>
    <row r="2" spans="1:7" ht="15.75" customHeight="1">
      <c r="A2" s="1"/>
      <c r="B2" s="253" t="s">
        <v>105</v>
      </c>
      <c r="C2" s="253"/>
      <c r="D2" s="253"/>
      <c r="E2" s="253"/>
      <c r="F2" s="253"/>
      <c r="G2" s="253"/>
    </row>
    <row r="3" spans="1:7" ht="15.75" customHeight="1">
      <c r="A3" s="1"/>
      <c r="B3" s="253" t="s">
        <v>347</v>
      </c>
      <c r="C3" s="253"/>
      <c r="D3" s="253"/>
      <c r="E3" s="253"/>
      <c r="F3" s="253"/>
      <c r="G3" s="253"/>
    </row>
    <row r="4" spans="1:7" ht="15.75">
      <c r="A4" s="1"/>
      <c r="B4" s="152"/>
      <c r="C4" s="67"/>
      <c r="D4" s="1"/>
      <c r="E4" s="67"/>
      <c r="F4" s="67"/>
      <c r="G4" s="153"/>
    </row>
    <row r="5" spans="1:7" ht="15.75">
      <c r="A5" s="1"/>
      <c r="B5" s="1"/>
      <c r="C5" s="154" t="s">
        <v>106</v>
      </c>
      <c r="D5" s="154" t="s">
        <v>107</v>
      </c>
      <c r="E5" s="154" t="s">
        <v>108</v>
      </c>
      <c r="F5" s="154" t="s">
        <v>109</v>
      </c>
      <c r="G5" s="154" t="s">
        <v>110</v>
      </c>
    </row>
    <row r="6" spans="1:10" ht="15.75">
      <c r="A6" s="1"/>
      <c r="B6" s="67"/>
      <c r="C6" s="155" t="s">
        <v>111</v>
      </c>
      <c r="D6" s="155" t="s">
        <v>6</v>
      </c>
      <c r="E6" s="155" t="s">
        <v>112</v>
      </c>
      <c r="F6" s="156" t="s">
        <v>262</v>
      </c>
      <c r="G6" s="155" t="s">
        <v>113</v>
      </c>
      <c r="H6" s="155" t="s">
        <v>264</v>
      </c>
      <c r="I6" s="155" t="s">
        <v>266</v>
      </c>
      <c r="J6" s="155"/>
    </row>
    <row r="7" spans="1:8" ht="15.75">
      <c r="A7" s="1"/>
      <c r="B7" s="71"/>
      <c r="C7" s="155" t="s">
        <v>114</v>
      </c>
      <c r="D7" s="155" t="s">
        <v>19</v>
      </c>
      <c r="E7" s="155" t="s">
        <v>115</v>
      </c>
      <c r="F7" s="156" t="s">
        <v>263</v>
      </c>
      <c r="G7" s="155" t="s">
        <v>21</v>
      </c>
      <c r="H7" s="155" t="s">
        <v>265</v>
      </c>
    </row>
    <row r="8" spans="1:7" ht="15.75">
      <c r="A8" s="1"/>
      <c r="B8" s="71" t="s">
        <v>37</v>
      </c>
      <c r="C8" s="157"/>
      <c r="D8" s="157"/>
      <c r="E8" s="158"/>
      <c r="F8" s="260">
        <f>F9/E9</f>
        <v>0.056469718162986494</v>
      </c>
      <c r="G8" s="157"/>
    </row>
    <row r="9" spans="1:10" ht="15.75">
      <c r="A9" s="1">
        <v>1</v>
      </c>
      <c r="B9" s="67" t="s">
        <v>38</v>
      </c>
      <c r="C9" s="159">
        <v>216563926</v>
      </c>
      <c r="D9" s="160">
        <f>+Adjustments!C9</f>
        <v>10000070</v>
      </c>
      <c r="E9" s="160">
        <f>+C9+D9</f>
        <v>226563996</v>
      </c>
      <c r="F9" s="259">
        <f>RevReqCalc!D21</f>
        <v>12794005</v>
      </c>
      <c r="G9" s="160">
        <f>+F9+E9</f>
        <v>239358001</v>
      </c>
      <c r="H9" s="179">
        <v>23209610</v>
      </c>
      <c r="I9" s="178">
        <f>+F9-H9</f>
        <v>-10415605</v>
      </c>
      <c r="J9" s="178"/>
    </row>
    <row r="10" spans="1:7" ht="15.75">
      <c r="A10" s="1">
        <v>2</v>
      </c>
      <c r="B10" s="67" t="s">
        <v>39</v>
      </c>
      <c r="C10" s="161">
        <v>0</v>
      </c>
      <c r="D10" s="160">
        <f>+Adjustments!C10</f>
        <v>0</v>
      </c>
      <c r="E10" s="161">
        <f>+C10+D10</f>
        <v>0</v>
      </c>
      <c r="F10" s="161">
        <v>0</v>
      </c>
      <c r="G10" s="161">
        <f>+F10+E10</f>
        <v>0</v>
      </c>
    </row>
    <row r="11" spans="1:7" ht="15.75">
      <c r="A11" s="1">
        <v>3</v>
      </c>
      <c r="B11" s="67" t="s">
        <v>40</v>
      </c>
      <c r="C11" s="161">
        <v>70040265</v>
      </c>
      <c r="D11" s="160">
        <f>+Adjustments!C11</f>
        <v>-2408487</v>
      </c>
      <c r="E11" s="161">
        <f>+C11+D11</f>
        <v>67631778</v>
      </c>
      <c r="F11" s="161">
        <v>0</v>
      </c>
      <c r="G11" s="161">
        <f>+F11+E11</f>
        <v>67631778</v>
      </c>
    </row>
    <row r="12" spans="1:7" ht="15.75">
      <c r="A12" s="1">
        <v>4</v>
      </c>
      <c r="B12" s="67" t="s">
        <v>41</v>
      </c>
      <c r="C12" s="161">
        <v>12858150</v>
      </c>
      <c r="D12" s="160">
        <f>+Adjustments!C12</f>
        <v>-425515</v>
      </c>
      <c r="E12" s="161">
        <f>+C12+D12</f>
        <v>12432635</v>
      </c>
      <c r="F12" s="161">
        <v>0</v>
      </c>
      <c r="G12" s="161">
        <f>+F12+E12</f>
        <v>12432635</v>
      </c>
    </row>
    <row r="13" spans="1:7" ht="15.75">
      <c r="A13" s="1">
        <v>5</v>
      </c>
      <c r="B13" s="162" t="s">
        <v>42</v>
      </c>
      <c r="C13" s="163">
        <f>SUM(C9:C12)</f>
        <v>299462341</v>
      </c>
      <c r="D13" s="163">
        <f>SUM(D9:D12)</f>
        <v>7166068</v>
      </c>
      <c r="E13" s="163">
        <f>SUM(E9:E12)</f>
        <v>306628409</v>
      </c>
      <c r="F13" s="163">
        <f>SUM(F9:F12)</f>
        <v>12794005</v>
      </c>
      <c r="G13" s="163">
        <f>SUM(G9:G12)</f>
        <v>319422414</v>
      </c>
    </row>
    <row r="14" spans="1:7" ht="15.75">
      <c r="A14" s="1">
        <v>6</v>
      </c>
      <c r="B14" s="67"/>
      <c r="C14" s="161"/>
      <c r="D14" s="161"/>
      <c r="E14" s="161"/>
      <c r="F14" s="161"/>
      <c r="G14" s="161"/>
    </row>
    <row r="15" spans="1:7" ht="15.75">
      <c r="A15" s="1">
        <v>7</v>
      </c>
      <c r="B15" s="71" t="s">
        <v>43</v>
      </c>
      <c r="C15" s="161"/>
      <c r="D15" s="161"/>
      <c r="E15" s="161"/>
      <c r="F15" s="161"/>
      <c r="G15" s="161"/>
    </row>
    <row r="16" spans="1:7" ht="15.75">
      <c r="A16" s="1">
        <v>8</v>
      </c>
      <c r="B16" s="67" t="s">
        <v>44</v>
      </c>
      <c r="C16" s="161">
        <v>39215319</v>
      </c>
      <c r="D16" s="160">
        <f>+Adjustments!C16</f>
        <v>-173833</v>
      </c>
      <c r="E16" s="161">
        <f aca="true" t="shared" si="0" ref="E16:E25">+C16+D16</f>
        <v>39041486</v>
      </c>
      <c r="F16" s="161"/>
      <c r="G16" s="161">
        <f aca="true" t="shared" si="1" ref="G16:G25">+F16+E16</f>
        <v>39041486</v>
      </c>
    </row>
    <row r="17" spans="1:7" ht="15.75">
      <c r="A17" s="1">
        <v>9</v>
      </c>
      <c r="B17" s="67" t="s">
        <v>45</v>
      </c>
      <c r="C17" s="161">
        <v>0</v>
      </c>
      <c r="D17" s="160">
        <f>+Adjustments!C17</f>
        <v>0</v>
      </c>
      <c r="E17" s="161">
        <f t="shared" si="0"/>
        <v>0</v>
      </c>
      <c r="F17" s="161"/>
      <c r="G17" s="161">
        <f t="shared" si="1"/>
        <v>0</v>
      </c>
    </row>
    <row r="18" spans="1:7" ht="15.75">
      <c r="A18" s="1">
        <v>10</v>
      </c>
      <c r="B18" s="67" t="s">
        <v>46</v>
      </c>
      <c r="C18" s="161">
        <v>5398239</v>
      </c>
      <c r="D18" s="160">
        <f>+Adjustments!C18</f>
        <v>-88290</v>
      </c>
      <c r="E18" s="161">
        <f t="shared" si="0"/>
        <v>5309949</v>
      </c>
      <c r="F18" s="161"/>
      <c r="G18" s="161">
        <f t="shared" si="1"/>
        <v>5309949</v>
      </c>
    </row>
    <row r="19" spans="1:7" ht="15.75">
      <c r="A19" s="1">
        <v>11</v>
      </c>
      <c r="B19" s="67" t="s">
        <v>47</v>
      </c>
      <c r="C19" s="161">
        <v>106559228</v>
      </c>
      <c r="D19" s="160">
        <f>+Adjustments!C19</f>
        <v>14420731</v>
      </c>
      <c r="E19" s="161">
        <f t="shared" si="0"/>
        <v>120979959</v>
      </c>
      <c r="F19" s="161"/>
      <c r="G19" s="161">
        <f t="shared" si="1"/>
        <v>120979959</v>
      </c>
    </row>
    <row r="20" spans="1:7" ht="15.75">
      <c r="A20" s="1">
        <v>12</v>
      </c>
      <c r="B20" s="67" t="s">
        <v>48</v>
      </c>
      <c r="C20" s="161">
        <v>19293803</v>
      </c>
      <c r="D20" s="160">
        <f>+Adjustments!C20</f>
        <v>-315554</v>
      </c>
      <c r="E20" s="161">
        <f t="shared" si="0"/>
        <v>18978249</v>
      </c>
      <c r="F20" s="161"/>
      <c r="G20" s="161">
        <f t="shared" si="1"/>
        <v>18978249</v>
      </c>
    </row>
    <row r="21" spans="1:7" ht="15.75">
      <c r="A21" s="1">
        <v>13</v>
      </c>
      <c r="B21" s="67" t="s">
        <v>49</v>
      </c>
      <c r="C21" s="161">
        <v>11409387</v>
      </c>
      <c r="D21" s="160">
        <f>+Adjustments!C21</f>
        <v>-15539</v>
      </c>
      <c r="E21" s="161">
        <f t="shared" si="0"/>
        <v>11393848</v>
      </c>
      <c r="F21" s="161"/>
      <c r="G21" s="161">
        <f t="shared" si="1"/>
        <v>11393848</v>
      </c>
    </row>
    <row r="22" spans="1:7" ht="15.75">
      <c r="A22" s="1">
        <v>14</v>
      </c>
      <c r="B22" s="67" t="s">
        <v>50</v>
      </c>
      <c r="C22" s="161">
        <v>7937764</v>
      </c>
      <c r="D22" s="160">
        <f>+Adjustments!C22</f>
        <v>-103271</v>
      </c>
      <c r="E22" s="161">
        <f t="shared" si="0"/>
        <v>7834493</v>
      </c>
      <c r="F22" s="161">
        <f>F9*'Conversion factor'!C6</f>
        <v>62050.924250000004</v>
      </c>
      <c r="G22" s="161">
        <f t="shared" si="1"/>
        <v>7896543.92425</v>
      </c>
    </row>
    <row r="23" spans="1:7" ht="15.75">
      <c r="A23" s="1">
        <v>15</v>
      </c>
      <c r="B23" s="67" t="s">
        <v>51</v>
      </c>
      <c r="C23" s="161">
        <v>5471850</v>
      </c>
      <c r="D23" s="160">
        <f>+Adjustments!C23</f>
        <v>-4960687</v>
      </c>
      <c r="E23" s="161">
        <f t="shared" si="0"/>
        <v>511163</v>
      </c>
      <c r="F23" s="161"/>
      <c r="G23" s="161">
        <f t="shared" si="1"/>
        <v>511163</v>
      </c>
    </row>
    <row r="24" spans="1:7" ht="15.75">
      <c r="A24" s="1">
        <v>16</v>
      </c>
      <c r="B24" s="67" t="s">
        <v>52</v>
      </c>
      <c r="C24" s="161">
        <v>0</v>
      </c>
      <c r="D24" s="160">
        <f>+Adjustments!C24</f>
        <v>0</v>
      </c>
      <c r="E24" s="161">
        <f t="shared" si="0"/>
        <v>0</v>
      </c>
      <c r="F24" s="161"/>
      <c r="G24" s="161">
        <f t="shared" si="1"/>
        <v>0</v>
      </c>
    </row>
    <row r="25" spans="1:7" ht="15.75">
      <c r="A25" s="1">
        <v>17</v>
      </c>
      <c r="B25" s="164" t="s">
        <v>53</v>
      </c>
      <c r="C25" s="161">
        <v>17593731</v>
      </c>
      <c r="D25" s="160">
        <f>+Adjustments!C25</f>
        <v>-3004325</v>
      </c>
      <c r="E25" s="264">
        <f t="shared" si="0"/>
        <v>14589406</v>
      </c>
      <c r="F25" s="161"/>
      <c r="G25" s="161">
        <f t="shared" si="1"/>
        <v>14589406</v>
      </c>
    </row>
    <row r="26" spans="1:7" ht="15.75">
      <c r="A26" s="1">
        <v>18</v>
      </c>
      <c r="B26" s="165" t="s">
        <v>54</v>
      </c>
      <c r="C26" s="166">
        <f>SUM(C16:C25)</f>
        <v>212879321</v>
      </c>
      <c r="D26" s="166">
        <f>SUM(D16:D25)</f>
        <v>5759232</v>
      </c>
      <c r="E26" s="166">
        <f>SUM(E16:E25)</f>
        <v>218638553</v>
      </c>
      <c r="F26" s="166">
        <f>SUM(F16:F25)</f>
        <v>62050.924250000004</v>
      </c>
      <c r="G26" s="166">
        <f>SUM(G16:G25)</f>
        <v>218700603.92425</v>
      </c>
    </row>
    <row r="27" spans="1:7" ht="15.75">
      <c r="A27" s="1">
        <v>19</v>
      </c>
      <c r="B27" s="67" t="s">
        <v>55</v>
      </c>
      <c r="C27" s="161">
        <v>28733363</v>
      </c>
      <c r="D27" s="160">
        <f>+Adjustments!C28</f>
        <v>-390322</v>
      </c>
      <c r="E27" s="161">
        <f aca="true" t="shared" si="2" ref="E27:E34">+C27+D27</f>
        <v>28343041</v>
      </c>
      <c r="F27" s="161"/>
      <c r="G27" s="161">
        <f aca="true" t="shared" si="3" ref="G27:G34">+F27+E27</f>
        <v>28343041</v>
      </c>
    </row>
    <row r="28" spans="1:7" ht="15.75">
      <c r="A28" s="1">
        <v>20</v>
      </c>
      <c r="B28" s="67" t="s">
        <v>35</v>
      </c>
      <c r="C28" s="161">
        <v>4314307</v>
      </c>
      <c r="D28" s="160">
        <f>+Adjustments!C29</f>
        <v>-398417</v>
      </c>
      <c r="E28" s="161">
        <f t="shared" si="2"/>
        <v>3915890</v>
      </c>
      <c r="F28" s="161"/>
      <c r="G28" s="161">
        <f t="shared" si="3"/>
        <v>3915890</v>
      </c>
    </row>
    <row r="29" spans="1:7" ht="15.75">
      <c r="A29" s="1">
        <v>21</v>
      </c>
      <c r="B29" s="67" t="s">
        <v>56</v>
      </c>
      <c r="C29" s="161">
        <v>13139570</v>
      </c>
      <c r="D29" s="160">
        <f>+Adjustments!C30</f>
        <v>-421840</v>
      </c>
      <c r="E29" s="161">
        <f t="shared" si="2"/>
        <v>12717730</v>
      </c>
      <c r="F29" s="161">
        <f>('Conversion factor'!C7+'Conversion factor'!C8+'Conversion factor'!C9)*F9</f>
        <v>519820.42315</v>
      </c>
      <c r="G29" s="161">
        <f t="shared" si="3"/>
        <v>13237550.42315</v>
      </c>
    </row>
    <row r="30" spans="1:7" ht="15.75">
      <c r="A30" s="1">
        <v>22</v>
      </c>
      <c r="B30" s="67" t="s">
        <v>57</v>
      </c>
      <c r="C30" s="161">
        <v>4490665</v>
      </c>
      <c r="D30" s="160">
        <f>+Adjustments!C31</f>
        <v>-531529.9111810491</v>
      </c>
      <c r="E30" s="161">
        <f t="shared" si="2"/>
        <v>3959135.088818951</v>
      </c>
      <c r="F30" s="161">
        <f>F83</f>
        <v>4274246.778410001</v>
      </c>
      <c r="G30" s="161">
        <f t="shared" si="3"/>
        <v>8233381.867228951</v>
      </c>
    </row>
    <row r="31" spans="1:7" ht="15.75">
      <c r="A31" s="1">
        <v>23</v>
      </c>
      <c r="B31" s="67" t="s">
        <v>58</v>
      </c>
      <c r="C31" s="161">
        <v>0</v>
      </c>
      <c r="D31" s="160">
        <f>+Adjustments!C32</f>
        <v>0</v>
      </c>
      <c r="E31" s="161">
        <f t="shared" si="2"/>
        <v>0</v>
      </c>
      <c r="F31" s="161">
        <f>F80</f>
        <v>0</v>
      </c>
      <c r="G31" s="161">
        <f t="shared" si="3"/>
        <v>0</v>
      </c>
    </row>
    <row r="32" spans="1:7" ht="15.75">
      <c r="A32" s="1">
        <v>24</v>
      </c>
      <c r="B32" s="67" t="s">
        <v>59</v>
      </c>
      <c r="C32" s="161">
        <v>6573773</v>
      </c>
      <c r="D32" s="160">
        <f>+Adjustments!C33</f>
        <v>-1488593</v>
      </c>
      <c r="E32" s="161">
        <f t="shared" si="2"/>
        <v>5085180</v>
      </c>
      <c r="F32" s="161"/>
      <c r="G32" s="161">
        <f t="shared" si="3"/>
        <v>5085180</v>
      </c>
    </row>
    <row r="33" spans="1:7" ht="15.75">
      <c r="A33" s="1">
        <v>25</v>
      </c>
      <c r="B33" s="67" t="s">
        <v>60</v>
      </c>
      <c r="C33" s="161">
        <v>0</v>
      </c>
      <c r="D33" s="160">
        <f>+Adjustments!C34</f>
        <v>0</v>
      </c>
      <c r="E33" s="161">
        <f t="shared" si="2"/>
        <v>0</v>
      </c>
      <c r="F33" s="161"/>
      <c r="G33" s="161">
        <f t="shared" si="3"/>
        <v>0</v>
      </c>
    </row>
    <row r="34" spans="1:7" ht="15.75">
      <c r="A34" s="1">
        <v>26</v>
      </c>
      <c r="B34" s="67" t="s">
        <v>61</v>
      </c>
      <c r="C34" s="161">
        <v>-2408092</v>
      </c>
      <c r="D34" s="160">
        <f>+Adjustments!C35</f>
        <v>2008335</v>
      </c>
      <c r="E34" s="161">
        <f t="shared" si="2"/>
        <v>-399757</v>
      </c>
      <c r="F34" s="161"/>
      <c r="G34" s="161">
        <f t="shared" si="3"/>
        <v>-399757</v>
      </c>
    </row>
    <row r="35" spans="1:7" ht="15.75">
      <c r="A35" s="1">
        <v>27</v>
      </c>
      <c r="B35" s="167" t="s">
        <v>62</v>
      </c>
      <c r="C35" s="168">
        <f>SUM(C26:C34)</f>
        <v>267722907</v>
      </c>
      <c r="D35" s="168">
        <f>SUM(D26:D34)</f>
        <v>4536865.088818951</v>
      </c>
      <c r="E35" s="168">
        <f>SUM(E26:E34)</f>
        <v>272259772.0888189</v>
      </c>
      <c r="F35" s="168">
        <f>SUM(F26:F34)</f>
        <v>4856118.125810001</v>
      </c>
      <c r="G35" s="168">
        <f>SUM(G26:G34)</f>
        <v>277115890.21462893</v>
      </c>
    </row>
    <row r="36" spans="1:7" ht="15.75">
      <c r="A36" s="1">
        <v>28</v>
      </c>
      <c r="B36" s="67"/>
      <c r="C36" s="161"/>
      <c r="D36" s="161"/>
      <c r="E36" s="161"/>
      <c r="F36" s="161"/>
      <c r="G36" s="161"/>
    </row>
    <row r="37" spans="1:7" ht="16.5" thickBot="1">
      <c r="A37" s="1">
        <v>29</v>
      </c>
      <c r="B37" s="169" t="s">
        <v>63</v>
      </c>
      <c r="C37" s="170">
        <f>C13-C35</f>
        <v>31739434</v>
      </c>
      <c r="D37" s="170">
        <f>D13-D35</f>
        <v>2629202.9111810494</v>
      </c>
      <c r="E37" s="263">
        <f>E13-E35</f>
        <v>34368636.91118109</v>
      </c>
      <c r="F37" s="170">
        <f>F13-F35</f>
        <v>7937886.874189999</v>
      </c>
      <c r="G37" s="170">
        <f>G13-G35</f>
        <v>42306523.785371065</v>
      </c>
    </row>
    <row r="38" spans="1:7" ht="16.5" thickTop="1">
      <c r="A38" s="1">
        <v>30</v>
      </c>
      <c r="B38" s="67"/>
      <c r="C38" s="161"/>
      <c r="D38" s="161"/>
      <c r="E38" s="161"/>
      <c r="F38" s="161"/>
      <c r="G38" s="161"/>
    </row>
    <row r="39" spans="1:7" ht="15.75">
      <c r="A39" s="1">
        <v>31</v>
      </c>
      <c r="B39" s="71" t="s">
        <v>64</v>
      </c>
      <c r="C39" s="161"/>
      <c r="D39" s="161"/>
      <c r="E39" s="161"/>
      <c r="F39" s="161"/>
      <c r="G39" s="161"/>
    </row>
    <row r="40" spans="1:7" ht="15.75">
      <c r="A40" s="1">
        <v>32</v>
      </c>
      <c r="B40" s="67" t="s">
        <v>65</v>
      </c>
      <c r="C40" s="161">
        <v>1054370908</v>
      </c>
      <c r="D40" s="160">
        <f>+Adjustments!C41</f>
        <v>3713521</v>
      </c>
      <c r="E40" s="161">
        <f aca="true" t="shared" si="4" ref="E40:E50">+C40+D40</f>
        <v>1058084429</v>
      </c>
      <c r="F40" s="161"/>
      <c r="G40" s="161">
        <f aca="true" t="shared" si="5" ref="G40:G50">+F40+E40</f>
        <v>1058084429</v>
      </c>
    </row>
    <row r="41" spans="1:7" ht="15.75">
      <c r="A41" s="1">
        <v>33</v>
      </c>
      <c r="B41" s="67" t="s">
        <v>66</v>
      </c>
      <c r="C41" s="161">
        <v>1572</v>
      </c>
      <c r="D41" s="160">
        <f>+Adjustments!C42</f>
        <v>-26</v>
      </c>
      <c r="E41" s="161">
        <f t="shared" si="4"/>
        <v>1546</v>
      </c>
      <c r="F41" s="161"/>
      <c r="G41" s="161">
        <f t="shared" si="5"/>
        <v>1546</v>
      </c>
    </row>
    <row r="42" spans="1:7" ht="15.75">
      <c r="A42" s="1">
        <v>34</v>
      </c>
      <c r="B42" s="67" t="s">
        <v>67</v>
      </c>
      <c r="C42" s="161">
        <v>2814534</v>
      </c>
      <c r="D42" s="160">
        <f>+Adjustments!C43</f>
        <v>-1127602</v>
      </c>
      <c r="E42" s="161">
        <f t="shared" si="4"/>
        <v>1686932</v>
      </c>
      <c r="F42" s="161"/>
      <c r="G42" s="161">
        <f t="shared" si="5"/>
        <v>1686932</v>
      </c>
    </row>
    <row r="43" spans="1:7" ht="15.75">
      <c r="A43" s="1">
        <v>35</v>
      </c>
      <c r="B43" s="67" t="s">
        <v>68</v>
      </c>
      <c r="C43" s="161">
        <v>0</v>
      </c>
      <c r="D43" s="160">
        <f>+Adjustments!C44</f>
        <v>0</v>
      </c>
      <c r="E43" s="161">
        <f t="shared" si="4"/>
        <v>0</v>
      </c>
      <c r="F43" s="161"/>
      <c r="G43" s="161">
        <f t="shared" si="5"/>
        <v>0</v>
      </c>
    </row>
    <row r="44" spans="1:7" ht="15.75">
      <c r="A44" s="1">
        <v>36</v>
      </c>
      <c r="B44" s="67" t="s">
        <v>69</v>
      </c>
      <c r="C44" s="161">
        <v>0</v>
      </c>
      <c r="D44" s="160">
        <f>+Adjustments!C45</f>
        <v>0</v>
      </c>
      <c r="E44" s="161">
        <f t="shared" si="4"/>
        <v>0</v>
      </c>
      <c r="F44" s="161"/>
      <c r="G44" s="161">
        <f t="shared" si="5"/>
        <v>0</v>
      </c>
    </row>
    <row r="45" spans="1:7" ht="15.75">
      <c r="A45" s="1">
        <v>37</v>
      </c>
      <c r="B45" s="67" t="s">
        <v>70</v>
      </c>
      <c r="C45" s="161">
        <v>2621932</v>
      </c>
      <c r="D45" s="160">
        <f>+Adjustments!C46</f>
        <v>-2621932</v>
      </c>
      <c r="E45" s="161">
        <f t="shared" si="4"/>
        <v>0</v>
      </c>
      <c r="F45" s="161"/>
      <c r="G45" s="161">
        <f t="shared" si="5"/>
        <v>0</v>
      </c>
    </row>
    <row r="46" spans="1:7" ht="15.75">
      <c r="A46" s="1">
        <v>38</v>
      </c>
      <c r="B46" s="67" t="s">
        <v>71</v>
      </c>
      <c r="C46" s="161">
        <v>2516964</v>
      </c>
      <c r="D46" s="160">
        <f>+Adjustments!C47</f>
        <v>-2516964</v>
      </c>
      <c r="E46" s="161">
        <f t="shared" si="4"/>
        <v>0</v>
      </c>
      <c r="F46" s="161"/>
      <c r="G46" s="161">
        <f t="shared" si="5"/>
        <v>0</v>
      </c>
    </row>
    <row r="47" spans="1:7" ht="15.75">
      <c r="A47" s="1">
        <v>39</v>
      </c>
      <c r="B47" s="67" t="s">
        <v>72</v>
      </c>
      <c r="C47" s="161">
        <v>7027466</v>
      </c>
      <c r="D47" s="160">
        <f>+Adjustments!C48</f>
        <v>-7027466</v>
      </c>
      <c r="E47" s="161">
        <f t="shared" si="4"/>
        <v>0</v>
      </c>
      <c r="F47" s="161"/>
      <c r="G47" s="161">
        <f t="shared" si="5"/>
        <v>0</v>
      </c>
    </row>
    <row r="48" spans="1:7" ht="15.75">
      <c r="A48" s="1">
        <v>40</v>
      </c>
      <c r="B48" s="67" t="s">
        <v>36</v>
      </c>
      <c r="C48" s="161">
        <v>4014806</v>
      </c>
      <c r="D48" s="160">
        <f>+Adjustments!C49</f>
        <v>4306392</v>
      </c>
      <c r="E48" s="161">
        <f t="shared" si="4"/>
        <v>8321198</v>
      </c>
      <c r="F48" s="161"/>
      <c r="G48" s="161">
        <f t="shared" si="5"/>
        <v>8321198</v>
      </c>
    </row>
    <row r="49" spans="1:7" ht="15.75">
      <c r="A49" s="1">
        <v>41</v>
      </c>
      <c r="B49" s="67" t="s">
        <v>73</v>
      </c>
      <c r="C49" s="161">
        <v>2256731</v>
      </c>
      <c r="D49" s="160">
        <f>+Adjustments!C50</f>
        <v>0</v>
      </c>
      <c r="E49" s="161">
        <f t="shared" si="4"/>
        <v>2256731</v>
      </c>
      <c r="F49" s="161"/>
      <c r="G49" s="161">
        <f t="shared" si="5"/>
        <v>2256731</v>
      </c>
    </row>
    <row r="50" spans="1:7" ht="15.75">
      <c r="A50" s="1">
        <v>42</v>
      </c>
      <c r="B50" s="67" t="s">
        <v>74</v>
      </c>
      <c r="C50" s="161">
        <v>394024</v>
      </c>
      <c r="D50" s="160">
        <f>+Adjustments!C51</f>
        <v>-394024</v>
      </c>
      <c r="E50" s="161">
        <f t="shared" si="4"/>
        <v>0</v>
      </c>
      <c r="F50" s="161"/>
      <c r="G50" s="161">
        <f t="shared" si="5"/>
        <v>0</v>
      </c>
    </row>
    <row r="51" spans="1:7" ht="15.75">
      <c r="A51" s="1">
        <v>43</v>
      </c>
      <c r="B51" s="171" t="s">
        <v>75</v>
      </c>
      <c r="C51" s="168">
        <f>SUM(C40:C50)</f>
        <v>1076018937</v>
      </c>
      <c r="D51" s="168">
        <f>SUM(D40:D50)</f>
        <v>-5668101</v>
      </c>
      <c r="E51" s="168">
        <f>SUM(E40:E50)</f>
        <v>1070350836</v>
      </c>
      <c r="F51" s="168">
        <f>SUM(F40:F50)</f>
        <v>0</v>
      </c>
      <c r="G51" s="168">
        <f>SUM(G40:G50)</f>
        <v>1070350836</v>
      </c>
    </row>
    <row r="52" spans="1:7" ht="15.75">
      <c r="A52" s="1">
        <v>44</v>
      </c>
      <c r="B52" s="67"/>
      <c r="C52" s="161"/>
      <c r="D52" s="161"/>
      <c r="E52" s="161"/>
      <c r="F52" s="161"/>
      <c r="G52" s="161"/>
    </row>
    <row r="53" spans="1:7" ht="15.75">
      <c r="A53" s="1">
        <v>45</v>
      </c>
      <c r="B53" s="71" t="s">
        <v>76</v>
      </c>
      <c r="C53" s="161"/>
      <c r="D53" s="161"/>
      <c r="E53" s="161"/>
      <c r="F53" s="161"/>
      <c r="G53" s="161"/>
    </row>
    <row r="54" spans="1:7" ht="15.75">
      <c r="A54" s="1">
        <v>46</v>
      </c>
      <c r="B54" s="67" t="s">
        <v>77</v>
      </c>
      <c r="C54" s="161">
        <v>-423740177</v>
      </c>
      <c r="D54" s="160">
        <f>+Adjustments!C55</f>
        <v>19122777</v>
      </c>
      <c r="E54" s="161">
        <f aca="true" t="shared" si="6" ref="E54:E60">+C54+D54</f>
        <v>-404617400</v>
      </c>
      <c r="F54" s="161"/>
      <c r="G54" s="161">
        <f aca="true" t="shared" si="7" ref="G54:G60">+F54+E54</f>
        <v>-404617400</v>
      </c>
    </row>
    <row r="55" spans="1:7" ht="15.75">
      <c r="A55" s="1">
        <v>47</v>
      </c>
      <c r="B55" s="67" t="s">
        <v>78</v>
      </c>
      <c r="C55" s="161">
        <v>-27862556</v>
      </c>
      <c r="D55" s="160">
        <f>+Adjustments!C56</f>
        <v>254859</v>
      </c>
      <c r="E55" s="161">
        <f t="shared" si="6"/>
        <v>-27607697</v>
      </c>
      <c r="F55" s="161"/>
      <c r="G55" s="161">
        <f t="shared" si="7"/>
        <v>-27607697</v>
      </c>
    </row>
    <row r="56" spans="1:7" ht="15.75">
      <c r="A56" s="1">
        <v>48</v>
      </c>
      <c r="B56" s="67" t="s">
        <v>79</v>
      </c>
      <c r="C56" s="161">
        <v>-79425339</v>
      </c>
      <c r="D56" s="160">
        <f>+Adjustments!C57</f>
        <v>-10497066</v>
      </c>
      <c r="E56" s="161">
        <f t="shared" si="6"/>
        <v>-89922405</v>
      </c>
      <c r="F56" s="161"/>
      <c r="G56" s="161">
        <f t="shared" si="7"/>
        <v>-89922405</v>
      </c>
    </row>
    <row r="57" spans="1:7" ht="15.75">
      <c r="A57" s="1">
        <v>49</v>
      </c>
      <c r="B57" s="67" t="s">
        <v>80</v>
      </c>
      <c r="C57" s="161">
        <v>-1914487</v>
      </c>
      <c r="D57" s="160">
        <f>+Adjustments!C58</f>
        <v>365750</v>
      </c>
      <c r="E57" s="161">
        <f t="shared" si="6"/>
        <v>-1548737</v>
      </c>
      <c r="F57" s="161"/>
      <c r="G57" s="161">
        <f t="shared" si="7"/>
        <v>-1548737</v>
      </c>
    </row>
    <row r="58" spans="1:7" ht="15.75">
      <c r="A58" s="1">
        <v>50</v>
      </c>
      <c r="B58" s="67" t="s">
        <v>81</v>
      </c>
      <c r="C58" s="161">
        <v>-984551</v>
      </c>
      <c r="D58" s="160">
        <f>+Adjustments!C59</f>
        <v>984551</v>
      </c>
      <c r="E58" s="161">
        <f t="shared" si="6"/>
        <v>0</v>
      </c>
      <c r="F58" s="161"/>
      <c r="G58" s="161">
        <f t="shared" si="7"/>
        <v>0</v>
      </c>
    </row>
    <row r="59" spans="1:7" ht="15.75">
      <c r="A59" s="1">
        <v>51</v>
      </c>
      <c r="B59" s="67" t="s">
        <v>82</v>
      </c>
      <c r="C59" s="161">
        <v>0</v>
      </c>
      <c r="D59" s="160">
        <f>+Adjustments!C60</f>
        <v>-2001969</v>
      </c>
      <c r="E59" s="161">
        <f t="shared" si="6"/>
        <v>-2001969</v>
      </c>
      <c r="F59" s="161"/>
      <c r="G59" s="161">
        <f t="shared" si="7"/>
        <v>-2001969</v>
      </c>
    </row>
    <row r="60" spans="1:7" ht="15.75">
      <c r="A60" s="1">
        <v>52</v>
      </c>
      <c r="B60" s="67" t="s">
        <v>83</v>
      </c>
      <c r="C60" s="161">
        <v>-7140575</v>
      </c>
      <c r="D60" s="160">
        <f>+Adjustments!C61</f>
        <v>-2287924</v>
      </c>
      <c r="E60" s="161">
        <f t="shared" si="6"/>
        <v>-9428499</v>
      </c>
      <c r="F60" s="161"/>
      <c r="G60" s="161">
        <f t="shared" si="7"/>
        <v>-9428499</v>
      </c>
    </row>
    <row r="61" spans="1:7" ht="15.75">
      <c r="A61" s="1">
        <v>53</v>
      </c>
      <c r="B61" s="67"/>
      <c r="C61" s="161"/>
      <c r="D61" s="161"/>
      <c r="E61" s="161"/>
      <c r="F61" s="161"/>
      <c r="G61" s="161"/>
    </row>
    <row r="62" spans="1:7" ht="15.75">
      <c r="A62" s="1">
        <v>54</v>
      </c>
      <c r="B62" s="171" t="s">
        <v>116</v>
      </c>
      <c r="C62" s="168">
        <f>SUM(C54:C61)</f>
        <v>-541067685</v>
      </c>
      <c r="D62" s="168">
        <f>SUM(D54:D61)</f>
        <v>5940978</v>
      </c>
      <c r="E62" s="168">
        <f>SUM(E54:E61)</f>
        <v>-535126707</v>
      </c>
      <c r="F62" s="168">
        <f>SUM(F54:F61)</f>
        <v>0</v>
      </c>
      <c r="G62" s="168">
        <f>SUM(G54:G61)</f>
        <v>-535126707</v>
      </c>
    </row>
    <row r="63" spans="1:7" ht="15.75">
      <c r="A63" s="1">
        <v>55</v>
      </c>
      <c r="B63" s="67"/>
      <c r="C63" s="161"/>
      <c r="D63" s="161"/>
      <c r="E63" s="161"/>
      <c r="F63" s="161"/>
      <c r="G63" s="161"/>
    </row>
    <row r="64" spans="1:7" ht="16.5" thickBot="1">
      <c r="A64" s="1">
        <v>56</v>
      </c>
      <c r="B64" s="169" t="s">
        <v>85</v>
      </c>
      <c r="C64" s="172">
        <f>C51+C62</f>
        <v>534951252</v>
      </c>
      <c r="D64" s="172">
        <f>D51+D62</f>
        <v>272877</v>
      </c>
      <c r="E64" s="262">
        <f>E51+E62</f>
        <v>535224129</v>
      </c>
      <c r="F64" s="172">
        <f>F51+F62</f>
        <v>0</v>
      </c>
      <c r="G64" s="172">
        <f>G51+G62</f>
        <v>535224129</v>
      </c>
    </row>
    <row r="65" spans="1:7" ht="16.5" thickTop="1">
      <c r="A65" s="1">
        <v>57</v>
      </c>
      <c r="B65" s="67"/>
      <c r="C65" s="161"/>
      <c r="D65" s="161"/>
      <c r="E65" s="161"/>
      <c r="F65" s="161"/>
      <c r="G65" s="161"/>
    </row>
    <row r="66" spans="1:7" ht="16.5" thickBot="1">
      <c r="A66" s="1">
        <v>58</v>
      </c>
      <c r="B66" s="173" t="s">
        <v>0</v>
      </c>
      <c r="C66" s="174">
        <f>C37/C64</f>
        <v>0.05933145100854909</v>
      </c>
      <c r="D66" s="175"/>
      <c r="E66" s="174">
        <f>E37/E64</f>
        <v>0.06421354167158838</v>
      </c>
      <c r="F66" s="175"/>
      <c r="G66" s="174">
        <f>G37/G64</f>
        <v>0.07904450022538327</v>
      </c>
    </row>
    <row r="67" spans="1:7" ht="16.5" thickBot="1">
      <c r="A67" s="1">
        <v>59</v>
      </c>
      <c r="B67" s="173"/>
      <c r="C67" s="174"/>
      <c r="D67" s="175"/>
      <c r="E67" s="174"/>
      <c r="F67" s="175"/>
      <c r="G67" s="174"/>
    </row>
    <row r="68" spans="1:7" ht="15.75">
      <c r="A68" s="1">
        <v>60</v>
      </c>
      <c r="B68" s="19"/>
      <c r="C68" s="39"/>
      <c r="D68" s="39"/>
      <c r="E68" s="39"/>
      <c r="F68" s="39"/>
      <c r="G68" s="39"/>
    </row>
    <row r="69" spans="1:7" ht="15.75">
      <c r="A69" s="1">
        <v>61</v>
      </c>
      <c r="B69" s="19" t="s">
        <v>86</v>
      </c>
      <c r="C69" s="39"/>
      <c r="D69" s="39" t="s">
        <v>87</v>
      </c>
      <c r="E69" s="39"/>
      <c r="F69" s="42">
        <v>0</v>
      </c>
      <c r="G69" s="39"/>
    </row>
    <row r="70" spans="1:7" ht="15.75">
      <c r="A70" s="1">
        <v>62</v>
      </c>
      <c r="B70" s="19"/>
      <c r="C70" s="39"/>
      <c r="D70" s="39" t="s">
        <v>88</v>
      </c>
      <c r="E70" s="39"/>
      <c r="F70" s="42">
        <v>0.35</v>
      </c>
      <c r="G70" s="39"/>
    </row>
    <row r="71" spans="1:7" ht="15.75">
      <c r="A71" s="1">
        <v>63</v>
      </c>
      <c r="B71" s="19"/>
      <c r="C71" s="39"/>
      <c r="D71" s="39"/>
      <c r="E71" s="39"/>
      <c r="F71" s="42"/>
      <c r="G71" s="39"/>
    </row>
    <row r="72" spans="1:7" ht="15.75">
      <c r="A72" s="1">
        <v>64</v>
      </c>
      <c r="B72" s="19" t="s">
        <v>89</v>
      </c>
      <c r="C72" s="41">
        <f>C13-C35+C30+C31+C32</f>
        <v>42803872</v>
      </c>
      <c r="D72" s="41">
        <f>D13-D26-D27-D28-D29-D34</f>
        <v>609080</v>
      </c>
      <c r="E72" s="41">
        <f>E13-E26-E27-E28-E29-E34</f>
        <v>43412952</v>
      </c>
      <c r="F72" s="41">
        <f>F13-F26-F27-F28-F29-F34</f>
        <v>12212133.652600002</v>
      </c>
      <c r="G72" s="41">
        <f>G13-G26-G27-G28-G29-G34</f>
        <v>55625085.65259999</v>
      </c>
    </row>
    <row r="73" spans="1:7" ht="15.75">
      <c r="A73" s="1">
        <v>65</v>
      </c>
      <c r="B73" s="19" t="s">
        <v>90</v>
      </c>
      <c r="C73" s="41"/>
      <c r="D73" s="41"/>
      <c r="E73" s="41"/>
      <c r="F73" s="41"/>
      <c r="G73" s="41"/>
    </row>
    <row r="74" spans="1:7" ht="15.75">
      <c r="A74" s="1">
        <v>66</v>
      </c>
      <c r="B74" s="19" t="s">
        <v>91</v>
      </c>
      <c r="C74" s="41">
        <v>0</v>
      </c>
      <c r="D74" s="24">
        <f>+Adjustments!C74</f>
        <v>0</v>
      </c>
      <c r="E74" s="41">
        <f>+C74+D74</f>
        <v>0</v>
      </c>
      <c r="F74" s="41">
        <v>0</v>
      </c>
      <c r="G74" s="41">
        <f>+F74+E74</f>
        <v>0</v>
      </c>
    </row>
    <row r="75" spans="1:7" ht="15.75">
      <c r="A75" s="1">
        <v>67</v>
      </c>
      <c r="B75" s="19" t="s">
        <v>13</v>
      </c>
      <c r="C75" s="41">
        <v>17657050</v>
      </c>
      <c r="D75" s="24">
        <f>+Adjustments!C75</f>
        <v>-89105.82519700006</v>
      </c>
      <c r="E75" s="41">
        <f>+C75+D75</f>
        <v>17567944.174803</v>
      </c>
      <c r="F75" s="41">
        <v>0</v>
      </c>
      <c r="G75" s="41">
        <f>+F75+E75</f>
        <v>17567944.174803</v>
      </c>
    </row>
    <row r="76" spans="1:7" ht="15.75">
      <c r="A76" s="1">
        <v>68</v>
      </c>
      <c r="B76" s="19" t="s">
        <v>92</v>
      </c>
      <c r="C76" s="41">
        <v>40792555</v>
      </c>
      <c r="D76" s="24">
        <f>+Adjustments!C76</f>
        <v>1030852</v>
      </c>
      <c r="E76" s="41">
        <f>+C76+D76</f>
        <v>41823407</v>
      </c>
      <c r="F76" s="41">
        <v>0</v>
      </c>
      <c r="G76" s="41">
        <f>+F76+E76</f>
        <v>41823407</v>
      </c>
    </row>
    <row r="77" spans="1:7" ht="15.75">
      <c r="A77" s="1">
        <v>69</v>
      </c>
      <c r="B77" s="19" t="s">
        <v>93</v>
      </c>
      <c r="C77" s="43">
        <v>51800867</v>
      </c>
      <c r="D77" s="44">
        <f>+Adjustments!C77</f>
        <v>1450389</v>
      </c>
      <c r="E77" s="43">
        <f>+C77+D77</f>
        <v>53251256</v>
      </c>
      <c r="F77" s="43">
        <v>0</v>
      </c>
      <c r="G77" s="43">
        <f>+F77+E77</f>
        <v>53251256</v>
      </c>
    </row>
    <row r="78" spans="1:7" ht="15.75">
      <c r="A78" s="1">
        <v>70</v>
      </c>
      <c r="B78" s="19"/>
      <c r="C78" s="41"/>
      <c r="D78" s="41"/>
      <c r="E78" s="41"/>
      <c r="F78" s="41"/>
      <c r="G78" s="41"/>
    </row>
    <row r="79" spans="1:7" ht="15.75">
      <c r="A79" s="1">
        <v>71</v>
      </c>
      <c r="B79" s="19" t="s">
        <v>94</v>
      </c>
      <c r="C79" s="41">
        <f>C72-C73-C74-C75+C76-C77</f>
        <v>14138510</v>
      </c>
      <c r="D79" s="41">
        <f>D72-D73-D74-D75+D76-D77</f>
        <v>278648.82519700006</v>
      </c>
      <c r="E79" s="41">
        <f>E72-E73-E74-E75+E76-E77</f>
        <v>14417158.825196996</v>
      </c>
      <c r="F79" s="41">
        <f>F72-SUM(F73:F77)</f>
        <v>12212133.652600002</v>
      </c>
      <c r="G79" s="41">
        <f>G72-SUM(G73:G77)</f>
        <v>-57017521.52220301</v>
      </c>
    </row>
    <row r="80" spans="1:7" ht="15.75">
      <c r="A80" s="1">
        <v>72</v>
      </c>
      <c r="B80" s="19" t="s">
        <v>95</v>
      </c>
      <c r="C80" s="41">
        <v>0</v>
      </c>
      <c r="D80" s="24">
        <f>+Adjustments!C80</f>
        <v>0</v>
      </c>
      <c r="E80" s="41">
        <f>+C80+D80</f>
        <v>0</v>
      </c>
      <c r="F80" s="41">
        <f>F79*$F$69</f>
        <v>0</v>
      </c>
      <c r="G80" s="41">
        <f>+F80+E80</f>
        <v>0</v>
      </c>
    </row>
    <row r="81" spans="1:7" ht="15.75">
      <c r="A81" s="1">
        <v>73</v>
      </c>
      <c r="B81" s="26" t="s">
        <v>96</v>
      </c>
      <c r="C81" s="27">
        <f>C79-C80</f>
        <v>14138510</v>
      </c>
      <c r="D81" s="27">
        <f>D79-D80</f>
        <v>278648.82519700006</v>
      </c>
      <c r="E81" s="27">
        <f>E79-E80</f>
        <v>14417158.825196996</v>
      </c>
      <c r="F81" s="27">
        <f>F79-F80</f>
        <v>12212133.652600002</v>
      </c>
      <c r="G81" s="27">
        <f>G79-G80</f>
        <v>-57017521.52220301</v>
      </c>
    </row>
    <row r="82" spans="1:7" ht="15.75">
      <c r="A82" s="1">
        <v>74</v>
      </c>
      <c r="B82" s="19" t="s">
        <v>97</v>
      </c>
      <c r="C82" s="41">
        <v>0</v>
      </c>
      <c r="D82" s="24">
        <f>+Adjustments!C82</f>
        <v>-629057</v>
      </c>
      <c r="E82" s="41">
        <f>+C82+D82</f>
        <v>-629057</v>
      </c>
      <c r="F82" s="41">
        <v>0</v>
      </c>
      <c r="G82" s="41">
        <f>+E82+F82</f>
        <v>-629057</v>
      </c>
    </row>
    <row r="83" spans="1:7" ht="16.5" thickBot="1">
      <c r="A83" s="1">
        <v>75</v>
      </c>
      <c r="B83" s="31" t="s">
        <v>117</v>
      </c>
      <c r="C83" s="45">
        <f>C81*$F$70</f>
        <v>4948478.5</v>
      </c>
      <c r="D83" s="45">
        <f>D81*$F$70+D82</f>
        <v>-531529.91118105</v>
      </c>
      <c r="E83" s="45">
        <f>+C83+D83</f>
        <v>4416948.58881895</v>
      </c>
      <c r="F83" s="45">
        <f>F81*$F$70+F82</f>
        <v>4274246.778410001</v>
      </c>
      <c r="G83" s="45">
        <f>+E83+F83</f>
        <v>8691195.367228951</v>
      </c>
    </row>
    <row r="84" spans="1:7" ht="16.5" thickTop="1">
      <c r="A84" s="1">
        <v>76</v>
      </c>
      <c r="B84" s="32"/>
      <c r="C84" s="41"/>
      <c r="D84" s="41" t="s">
        <v>150</v>
      </c>
      <c r="E84" s="41"/>
      <c r="F84" s="41"/>
      <c r="G84" s="41"/>
    </row>
  </sheetData>
  <mergeCells count="3">
    <mergeCell ref="B1:G1"/>
    <mergeCell ref="B2:G2"/>
    <mergeCell ref="B3:G3"/>
  </mergeCells>
  <printOptions/>
  <pageMargins left="1.25" right="0.75" top="1" bottom="1" header="0.5" footer="0.25"/>
  <pageSetup fitToHeight="2" fitToWidth="1" horizontalDpi="600" verticalDpi="600" orientation="portrait" scale="64" r:id="rId1"/>
  <headerFooter alignWithMargins="0">
    <oddHeader>&amp;R&amp;"Times New Roman,Regular"PacifiCorp Docket UE-061546
Exhibit ___ (TES-2)
REVISED 3/22/2007</oddHeader>
    <oddFooter>&amp;R&amp;"Times New Roman,Regular"Page &amp;P of &amp;N</oddFooter>
  </headerFooter>
  <rowBreaks count="1" manualBreakCount="1">
    <brk id="51" min="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104"/>
  <sheetViews>
    <sheetView workbookViewId="0" topLeftCell="A17">
      <selection activeCell="D33" sqref="D33"/>
    </sheetView>
  </sheetViews>
  <sheetFormatPr defaultColWidth="9.140625" defaultRowHeight="12.75"/>
  <cols>
    <col min="1" max="1" width="3.28125" style="0" customWidth="1"/>
    <col min="2" max="2" width="33.00390625" style="0" customWidth="1"/>
    <col min="3" max="3" width="5.57421875" style="0" customWidth="1"/>
    <col min="4" max="4" width="16.57421875" style="0" customWidth="1"/>
  </cols>
  <sheetData>
    <row r="1" spans="1:4" ht="18.75">
      <c r="A1" s="1"/>
      <c r="B1" s="252" t="s">
        <v>176</v>
      </c>
      <c r="C1" s="252"/>
      <c r="D1" s="252"/>
    </row>
    <row r="2" spans="1:4" ht="18.75">
      <c r="A2" s="1"/>
      <c r="B2" s="252" t="s">
        <v>177</v>
      </c>
      <c r="C2" s="252"/>
      <c r="D2" s="252"/>
    </row>
    <row r="3" spans="1:4" ht="18.75">
      <c r="A3" s="1"/>
      <c r="B3" s="150"/>
      <c r="C3" s="150"/>
      <c r="D3" s="150"/>
    </row>
    <row r="4" spans="1:4" ht="15.75">
      <c r="A4" s="1"/>
      <c r="B4" s="2" t="s">
        <v>198</v>
      </c>
      <c r="C4" s="3" t="s">
        <v>148</v>
      </c>
      <c r="D4" s="3" t="s">
        <v>263</v>
      </c>
    </row>
    <row r="5" spans="1:4" ht="15.75">
      <c r="A5" s="1"/>
      <c r="B5" s="4"/>
      <c r="C5" s="8" t="s">
        <v>154</v>
      </c>
      <c r="D5" s="3" t="s">
        <v>358</v>
      </c>
    </row>
    <row r="6" spans="1:4" ht="15.75">
      <c r="A6" s="1"/>
      <c r="B6" s="5"/>
      <c r="C6" s="6"/>
      <c r="D6" s="6"/>
    </row>
    <row r="7" spans="1:4" ht="15.75">
      <c r="A7" s="1">
        <v>1</v>
      </c>
      <c r="B7" s="33" t="s">
        <v>185</v>
      </c>
      <c r="C7" s="8"/>
      <c r="D7" s="231">
        <f>+summary!E8</f>
        <v>534951251</v>
      </c>
    </row>
    <row r="8" spans="1:4" ht="15.75">
      <c r="A8" s="1">
        <v>2</v>
      </c>
      <c r="B8" s="8" t="s">
        <v>361</v>
      </c>
      <c r="C8" s="8"/>
      <c r="D8" s="226"/>
    </row>
    <row r="9" spans="1:4" ht="15.75">
      <c r="A9" s="1">
        <v>3</v>
      </c>
      <c r="B9" s="7" t="str">
        <f>+summary!B11</f>
        <v>Temperature Normalization (u)</v>
      </c>
      <c r="C9" s="7">
        <f>+summary!C11</f>
        <v>3.1</v>
      </c>
      <c r="D9" s="227">
        <f>+summary!E11</f>
        <v>0</v>
      </c>
    </row>
    <row r="10" spans="1:4" ht="15.75">
      <c r="A10" s="1">
        <v>4</v>
      </c>
      <c r="B10" s="7" t="str">
        <f>+summary!B12</f>
        <v>ProForma Reduction in Load (u)</v>
      </c>
      <c r="C10" s="7">
        <f>+summary!C12</f>
        <v>3.2</v>
      </c>
      <c r="D10" s="227">
        <f>+summary!E12</f>
        <v>0</v>
      </c>
    </row>
    <row r="11" spans="1:4" ht="15.75">
      <c r="A11" s="1">
        <v>5</v>
      </c>
      <c r="B11" s="7" t="str">
        <f>+summary!B13</f>
        <v>Revenue Normalizing (u)</v>
      </c>
      <c r="C11" s="7">
        <f>+summary!C13</f>
        <v>3.3</v>
      </c>
      <c r="D11" s="227">
        <f>+summary!E13</f>
        <v>0</v>
      </c>
    </row>
    <row r="12" spans="1:4" ht="15.75">
      <c r="A12" s="1">
        <v>6</v>
      </c>
      <c r="B12" s="7" t="str">
        <f>+summary!B14</f>
        <v>Centralia Gain (u)</v>
      </c>
      <c r="C12" s="7">
        <f>+summary!C14</f>
        <v>3.4</v>
      </c>
      <c r="D12" s="227">
        <f>+summary!E14</f>
        <v>0</v>
      </c>
    </row>
    <row r="13" spans="1:4" ht="15.75">
      <c r="A13" s="1">
        <v>7</v>
      </c>
      <c r="B13" s="7" t="str">
        <f>+summary!B15</f>
        <v>Pole Attachment Revenue (u)</v>
      </c>
      <c r="C13" s="7">
        <f>+summary!C15</f>
        <v>3.5</v>
      </c>
      <c r="D13" s="227">
        <f>+summary!E15</f>
        <v>0</v>
      </c>
    </row>
    <row r="14" spans="1:4" ht="15.75">
      <c r="A14" s="1">
        <v>8</v>
      </c>
      <c r="B14" s="7" t="str">
        <f>+summary!B16</f>
        <v>SO2 Emission Allowances (u)</v>
      </c>
      <c r="C14" s="7">
        <f>+summary!C16</f>
        <v>3.6</v>
      </c>
      <c r="D14" s="227">
        <f>+summary!E16</f>
        <v>-1457588</v>
      </c>
    </row>
    <row r="15" spans="1:4" ht="15.75">
      <c r="A15" s="1">
        <v>9</v>
      </c>
      <c r="B15" s="7"/>
      <c r="C15" s="7"/>
      <c r="D15" s="227"/>
    </row>
    <row r="16" spans="1:4" ht="15.75">
      <c r="A16" s="1">
        <v>10</v>
      </c>
      <c r="B16" s="8" t="str">
        <f>+summary!B18</f>
        <v>O &amp; M</v>
      </c>
      <c r="C16" s="7"/>
      <c r="D16" s="227"/>
    </row>
    <row r="17" spans="1:4" ht="15.75">
      <c r="A17" s="1">
        <v>11</v>
      </c>
      <c r="B17" s="7" t="str">
        <f>+summary!B19</f>
        <v>Green Tag Removal (u)</v>
      </c>
      <c r="C17" s="7">
        <f>+summary!C19</f>
        <v>4.1</v>
      </c>
      <c r="D17" s="227">
        <f>+summary!E19</f>
        <v>0</v>
      </c>
    </row>
    <row r="18" spans="1:4" ht="15.75">
      <c r="A18" s="1">
        <v>12</v>
      </c>
      <c r="B18" s="7" t="str">
        <f>+summary!B20</f>
        <v>Miscellaneous General Expense (u)</v>
      </c>
      <c r="C18" s="7">
        <f>+summary!C20</f>
        <v>4.2</v>
      </c>
      <c r="D18" s="227">
        <f>+summary!E20</f>
        <v>0</v>
      </c>
    </row>
    <row r="19" spans="1:4" ht="15.75">
      <c r="A19" s="1">
        <v>13</v>
      </c>
      <c r="B19" s="7" t="str">
        <f>+summary!B21</f>
        <v>International Assignees (u)</v>
      </c>
      <c r="C19" s="7">
        <f>+summary!C21</f>
        <v>4.3</v>
      </c>
      <c r="D19" s="227">
        <f>+summary!E21</f>
        <v>0</v>
      </c>
    </row>
    <row r="20" spans="1:4" ht="15.75">
      <c r="A20" s="1">
        <v>14</v>
      </c>
      <c r="B20" s="7" t="str">
        <f>+summary!B22</f>
        <v>Out of Period Expense Adj.</v>
      </c>
      <c r="C20" s="7">
        <f>+summary!C22</f>
        <v>4.4</v>
      </c>
      <c r="D20" s="227">
        <f>+summary!E22</f>
        <v>0</v>
      </c>
    </row>
    <row r="21" spans="1:4" ht="15.75">
      <c r="A21" s="1">
        <v>15</v>
      </c>
      <c r="B21" s="7" t="str">
        <f>+summary!B23</f>
        <v>Propety Insurance (u)</v>
      </c>
      <c r="C21" s="7">
        <f>+summary!C23</f>
        <v>4.5</v>
      </c>
      <c r="D21" s="227">
        <f>+summary!E23</f>
        <v>0</v>
      </c>
    </row>
    <row r="22" spans="1:4" ht="15.75">
      <c r="A22" s="1">
        <v>16</v>
      </c>
      <c r="B22" s="7" t="str">
        <f>+summary!B24</f>
        <v>Affiliate Fee Commitment (u)</v>
      </c>
      <c r="C22" s="7">
        <f>+summary!C24</f>
        <v>4.6</v>
      </c>
      <c r="D22" s="227">
        <f>+summary!E24</f>
        <v>0</v>
      </c>
    </row>
    <row r="23" spans="1:4" ht="15.75">
      <c r="A23" s="1">
        <v>17</v>
      </c>
      <c r="B23" s="7" t="str">
        <f>+summary!B25</f>
        <v>DSM Amortization Removal (u)</v>
      </c>
      <c r="C23" s="7">
        <f>+summary!C25</f>
        <v>4.7</v>
      </c>
      <c r="D23" s="227">
        <f>+summary!E25</f>
        <v>0</v>
      </c>
    </row>
    <row r="24" spans="1:4" ht="15.75">
      <c r="A24" s="1">
        <v>18</v>
      </c>
      <c r="B24" s="7" t="str">
        <f>+summary!B26</f>
        <v>Corporate Cost Commitment (u)</v>
      </c>
      <c r="C24" s="7">
        <f>+summary!C26</f>
        <v>4.8</v>
      </c>
      <c r="D24" s="227">
        <f>+summary!E26</f>
        <v>0</v>
      </c>
    </row>
    <row r="25" spans="1:4" ht="15.75">
      <c r="A25" s="1">
        <v>19</v>
      </c>
      <c r="B25" s="7" t="str">
        <f>+summary!B27</f>
        <v>A&amp;G Expense Commitment (u)</v>
      </c>
      <c r="C25" s="7">
        <f>+summary!C27</f>
        <v>4.9</v>
      </c>
      <c r="D25" s="227">
        <f>+summary!E27</f>
        <v>0</v>
      </c>
    </row>
    <row r="26" spans="1:4" ht="15.75">
      <c r="A26" s="1">
        <v>20</v>
      </c>
      <c r="B26" s="7" t="str">
        <f>+summary!B28</f>
        <v>Proforma Wage Adjustment</v>
      </c>
      <c r="C26" s="242">
        <f>+summary!C28</f>
        <v>4.1</v>
      </c>
      <c r="D26" s="227">
        <f>+summary!E28</f>
        <v>0</v>
      </c>
    </row>
    <row r="27" spans="1:4" ht="15.75">
      <c r="A27" s="1">
        <v>21</v>
      </c>
      <c r="B27" s="7"/>
      <c r="C27" s="7"/>
      <c r="D27" s="227"/>
    </row>
    <row r="28" spans="1:4" ht="15.75">
      <c r="A28" s="1">
        <v>22</v>
      </c>
      <c r="B28" s="8" t="str">
        <f>+summary!B31</f>
        <v>POWER COSTS</v>
      </c>
      <c r="C28" s="7"/>
      <c r="D28" s="227"/>
    </row>
    <row r="29" spans="1:4" ht="15.75">
      <c r="A29" s="1">
        <v>23</v>
      </c>
      <c r="B29" s="7" t="str">
        <f>+summary!B32</f>
        <v>BPA Exchange (u)</v>
      </c>
      <c r="C29" s="7">
        <f>+summary!C32</f>
        <v>5.1</v>
      </c>
      <c r="D29" s="227">
        <f>+summary!E32</f>
        <v>0</v>
      </c>
    </row>
    <row r="30" spans="1:4" ht="15.75">
      <c r="A30" s="1">
        <v>24</v>
      </c>
      <c r="B30" s="7" t="str">
        <f>+summary!B33</f>
        <v>James River Royalty Offset (u)</v>
      </c>
      <c r="C30" s="7">
        <f>+summary!C33</f>
        <v>5.2</v>
      </c>
      <c r="D30" s="227">
        <f>+summary!E33</f>
        <v>0</v>
      </c>
    </row>
    <row r="31" spans="1:4" ht="15.75">
      <c r="A31" s="1">
        <v>25</v>
      </c>
      <c r="B31" s="7" t="str">
        <f>+summary!B34</f>
        <v>Removal of Colstrip #3 (u)</v>
      </c>
      <c r="C31" s="7">
        <f>+summary!C34</f>
        <v>5.3</v>
      </c>
      <c r="D31" s="227">
        <f>+summary!E34</f>
        <v>-9665246</v>
      </c>
    </row>
    <row r="32" spans="1:4" ht="15.75">
      <c r="A32" s="1">
        <v>26</v>
      </c>
      <c r="B32" s="7" t="str">
        <f>+summary!B35</f>
        <v>Misc. Power Supply</v>
      </c>
      <c r="C32" s="7">
        <f>+summary!C35</f>
        <v>5.4</v>
      </c>
      <c r="D32" s="227">
        <f>+summary!E35</f>
        <v>0</v>
      </c>
    </row>
    <row r="33" spans="1:4" ht="15.75">
      <c r="A33" s="1">
        <v>27</v>
      </c>
      <c r="B33" s="7" t="str">
        <f>+summary!B36</f>
        <v>Revised CAGW &amp; SO Factors</v>
      </c>
      <c r="C33" s="7">
        <f>+summary!C36</f>
        <v>5.5</v>
      </c>
      <c r="D33" s="273">
        <f>+summary!E36</f>
        <v>-6154114</v>
      </c>
    </row>
    <row r="34" spans="1:4" ht="15.75">
      <c r="A34" s="1">
        <v>28</v>
      </c>
      <c r="B34" s="7" t="str">
        <f>+summary!B37</f>
        <v>Water Year Adjustment</v>
      </c>
      <c r="C34" s="7">
        <f>+summary!C37</f>
        <v>5.6</v>
      </c>
      <c r="D34" s="227">
        <f>+summary!E37</f>
        <v>0</v>
      </c>
    </row>
    <row r="35" spans="1:4" ht="15.75">
      <c r="A35" s="1">
        <v>29</v>
      </c>
      <c r="B35" s="7"/>
      <c r="C35" s="7"/>
      <c r="D35" s="227"/>
    </row>
    <row r="36" spans="1:4" ht="15.75">
      <c r="A36" s="1">
        <v>30</v>
      </c>
      <c r="B36" s="8" t="str">
        <f>+summary!B40</f>
        <v>TAX ADJUSTMENTS</v>
      </c>
      <c r="C36" s="7"/>
      <c r="D36" s="227"/>
    </row>
    <row r="37" spans="1:4" ht="15.75">
      <c r="A37" s="1">
        <v>31</v>
      </c>
      <c r="B37" s="7" t="str">
        <f>+summary!B41</f>
        <v>Interest True Up</v>
      </c>
      <c r="C37" s="7">
        <f>+summary!C41</f>
        <v>7.1</v>
      </c>
      <c r="D37" s="227">
        <f>+summary!E41</f>
        <v>0</v>
      </c>
    </row>
    <row r="38" spans="1:4" ht="15.75">
      <c r="A38" s="1">
        <v>32</v>
      </c>
      <c r="B38" s="7" t="str">
        <f>+summary!B42</f>
        <v>Utah Gross Receipts Tax (u)</v>
      </c>
      <c r="C38" s="7">
        <f>+summary!C42</f>
        <v>7.2</v>
      </c>
      <c r="D38" s="227">
        <f>+summary!E42</f>
        <v>0</v>
      </c>
    </row>
    <row r="39" spans="1:4" ht="15.75">
      <c r="A39" s="1">
        <v>33</v>
      </c>
      <c r="B39" s="7" t="str">
        <f>+summary!B43</f>
        <v>Reclass Deferred Income Tax (u)</v>
      </c>
      <c r="C39" s="7">
        <f>+summary!C43</f>
        <v>7.3</v>
      </c>
      <c r="D39" s="227">
        <f>+summary!E43</f>
        <v>-16435</v>
      </c>
    </row>
    <row r="40" spans="1:4" ht="15.75">
      <c r="A40" s="1">
        <v>34</v>
      </c>
      <c r="B40" s="7" t="str">
        <f>+summary!B44</f>
        <v>Malin Midpoint (u)</v>
      </c>
      <c r="C40" s="7">
        <f>+summary!C44</f>
        <v>7.4</v>
      </c>
      <c r="D40" s="227">
        <f>+summary!E44</f>
        <v>-1487206</v>
      </c>
    </row>
    <row r="41" spans="1:4" ht="15.75">
      <c r="A41" s="1">
        <v>35</v>
      </c>
      <c r="B41" s="7" t="str">
        <f>+summary!B45</f>
        <v>Flow-through Deferred Tax Adj. (u)</v>
      </c>
      <c r="C41" s="7">
        <f>+summary!C45</f>
        <v>7.5</v>
      </c>
      <c r="D41" s="227">
        <f>+summary!E45</f>
        <v>-10531719</v>
      </c>
    </row>
    <row r="42" spans="1:4" ht="15.75">
      <c r="A42" s="1">
        <v>36</v>
      </c>
      <c r="B42" s="7" t="str">
        <f>+summary!B46</f>
        <v>IRS Settlement Amortization</v>
      </c>
      <c r="C42" s="7">
        <f>+summary!C46</f>
        <v>7.6</v>
      </c>
      <c r="D42" s="227">
        <f>+summary!E46</f>
        <v>0</v>
      </c>
    </row>
    <row r="43" spans="1:4" ht="15.75">
      <c r="A43" s="1">
        <v>37</v>
      </c>
      <c r="B43" s="7" t="str">
        <f>+summary!B47</f>
        <v>Year-end Deferred Tax (u)</v>
      </c>
      <c r="C43" s="7">
        <f>+summary!C47</f>
        <v>7.7</v>
      </c>
      <c r="D43" s="227">
        <f>+summary!E47</f>
        <v>-377919</v>
      </c>
    </row>
    <row r="44" spans="1:4" ht="15.75">
      <c r="A44" s="1">
        <v>38</v>
      </c>
      <c r="B44" s="7" t="str">
        <f>+summary!B48</f>
        <v>Renewable Energy Tax Credit (u)</v>
      </c>
      <c r="C44" s="7">
        <f>+summary!C48</f>
        <v>7.8</v>
      </c>
      <c r="D44" s="227">
        <f>+summary!E48</f>
        <v>0</v>
      </c>
    </row>
    <row r="45" spans="1:4" ht="15.75">
      <c r="A45" s="1">
        <v>39</v>
      </c>
      <c r="B45" s="7" t="str">
        <f>+summary!B49</f>
        <v>Low Income Tax Credit (u)</v>
      </c>
      <c r="C45" s="7">
        <f>+summary!C49</f>
        <v>7.9</v>
      </c>
      <c r="D45" s="227">
        <f>+summary!E49</f>
        <v>0</v>
      </c>
    </row>
    <row r="46" spans="1:4" ht="15.75">
      <c r="A46" s="1">
        <v>40</v>
      </c>
      <c r="B46" s="7" t="str">
        <f>+summary!B50</f>
        <v>Production Activity Deduction</v>
      </c>
      <c r="C46" s="242">
        <f>+summary!C50</f>
        <v>7.1</v>
      </c>
      <c r="D46" s="227">
        <f>+summary!E50</f>
        <v>0</v>
      </c>
    </row>
    <row r="47" spans="1:4" ht="15.75">
      <c r="A47" s="1">
        <v>41</v>
      </c>
      <c r="B47" s="7"/>
      <c r="C47" s="7"/>
      <c r="D47" s="227"/>
    </row>
    <row r="48" spans="1:4" ht="15.75">
      <c r="A48" s="1">
        <v>42</v>
      </c>
      <c r="B48" s="8" t="str">
        <f>+summary!B52</f>
        <v>RATE BASE</v>
      </c>
      <c r="C48" s="7"/>
      <c r="D48" s="227"/>
    </row>
    <row r="49" spans="1:4" ht="15.75">
      <c r="A49" s="1">
        <v>43</v>
      </c>
      <c r="B49" s="7" t="str">
        <f>+summary!B53</f>
        <v>Cash Working Capital</v>
      </c>
      <c r="C49" s="7">
        <f>+summary!C53</f>
        <v>8.1</v>
      </c>
      <c r="D49" s="227">
        <f>+summary!E53</f>
        <v>0</v>
      </c>
    </row>
    <row r="50" spans="1:4" ht="15.75">
      <c r="A50" s="1">
        <v>44</v>
      </c>
      <c r="B50" s="7" t="str">
        <f>+summary!B54</f>
        <v>Remove Deferred Debits (u)</v>
      </c>
      <c r="C50" s="7">
        <f>+summary!C54</f>
        <v>8.2</v>
      </c>
      <c r="D50" s="227">
        <f>+summary!E54</f>
        <v>-2814534</v>
      </c>
    </row>
    <row r="51" spans="1:4" ht="15.75">
      <c r="A51" s="1">
        <v>45</v>
      </c>
      <c r="B51" s="7" t="str">
        <f>+summary!B55</f>
        <v>Bridger Mine Rate Base</v>
      </c>
      <c r="C51" s="7">
        <f>+summary!C55</f>
        <v>8.3</v>
      </c>
      <c r="D51" s="227">
        <f>+summary!E55</f>
        <v>18630829</v>
      </c>
    </row>
    <row r="52" spans="1:4" ht="15.75">
      <c r="A52" s="1">
        <v>46</v>
      </c>
      <c r="B52" s="7" t="str">
        <f>+summary!B56</f>
        <v>Grid West Loan (u)</v>
      </c>
      <c r="C52" s="7">
        <f>+summary!C56</f>
        <v>8.4</v>
      </c>
      <c r="D52" s="227">
        <f>+summary!E56</f>
        <v>112424</v>
      </c>
    </row>
    <row r="53" spans="1:4" ht="15.75">
      <c r="A53" s="1">
        <v>47</v>
      </c>
      <c r="B53" s="7" t="str">
        <f>+summary!B57</f>
        <v>North Umpqua Relicensing (u)</v>
      </c>
      <c r="C53" s="7">
        <f>+summary!C57</f>
        <v>8.5</v>
      </c>
      <c r="D53" s="227">
        <f>+summary!E57</f>
        <v>-130323</v>
      </c>
    </row>
    <row r="54" spans="1:4" ht="15.75">
      <c r="A54" s="1">
        <v>48</v>
      </c>
      <c r="B54" s="7" t="str">
        <f>+summary!B58</f>
        <v>Yakama Sale (u)</v>
      </c>
      <c r="C54" s="7">
        <f>+summary!C58</f>
        <v>8.6</v>
      </c>
      <c r="D54" s="227">
        <f>+summary!E58</f>
        <v>-441866</v>
      </c>
    </row>
    <row r="55" spans="1:4" ht="15.75">
      <c r="A55" s="1">
        <v>49</v>
      </c>
      <c r="B55" s="7" t="str">
        <f>+summary!B59</f>
        <v>Customer Advances (u)</v>
      </c>
      <c r="C55" s="7">
        <f>+summary!C59</f>
        <v>8.7</v>
      </c>
      <c r="D55" s="227">
        <f>+summary!E59</f>
        <v>984551</v>
      </c>
    </row>
    <row r="56" spans="1:4" ht="15.75">
      <c r="A56" s="1">
        <v>50</v>
      </c>
      <c r="B56" s="7" t="str">
        <f>+summary!B60</f>
        <v>Centralia Transmission Line Sale (u)</v>
      </c>
      <c r="C56" s="7">
        <f>+summary!C60</f>
        <v>8.8</v>
      </c>
      <c r="D56" s="227">
        <f>+summary!E60</f>
        <v>-38931</v>
      </c>
    </row>
    <row r="57" spans="1:4" ht="15.75">
      <c r="A57" s="1">
        <v>51</v>
      </c>
      <c r="B57" s="7" t="str">
        <f>+summary!B61</f>
        <v>Leaning Juniper (u)</v>
      </c>
      <c r="C57" s="7">
        <f>+summary!C61</f>
        <v>8.9</v>
      </c>
      <c r="D57" s="227">
        <f>+summary!E61</f>
        <v>21751568</v>
      </c>
    </row>
    <row r="58" spans="1:4" ht="15.75">
      <c r="A58" s="1">
        <v>52</v>
      </c>
      <c r="B58" s="7" t="str">
        <f>+summary!B62</f>
        <v>Miscellaneous Rate Base Adj. (u)</v>
      </c>
      <c r="C58" s="242">
        <f>+summary!C62</f>
        <v>8.1</v>
      </c>
      <c r="D58" s="227">
        <f>+summary!E62</f>
        <v>0</v>
      </c>
    </row>
    <row r="59" spans="1:4" ht="15.75">
      <c r="A59" s="1">
        <v>53</v>
      </c>
      <c r="B59" s="7" t="str">
        <f>+summary!B63</f>
        <v>Colstrip 4 AFUDC Adj. (u)</v>
      </c>
      <c r="C59" s="7">
        <f>+summary!C63</f>
        <v>8.11</v>
      </c>
      <c r="D59" s="227">
        <f>+summary!E63</f>
        <v>-481839</v>
      </c>
    </row>
    <row r="60" spans="1:4" ht="15.75">
      <c r="A60" s="1">
        <v>54</v>
      </c>
      <c r="B60" s="7" t="str">
        <f>+summary!B64</f>
        <v>Trojan Removal (u)</v>
      </c>
      <c r="C60" s="7">
        <f>+summary!C64</f>
        <v>8.12</v>
      </c>
      <c r="D60" s="227">
        <f>+summary!E64</f>
        <v>660546</v>
      </c>
    </row>
    <row r="61" spans="1:4" ht="15.75">
      <c r="A61" s="1">
        <v>55</v>
      </c>
      <c r="B61" s="7" t="str">
        <f>+summary!B65</f>
        <v>MEHC Transition Savings</v>
      </c>
      <c r="C61" s="7">
        <f>+summary!C65</f>
        <v>8.13</v>
      </c>
      <c r="D61" s="273">
        <f>+summary!E65</f>
        <v>1592618</v>
      </c>
    </row>
    <row r="62" spans="1:4" ht="15.75">
      <c r="A62" s="1">
        <v>56</v>
      </c>
      <c r="B62" s="7" t="str">
        <f>+summary!B66</f>
        <v>Remove Working Capital</v>
      </c>
      <c r="C62" s="7">
        <f>+summary!C66</f>
        <v>8.14</v>
      </c>
      <c r="D62" s="227">
        <f>+summary!E66</f>
        <v>-4014806</v>
      </c>
    </row>
    <row r="63" spans="1:4" ht="15.75">
      <c r="A63" s="1">
        <v>57</v>
      </c>
      <c r="B63" s="7" t="str">
        <f>+summary!B67</f>
        <v>Remove Current Assets</v>
      </c>
      <c r="C63" s="7">
        <f>+summary!C67</f>
        <v>8.15</v>
      </c>
      <c r="D63" s="227">
        <f>+summary!E67</f>
        <v>-12166362</v>
      </c>
    </row>
    <row r="64" spans="1:4" ht="15.75">
      <c r="A64" s="1">
        <v>58</v>
      </c>
      <c r="B64" s="7" t="str">
        <f>+summary!B68</f>
        <v>ISWC</v>
      </c>
      <c r="C64" s="7">
        <f>+summary!C68</f>
        <v>8.16</v>
      </c>
      <c r="D64" s="227">
        <f>+summary!E68</f>
        <v>8321198</v>
      </c>
    </row>
    <row r="65" spans="1:4" ht="15.75">
      <c r="A65" s="1">
        <v>59</v>
      </c>
      <c r="B65" s="7" t="str">
        <f>+summary!B69</f>
        <v>Customer Deposits</v>
      </c>
      <c r="C65" s="7">
        <f>+summary!C69</f>
        <v>8.17</v>
      </c>
      <c r="D65" s="227">
        <f>+summary!E69</f>
        <v>-2001969</v>
      </c>
    </row>
    <row r="66" spans="1:4" ht="16.5" thickBot="1">
      <c r="A66" s="1">
        <v>60</v>
      </c>
      <c r="B66" s="249" t="str">
        <f>+summary!B72</f>
        <v>Total</v>
      </c>
      <c r="C66" s="7"/>
      <c r="D66" s="248">
        <f>+summary!E72</f>
        <v>535224128</v>
      </c>
    </row>
    <row r="67" spans="1:4" ht="16.5" thickTop="1">
      <c r="A67" s="1">
        <v>61</v>
      </c>
      <c r="B67" s="7"/>
      <c r="C67" s="7"/>
      <c r="D67" s="227"/>
    </row>
    <row r="68" ht="15.75">
      <c r="A68" s="1">
        <v>62</v>
      </c>
    </row>
    <row r="69" spans="1:4" ht="15.75">
      <c r="A69" s="1">
        <v>63</v>
      </c>
      <c r="B69" s="7"/>
      <c r="C69" s="7"/>
      <c r="D69" s="7"/>
    </row>
    <row r="70" spans="1:4" ht="15.75">
      <c r="A70" s="1">
        <v>64</v>
      </c>
      <c r="B70" s="7"/>
      <c r="C70" s="7"/>
      <c r="D70" s="7"/>
    </row>
    <row r="71" spans="1:4" ht="15.75">
      <c r="A71" s="1">
        <v>65</v>
      </c>
      <c r="B71" s="7"/>
      <c r="C71" s="7"/>
      <c r="D71" s="7"/>
    </row>
    <row r="72" spans="1:4" ht="15.75">
      <c r="A72" s="1">
        <v>66</v>
      </c>
      <c r="B72" s="7"/>
      <c r="C72" s="7"/>
      <c r="D72" s="7"/>
    </row>
    <row r="73" spans="1:4" ht="15.75">
      <c r="A73" s="1">
        <v>67</v>
      </c>
      <c r="B73" s="7"/>
      <c r="C73" s="7"/>
      <c r="D73" s="7"/>
    </row>
    <row r="74" spans="1:4" ht="15.75">
      <c r="A74" s="1">
        <v>68</v>
      </c>
      <c r="B74" s="7"/>
      <c r="C74" s="7"/>
      <c r="D74" s="7"/>
    </row>
    <row r="75" spans="1:4" ht="15.75">
      <c r="A75" s="1">
        <v>69</v>
      </c>
      <c r="B75" s="7"/>
      <c r="C75" s="7"/>
      <c r="D75" s="7"/>
    </row>
    <row r="76" spans="1:4" ht="15.75">
      <c r="A76" s="1">
        <v>70</v>
      </c>
      <c r="B76" s="7"/>
      <c r="C76" s="7"/>
      <c r="D76" s="7"/>
    </row>
    <row r="77" spans="1:4" ht="15.75">
      <c r="A77" s="1">
        <v>71</v>
      </c>
      <c r="B77" s="7"/>
      <c r="C77" s="7"/>
      <c r="D77" s="7"/>
    </row>
    <row r="78" spans="1:4" ht="15.75">
      <c r="A78" s="1">
        <v>72</v>
      </c>
      <c r="B78" s="7"/>
      <c r="C78" s="7"/>
      <c r="D78" s="7"/>
    </row>
    <row r="79" spans="1:2" ht="15.75">
      <c r="A79" s="1">
        <v>73</v>
      </c>
      <c r="B79" s="60"/>
    </row>
    <row r="80" ht="15.75">
      <c r="A80" s="1">
        <v>74</v>
      </c>
    </row>
    <row r="81" ht="15.75">
      <c r="A81" s="1">
        <v>75</v>
      </c>
    </row>
    <row r="82" spans="1:4" ht="15.75">
      <c r="A82" s="1">
        <v>76</v>
      </c>
      <c r="D82" s="15"/>
    </row>
    <row r="83" ht="15.75">
      <c r="A83" s="1">
        <v>77</v>
      </c>
    </row>
    <row r="84" ht="15.75">
      <c r="A84" s="1">
        <v>78</v>
      </c>
    </row>
    <row r="87" ht="12.75">
      <c r="D87" s="15"/>
    </row>
    <row r="88" ht="12.75">
      <c r="D88" s="15"/>
    </row>
    <row r="89" ht="12.75">
      <c r="D89" s="15"/>
    </row>
    <row r="90" ht="12.75">
      <c r="D90" s="15"/>
    </row>
    <row r="91" ht="12.75">
      <c r="D91" s="15"/>
    </row>
    <row r="92" ht="12.75">
      <c r="D92" s="15"/>
    </row>
    <row r="93" ht="12.75">
      <c r="D93" s="15"/>
    </row>
    <row r="94" ht="12.75">
      <c r="D94" s="15"/>
    </row>
    <row r="96" ht="12.75">
      <c r="D96" s="15"/>
    </row>
    <row r="97" ht="12.75">
      <c r="D97" s="15"/>
    </row>
    <row r="98" ht="12.75">
      <c r="D98" s="15"/>
    </row>
    <row r="99" ht="12.75">
      <c r="D99" s="15"/>
    </row>
    <row r="100" ht="12.75">
      <c r="D100" s="15"/>
    </row>
    <row r="101" ht="12.75">
      <c r="D101" s="15"/>
    </row>
    <row r="102" ht="12.75">
      <c r="D102" s="15"/>
    </row>
    <row r="103" ht="12.75">
      <c r="D103" s="15"/>
    </row>
    <row r="104" ht="12.75">
      <c r="D104" s="15"/>
    </row>
  </sheetData>
  <mergeCells count="2">
    <mergeCell ref="B1:D1"/>
    <mergeCell ref="B2:D2"/>
  </mergeCells>
  <printOptions horizontalCentered="1"/>
  <pageMargins left="1.5" right="0.75" top="1" bottom="1" header="0.5" footer="0.25"/>
  <pageSetup fitToHeight="1" fitToWidth="1" horizontalDpi="600" verticalDpi="600" orientation="portrait" scale="57" r:id="rId1"/>
  <headerFooter alignWithMargins="0">
    <oddHeader>&amp;R&amp;"Times New Roman,Regular"PacifiCorp Docket UE-061546
Exhibit ___ (TES-2)
REVISED 3/22/2007</oddHeader>
    <oddFooter>&amp;R&amp;"Times New Roman,Regular"Page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44"/>
  <sheetViews>
    <sheetView workbookViewId="0" topLeftCell="A3">
      <selection activeCell="E47" sqref="E47"/>
    </sheetView>
  </sheetViews>
  <sheetFormatPr defaultColWidth="9.140625" defaultRowHeight="12.75"/>
  <cols>
    <col min="1" max="1" width="3.28125" style="0" customWidth="1"/>
    <col min="2" max="2" width="33.421875" style="0" customWidth="1"/>
    <col min="3" max="6" width="15.7109375" style="0" customWidth="1"/>
  </cols>
  <sheetData>
    <row r="1" spans="1:7" ht="18.75">
      <c r="A1" s="1"/>
      <c r="B1" s="252" t="s">
        <v>179</v>
      </c>
      <c r="C1" s="252"/>
      <c r="D1" s="252"/>
      <c r="E1" s="252"/>
      <c r="F1" s="252"/>
      <c r="G1" s="1"/>
    </row>
    <row r="2" spans="1:7" ht="18.75">
      <c r="A2" s="1"/>
      <c r="B2" s="252" t="s">
        <v>180</v>
      </c>
      <c r="C2" s="252"/>
      <c r="D2" s="252"/>
      <c r="E2" s="252"/>
      <c r="F2" s="252"/>
      <c r="G2" s="1"/>
    </row>
    <row r="3" spans="1:7" ht="15.75">
      <c r="A3" s="1"/>
      <c r="B3" s="13"/>
      <c r="C3" s="13"/>
      <c r="D3" s="13"/>
      <c r="E3" s="13"/>
      <c r="F3" s="13"/>
      <c r="G3" s="1"/>
    </row>
    <row r="4" spans="1:7" ht="15.75">
      <c r="A4" s="1"/>
      <c r="B4" s="245"/>
      <c r="C4" s="245"/>
      <c r="D4" s="245"/>
      <c r="E4" s="245"/>
      <c r="F4" s="245"/>
      <c r="G4" s="1"/>
    </row>
    <row r="5" spans="1:7" ht="15.75">
      <c r="A5" s="1"/>
      <c r="B5" s="258" t="s">
        <v>350</v>
      </c>
      <c r="C5" s="258"/>
      <c r="D5" s="258"/>
      <c r="E5" s="258"/>
      <c r="F5" s="258"/>
      <c r="G5" s="1"/>
    </row>
    <row r="6" spans="1:7" ht="15.75">
      <c r="A6" s="1"/>
      <c r="B6" s="3"/>
      <c r="C6" s="3"/>
      <c r="D6" s="3"/>
      <c r="E6" s="3"/>
      <c r="G6" s="1"/>
    </row>
    <row r="7" spans="1:7" ht="15.75">
      <c r="A7" s="1"/>
      <c r="B7" s="245"/>
      <c r="C7" s="245"/>
      <c r="D7" s="245"/>
      <c r="E7" s="245"/>
      <c r="F7" s="245"/>
      <c r="G7" s="1"/>
    </row>
    <row r="8" spans="1:7" ht="15.75">
      <c r="A8" s="1"/>
      <c r="B8" s="12"/>
      <c r="C8" s="12"/>
      <c r="D8" s="12"/>
      <c r="E8" s="12"/>
      <c r="F8" s="12"/>
      <c r="G8" s="1"/>
    </row>
    <row r="9" spans="1:7" ht="15.75">
      <c r="A9" s="1"/>
      <c r="B9" s="3"/>
      <c r="C9" s="3"/>
      <c r="D9" s="3"/>
      <c r="E9" s="3"/>
      <c r="F9" s="3"/>
      <c r="G9" s="1"/>
    </row>
    <row r="10" spans="1:7" ht="15.75">
      <c r="A10" s="1"/>
      <c r="B10" s="1"/>
      <c r="C10" s="60" t="s">
        <v>191</v>
      </c>
      <c r="D10" s="60" t="s">
        <v>13</v>
      </c>
      <c r="E10" s="149"/>
      <c r="F10" s="3" t="s">
        <v>200</v>
      </c>
      <c r="G10" s="1"/>
    </row>
    <row r="11" spans="1:7" ht="15.75">
      <c r="A11" s="1"/>
      <c r="B11" s="3" t="s">
        <v>141</v>
      </c>
      <c r="C11" s="60" t="s">
        <v>192</v>
      </c>
      <c r="D11" s="60" t="s">
        <v>193</v>
      </c>
      <c r="E11" s="60" t="s">
        <v>119</v>
      </c>
      <c r="F11" s="3" t="s">
        <v>140</v>
      </c>
      <c r="G11" s="1"/>
    </row>
    <row r="12" spans="1:7" ht="15.75">
      <c r="A12" s="1">
        <v>1</v>
      </c>
      <c r="B12" s="146" t="s">
        <v>120</v>
      </c>
      <c r="C12" s="52">
        <f>+'cost of capital'!C9</f>
        <v>0.54</v>
      </c>
      <c r="D12" s="53">
        <f>+'cost of capital'!D9</f>
        <v>0.06335</v>
      </c>
      <c r="E12" s="54">
        <f>D12*C12</f>
        <v>0.034209</v>
      </c>
      <c r="F12" s="1"/>
      <c r="G12" s="1"/>
    </row>
    <row r="13" spans="1:7" ht="15.75">
      <c r="A13" s="1">
        <v>2</v>
      </c>
      <c r="B13" s="146" t="s">
        <v>121</v>
      </c>
      <c r="C13" s="52">
        <f>+'cost of capital'!C10</f>
        <v>0.03</v>
      </c>
      <c r="D13" s="53">
        <f>+'cost of capital'!D10</f>
        <v>0.045</v>
      </c>
      <c r="E13" s="54">
        <f>D13*C13</f>
        <v>0.0013499999999999999</v>
      </c>
      <c r="F13" s="148">
        <f>+E13+E12</f>
        <v>0.035559</v>
      </c>
      <c r="G13" s="1"/>
    </row>
    <row r="14" spans="1:7" ht="15.75">
      <c r="A14" s="1">
        <v>3</v>
      </c>
      <c r="B14" s="146" t="s">
        <v>142</v>
      </c>
      <c r="C14" s="52">
        <f>+'cost of capital'!C11</f>
        <v>0.01</v>
      </c>
      <c r="D14" s="53">
        <f>+'cost of capital'!D11</f>
        <v>0.06455</v>
      </c>
      <c r="E14" s="54">
        <f>D14*C14</f>
        <v>0.0006455</v>
      </c>
      <c r="F14" s="1"/>
      <c r="G14" s="1"/>
    </row>
    <row r="15" spans="1:7" ht="15.75">
      <c r="A15" s="1">
        <v>4</v>
      </c>
      <c r="B15" s="57" t="s">
        <v>143</v>
      </c>
      <c r="C15" s="52">
        <f>+'cost of capital'!C12</f>
        <v>0.42</v>
      </c>
      <c r="D15" s="53">
        <f>+'cost of capital'!D12</f>
        <v>0.102</v>
      </c>
      <c r="E15" s="54">
        <f>D15*C15</f>
        <v>0.042839999999999996</v>
      </c>
      <c r="F15" s="1"/>
      <c r="G15" s="1"/>
    </row>
    <row r="16" spans="1:7" ht="16.5" thickBot="1">
      <c r="A16" s="1">
        <v>5</v>
      </c>
      <c r="B16" s="55" t="s">
        <v>134</v>
      </c>
      <c r="C16" s="147">
        <f>SUM(C12:C15)</f>
        <v>1</v>
      </c>
      <c r="D16" s="59"/>
      <c r="E16" s="238">
        <f>SUM(E12:E15)</f>
        <v>0.07904449999999999</v>
      </c>
      <c r="F16" s="1"/>
      <c r="G16" s="1"/>
    </row>
    <row r="17" spans="1:7" ht="15.75">
      <c r="A17" s="1"/>
      <c r="B17" s="1"/>
      <c r="C17" s="1"/>
      <c r="D17" s="1"/>
      <c r="E17" s="1"/>
      <c r="F17" s="1"/>
      <c r="G17" s="1"/>
    </row>
    <row r="18" spans="1:7" ht="15.75">
      <c r="A18" s="1"/>
      <c r="B18" s="1"/>
      <c r="C18" s="1"/>
      <c r="D18" s="1"/>
      <c r="E18" s="1"/>
      <c r="F18" s="1"/>
      <c r="G18" s="1"/>
    </row>
    <row r="19" spans="1:7" ht="15.75">
      <c r="A19" s="1"/>
      <c r="B19" s="1"/>
      <c r="C19" s="1"/>
      <c r="D19" s="1"/>
      <c r="E19" s="1"/>
      <c r="F19" s="1"/>
      <c r="G19" s="1"/>
    </row>
    <row r="20" spans="1:7" ht="15.75">
      <c r="A20" s="1"/>
      <c r="B20" s="1"/>
      <c r="C20" s="1"/>
      <c r="D20" s="1"/>
      <c r="E20" s="1"/>
      <c r="F20" s="1"/>
      <c r="G20" s="1"/>
    </row>
    <row r="21" spans="1:7" ht="15.75">
      <c r="A21" s="1"/>
      <c r="B21" s="1"/>
      <c r="C21" s="1"/>
      <c r="D21" s="1"/>
      <c r="E21" s="1"/>
      <c r="F21" s="1"/>
      <c r="G21" s="1"/>
    </row>
    <row r="22" spans="1:7" ht="41.25" customHeight="1">
      <c r="A22" s="1"/>
      <c r="B22" s="257"/>
      <c r="C22" s="257"/>
      <c r="D22" s="257"/>
      <c r="E22" s="257"/>
      <c r="F22" s="1"/>
      <c r="G22" s="1"/>
    </row>
    <row r="23" spans="1:7" ht="42.75" customHeight="1">
      <c r="A23" s="1"/>
      <c r="B23" s="257"/>
      <c r="C23" s="257"/>
      <c r="D23" s="257"/>
      <c r="E23" s="257"/>
      <c r="F23" s="1"/>
      <c r="G23" s="1"/>
    </row>
    <row r="24" spans="1:7" ht="15.75">
      <c r="A24" s="1"/>
      <c r="B24" s="1"/>
      <c r="C24" s="1"/>
      <c r="D24" s="1"/>
      <c r="E24" s="1"/>
      <c r="F24" s="1"/>
      <c r="G24" s="1"/>
    </row>
    <row r="25" spans="1:7" ht="15.75">
      <c r="A25" s="1"/>
      <c r="B25" s="1"/>
      <c r="C25" s="1"/>
      <c r="D25" s="1"/>
      <c r="E25" s="1"/>
      <c r="F25" s="1"/>
      <c r="G25" s="1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</sheetData>
  <mergeCells count="5">
    <mergeCell ref="B1:F1"/>
    <mergeCell ref="B2:F2"/>
    <mergeCell ref="B22:E22"/>
    <mergeCell ref="B23:E23"/>
    <mergeCell ref="B5:F5"/>
  </mergeCells>
  <printOptions/>
  <pageMargins left="1.5" right="0.75" top="1" bottom="1" header="0.5" footer="0.25"/>
  <pageSetup fitToHeight="1" fitToWidth="1" horizontalDpi="600" verticalDpi="600" orientation="portrait" scale="81" r:id="rId1"/>
  <headerFooter alignWithMargins="0">
    <oddHeader>&amp;R&amp;"Times New Roman,Regular"PacifiCorp Docket UE-061546
Exhibit ___ (TES-2)</oddHeader>
    <oddFooter>&amp;R&amp;"Times New Roman,Regular"Page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21"/>
  <sheetViews>
    <sheetView workbookViewId="0" topLeftCell="A3">
      <selection activeCell="E47" sqref="E47"/>
    </sheetView>
  </sheetViews>
  <sheetFormatPr defaultColWidth="9.140625" defaultRowHeight="12.75"/>
  <cols>
    <col min="1" max="1" width="3.28125" style="0" customWidth="1"/>
    <col min="2" max="2" width="58.8515625" style="0" bestFit="1" customWidth="1"/>
    <col min="3" max="3" width="18.8515625" style="0" bestFit="1" customWidth="1"/>
    <col min="4" max="4" width="3.00390625" style="0" bestFit="1" customWidth="1"/>
    <col min="5" max="5" width="9.57421875" style="0" bestFit="1" customWidth="1"/>
  </cols>
  <sheetData>
    <row r="1" spans="1:5" ht="18.75">
      <c r="A1" s="1"/>
      <c r="B1" s="252" t="s">
        <v>181</v>
      </c>
      <c r="C1" s="252"/>
      <c r="D1" s="252"/>
      <c r="E1" s="252"/>
    </row>
    <row r="2" spans="1:5" ht="18.75">
      <c r="A2" s="1"/>
      <c r="B2" s="252" t="s">
        <v>122</v>
      </c>
      <c r="C2" s="252"/>
      <c r="D2" s="252"/>
      <c r="E2" s="252"/>
    </row>
    <row r="3" spans="1:5" ht="15.75">
      <c r="A3" s="1"/>
      <c r="B3" s="1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5" ht="15.75">
      <c r="A5" s="1"/>
      <c r="B5" s="63"/>
      <c r="C5" s="1"/>
      <c r="D5" s="1"/>
      <c r="E5" s="3" t="s">
        <v>163</v>
      </c>
    </row>
    <row r="6" spans="1:5" ht="15.75">
      <c r="A6" s="1"/>
      <c r="B6" s="1"/>
      <c r="C6" s="64"/>
      <c r="D6" s="65"/>
      <c r="E6" s="3" t="s">
        <v>162</v>
      </c>
    </row>
    <row r="7" spans="1:5" ht="15.75">
      <c r="A7" s="1">
        <v>1</v>
      </c>
      <c r="B7" s="57" t="s">
        <v>89</v>
      </c>
      <c r="C7" s="66">
        <v>1</v>
      </c>
      <c r="D7" s="65"/>
      <c r="E7" s="1"/>
    </row>
    <row r="8" spans="1:5" ht="15.75">
      <c r="A8" s="1">
        <v>2</v>
      </c>
      <c r="B8" s="67" t="s">
        <v>123</v>
      </c>
      <c r="C8" s="66"/>
      <c r="D8" s="68"/>
      <c r="E8" s="1"/>
    </row>
    <row r="9" spans="1:5" ht="15.75">
      <c r="A9" s="1">
        <v>3</v>
      </c>
      <c r="B9" s="55" t="s">
        <v>124</v>
      </c>
      <c r="C9" s="66">
        <f>+'Conversion factor'!C6</f>
        <v>0.00485</v>
      </c>
      <c r="D9" s="69"/>
      <c r="E9" s="1"/>
    </row>
    <row r="10" spans="1:5" ht="15.75">
      <c r="A10" s="1">
        <v>4</v>
      </c>
      <c r="B10" s="55" t="s">
        <v>125</v>
      </c>
      <c r="C10" s="66">
        <f>+'Conversion factor'!C7</f>
        <v>0</v>
      </c>
      <c r="D10" s="69"/>
      <c r="E10" s="1"/>
    </row>
    <row r="11" spans="1:5" ht="15.75">
      <c r="A11" s="1">
        <v>5</v>
      </c>
      <c r="B11" s="55" t="s">
        <v>126</v>
      </c>
      <c r="C11" s="66">
        <f>+'Conversion factor'!C8</f>
        <v>0.03873</v>
      </c>
      <c r="D11" s="69"/>
      <c r="E11" s="1"/>
    </row>
    <row r="12" spans="1:5" ht="15.75">
      <c r="A12" s="1">
        <v>6</v>
      </c>
      <c r="B12" s="55" t="s">
        <v>127</v>
      </c>
      <c r="C12" s="66">
        <f>+'Conversion factor'!C9</f>
        <v>0.0019</v>
      </c>
      <c r="D12" s="70"/>
      <c r="E12" s="1"/>
    </row>
    <row r="13" spans="1:5" ht="15.75">
      <c r="A13" s="1">
        <v>7</v>
      </c>
      <c r="B13" s="67" t="s">
        <v>128</v>
      </c>
      <c r="C13" s="66">
        <f>C7-SUM(C9:C12)</f>
        <v>0.95452</v>
      </c>
      <c r="D13" s="56"/>
      <c r="E13" s="1"/>
    </row>
    <row r="14" spans="1:5" ht="15.75">
      <c r="A14" s="1">
        <v>8</v>
      </c>
      <c r="B14" s="71" t="s">
        <v>95</v>
      </c>
      <c r="C14" s="66">
        <f>+'Conversion factor'!C11</f>
        <v>0</v>
      </c>
      <c r="D14" s="72"/>
      <c r="E14" s="49"/>
    </row>
    <row r="15" spans="1:5" ht="15.75">
      <c r="A15" s="1">
        <v>9</v>
      </c>
      <c r="B15" s="67" t="s">
        <v>128</v>
      </c>
      <c r="C15" s="73">
        <f>C13-C14</f>
        <v>0.95452</v>
      </c>
      <c r="D15" s="74"/>
      <c r="E15" s="1"/>
    </row>
    <row r="16" spans="1:5" ht="15.75">
      <c r="A16" s="1">
        <v>10</v>
      </c>
      <c r="B16" s="55" t="s">
        <v>129</v>
      </c>
      <c r="C16" s="75">
        <f>+C15*E16</f>
        <v>0.334082</v>
      </c>
      <c r="D16" s="74"/>
      <c r="E16" s="48">
        <v>0.35</v>
      </c>
    </row>
    <row r="17" spans="1:5" ht="16.5" thickBot="1">
      <c r="A17" s="1">
        <v>11</v>
      </c>
      <c r="B17" s="76" t="s">
        <v>138</v>
      </c>
      <c r="C17" s="201">
        <f>C15-C16</f>
        <v>0.620438</v>
      </c>
      <c r="D17" s="72"/>
      <c r="E17" s="1"/>
    </row>
    <row r="18" spans="1:5" ht="16.5" thickTop="1">
      <c r="A18" s="1">
        <v>12</v>
      </c>
      <c r="B18" s="60" t="s">
        <v>167</v>
      </c>
      <c r="C18" s="37">
        <f>ROUND(1/C17,7)</f>
        <v>1.6117646</v>
      </c>
      <c r="D18" s="1"/>
      <c r="E18" s="1"/>
    </row>
    <row r="19" spans="1:5" ht="15.75">
      <c r="A19" s="1"/>
      <c r="B19" s="1"/>
      <c r="C19" s="1"/>
      <c r="D19" s="1"/>
      <c r="E19" s="1"/>
    </row>
    <row r="20" spans="1:5" ht="15.75">
      <c r="A20" s="1"/>
      <c r="B20" s="1"/>
      <c r="C20" s="1"/>
      <c r="D20" s="1"/>
      <c r="E20" s="1"/>
    </row>
    <row r="21" spans="1:5" ht="15.75">
      <c r="A21" s="1"/>
      <c r="B21" s="78"/>
      <c r="C21" s="1"/>
      <c r="D21" s="1"/>
      <c r="E21" s="1"/>
    </row>
  </sheetData>
  <mergeCells count="2">
    <mergeCell ref="B1:E1"/>
    <mergeCell ref="B2:E2"/>
  </mergeCells>
  <printOptions/>
  <pageMargins left="1.5" right="0.75" top="1" bottom="1" header="0.5" footer="0.25"/>
  <pageSetup fitToHeight="1" fitToWidth="1" horizontalDpi="600" verticalDpi="600" orientation="portrait" scale="86" r:id="rId1"/>
  <headerFooter alignWithMargins="0">
    <oddHeader>&amp;R&amp;"Times New Roman,Regular"PacifiCorp Docket UE-061546
Exhibit ___ (TES-2)</oddHeader>
    <oddFooter>&amp;R&amp;"Times New Roman,Regular"Page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36"/>
  <sheetViews>
    <sheetView workbookViewId="0" topLeftCell="A7">
      <selection activeCell="B17" sqref="B17"/>
    </sheetView>
  </sheetViews>
  <sheetFormatPr defaultColWidth="9.140625" defaultRowHeight="12.75"/>
  <cols>
    <col min="1" max="1" width="2.00390625" style="0" customWidth="1"/>
    <col min="2" max="2" width="57.00390625" style="0" bestFit="1" customWidth="1"/>
    <col min="3" max="3" width="4.7109375" style="0" customWidth="1"/>
    <col min="4" max="4" width="17.57421875" style="0" customWidth="1"/>
    <col min="5" max="5" width="4.7109375" style="0" customWidth="1"/>
    <col min="6" max="6" width="17.57421875" style="0" bestFit="1" customWidth="1"/>
  </cols>
  <sheetData>
    <row r="1" spans="2:6" ht="18.75">
      <c r="B1" s="150" t="s">
        <v>182</v>
      </c>
      <c r="C1" s="246"/>
      <c r="D1" s="246"/>
      <c r="E1" s="246"/>
      <c r="F1" s="246"/>
    </row>
    <row r="2" spans="1:6" ht="18.75">
      <c r="A2" s="1"/>
      <c r="B2" s="150" t="s">
        <v>197</v>
      </c>
      <c r="C2" s="246"/>
      <c r="D2" s="246"/>
      <c r="E2" s="246"/>
      <c r="F2" s="246"/>
    </row>
    <row r="3" spans="1:6" ht="18.75">
      <c r="A3" s="1"/>
      <c r="B3" s="150" t="s">
        <v>359</v>
      </c>
      <c r="C3" s="246"/>
      <c r="D3" s="246"/>
      <c r="E3" s="246"/>
      <c r="F3" s="246"/>
    </row>
    <row r="4" spans="1:6" ht="15.75">
      <c r="A4" s="1"/>
      <c r="B4" s="13"/>
      <c r="C4" s="1"/>
      <c r="D4" s="1"/>
      <c r="E4" s="1"/>
      <c r="F4" s="1"/>
    </row>
    <row r="5" spans="1:6" ht="15.75">
      <c r="A5" s="1"/>
      <c r="B5" s="1"/>
      <c r="C5" s="1"/>
      <c r="D5" s="13" t="s">
        <v>351</v>
      </c>
      <c r="E5" s="3"/>
      <c r="F5" s="13"/>
    </row>
    <row r="6" spans="1:6" ht="15.75">
      <c r="A6" s="14"/>
      <c r="B6" s="14"/>
      <c r="C6" s="14"/>
      <c r="D6" s="17"/>
      <c r="E6" s="3"/>
      <c r="F6" s="17"/>
    </row>
    <row r="7" spans="1:6" ht="15.75">
      <c r="A7" s="14"/>
      <c r="B7" s="14"/>
      <c r="C7" s="14"/>
      <c r="D7" s="17"/>
      <c r="E7" s="1"/>
      <c r="F7" s="1"/>
    </row>
    <row r="8" spans="1:5" ht="15.75">
      <c r="A8" s="1">
        <v>1</v>
      </c>
      <c r="B8" s="14" t="s">
        <v>213</v>
      </c>
      <c r="C8" s="14"/>
      <c r="D8" s="274">
        <f>+Table2!D66</f>
        <v>535224128</v>
      </c>
      <c r="E8" s="1"/>
    </row>
    <row r="9" spans="1:5" ht="15.75">
      <c r="A9" s="1"/>
      <c r="B9" s="14"/>
      <c r="C9" s="14"/>
      <c r="D9" s="1"/>
      <c r="E9" s="1"/>
    </row>
    <row r="10" spans="1:5" ht="15.75">
      <c r="A10" s="1">
        <v>2</v>
      </c>
      <c r="B10" s="14" t="s">
        <v>214</v>
      </c>
      <c r="C10" s="14"/>
      <c r="D10" s="239">
        <f>+Table3!E16</f>
        <v>0.07904449999999999</v>
      </c>
      <c r="E10" s="1"/>
    </row>
    <row r="11" spans="1:5" ht="15.75">
      <c r="A11" s="1"/>
      <c r="B11" s="14"/>
      <c r="C11" s="14"/>
      <c r="D11" s="1"/>
      <c r="E11" s="1"/>
    </row>
    <row r="12" spans="1:5" ht="15.75">
      <c r="A12" s="1">
        <v>3</v>
      </c>
      <c r="B12" s="14" t="s">
        <v>186</v>
      </c>
      <c r="C12" s="14"/>
      <c r="D12" s="274">
        <f>+D10*D8</f>
        <v>42306523.585696</v>
      </c>
      <c r="E12" s="1"/>
    </row>
    <row r="13" spans="1:5" ht="15.75">
      <c r="A13" s="1"/>
      <c r="B13" s="14"/>
      <c r="C13" s="14"/>
      <c r="D13" s="46"/>
      <c r="E13" s="1"/>
    </row>
    <row r="14" spans="1:5" ht="15.75">
      <c r="A14" s="1">
        <v>4</v>
      </c>
      <c r="B14" s="14" t="s">
        <v>187</v>
      </c>
      <c r="C14" s="14"/>
      <c r="D14" s="274">
        <f>+Table1!D65</f>
        <v>34368637.91118103</v>
      </c>
      <c r="E14" s="1"/>
    </row>
    <row r="15" spans="1:5" ht="15.75">
      <c r="A15" s="1"/>
      <c r="B15" s="14"/>
      <c r="C15" s="14"/>
      <c r="D15" s="1"/>
      <c r="E15" s="1"/>
    </row>
    <row r="16" spans="1:5" ht="15.75">
      <c r="A16" s="1">
        <v>5</v>
      </c>
      <c r="B16" s="14" t="s">
        <v>188</v>
      </c>
      <c r="C16" s="14"/>
      <c r="D16" s="274">
        <f>+D12-D14</f>
        <v>7937885.674514964</v>
      </c>
      <c r="E16" s="1"/>
    </row>
    <row r="17" spans="1:5" ht="15.75">
      <c r="A17" s="1"/>
      <c r="B17" s="14"/>
      <c r="C17" s="14"/>
      <c r="D17" s="1"/>
      <c r="E17" s="1"/>
    </row>
    <row r="18" spans="1:5" ht="15.75">
      <c r="A18" s="1"/>
      <c r="B18" s="1"/>
      <c r="C18" s="1"/>
      <c r="D18" s="1"/>
      <c r="E18" s="1"/>
    </row>
    <row r="19" spans="1:5" ht="15.75">
      <c r="A19" s="1"/>
      <c r="B19" s="1" t="s">
        <v>206</v>
      </c>
      <c r="C19" s="1"/>
      <c r="D19" s="1"/>
      <c r="E19" s="1"/>
    </row>
    <row r="20" spans="1:5" ht="15.75">
      <c r="A20" s="1"/>
      <c r="B20" s="51" t="s">
        <v>368</v>
      </c>
      <c r="C20" s="1"/>
      <c r="D20" s="1"/>
      <c r="E20" s="1"/>
    </row>
    <row r="21" spans="1:5" ht="15.75">
      <c r="A21" s="1"/>
      <c r="B21" s="51" t="s">
        <v>370</v>
      </c>
      <c r="C21" s="1"/>
      <c r="D21" s="1"/>
      <c r="E21" s="1"/>
    </row>
    <row r="22" spans="1:5" ht="15.75">
      <c r="A22" s="14"/>
      <c r="B22" s="51" t="s">
        <v>215</v>
      </c>
      <c r="C22" s="1"/>
      <c r="D22" s="1"/>
      <c r="E22" s="1"/>
    </row>
    <row r="23" spans="1:5" ht="15.75">
      <c r="A23" s="14"/>
      <c r="B23" s="51" t="s">
        <v>369</v>
      </c>
      <c r="C23" s="1"/>
      <c r="D23" s="1"/>
      <c r="E23" s="1"/>
    </row>
    <row r="24" spans="1:6" ht="15.75">
      <c r="A24" s="14"/>
      <c r="B24" s="51" t="s">
        <v>216</v>
      </c>
      <c r="C24" s="14"/>
      <c r="D24" s="14"/>
      <c r="E24" s="1"/>
      <c r="F24" s="1"/>
    </row>
    <row r="25" spans="1:6" ht="15.75">
      <c r="A25" s="14"/>
      <c r="B25" s="14"/>
      <c r="C25" s="14"/>
      <c r="D25" s="14"/>
      <c r="E25" s="1"/>
      <c r="F25" s="1"/>
    </row>
    <row r="26" spans="1:6" ht="15.75">
      <c r="A26" s="14"/>
      <c r="B26" s="14"/>
      <c r="C26" s="14"/>
      <c r="D26" s="1"/>
      <c r="E26" s="1"/>
      <c r="F26" s="1"/>
    </row>
    <row r="27" spans="1:6" ht="15.75">
      <c r="A27" s="1"/>
      <c r="B27" s="14"/>
      <c r="C27" s="14"/>
      <c r="D27" s="1"/>
      <c r="E27" s="1"/>
      <c r="F27" s="1"/>
    </row>
    <row r="28" spans="1:6" ht="15.75">
      <c r="A28" s="1"/>
      <c r="B28" s="14"/>
      <c r="C28" s="14"/>
      <c r="D28" s="1"/>
      <c r="E28" s="1"/>
      <c r="F28" s="1"/>
    </row>
    <row r="29" spans="1:6" ht="15.75">
      <c r="A29" s="1"/>
      <c r="B29" s="14"/>
      <c r="C29" s="14"/>
      <c r="D29" s="1"/>
      <c r="E29" s="1"/>
      <c r="F29" s="1"/>
    </row>
    <row r="30" spans="1:6" ht="15.75">
      <c r="A30" s="1"/>
      <c r="B30" s="14"/>
      <c r="C30" s="14"/>
      <c r="D30" s="1"/>
      <c r="E30" s="1"/>
      <c r="F30" s="1"/>
    </row>
    <row r="31" spans="1:6" ht="15.75">
      <c r="A31" s="1"/>
      <c r="B31" s="14"/>
      <c r="C31" s="14"/>
      <c r="D31" s="1"/>
      <c r="E31" s="1"/>
      <c r="F31" s="1"/>
    </row>
    <row r="32" spans="1:6" ht="15.75">
      <c r="A32" s="1"/>
      <c r="B32" s="14"/>
      <c r="C32" s="14"/>
      <c r="D32" s="1"/>
      <c r="E32" s="1"/>
      <c r="F32" s="1"/>
    </row>
    <row r="33" spans="1:6" ht="15.75">
      <c r="A33" s="1"/>
      <c r="B33" s="14"/>
      <c r="C33" s="14"/>
      <c r="D33" s="46"/>
      <c r="E33" s="1"/>
      <c r="F33" s="1"/>
    </row>
    <row r="34" spans="1:6" ht="15.75">
      <c r="A34" s="1"/>
      <c r="B34" s="14"/>
      <c r="C34" s="14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</sheetData>
  <printOptions verticalCentered="1"/>
  <pageMargins left="1.5" right="0.75" top="1" bottom="1" header="0.5" footer="0.25"/>
  <pageSetup fitToWidth="0" fitToHeight="1" horizontalDpi="600" verticalDpi="600" orientation="portrait" r:id="rId1"/>
  <headerFooter alignWithMargins="0">
    <oddHeader>&amp;R&amp;"Times New Roman,Regular"PacifiCorp Docket UE-061546
Exhibit ___ (TES-2)
REVISED 3/22/2007</oddHeader>
    <oddFooter>&amp;R&amp;"Times New Roman,Regular"Page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51"/>
  <sheetViews>
    <sheetView tabSelected="1" workbookViewId="0" topLeftCell="A4">
      <selection activeCell="D11" sqref="D11"/>
    </sheetView>
  </sheetViews>
  <sheetFormatPr defaultColWidth="9.140625" defaultRowHeight="12.75"/>
  <cols>
    <col min="1" max="1" width="2.140625" style="0" bestFit="1" customWidth="1"/>
    <col min="2" max="2" width="40.8515625" style="0" bestFit="1" customWidth="1"/>
    <col min="3" max="3" width="6.28125" style="0" customWidth="1"/>
    <col min="4" max="4" width="18.140625" style="0" bestFit="1" customWidth="1"/>
    <col min="5" max="5" width="4.7109375" style="0" customWidth="1"/>
    <col min="6" max="6" width="21.00390625" style="0" customWidth="1"/>
  </cols>
  <sheetData>
    <row r="1" spans="1:7" ht="18.75">
      <c r="A1" s="1"/>
      <c r="B1" s="252" t="s">
        <v>183</v>
      </c>
      <c r="C1" s="252"/>
      <c r="D1" s="252"/>
      <c r="E1" s="246"/>
      <c r="F1" s="246"/>
      <c r="G1" s="1"/>
    </row>
    <row r="2" spans="1:7" ht="18.75">
      <c r="A2" s="1"/>
      <c r="B2" s="252" t="s">
        <v>196</v>
      </c>
      <c r="C2" s="252"/>
      <c r="D2" s="252"/>
      <c r="E2" s="246"/>
      <c r="F2" s="246"/>
      <c r="G2" s="1"/>
    </row>
    <row r="3" spans="1:7" ht="18.75">
      <c r="A3" s="1"/>
      <c r="B3" s="252" t="s">
        <v>353</v>
      </c>
      <c r="C3" s="252"/>
      <c r="D3" s="252"/>
      <c r="E3" s="246"/>
      <c r="F3" s="246"/>
      <c r="G3" s="1"/>
    </row>
    <row r="4" spans="1:7" ht="15.75">
      <c r="A4" s="1"/>
      <c r="B4" s="13"/>
      <c r="C4" s="1"/>
      <c r="D4" s="1"/>
      <c r="E4" s="1"/>
      <c r="F4" s="1"/>
      <c r="G4" s="1"/>
    </row>
    <row r="5" spans="1:7" ht="15.75">
      <c r="A5" s="1"/>
      <c r="B5" s="51" t="s">
        <v>194</v>
      </c>
      <c r="C5" s="1" t="s">
        <v>212</v>
      </c>
      <c r="D5" s="13" t="s">
        <v>351</v>
      </c>
      <c r="E5" s="3"/>
      <c r="F5" s="13"/>
      <c r="G5" s="1"/>
    </row>
    <row r="6" spans="1:7" ht="15.75">
      <c r="A6" s="1"/>
      <c r="B6" s="13"/>
      <c r="C6" s="1"/>
      <c r="D6" s="3"/>
      <c r="E6" s="3"/>
      <c r="F6" s="3"/>
      <c r="G6" s="1"/>
    </row>
    <row r="7" spans="1:7" ht="15.75">
      <c r="A7" s="1">
        <v>1</v>
      </c>
      <c r="B7" s="14" t="s">
        <v>189</v>
      </c>
      <c r="C7" s="17" t="s">
        <v>201</v>
      </c>
      <c r="D7" s="274">
        <f>+Table5!D16</f>
        <v>7937885.674514964</v>
      </c>
      <c r="E7" s="1"/>
      <c r="F7" s="46"/>
      <c r="G7" s="1"/>
    </row>
    <row r="8" spans="1:7" ht="15.75">
      <c r="A8" s="1">
        <v>2</v>
      </c>
      <c r="B8" s="1"/>
      <c r="C8" s="3"/>
      <c r="D8" s="1"/>
      <c r="E8" s="1"/>
      <c r="F8" s="1"/>
      <c r="G8" s="1"/>
    </row>
    <row r="9" spans="1:7" ht="15.75">
      <c r="A9" s="1">
        <v>3</v>
      </c>
      <c r="B9" s="14" t="s">
        <v>190</v>
      </c>
      <c r="C9" s="17" t="s">
        <v>202</v>
      </c>
      <c r="D9" s="16">
        <f>+Table4!C17</f>
        <v>0.620438</v>
      </c>
      <c r="E9" s="1"/>
      <c r="F9" s="37"/>
      <c r="G9" s="1"/>
    </row>
    <row r="10" spans="1:7" ht="15.75">
      <c r="A10" s="1">
        <v>4</v>
      </c>
      <c r="B10" s="14"/>
      <c r="C10" s="17"/>
      <c r="D10" s="14"/>
      <c r="E10" s="1"/>
      <c r="G10" s="1"/>
    </row>
    <row r="11" spans="1:7" ht="15.75">
      <c r="A11" s="1">
        <v>5</v>
      </c>
      <c r="B11" s="50" t="s">
        <v>195</v>
      </c>
      <c r="C11" s="151" t="s">
        <v>203</v>
      </c>
      <c r="D11" s="276">
        <f>+D7/D9</f>
        <v>12794003.066406254</v>
      </c>
      <c r="E11" s="1"/>
      <c r="G11" s="1"/>
    </row>
    <row r="12" spans="1:7" ht="15.75">
      <c r="A12" s="1">
        <v>6</v>
      </c>
      <c r="B12" s="1"/>
      <c r="C12" s="3"/>
      <c r="D12" s="1"/>
      <c r="E12" s="1"/>
      <c r="F12" s="1"/>
      <c r="G12" s="1"/>
    </row>
    <row r="13" spans="1:7" ht="15.75">
      <c r="A13" s="1">
        <v>7</v>
      </c>
      <c r="B13" s="1" t="s">
        <v>210</v>
      </c>
      <c r="C13" s="3" t="s">
        <v>204</v>
      </c>
      <c r="D13" s="46">
        <f>+RevReqSummary!E9</f>
        <v>226563996</v>
      </c>
      <c r="E13" s="46"/>
      <c r="F13" s="46"/>
      <c r="G13" s="1"/>
    </row>
    <row r="14" spans="1:7" ht="15.75">
      <c r="A14" s="1">
        <v>8</v>
      </c>
      <c r="B14" s="1"/>
      <c r="C14" s="3"/>
      <c r="D14" s="1"/>
      <c r="E14" s="1"/>
      <c r="F14" s="1"/>
      <c r="G14" s="1"/>
    </row>
    <row r="15" spans="1:7" ht="15.75">
      <c r="A15" s="1">
        <v>9</v>
      </c>
      <c r="B15" s="1" t="s">
        <v>371</v>
      </c>
      <c r="C15" s="3" t="s">
        <v>205</v>
      </c>
      <c r="D15" s="275">
        <f>+D11/D13</f>
        <v>0.05646970962856011</v>
      </c>
      <c r="E15" s="1"/>
      <c r="F15" s="101"/>
      <c r="G15" s="1"/>
    </row>
    <row r="16" spans="1:7" ht="15.75">
      <c r="A16" s="1"/>
      <c r="B16" s="1"/>
      <c r="C16" s="3"/>
      <c r="D16" s="1"/>
      <c r="E16" s="1"/>
      <c r="F16" s="1"/>
      <c r="G16" s="1"/>
    </row>
    <row r="17" spans="1:7" ht="15.75">
      <c r="A17" s="1"/>
      <c r="B17" s="1" t="s">
        <v>206</v>
      </c>
      <c r="C17" s="1"/>
      <c r="D17" s="1"/>
      <c r="E17" s="1"/>
      <c r="F17" s="1"/>
      <c r="G17" s="1"/>
    </row>
    <row r="18" spans="1:7" ht="15.75">
      <c r="A18" s="1"/>
      <c r="B18" s="1" t="s">
        <v>207</v>
      </c>
      <c r="C18" s="1"/>
      <c r="D18" s="1"/>
      <c r="E18" s="1"/>
      <c r="F18" s="1"/>
      <c r="G18" s="1"/>
    </row>
    <row r="19" spans="1:7" ht="15.75">
      <c r="A19" s="1"/>
      <c r="B19" s="1" t="s">
        <v>208</v>
      </c>
      <c r="C19" s="1"/>
      <c r="D19" s="1"/>
      <c r="E19" s="1"/>
      <c r="F19" s="1"/>
      <c r="G19" s="1"/>
    </row>
    <row r="20" spans="1:7" ht="15.75">
      <c r="A20" s="1"/>
      <c r="B20" s="1" t="s">
        <v>209</v>
      </c>
      <c r="C20" s="1"/>
      <c r="D20" s="1"/>
      <c r="E20" s="1"/>
      <c r="F20" s="1"/>
      <c r="G20" s="1"/>
    </row>
    <row r="21" spans="1:7" ht="15.75" customHeight="1">
      <c r="A21" s="1"/>
      <c r="B21" s="51" t="s">
        <v>352</v>
      </c>
      <c r="C21" s="51"/>
      <c r="D21" s="51"/>
      <c r="E21" s="51"/>
      <c r="F21" s="51"/>
      <c r="G21" s="1"/>
    </row>
    <row r="22" spans="1:7" ht="15.75">
      <c r="A22" s="1"/>
      <c r="B22" s="1" t="s">
        <v>211</v>
      </c>
      <c r="C22" s="1"/>
      <c r="D22" s="1"/>
      <c r="E22" s="1"/>
      <c r="F22" s="1"/>
      <c r="G22" s="1"/>
    </row>
    <row r="23" spans="1:7" ht="15.75">
      <c r="A23" s="1"/>
      <c r="B23" s="1"/>
      <c r="C23" s="1"/>
      <c r="D23" s="1"/>
      <c r="E23" s="1"/>
      <c r="F23" s="1"/>
      <c r="G23" s="1"/>
    </row>
    <row r="24" spans="1:7" ht="15.75">
      <c r="A24" s="1"/>
      <c r="B24" s="1"/>
      <c r="C24" s="1"/>
      <c r="D24" s="1"/>
      <c r="E24" s="1"/>
      <c r="F24" s="1"/>
      <c r="G24" s="1"/>
    </row>
    <row r="25" spans="1:7" ht="15.75">
      <c r="A25" s="1"/>
      <c r="B25" s="1"/>
      <c r="C25" s="1"/>
      <c r="D25" s="1"/>
      <c r="E25" s="1"/>
      <c r="F25" s="1"/>
      <c r="G25" s="1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</sheetData>
  <mergeCells count="3">
    <mergeCell ref="B1:D1"/>
    <mergeCell ref="B2:D2"/>
    <mergeCell ref="B3:D3"/>
  </mergeCells>
  <printOptions/>
  <pageMargins left="1.5" right="0.75" top="1" bottom="1" header="0.5" footer="0.25"/>
  <pageSetup fitToWidth="0" fitToHeight="1" horizontalDpi="600" verticalDpi="600" orientation="portrait" r:id="rId1"/>
  <headerFooter alignWithMargins="0">
    <oddHeader>&amp;R&amp;"Times New Roman,Regular"PacifiCorp Docket UE-061546
Exhibit ___ (TES-2)
REVISED 3/22/2007</oddHeader>
    <oddFooter>&amp;R&amp;"Times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7">
      <selection activeCell="E47" sqref="E47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4" max="4" width="15.140625" style="0" bestFit="1" customWidth="1"/>
  </cols>
  <sheetData>
    <row r="1" spans="1:5" ht="15.75">
      <c r="A1" s="1"/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5" ht="15.75">
      <c r="A3" s="1"/>
      <c r="B3" s="1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5" ht="15.75">
      <c r="A5" s="1"/>
      <c r="B5" s="1"/>
      <c r="C5" s="1"/>
      <c r="D5" s="1"/>
      <c r="E5" s="1"/>
    </row>
    <row r="6" spans="1:5" ht="15.75">
      <c r="A6" s="1"/>
      <c r="B6" s="234" t="s">
        <v>174</v>
      </c>
      <c r="C6" s="234"/>
      <c r="D6" s="234"/>
      <c r="E6" s="234"/>
    </row>
    <row r="7" spans="1:5" ht="15.75">
      <c r="A7" s="1"/>
      <c r="B7" s="235"/>
      <c r="C7" s="72"/>
      <c r="D7" s="72"/>
      <c r="E7" s="1"/>
    </row>
    <row r="8" spans="1:5" ht="15.75">
      <c r="A8" s="1"/>
      <c r="B8" s="93"/>
      <c r="C8" s="72"/>
      <c r="E8" s="1"/>
    </row>
    <row r="9" spans="1:5" ht="15.75">
      <c r="A9" s="1"/>
      <c r="B9" s="65" t="s">
        <v>130</v>
      </c>
      <c r="C9" s="72"/>
      <c r="D9" s="72">
        <f>RevReqSummary!E64</f>
        <v>535224129</v>
      </c>
      <c r="E9" s="1"/>
    </row>
    <row r="10" spans="1:5" ht="15.75">
      <c r="A10" s="1"/>
      <c r="B10" s="65"/>
      <c r="C10" s="72"/>
      <c r="D10" s="72"/>
      <c r="E10" s="1"/>
    </row>
    <row r="11" spans="1:5" ht="15.75">
      <c r="A11" s="1"/>
      <c r="B11" s="65" t="s">
        <v>131</v>
      </c>
      <c r="C11" s="72"/>
      <c r="D11" s="56">
        <f>'cost of capital'!E13</f>
        <v>0.07904449999999999</v>
      </c>
      <c r="E11" s="1"/>
    </row>
    <row r="12" spans="1:5" ht="15.75">
      <c r="A12" s="1"/>
      <c r="B12" s="65"/>
      <c r="C12" s="72"/>
      <c r="D12" s="59"/>
      <c r="E12" s="1"/>
    </row>
    <row r="13" spans="1:5" ht="15.75">
      <c r="A13" s="1"/>
      <c r="B13" s="65" t="s">
        <v>132</v>
      </c>
      <c r="C13" s="72"/>
      <c r="D13" s="72">
        <f>ROUND(D11*D9,0)</f>
        <v>42306524</v>
      </c>
      <c r="E13" s="1"/>
    </row>
    <row r="14" spans="1:5" ht="15.75">
      <c r="A14" s="1"/>
      <c r="B14" s="65"/>
      <c r="C14" s="72"/>
      <c r="D14" s="72"/>
      <c r="E14" s="1"/>
    </row>
    <row r="15" spans="1:5" ht="15.75">
      <c r="A15" s="1"/>
      <c r="B15" s="65" t="s">
        <v>133</v>
      </c>
      <c r="C15" s="72"/>
      <c r="D15" s="94">
        <f>RevReqSummary!E37</f>
        <v>34368636.91118109</v>
      </c>
      <c r="E15" s="1"/>
    </row>
    <row r="16" spans="1:5" ht="15.75">
      <c r="A16" s="1"/>
      <c r="B16" s="65"/>
      <c r="C16" s="72"/>
      <c r="D16" s="94"/>
      <c r="E16" s="1"/>
    </row>
    <row r="17" spans="1:5" ht="15.75">
      <c r="A17" s="1"/>
      <c r="B17" s="65" t="s">
        <v>360</v>
      </c>
      <c r="C17" s="72"/>
      <c r="D17" s="95">
        <f>D13-D15</f>
        <v>7937887.088818908</v>
      </c>
      <c r="E17" s="1"/>
    </row>
    <row r="18" spans="1:5" ht="15.75">
      <c r="A18" s="1"/>
      <c r="B18" s="65"/>
      <c r="C18" s="72"/>
      <c r="D18" s="95"/>
      <c r="E18" s="1"/>
    </row>
    <row r="19" spans="1:5" ht="15.75">
      <c r="A19" s="1"/>
      <c r="B19" s="65" t="s">
        <v>139</v>
      </c>
      <c r="C19" s="72"/>
      <c r="D19" s="96">
        <f>'Conversion factor'!C14</f>
        <v>0.620438</v>
      </c>
      <c r="E19" s="1"/>
    </row>
    <row r="20" spans="1:5" ht="15.75">
      <c r="A20" s="1"/>
      <c r="B20" s="65"/>
      <c r="C20" s="72"/>
      <c r="D20" s="96"/>
      <c r="E20" s="1"/>
    </row>
    <row r="21" spans="1:5" ht="16.5" thickBot="1">
      <c r="A21" s="1"/>
      <c r="B21" s="65" t="s">
        <v>355</v>
      </c>
      <c r="C21" s="72"/>
      <c r="D21" s="261">
        <f>ROUND(D17/D19,0)</f>
        <v>12794005</v>
      </c>
      <c r="E21" s="1"/>
    </row>
    <row r="22" spans="1:5" ht="16.5" thickTop="1">
      <c r="A22" s="1"/>
      <c r="B22" s="1"/>
      <c r="C22" s="1"/>
      <c r="D22" s="1"/>
      <c r="E22" s="1"/>
    </row>
  </sheetData>
  <printOptions/>
  <pageMargins left="1.25" right="0.75" top="1" bottom="1" header="0.5" footer="0.25"/>
  <pageSetup fitToHeight="1" fitToWidth="1" horizontalDpi="600" verticalDpi="600" orientation="portrait" r:id="rId1"/>
  <headerFooter alignWithMargins="0">
    <oddHeader>&amp;R&amp;"Times New Roman,Regular"PacifiCorp Docket UE-061546
Exhibit ___ (TES-2)
REVISED 3/22/2007</oddHeader>
    <oddFooter>&amp;R&amp;"Times New Roman,Regular"Page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workbookViewId="0" topLeftCell="B3">
      <selection activeCell="E47" sqref="E47"/>
    </sheetView>
  </sheetViews>
  <sheetFormatPr defaultColWidth="9.140625" defaultRowHeight="12.75"/>
  <cols>
    <col min="1" max="1" width="3.28125" style="0" bestFit="1" customWidth="1"/>
    <col min="2" max="2" width="68.140625" style="0" bestFit="1" customWidth="1"/>
    <col min="3" max="3" width="13.8515625" style="0" customWidth="1"/>
    <col min="4" max="4" width="3.00390625" style="0" bestFit="1" customWidth="1"/>
    <col min="5" max="5" width="9.57421875" style="0" customWidth="1"/>
    <col min="6" max="6" width="12.7109375" style="0" bestFit="1" customWidth="1"/>
    <col min="7" max="7" width="10.00390625" style="0" bestFit="1" customWidth="1"/>
  </cols>
  <sheetData>
    <row r="1" spans="1:31" ht="15.75">
      <c r="A1" s="1"/>
      <c r="B1" s="1" t="s">
        <v>165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>
      <c r="A2" s="1"/>
      <c r="B2" s="63" t="s">
        <v>122</v>
      </c>
      <c r="C2" s="1"/>
      <c r="D2" s="1"/>
      <c r="E2" s="3" t="s">
        <v>163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>
      <c r="A3" s="1"/>
      <c r="B3" s="1"/>
      <c r="C3" s="64"/>
      <c r="D3" s="65"/>
      <c r="E3" s="3" t="s">
        <v>162</v>
      </c>
      <c r="F3" s="65"/>
      <c r="G3" s="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>
      <c r="A4" s="1">
        <v>1</v>
      </c>
      <c r="B4" s="57" t="s">
        <v>89</v>
      </c>
      <c r="C4" s="66">
        <v>1</v>
      </c>
      <c r="D4" s="6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>
      <c r="A5" s="1">
        <v>2</v>
      </c>
      <c r="B5" s="67" t="s">
        <v>123</v>
      </c>
      <c r="C5" s="66"/>
      <c r="D5" s="68"/>
      <c r="E5" s="1"/>
      <c r="F5" s="1"/>
      <c r="G5" s="1"/>
      <c r="H5" s="6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>
      <c r="A6" s="1">
        <v>3</v>
      </c>
      <c r="B6" s="55" t="s">
        <v>124</v>
      </c>
      <c r="C6" s="66">
        <v>0.00485</v>
      </c>
      <c r="D6" s="69"/>
      <c r="E6" s="1"/>
      <c r="F6" s="1"/>
      <c r="G6" s="1"/>
      <c r="H6" s="6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>
      <c r="A7" s="1">
        <v>4</v>
      </c>
      <c r="B7" s="55" t="s">
        <v>125</v>
      </c>
      <c r="C7" s="66">
        <v>0</v>
      </c>
      <c r="D7" s="69"/>
      <c r="E7" s="1"/>
      <c r="F7" s="1"/>
      <c r="G7" s="1"/>
      <c r="H7" s="6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>
      <c r="A8" s="1">
        <v>5</v>
      </c>
      <c r="B8" s="55" t="s">
        <v>126</v>
      </c>
      <c r="C8" s="66">
        <v>0.03873</v>
      </c>
      <c r="D8" s="6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>
      <c r="A9" s="1">
        <v>6</v>
      </c>
      <c r="B9" s="71" t="s">
        <v>127</v>
      </c>
      <c r="C9" s="215">
        <v>0.0019</v>
      </c>
      <c r="D9" s="216"/>
      <c r="E9" s="1" t="s">
        <v>267</v>
      </c>
      <c r="F9" s="1"/>
      <c r="G9" s="1"/>
      <c r="H9" s="9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>
      <c r="A10" s="1">
        <v>7</v>
      </c>
      <c r="B10" s="67" t="s">
        <v>128</v>
      </c>
      <c r="C10" s="66">
        <f>C4-SUM(C6:C9)</f>
        <v>0.95452</v>
      </c>
      <c r="D10" s="56"/>
      <c r="E10" s="1"/>
      <c r="F10" s="1"/>
      <c r="G10" s="1"/>
      <c r="H10" s="9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>
      <c r="A11" s="1">
        <v>8</v>
      </c>
      <c r="B11" s="71" t="s">
        <v>95</v>
      </c>
      <c r="C11" s="66">
        <f>+C10*E11</f>
        <v>0</v>
      </c>
      <c r="D11" s="72"/>
      <c r="E11" s="49">
        <v>0</v>
      </c>
      <c r="F11" s="1"/>
      <c r="G11" s="1"/>
      <c r="H11" s="9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>
      <c r="A12" s="1">
        <v>9</v>
      </c>
      <c r="B12" s="67" t="s">
        <v>128</v>
      </c>
      <c r="C12" s="73">
        <f>C10-C11</f>
        <v>0.95452</v>
      </c>
      <c r="D12" s="74"/>
      <c r="E12" s="1"/>
      <c r="F12" s="1"/>
      <c r="G12" s="1"/>
      <c r="H12" s="9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>
      <c r="A13" s="1">
        <v>10</v>
      </c>
      <c r="B13" s="55" t="s">
        <v>129</v>
      </c>
      <c r="C13" s="75">
        <f>+C12*E13</f>
        <v>0.334082</v>
      </c>
      <c r="D13" s="74"/>
      <c r="E13" s="48">
        <v>0.35</v>
      </c>
      <c r="F13" s="1"/>
      <c r="G13" s="1"/>
      <c r="H13" s="7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6.5" thickBot="1">
      <c r="A14" s="1">
        <v>11</v>
      </c>
      <c r="B14" s="76" t="s">
        <v>138</v>
      </c>
      <c r="C14" s="201">
        <f>C12-C13</f>
        <v>0.620438</v>
      </c>
      <c r="D14" s="7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6.5" thickTop="1">
      <c r="A15" s="1">
        <v>12</v>
      </c>
      <c r="B15" s="60" t="s">
        <v>167</v>
      </c>
      <c r="C15" s="37">
        <f>ROUND(1/C14,7)</f>
        <v>1.6117646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>
      <c r="A16" s="1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>
      <c r="A17" s="1">
        <v>14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>
      <c r="A18" s="1">
        <v>15</v>
      </c>
      <c r="B18" s="1" t="s">
        <v>137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>
      <c r="A19" s="1">
        <v>16</v>
      </c>
      <c r="B19" s="55" t="s">
        <v>135</v>
      </c>
      <c r="C19" s="99">
        <f>+C6</f>
        <v>0.00485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>
      <c r="A20" s="1">
        <v>17</v>
      </c>
      <c r="B20" s="100" t="s">
        <v>136</v>
      </c>
      <c r="C20" s="100">
        <f>SUM(C7:C9)</f>
        <v>0.04063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>
      <c r="A21" s="1">
        <v>18</v>
      </c>
      <c r="B21" s="69"/>
      <c r="C21" s="6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>
      <c r="A22" s="1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>
      <c r="A23" s="1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>
      <c r="A24" s="1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>
      <c r="A25" s="1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>
      <c r="A26" s="1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>
      <c r="A27" s="1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1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>
      <c r="A29" s="1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>
      <c r="A30" s="1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>
      <c r="A31" s="1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1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>
      <c r="A34" s="1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>
      <c r="A35" s="1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>
      <c r="A36" s="1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>
      <c r="A37" s="1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</sheetData>
  <printOptions/>
  <pageMargins left="1.25" right="0.75" top="1" bottom="1" header="0.5" footer="0.25"/>
  <pageSetup fitToHeight="1" fitToWidth="1" horizontalDpi="600" verticalDpi="600" orientation="portrait" scale="89" r:id="rId1"/>
  <headerFooter alignWithMargins="0">
    <oddHeader>&amp;R&amp;"Times New Roman,Regular"PacifiCorp Docket UE-061546
Exhibit ___ (TES-2)</oddHeader>
    <oddFooter>&amp;R&amp;"Times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workbookViewId="0" topLeftCell="A3">
      <selection activeCell="E47" sqref="E47"/>
    </sheetView>
  </sheetViews>
  <sheetFormatPr defaultColWidth="9.140625" defaultRowHeight="12.75"/>
  <cols>
    <col min="1" max="1" width="3.28125" style="0" customWidth="1"/>
    <col min="2" max="2" width="38.00390625" style="0" bestFit="1" customWidth="1"/>
    <col min="3" max="3" width="14.7109375" style="0" bestFit="1" customWidth="1"/>
    <col min="4" max="4" width="10.28125" style="0" bestFit="1" customWidth="1"/>
    <col min="5" max="5" width="15.421875" style="0" bestFit="1" customWidth="1"/>
    <col min="6" max="6" width="10.57421875" style="0" customWidth="1"/>
    <col min="8" max="8" width="14.00390625" style="0" bestFit="1" customWidth="1"/>
  </cols>
  <sheetData>
    <row r="1" spans="1:3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5.75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8:31" ht="15.75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8:31" ht="15.75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ht="15.75">
      <c r="B5" s="35" t="s">
        <v>364</v>
      </c>
      <c r="H5" s="46"/>
      <c r="I5" s="10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>
      <c r="A6" s="1"/>
      <c r="B6" s="35" t="s">
        <v>134</v>
      </c>
      <c r="C6" s="1" t="s">
        <v>357</v>
      </c>
      <c r="D6" s="1"/>
      <c r="E6" s="1"/>
      <c r="F6" s="1"/>
      <c r="G6" s="1"/>
      <c r="H6" s="46"/>
      <c r="I6" s="10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>
      <c r="A7" s="1"/>
      <c r="C7" s="12"/>
      <c r="D7" s="12"/>
      <c r="E7" s="12"/>
      <c r="F7" s="12"/>
      <c r="G7" s="1"/>
      <c r="H7" s="46"/>
      <c r="I7" s="10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>
      <c r="A8" s="1">
        <v>1</v>
      </c>
      <c r="B8" s="243" t="s">
        <v>141</v>
      </c>
      <c r="C8" s="243" t="s">
        <v>118</v>
      </c>
      <c r="D8" s="244"/>
      <c r="E8" s="243" t="s">
        <v>119</v>
      </c>
      <c r="F8" s="243" t="s">
        <v>140</v>
      </c>
      <c r="G8" s="1"/>
      <c r="H8" s="46"/>
      <c r="I8" s="10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>
      <c r="A9" s="1">
        <v>2</v>
      </c>
      <c r="B9" s="146" t="s">
        <v>120</v>
      </c>
      <c r="C9" s="52">
        <v>0.54</v>
      </c>
      <c r="D9" s="102">
        <v>0.06335</v>
      </c>
      <c r="E9" s="102">
        <f>D9*C9</f>
        <v>0.034209</v>
      </c>
      <c r="F9" s="1"/>
      <c r="G9" s="1"/>
      <c r="H9" s="1"/>
      <c r="I9" s="10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>
      <c r="A10" s="1">
        <v>3</v>
      </c>
      <c r="B10" s="51" t="s">
        <v>121</v>
      </c>
      <c r="C10" s="52">
        <v>0.03</v>
      </c>
      <c r="D10" s="102">
        <v>0.045</v>
      </c>
      <c r="E10" s="102">
        <f>D10*C10</f>
        <v>0.0013499999999999999</v>
      </c>
      <c r="F10" s="206">
        <f>+E10+E9</f>
        <v>0.035559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>
      <c r="A11" s="1">
        <v>4</v>
      </c>
      <c r="B11" s="146" t="s">
        <v>142</v>
      </c>
      <c r="C11" s="52">
        <v>0.01</v>
      </c>
      <c r="D11" s="102">
        <v>0.06455</v>
      </c>
      <c r="E11" s="102">
        <f>D11*C11</f>
        <v>0.0006455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>
      <c r="A12" s="1">
        <v>5</v>
      </c>
      <c r="B12" s="57" t="s">
        <v>143</v>
      </c>
      <c r="C12" s="181">
        <v>0.42</v>
      </c>
      <c r="D12" s="59">
        <v>0.102</v>
      </c>
      <c r="E12" s="102">
        <f>D12*C12</f>
        <v>0.042839999999999996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6.5" thickBot="1">
      <c r="A13" s="1">
        <v>6</v>
      </c>
      <c r="B13" s="55" t="s">
        <v>134</v>
      </c>
      <c r="C13" s="58">
        <f>SUM(C9:C12)</f>
        <v>1</v>
      </c>
      <c r="D13" s="59"/>
      <c r="E13" s="212">
        <f>SUM(E9:E12)</f>
        <v>0.07904449999999999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6.5" thickTop="1">
      <c r="A14" s="1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>
      <c r="A15" s="1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>
      <c r="A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>
      <c r="A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>
      <c r="A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>
      <c r="A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>
      <c r="A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>
      <c r="A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>
      <c r="A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>
      <c r="A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</sheetData>
  <printOptions/>
  <pageMargins left="1.25" right="0.75" top="1" bottom="1" header="0.5" footer="0.25"/>
  <pageSetup fitToHeight="1" fitToWidth="1" horizontalDpi="600" verticalDpi="600" orientation="portrait" scale="91" r:id="rId1"/>
  <headerFooter alignWithMargins="0">
    <oddHeader>&amp;R&amp;"Times New Roman,Regular"PacifiCorp Docket UE-061546
Exhibit ___ (TES-2)</oddHeader>
    <oddFooter>&amp;R&amp;"Times New Roman,Regular"Page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E47" sqref="E47"/>
    </sheetView>
  </sheetViews>
  <sheetFormatPr defaultColWidth="9.140625" defaultRowHeight="12.75"/>
  <cols>
    <col min="1" max="1" width="2.140625" style="0" customWidth="1"/>
    <col min="2" max="2" width="36.7109375" style="0" bestFit="1" customWidth="1"/>
    <col min="3" max="3" width="15.140625" style="0" bestFit="1" customWidth="1"/>
    <col min="4" max="4" width="10.00390625" style="0" customWidth="1"/>
    <col min="5" max="5" width="16.8515625" style="0" bestFit="1" customWidth="1"/>
  </cols>
  <sheetData>
    <row r="1" spans="1:6" ht="15">
      <c r="A1" s="217"/>
      <c r="C1" s="217"/>
      <c r="D1" s="217"/>
      <c r="E1" s="217"/>
      <c r="F1" s="217"/>
    </row>
    <row r="2" spans="1:6" ht="15.75">
      <c r="A2" s="217"/>
      <c r="B2" s="152" t="s">
        <v>164</v>
      </c>
      <c r="C2" s="217"/>
      <c r="D2" s="217"/>
      <c r="E2" s="217"/>
      <c r="F2" s="217"/>
    </row>
    <row r="3" spans="1:6" ht="15.75">
      <c r="A3" s="217"/>
      <c r="B3" s="218" t="s">
        <v>2</v>
      </c>
      <c r="C3" s="217"/>
      <c r="D3" s="217"/>
      <c r="E3" s="217"/>
      <c r="F3" s="217"/>
    </row>
    <row r="4" spans="1:6" ht="15.75">
      <c r="A4" s="217"/>
      <c r="B4" s="218"/>
      <c r="C4" s="217"/>
      <c r="D4" s="217"/>
      <c r="E4" s="217"/>
      <c r="F4" s="217"/>
    </row>
    <row r="5" spans="1:6" ht="15.75">
      <c r="A5" s="217"/>
      <c r="B5" s="218"/>
      <c r="C5" s="217"/>
      <c r="D5" s="217"/>
      <c r="E5" s="217"/>
      <c r="F5" s="217"/>
    </row>
    <row r="6" spans="1:6" ht="15.75">
      <c r="A6" s="217"/>
      <c r="B6" s="254" t="s">
        <v>354</v>
      </c>
      <c r="C6" s="254"/>
      <c r="D6" s="1"/>
      <c r="E6" s="1"/>
      <c r="F6" s="1"/>
    </row>
    <row r="7" spans="1:6" ht="15.75">
      <c r="A7" s="217"/>
      <c r="B7" s="13"/>
      <c r="C7" s="13"/>
      <c r="D7" s="1"/>
      <c r="E7" s="1"/>
      <c r="F7" s="1"/>
    </row>
    <row r="8" spans="1:6" ht="15.75">
      <c r="A8" s="1">
        <v>1</v>
      </c>
      <c r="B8" s="1" t="s">
        <v>100</v>
      </c>
      <c r="C8" s="219">
        <f>+RevReqSummary!E64</f>
        <v>535224129</v>
      </c>
      <c r="D8" s="97"/>
      <c r="E8" s="1"/>
      <c r="F8" s="1"/>
    </row>
    <row r="9" spans="1:6" ht="15.75">
      <c r="A9" s="1">
        <v>2</v>
      </c>
      <c r="B9" s="1" t="s">
        <v>346</v>
      </c>
      <c r="C9" s="219">
        <f>-Adjustments!I65</f>
        <v>1457588</v>
      </c>
      <c r="D9" s="1"/>
      <c r="E9" s="1"/>
      <c r="F9" s="1"/>
    </row>
    <row r="10" spans="1:6" ht="15.75">
      <c r="A10" s="1">
        <v>3</v>
      </c>
      <c r="B10" s="1" t="s">
        <v>33</v>
      </c>
      <c r="C10" s="219">
        <f>C8+C9</f>
        <v>536681717</v>
      </c>
      <c r="D10" s="1"/>
      <c r="E10" s="220"/>
      <c r="F10" s="218"/>
    </row>
    <row r="11" spans="1:6" ht="15.75">
      <c r="A11" s="1">
        <v>4</v>
      </c>
      <c r="B11" s="1" t="s">
        <v>101</v>
      </c>
      <c r="C11" s="221">
        <f>+'cost of capital'!F10</f>
        <v>0.035559</v>
      </c>
      <c r="D11" s="1"/>
      <c r="E11" s="222"/>
      <c r="F11" s="218"/>
    </row>
    <row r="12" spans="1:6" ht="15.75">
      <c r="A12" s="1">
        <v>5</v>
      </c>
      <c r="B12" s="1" t="s">
        <v>102</v>
      </c>
      <c r="C12" s="219">
        <f>C11*C10</f>
        <v>19083865.174803</v>
      </c>
      <c r="D12" s="67"/>
      <c r="E12" s="223"/>
      <c r="F12" s="67"/>
    </row>
    <row r="13" spans="1:6" ht="15.75">
      <c r="A13" s="1">
        <v>6</v>
      </c>
      <c r="B13" s="67" t="s">
        <v>103</v>
      </c>
      <c r="C13" s="219">
        <v>18965090</v>
      </c>
      <c r="D13" t="s">
        <v>201</v>
      </c>
      <c r="E13" s="217"/>
      <c r="F13" s="225"/>
    </row>
    <row r="14" spans="1:6" ht="15.75">
      <c r="A14" s="1">
        <v>7</v>
      </c>
      <c r="B14" s="67" t="s">
        <v>104</v>
      </c>
      <c r="C14" s="265">
        <f>C12-C13</f>
        <v>118775.17480299994</v>
      </c>
      <c r="D14" s="229" t="s">
        <v>149</v>
      </c>
      <c r="E14" s="17"/>
      <c r="F14" s="155"/>
    </row>
    <row r="15" spans="1:6" ht="15.75">
      <c r="A15" s="1"/>
      <c r="B15" s="71"/>
      <c r="C15" s="228"/>
      <c r="D15" s="155"/>
      <c r="E15" s="155"/>
      <c r="F15" s="155"/>
    </row>
    <row r="17" ht="15.75">
      <c r="B17" s="224" t="s">
        <v>345</v>
      </c>
    </row>
  </sheetData>
  <mergeCells count="1">
    <mergeCell ref="B6:C6"/>
  </mergeCells>
  <printOptions/>
  <pageMargins left="1.5" right="0.75" top="1" bottom="1" header="0.5" footer="0.25"/>
  <pageSetup fitToHeight="1" fitToWidth="1" horizontalDpi="600" verticalDpi="600" orientation="portrait" r:id="rId1"/>
  <headerFooter alignWithMargins="0">
    <oddHeader>&amp;R&amp;"Times New Roman,Regular"PacifiCorp Docket UE-061546
Exhibit ___ (TES-2)
REVISED 3/22/2007</oddHeader>
    <oddFooter>&amp;R&amp;"Times New Roman,Regular"Page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01"/>
  <sheetViews>
    <sheetView workbookViewId="0" topLeftCell="A1">
      <pane xSplit="2" ySplit="7" topLeftCell="AB8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E47" sqref="E47"/>
    </sheetView>
  </sheetViews>
  <sheetFormatPr defaultColWidth="9.140625" defaultRowHeight="12.75"/>
  <cols>
    <col min="1" max="1" width="3.00390625" style="0" customWidth="1"/>
    <col min="2" max="2" width="29.28125" style="0" customWidth="1"/>
    <col min="3" max="3" width="12.57421875" style="0" customWidth="1"/>
    <col min="4" max="4" width="13.8515625" style="0" customWidth="1"/>
    <col min="5" max="5" width="13.28125" style="0" bestFit="1" customWidth="1"/>
    <col min="6" max="6" width="12.00390625" style="0" customWidth="1"/>
    <col min="7" max="7" width="11.57421875" style="0" customWidth="1"/>
    <col min="8" max="8" width="14.8515625" style="0" customWidth="1"/>
    <col min="9" max="9" width="13.140625" style="0" bestFit="1" customWidth="1"/>
    <col min="10" max="11" width="14.8515625" style="0" hidden="1" customWidth="1"/>
    <col min="12" max="12" width="15.7109375" style="0" customWidth="1"/>
    <col min="13" max="13" width="13.8515625" style="0" customWidth="1"/>
    <col min="14" max="14" width="13.8515625" style="0" bestFit="1" customWidth="1"/>
    <col min="15" max="15" width="13.140625" style="0" bestFit="1" customWidth="1"/>
    <col min="16" max="16" width="15.7109375" style="0" bestFit="1" customWidth="1"/>
    <col min="17" max="17" width="17.57421875" style="0" bestFit="1" customWidth="1"/>
    <col min="18" max="18" width="16.140625" style="0" bestFit="1" customWidth="1"/>
    <col min="19" max="20" width="17.57421875" style="0" customWidth="1"/>
    <col min="21" max="21" width="12.57421875" style="0" customWidth="1"/>
    <col min="22" max="22" width="13.28125" style="0" hidden="1" customWidth="1"/>
    <col min="23" max="23" width="16.8515625" style="0" hidden="1" customWidth="1"/>
    <col min="24" max="24" width="12.57421875" style="0" hidden="1" customWidth="1"/>
    <col min="25" max="25" width="20.140625" style="0" bestFit="1" customWidth="1"/>
    <col min="26" max="26" width="16.28125" style="0" customWidth="1"/>
    <col min="27" max="27" width="14.28125" style="0" bestFit="1" customWidth="1"/>
    <col min="28" max="28" width="11.28125" style="0" customWidth="1"/>
    <col min="29" max="29" width="14.28125" style="0" customWidth="1"/>
    <col min="30" max="30" width="16.421875" style="0" customWidth="1"/>
    <col min="31" max="31" width="12.57421875" style="0" hidden="1" customWidth="1"/>
    <col min="32" max="32" width="11.28125" style="0" hidden="1" customWidth="1"/>
    <col min="33" max="33" width="13.7109375" style="0" hidden="1" customWidth="1"/>
    <col min="34" max="34" width="10.57421875" style="0" customWidth="1"/>
    <col min="35" max="35" width="12.28125" style="0" customWidth="1"/>
    <col min="36" max="36" width="17.00390625" style="0" bestFit="1" customWidth="1"/>
    <col min="37" max="37" width="10.57421875" style="0" customWidth="1"/>
    <col min="38" max="38" width="14.57421875" style="0" customWidth="1"/>
    <col min="39" max="39" width="13.140625" style="0" bestFit="1" customWidth="1"/>
    <col min="40" max="40" width="15.00390625" style="0" bestFit="1" customWidth="1"/>
    <col min="41" max="41" width="17.7109375" style="0" customWidth="1"/>
    <col min="42" max="42" width="10.28125" style="0" bestFit="1" customWidth="1"/>
    <col min="43" max="43" width="10.28125" style="0" customWidth="1"/>
    <col min="44" max="44" width="15.421875" style="0" bestFit="1" customWidth="1"/>
    <col min="45" max="45" width="12.7109375" style="0" bestFit="1" customWidth="1"/>
    <col min="46" max="46" width="17.00390625" style="0" bestFit="1" customWidth="1"/>
    <col min="47" max="47" width="14.7109375" style="0" customWidth="1"/>
    <col min="48" max="49" width="14.00390625" style="0" customWidth="1"/>
    <col min="50" max="50" width="11.421875" style="0" customWidth="1"/>
    <col min="51" max="51" width="13.421875" style="0" customWidth="1"/>
    <col min="52" max="52" width="11.00390625" style="0" customWidth="1"/>
    <col min="53" max="53" width="10.28125" style="0" customWidth="1"/>
    <col min="54" max="54" width="16.140625" style="0" customWidth="1"/>
    <col min="55" max="55" width="15.421875" style="0" bestFit="1" customWidth="1"/>
    <col min="56" max="56" width="15.421875" style="0" customWidth="1"/>
    <col min="57" max="57" width="18.28125" style="0" bestFit="1" customWidth="1"/>
    <col min="58" max="58" width="15.28125" style="0" bestFit="1" customWidth="1"/>
    <col min="59" max="59" width="17.00390625" style="0" customWidth="1"/>
    <col min="60" max="60" width="15.00390625" style="0" bestFit="1" customWidth="1"/>
    <col min="61" max="61" width="14.28125" style="0" customWidth="1"/>
    <col min="62" max="62" width="15.8515625" style="0" bestFit="1" customWidth="1"/>
    <col min="63" max="63" width="14.7109375" style="0" bestFit="1" customWidth="1"/>
  </cols>
  <sheetData>
    <row r="1" spans="1:69" ht="12.75">
      <c r="A1" s="18"/>
      <c r="B1" s="22" t="s">
        <v>164</v>
      </c>
      <c r="C1" s="19"/>
      <c r="D1" s="18"/>
      <c r="E1" s="19"/>
      <c r="F1" s="255" t="s">
        <v>3</v>
      </c>
      <c r="G1" s="255"/>
      <c r="H1" s="255"/>
      <c r="I1" s="255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</row>
    <row r="2" spans="1:69" ht="12.75">
      <c r="A2" s="18"/>
      <c r="B2" s="103" t="s">
        <v>2</v>
      </c>
      <c r="C2" s="19"/>
      <c r="D2" s="104"/>
      <c r="E2" s="19"/>
      <c r="F2" s="255" t="s">
        <v>147</v>
      </c>
      <c r="G2" s="255"/>
      <c r="H2" s="255"/>
      <c r="I2" s="255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213"/>
      <c r="AE2" s="213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</row>
    <row r="3" spans="1:69" ht="12.75">
      <c r="A3" s="18"/>
      <c r="B3" s="19"/>
      <c r="C3" s="19"/>
      <c r="D3" s="104"/>
      <c r="E3" s="19"/>
      <c r="F3" s="18"/>
      <c r="G3" s="103"/>
      <c r="H3" s="103"/>
      <c r="I3" s="103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2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</row>
    <row r="4" spans="1:69" ht="12.75">
      <c r="A4" s="18"/>
      <c r="B4" s="105"/>
      <c r="C4" s="19"/>
      <c r="D4" s="106"/>
      <c r="E4" s="106"/>
      <c r="F4" s="106"/>
      <c r="G4" s="19"/>
      <c r="H4" s="19"/>
      <c r="I4" s="19"/>
      <c r="J4" s="18"/>
      <c r="K4" s="18"/>
      <c r="L4" s="18"/>
      <c r="M4" s="18"/>
      <c r="N4" s="18"/>
      <c r="O4" s="18"/>
      <c r="P4" s="18"/>
      <c r="Q4" s="18"/>
      <c r="R4" s="18"/>
      <c r="S4" s="18"/>
      <c r="T4" s="271" t="s">
        <v>367</v>
      </c>
      <c r="U4" s="107"/>
      <c r="V4" s="18"/>
      <c r="W4" s="18"/>
      <c r="X4" s="18"/>
      <c r="Y4" s="18"/>
      <c r="Z4" s="18"/>
      <c r="AA4" s="18"/>
      <c r="AB4" s="107"/>
      <c r="AC4" s="271" t="s">
        <v>367</v>
      </c>
      <c r="AD4" s="214"/>
      <c r="AE4" s="107"/>
      <c r="AF4" s="18"/>
      <c r="AG4" s="18"/>
      <c r="AH4" s="18"/>
      <c r="AI4" s="18"/>
      <c r="AJ4" s="18"/>
      <c r="AK4" s="18"/>
      <c r="AL4" s="108"/>
      <c r="AM4" s="107"/>
      <c r="AN4" s="18"/>
      <c r="AO4" s="18"/>
      <c r="AP4" s="18"/>
      <c r="AQ4" s="18"/>
      <c r="AR4" s="107"/>
      <c r="AS4" s="18"/>
      <c r="AT4" s="107"/>
      <c r="AU4" s="18"/>
      <c r="AV4" s="18"/>
      <c r="AW4" s="18"/>
      <c r="AX4" s="18"/>
      <c r="AY4" s="18"/>
      <c r="AZ4" s="18"/>
      <c r="BA4" s="18"/>
      <c r="BB4" s="18"/>
      <c r="BC4" s="18"/>
      <c r="BD4" s="271" t="s">
        <v>367</v>
      </c>
      <c r="BF4" s="107"/>
      <c r="BG4" s="107"/>
      <c r="BH4" s="18"/>
      <c r="BI4" s="18"/>
      <c r="BJ4" s="18"/>
      <c r="BK4" s="18"/>
      <c r="BL4" s="18"/>
      <c r="BM4" s="18"/>
      <c r="BN4" s="18"/>
      <c r="BO4" s="18"/>
      <c r="BP4" s="18"/>
      <c r="BQ4" s="18"/>
    </row>
    <row r="5" spans="1:67" ht="12.75">
      <c r="A5" s="18"/>
      <c r="B5" s="109"/>
      <c r="C5" s="110" t="s">
        <v>199</v>
      </c>
      <c r="D5" s="111">
        <v>3.1</v>
      </c>
      <c r="E5" s="111">
        <v>3.2</v>
      </c>
      <c r="F5" s="111">
        <v>3.3</v>
      </c>
      <c r="G5" s="111">
        <v>3.4</v>
      </c>
      <c r="H5" s="111">
        <v>3.5</v>
      </c>
      <c r="I5" s="112">
        <v>3.6</v>
      </c>
      <c r="J5" s="112">
        <v>3.7</v>
      </c>
      <c r="K5" s="112">
        <v>3.8</v>
      </c>
      <c r="L5" s="112">
        <v>4.1</v>
      </c>
      <c r="M5" s="112">
        <v>4.2</v>
      </c>
      <c r="N5" s="112">
        <v>4.3</v>
      </c>
      <c r="O5" s="112">
        <v>4.4</v>
      </c>
      <c r="P5" s="112">
        <v>4.5</v>
      </c>
      <c r="Q5" s="112">
        <v>4.6</v>
      </c>
      <c r="R5" s="112">
        <v>4.7</v>
      </c>
      <c r="S5" s="112">
        <v>4.8</v>
      </c>
      <c r="T5" s="112">
        <v>4.9</v>
      </c>
      <c r="U5" s="113">
        <v>4.1</v>
      </c>
      <c r="V5" s="113">
        <v>4.12</v>
      </c>
      <c r="W5" s="113">
        <v>4.13</v>
      </c>
      <c r="X5" s="113">
        <v>4.14</v>
      </c>
      <c r="Y5" s="112">
        <v>5.1</v>
      </c>
      <c r="Z5" s="112">
        <v>5.2</v>
      </c>
      <c r="AA5" s="112">
        <v>5.3</v>
      </c>
      <c r="AB5" s="112">
        <v>5.4</v>
      </c>
      <c r="AC5" s="112">
        <v>5.5</v>
      </c>
      <c r="AD5" s="112">
        <v>5.6</v>
      </c>
      <c r="AE5" s="112">
        <v>5.7</v>
      </c>
      <c r="AF5" s="112">
        <v>5.8</v>
      </c>
      <c r="AG5" s="112">
        <v>5.9</v>
      </c>
      <c r="AH5" s="112">
        <v>7.1</v>
      </c>
      <c r="AI5" s="112">
        <v>7.2</v>
      </c>
      <c r="AJ5" s="112">
        <v>7.3</v>
      </c>
      <c r="AK5" s="112">
        <v>7.4</v>
      </c>
      <c r="AL5" s="112">
        <v>7.5</v>
      </c>
      <c r="AM5" s="112">
        <v>7.6</v>
      </c>
      <c r="AN5" s="112">
        <v>7.7</v>
      </c>
      <c r="AO5" s="112">
        <v>7.8</v>
      </c>
      <c r="AP5" s="112">
        <v>7.9</v>
      </c>
      <c r="AQ5" s="113">
        <v>7.1</v>
      </c>
      <c r="AR5" s="112">
        <v>8.1</v>
      </c>
      <c r="AS5" s="112">
        <v>8.2</v>
      </c>
      <c r="AT5" s="112">
        <v>8.3</v>
      </c>
      <c r="AU5" s="112">
        <v>8.4</v>
      </c>
      <c r="AV5" s="112">
        <v>8.5</v>
      </c>
      <c r="AW5" s="112">
        <v>8.6</v>
      </c>
      <c r="AX5" s="112">
        <v>8.7</v>
      </c>
      <c r="AY5" s="112">
        <v>8.8</v>
      </c>
      <c r="AZ5" s="112">
        <v>8.9</v>
      </c>
      <c r="BA5" s="113">
        <v>8.1</v>
      </c>
      <c r="BB5" s="113">
        <v>8.11</v>
      </c>
      <c r="BC5" s="113">
        <v>8.12</v>
      </c>
      <c r="BD5" s="113">
        <v>8.13</v>
      </c>
      <c r="BE5" s="113">
        <v>8.14</v>
      </c>
      <c r="BF5" s="110">
        <v>8.15</v>
      </c>
      <c r="BG5" s="110">
        <v>8.16</v>
      </c>
      <c r="BH5" s="110">
        <v>8.17</v>
      </c>
      <c r="BI5" s="110">
        <v>8.18</v>
      </c>
      <c r="BJ5" s="110">
        <v>8.19</v>
      </c>
      <c r="BK5" s="211">
        <v>8.2</v>
      </c>
      <c r="BL5" s="110">
        <v>8.21</v>
      </c>
      <c r="BM5" s="110">
        <v>8.22</v>
      </c>
      <c r="BN5" s="110">
        <v>8.23</v>
      </c>
      <c r="BO5" s="110">
        <v>8.24</v>
      </c>
    </row>
    <row r="6" spans="1:69" ht="12.75">
      <c r="A6" s="18"/>
      <c r="B6" s="19"/>
      <c r="C6" s="110" t="s">
        <v>6</v>
      </c>
      <c r="D6" s="23" t="s">
        <v>217</v>
      </c>
      <c r="E6" s="23" t="s">
        <v>25</v>
      </c>
      <c r="F6" s="23" t="s">
        <v>7</v>
      </c>
      <c r="G6" s="107" t="s">
        <v>9</v>
      </c>
      <c r="H6" s="107" t="s">
        <v>219</v>
      </c>
      <c r="I6" s="23" t="s">
        <v>8</v>
      </c>
      <c r="J6" s="107"/>
      <c r="K6" s="107"/>
      <c r="L6" s="107" t="s">
        <v>220</v>
      </c>
      <c r="M6" s="107" t="s">
        <v>10</v>
      </c>
      <c r="N6" s="107" t="s">
        <v>12</v>
      </c>
      <c r="O6" s="107" t="s">
        <v>221</v>
      </c>
      <c r="P6" s="107" t="s">
        <v>11</v>
      </c>
      <c r="Q6" s="107" t="s">
        <v>223</v>
      </c>
      <c r="R6" s="107" t="s">
        <v>144</v>
      </c>
      <c r="S6" s="107" t="s">
        <v>226</v>
      </c>
      <c r="T6" s="107" t="s">
        <v>227</v>
      </c>
      <c r="U6" s="107" t="s">
        <v>281</v>
      </c>
      <c r="V6" s="107"/>
      <c r="W6" s="107"/>
      <c r="X6" s="107"/>
      <c r="Y6" s="107" t="s">
        <v>228</v>
      </c>
      <c r="Z6" s="107" t="s">
        <v>229</v>
      </c>
      <c r="AA6" s="107" t="s">
        <v>27</v>
      </c>
      <c r="AB6" s="107" t="s">
        <v>306</v>
      </c>
      <c r="AC6" s="110" t="s">
        <v>365</v>
      </c>
      <c r="AD6" s="107" t="s">
        <v>305</v>
      </c>
      <c r="AE6" s="107"/>
      <c r="AF6" s="107"/>
      <c r="AG6" s="107"/>
      <c r="AH6" s="107" t="s">
        <v>13</v>
      </c>
      <c r="AI6" s="107" t="s">
        <v>231</v>
      </c>
      <c r="AJ6" s="107" t="s">
        <v>233</v>
      </c>
      <c r="AK6" s="107" t="s">
        <v>239</v>
      </c>
      <c r="AL6" s="107" t="s">
        <v>14</v>
      </c>
      <c r="AM6" s="107" t="s">
        <v>171</v>
      </c>
      <c r="AN6" s="107" t="s">
        <v>235</v>
      </c>
      <c r="AO6" s="107" t="s">
        <v>145</v>
      </c>
      <c r="AP6" s="107" t="s">
        <v>237</v>
      </c>
      <c r="AQ6" s="110" t="s">
        <v>271</v>
      </c>
      <c r="AR6" s="107" t="s">
        <v>17</v>
      </c>
      <c r="AS6" s="107" t="s">
        <v>160</v>
      </c>
      <c r="AT6" s="107" t="s">
        <v>15</v>
      </c>
      <c r="AU6" s="107" t="s">
        <v>241</v>
      </c>
      <c r="AV6" s="107" t="s">
        <v>243</v>
      </c>
      <c r="AW6" s="107" t="s">
        <v>245</v>
      </c>
      <c r="AX6" s="107" t="s">
        <v>18</v>
      </c>
      <c r="AY6" s="107" t="s">
        <v>247</v>
      </c>
      <c r="AZ6" s="107" t="s">
        <v>249</v>
      </c>
      <c r="BA6" s="107" t="s">
        <v>251</v>
      </c>
      <c r="BB6" s="107" t="s">
        <v>16</v>
      </c>
      <c r="BC6" s="107" t="s">
        <v>146</v>
      </c>
      <c r="BD6" s="107" t="s">
        <v>253</v>
      </c>
      <c r="BE6" s="107" t="s">
        <v>259</v>
      </c>
      <c r="BF6" s="107" t="s">
        <v>259</v>
      </c>
      <c r="BG6" s="110" t="s">
        <v>310</v>
      </c>
      <c r="BH6" s="107" t="s">
        <v>268</v>
      </c>
      <c r="BI6" s="107"/>
      <c r="BJ6" s="110"/>
      <c r="BK6" s="110"/>
      <c r="BL6" s="18"/>
      <c r="BM6" s="18"/>
      <c r="BN6" s="18"/>
      <c r="BO6" s="18"/>
      <c r="BP6" s="18"/>
      <c r="BQ6" s="18"/>
    </row>
    <row r="7" spans="1:69" ht="12.75">
      <c r="A7" s="18"/>
      <c r="B7" s="20"/>
      <c r="C7" s="40" t="s">
        <v>19</v>
      </c>
      <c r="D7" s="23" t="s">
        <v>20</v>
      </c>
      <c r="E7" s="23" t="s">
        <v>218</v>
      </c>
      <c r="F7" s="23" t="s">
        <v>22</v>
      </c>
      <c r="G7" s="23"/>
      <c r="H7" s="107" t="s">
        <v>7</v>
      </c>
      <c r="I7" s="23" t="s">
        <v>23</v>
      </c>
      <c r="J7" s="18"/>
      <c r="K7" s="107"/>
      <c r="L7" s="107" t="s">
        <v>28</v>
      </c>
      <c r="M7" s="107" t="s">
        <v>24</v>
      </c>
      <c r="N7" s="107" t="s">
        <v>168</v>
      </c>
      <c r="O7" s="107" t="s">
        <v>222</v>
      </c>
      <c r="P7" s="107" t="s">
        <v>26</v>
      </c>
      <c r="Q7" s="107" t="s">
        <v>224</v>
      </c>
      <c r="R7" s="107" t="s">
        <v>28</v>
      </c>
      <c r="S7" s="107" t="s">
        <v>25</v>
      </c>
      <c r="T7" s="107" t="s">
        <v>169</v>
      </c>
      <c r="U7" s="107" t="s">
        <v>282</v>
      </c>
      <c r="V7" s="107"/>
      <c r="W7" s="107"/>
      <c r="X7" s="107"/>
      <c r="Y7" s="107" t="s">
        <v>29</v>
      </c>
      <c r="Z7" s="107" t="s">
        <v>230</v>
      </c>
      <c r="AA7" s="107" t="s">
        <v>28</v>
      </c>
      <c r="AB7" s="107" t="s">
        <v>307</v>
      </c>
      <c r="AC7" s="110" t="s">
        <v>366</v>
      </c>
      <c r="AD7" s="107" t="s">
        <v>198</v>
      </c>
      <c r="AE7" s="107"/>
      <c r="AF7" s="107"/>
      <c r="AG7" s="107"/>
      <c r="AH7" s="107" t="s">
        <v>30</v>
      </c>
      <c r="AI7" s="107" t="s">
        <v>232</v>
      </c>
      <c r="AJ7" s="107" t="s">
        <v>234</v>
      </c>
      <c r="AK7" s="107" t="s">
        <v>238</v>
      </c>
      <c r="AL7" s="107" t="s">
        <v>170</v>
      </c>
      <c r="AM7" s="107" t="s">
        <v>32</v>
      </c>
      <c r="AN7" s="107" t="s">
        <v>236</v>
      </c>
      <c r="AO7" s="107" t="s">
        <v>31</v>
      </c>
      <c r="AP7" s="107" t="s">
        <v>31</v>
      </c>
      <c r="AQ7" s="110" t="s">
        <v>272</v>
      </c>
      <c r="AR7" s="107" t="s">
        <v>36</v>
      </c>
      <c r="AS7" s="107" t="s">
        <v>240</v>
      </c>
      <c r="AT7" s="107" t="s">
        <v>33</v>
      </c>
      <c r="AU7" s="107" t="s">
        <v>242</v>
      </c>
      <c r="AV7" s="107" t="s">
        <v>244</v>
      </c>
      <c r="AW7" s="107" t="s">
        <v>246</v>
      </c>
      <c r="AX7" s="107" t="s">
        <v>172</v>
      </c>
      <c r="AY7" s="107" t="s">
        <v>48</v>
      </c>
      <c r="AZ7" s="107" t="s">
        <v>250</v>
      </c>
      <c r="BA7" s="107" t="s">
        <v>252</v>
      </c>
      <c r="BB7" s="107" t="s">
        <v>34</v>
      </c>
      <c r="BC7" s="107" t="s">
        <v>28</v>
      </c>
      <c r="BD7" s="107" t="s">
        <v>254</v>
      </c>
      <c r="BE7" s="107" t="s">
        <v>260</v>
      </c>
      <c r="BF7" s="107" t="s">
        <v>261</v>
      </c>
      <c r="BG7" s="110"/>
      <c r="BH7" s="107" t="s">
        <v>269</v>
      </c>
      <c r="BI7" s="107"/>
      <c r="BJ7" s="110"/>
      <c r="BK7" s="110"/>
      <c r="BL7" s="18"/>
      <c r="BM7" s="18"/>
      <c r="BN7" s="18"/>
      <c r="BO7" s="18"/>
      <c r="BP7" s="18"/>
      <c r="BQ7" s="18"/>
    </row>
    <row r="8" spans="1:69" ht="12.75">
      <c r="A8" s="18"/>
      <c r="B8" s="20" t="s">
        <v>37</v>
      </c>
      <c r="C8" s="21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 t="s">
        <v>225</v>
      </c>
      <c r="R8" s="114"/>
      <c r="S8" s="114" t="s">
        <v>225</v>
      </c>
      <c r="T8" s="114" t="s">
        <v>225</v>
      </c>
      <c r="U8" s="114"/>
      <c r="V8" s="114"/>
      <c r="W8" s="114"/>
      <c r="X8" s="114"/>
      <c r="Y8" s="114"/>
      <c r="Z8" s="114"/>
      <c r="AA8" s="114"/>
      <c r="AB8" s="114"/>
      <c r="AC8" s="230"/>
      <c r="AD8" s="114"/>
      <c r="AE8" s="114"/>
      <c r="AF8" s="114"/>
      <c r="AG8" s="114"/>
      <c r="AH8" s="114" t="s">
        <v>273</v>
      </c>
      <c r="AI8" s="114"/>
      <c r="AJ8" s="114"/>
      <c r="AK8" s="114"/>
      <c r="AL8" s="115"/>
      <c r="AM8" s="114"/>
      <c r="AN8" s="114"/>
      <c r="AO8" s="114"/>
      <c r="AP8" s="114"/>
      <c r="AQ8" s="114" t="s">
        <v>356</v>
      </c>
      <c r="AR8" s="114"/>
      <c r="AS8" s="114"/>
      <c r="AT8" s="114"/>
      <c r="AU8" s="114"/>
      <c r="AV8" s="114"/>
      <c r="AW8" s="114"/>
      <c r="AX8" s="114"/>
      <c r="AY8" s="114" t="s">
        <v>248</v>
      </c>
      <c r="AZ8" s="114"/>
      <c r="BA8" s="114"/>
      <c r="BB8" s="114"/>
      <c r="BC8" s="114"/>
      <c r="BD8" s="114" t="s">
        <v>255</v>
      </c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</row>
    <row r="9" spans="1:69" ht="12.75">
      <c r="A9" s="18">
        <v>1</v>
      </c>
      <c r="B9" s="19" t="s">
        <v>38</v>
      </c>
      <c r="C9" s="116">
        <f>SUM(D9:BQ9)</f>
        <v>10000070</v>
      </c>
      <c r="D9" s="21">
        <v>-220437</v>
      </c>
      <c r="E9" s="21">
        <v>-3906382</v>
      </c>
      <c r="F9" s="21">
        <v>14126889</v>
      </c>
      <c r="G9" s="21"/>
      <c r="H9" s="21"/>
      <c r="I9" s="21">
        <v>0</v>
      </c>
      <c r="J9" s="21"/>
      <c r="K9" s="21"/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</row>
    <row r="10" spans="1:69" ht="12.75">
      <c r="A10" s="18">
        <v>2</v>
      </c>
      <c r="B10" s="19" t="s">
        <v>39</v>
      </c>
      <c r="C10" s="116">
        <f>SUM(D10:BQ10)</f>
        <v>0</v>
      </c>
      <c r="D10" s="21"/>
      <c r="E10" s="21"/>
      <c r="F10" s="21">
        <v>0</v>
      </c>
      <c r="G10" s="21"/>
      <c r="H10" s="18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107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69" ht="12.75">
      <c r="A11" s="18">
        <v>3</v>
      </c>
      <c r="B11" s="19" t="s">
        <v>40</v>
      </c>
      <c r="C11" s="116">
        <f>SUM(D11:BQ11)</f>
        <v>-2408487</v>
      </c>
      <c r="D11" s="21"/>
      <c r="E11" s="21"/>
      <c r="F11" s="21"/>
      <c r="G11" s="21"/>
      <c r="H11" s="18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>
        <v>-2408487</v>
      </c>
      <c r="AD11" s="21"/>
      <c r="AE11" s="21"/>
      <c r="AF11" s="21"/>
      <c r="AG11" s="21"/>
      <c r="AH11" s="21"/>
      <c r="AI11" s="21"/>
      <c r="AJ11" s="21"/>
      <c r="AK11" s="107"/>
      <c r="AL11" s="107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69" ht="12.75">
      <c r="A12" s="18">
        <v>4</v>
      </c>
      <c r="B12" s="19" t="s">
        <v>41</v>
      </c>
      <c r="C12" s="116">
        <f>SUM(D12:BQ12)</f>
        <v>-425515</v>
      </c>
      <c r="D12" s="21"/>
      <c r="E12" s="21"/>
      <c r="F12" s="21"/>
      <c r="G12" s="21">
        <v>-1130292</v>
      </c>
      <c r="H12" s="21">
        <v>-799078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>
        <v>1628351</v>
      </c>
      <c r="AA12" s="21"/>
      <c r="AB12" s="21"/>
      <c r="AC12" s="21">
        <v>-124496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69" ht="12.75">
      <c r="A13" s="18">
        <v>5</v>
      </c>
      <c r="B13" s="270" t="s">
        <v>42</v>
      </c>
      <c r="C13" s="117">
        <f aca="true" t="shared" si="0" ref="C13:BF13">SUM(C9:C12)</f>
        <v>7166068</v>
      </c>
      <c r="D13" s="117">
        <f t="shared" si="0"/>
        <v>-220437</v>
      </c>
      <c r="E13" s="117">
        <f t="shared" si="0"/>
        <v>-3906382</v>
      </c>
      <c r="F13" s="117">
        <f t="shared" si="0"/>
        <v>14126889</v>
      </c>
      <c r="G13" s="117">
        <f t="shared" si="0"/>
        <v>-1130292</v>
      </c>
      <c r="H13" s="117">
        <f t="shared" si="0"/>
        <v>-799078</v>
      </c>
      <c r="I13" s="117">
        <f t="shared" si="0"/>
        <v>0</v>
      </c>
      <c r="J13" s="117">
        <f t="shared" si="0"/>
        <v>0</v>
      </c>
      <c r="K13" s="117">
        <f t="shared" si="0"/>
        <v>0</v>
      </c>
      <c r="L13" s="117">
        <f t="shared" si="0"/>
        <v>0</v>
      </c>
      <c r="M13" s="117">
        <f t="shared" si="0"/>
        <v>0</v>
      </c>
      <c r="N13" s="117">
        <f t="shared" si="0"/>
        <v>0</v>
      </c>
      <c r="O13" s="117">
        <f t="shared" si="0"/>
        <v>0</v>
      </c>
      <c r="P13" s="117">
        <f t="shared" si="0"/>
        <v>0</v>
      </c>
      <c r="Q13" s="117">
        <f t="shared" si="0"/>
        <v>0</v>
      </c>
      <c r="R13" s="117">
        <f t="shared" si="0"/>
        <v>0</v>
      </c>
      <c r="S13" s="117">
        <f t="shared" si="0"/>
        <v>0</v>
      </c>
      <c r="T13" s="117">
        <f t="shared" si="0"/>
        <v>0</v>
      </c>
      <c r="U13" s="117">
        <f t="shared" si="0"/>
        <v>0</v>
      </c>
      <c r="V13" s="117">
        <f t="shared" si="0"/>
        <v>0</v>
      </c>
      <c r="W13" s="117">
        <f t="shared" si="0"/>
        <v>0</v>
      </c>
      <c r="X13" s="117">
        <f t="shared" si="0"/>
        <v>0</v>
      </c>
      <c r="Y13" s="117">
        <f t="shared" si="0"/>
        <v>0</v>
      </c>
      <c r="Z13" s="117">
        <f t="shared" si="0"/>
        <v>1628351</v>
      </c>
      <c r="AA13" s="117">
        <f t="shared" si="0"/>
        <v>0</v>
      </c>
      <c r="AB13" s="117">
        <f t="shared" si="0"/>
        <v>0</v>
      </c>
      <c r="AC13" s="117">
        <f t="shared" si="0"/>
        <v>-2532983</v>
      </c>
      <c r="AD13" s="117">
        <f t="shared" si="0"/>
        <v>0</v>
      </c>
      <c r="AE13" s="117">
        <f t="shared" si="0"/>
        <v>0</v>
      </c>
      <c r="AF13" s="117">
        <f t="shared" si="0"/>
        <v>0</v>
      </c>
      <c r="AG13" s="117">
        <f t="shared" si="0"/>
        <v>0</v>
      </c>
      <c r="AH13" s="117">
        <f t="shared" si="0"/>
        <v>0</v>
      </c>
      <c r="AI13" s="117">
        <f t="shared" si="0"/>
        <v>0</v>
      </c>
      <c r="AJ13" s="117">
        <f t="shared" si="0"/>
        <v>0</v>
      </c>
      <c r="AK13" s="117">
        <f t="shared" si="0"/>
        <v>0</v>
      </c>
      <c r="AL13" s="117">
        <f t="shared" si="0"/>
        <v>0</v>
      </c>
      <c r="AM13" s="117">
        <f t="shared" si="0"/>
        <v>0</v>
      </c>
      <c r="AN13" s="117">
        <f t="shared" si="0"/>
        <v>0</v>
      </c>
      <c r="AO13" s="117">
        <f t="shared" si="0"/>
        <v>0</v>
      </c>
      <c r="AP13" s="117">
        <f t="shared" si="0"/>
        <v>0</v>
      </c>
      <c r="AQ13" s="117">
        <f>SUM(AQ9:AQ12)</f>
        <v>0</v>
      </c>
      <c r="AR13" s="117">
        <f t="shared" si="0"/>
        <v>0</v>
      </c>
      <c r="AS13" s="117">
        <f t="shared" si="0"/>
        <v>0</v>
      </c>
      <c r="AT13" s="117">
        <f t="shared" si="0"/>
        <v>0</v>
      </c>
      <c r="AU13" s="117">
        <f t="shared" si="0"/>
        <v>0</v>
      </c>
      <c r="AV13" s="117">
        <f t="shared" si="0"/>
        <v>0</v>
      </c>
      <c r="AW13" s="117">
        <f t="shared" si="0"/>
        <v>0</v>
      </c>
      <c r="AX13" s="117">
        <f t="shared" si="0"/>
        <v>0</v>
      </c>
      <c r="AY13" s="117">
        <f t="shared" si="0"/>
        <v>0</v>
      </c>
      <c r="AZ13" s="117">
        <f t="shared" si="0"/>
        <v>0</v>
      </c>
      <c r="BA13" s="117">
        <f t="shared" si="0"/>
        <v>0</v>
      </c>
      <c r="BB13" s="117">
        <f t="shared" si="0"/>
        <v>0</v>
      </c>
      <c r="BC13" s="117">
        <f t="shared" si="0"/>
        <v>0</v>
      </c>
      <c r="BD13" s="117">
        <f t="shared" si="0"/>
        <v>0</v>
      </c>
      <c r="BE13" s="117">
        <f t="shared" si="0"/>
        <v>0</v>
      </c>
      <c r="BF13" s="117">
        <f t="shared" si="0"/>
        <v>0</v>
      </c>
      <c r="BG13" s="117">
        <f>SUM(BG9:BG12)</f>
        <v>0</v>
      </c>
      <c r="BH13" s="117">
        <f>SUM(BH9:BH12)</f>
        <v>0</v>
      </c>
      <c r="BI13" s="117">
        <f>SUM(BI9:BI12)</f>
        <v>0</v>
      </c>
      <c r="BJ13" s="117">
        <f>SUM(BJ9:BJ12)</f>
        <v>0</v>
      </c>
      <c r="BK13" s="117">
        <f>SUM(BK9:BK12)</f>
        <v>0</v>
      </c>
      <c r="BL13" s="117">
        <f aca="true" t="shared" si="1" ref="BL13:BQ13">SUM(BL9:BL12)</f>
        <v>0</v>
      </c>
      <c r="BM13" s="117">
        <f t="shared" si="1"/>
        <v>0</v>
      </c>
      <c r="BN13" s="117">
        <f t="shared" si="1"/>
        <v>0</v>
      </c>
      <c r="BO13" s="117">
        <f t="shared" si="1"/>
        <v>0</v>
      </c>
      <c r="BP13" s="117">
        <f t="shared" si="1"/>
        <v>0</v>
      </c>
      <c r="BQ13" s="117">
        <f t="shared" si="1"/>
        <v>0</v>
      </c>
    </row>
    <row r="14" spans="1:69" ht="12.75">
      <c r="A14" s="18">
        <v>6</v>
      </c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69" ht="12.75">
      <c r="A15" s="18">
        <v>7</v>
      </c>
      <c r="B15" s="20" t="s">
        <v>43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18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</row>
    <row r="16" spans="1:69" ht="12.75">
      <c r="A16" s="18">
        <v>8</v>
      </c>
      <c r="B16" s="19" t="s">
        <v>44</v>
      </c>
      <c r="C16" s="116">
        <f aca="true" t="shared" si="2" ref="C16:C25">SUM(D16:BQ16)</f>
        <v>-173833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>
        <f>675502.55-675502.55</f>
        <v>0</v>
      </c>
      <c r="AB16" s="21"/>
      <c r="AC16" s="21">
        <v>-173833</v>
      </c>
      <c r="AD16" s="21"/>
      <c r="AE16" s="21"/>
      <c r="AF16" s="21">
        <v>0</v>
      </c>
      <c r="AG16" s="21">
        <v>0</v>
      </c>
      <c r="AH16" s="21"/>
      <c r="AI16" s="21"/>
      <c r="AJ16" s="21"/>
      <c r="AK16" s="21"/>
      <c r="AL16" s="21"/>
      <c r="AM16" s="18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1:69" ht="12.75">
      <c r="A17" s="18">
        <v>9</v>
      </c>
      <c r="B17" s="19" t="s">
        <v>45</v>
      </c>
      <c r="C17" s="116">
        <f t="shared" si="2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1:69" ht="12.75">
      <c r="A18" s="18">
        <v>10</v>
      </c>
      <c r="B18" s="19" t="s">
        <v>46</v>
      </c>
      <c r="C18" s="116">
        <f t="shared" si="2"/>
        <v>-88290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>
        <v>-88290</v>
      </c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1:69" ht="12.75">
      <c r="A19" s="18">
        <v>11</v>
      </c>
      <c r="B19" s="19" t="s">
        <v>47</v>
      </c>
      <c r="C19" s="121">
        <f t="shared" si="2"/>
        <v>14420731</v>
      </c>
      <c r="D19" s="118"/>
      <c r="E19" s="119"/>
      <c r="F19" s="21"/>
      <c r="G19" s="21"/>
      <c r="H19" s="21"/>
      <c r="I19" s="21"/>
      <c r="J19" s="21"/>
      <c r="K19" s="118">
        <v>0</v>
      </c>
      <c r="L19" s="21">
        <v>-41141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>
        <v>20052696</v>
      </c>
      <c r="Z19" s="21"/>
      <c r="AA19" s="21"/>
      <c r="AB19" s="21">
        <v>-1527176</v>
      </c>
      <c r="AC19" s="21">
        <v>-2973452</v>
      </c>
      <c r="AD19" s="21">
        <v>-1540683</v>
      </c>
      <c r="AE19" s="21"/>
      <c r="AF19" s="21">
        <v>0</v>
      </c>
      <c r="AG19" s="21">
        <v>0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>
        <v>450487</v>
      </c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1:69" ht="12.75">
      <c r="A20" s="18">
        <v>12</v>
      </c>
      <c r="B20" s="19" t="s">
        <v>48</v>
      </c>
      <c r="C20" s="116">
        <f t="shared" si="2"/>
        <v>-315554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>
        <v>-315554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1:69" ht="12.75">
      <c r="A21" s="18">
        <v>13</v>
      </c>
      <c r="B21" s="19" t="s">
        <v>49</v>
      </c>
      <c r="C21" s="116">
        <f t="shared" si="2"/>
        <v>-15539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>
        <v>-15539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1:69" ht="12.75">
      <c r="A22" s="18">
        <v>14</v>
      </c>
      <c r="B22" s="19" t="s">
        <v>50</v>
      </c>
      <c r="C22" s="116">
        <f t="shared" si="2"/>
        <v>-103271</v>
      </c>
      <c r="D22" s="21">
        <v>0</v>
      </c>
      <c r="E22" s="21">
        <v>0</v>
      </c>
      <c r="F22" s="21">
        <v>0</v>
      </c>
      <c r="G22" s="21">
        <f>+G9*'Conversion factor'!$C$6</f>
        <v>0</v>
      </c>
      <c r="H22" s="21">
        <f>+H9*'Conversion factor'!$C$6</f>
        <v>0</v>
      </c>
      <c r="I22" s="21">
        <f>+I9*'Conversion factor'!$C$6</f>
        <v>0</v>
      </c>
      <c r="J22" s="21">
        <f>+J9*'Conversion factor'!$C$6</f>
        <v>0</v>
      </c>
      <c r="K22" s="21">
        <f>+K9*'Conversion factor'!$C$6</f>
        <v>0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>
        <v>-103271</v>
      </c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1:69" ht="12.75">
      <c r="A23" s="18">
        <v>15</v>
      </c>
      <c r="B23" s="19" t="s">
        <v>51</v>
      </c>
      <c r="C23" s="116">
        <f t="shared" si="2"/>
        <v>-4960687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v>-4960687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1:69" ht="12.75">
      <c r="A24" s="18">
        <v>16</v>
      </c>
      <c r="B24" s="19" t="s">
        <v>52</v>
      </c>
      <c r="C24" s="116">
        <f t="shared" si="2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1:69" ht="12.75">
      <c r="A25" s="18">
        <v>17</v>
      </c>
      <c r="B25" s="269" t="s">
        <v>53</v>
      </c>
      <c r="C25" s="121">
        <f t="shared" si="2"/>
        <v>-3004325</v>
      </c>
      <c r="D25" s="21"/>
      <c r="E25" s="21"/>
      <c r="F25" s="21"/>
      <c r="G25" s="21"/>
      <c r="H25" s="21"/>
      <c r="I25" s="21"/>
      <c r="J25" s="21"/>
      <c r="K25" s="21"/>
      <c r="L25" s="21">
        <v>0</v>
      </c>
      <c r="M25" s="21">
        <v>-33507</v>
      </c>
      <c r="N25" s="21">
        <v>-131991</v>
      </c>
      <c r="O25" s="21">
        <v>-328112</v>
      </c>
      <c r="P25" s="21">
        <v>168801</v>
      </c>
      <c r="Q25" s="21">
        <v>-10907</v>
      </c>
      <c r="R25" s="21"/>
      <c r="S25" s="21">
        <v>-82017</v>
      </c>
      <c r="T25" s="250">
        <v>0</v>
      </c>
      <c r="U25" s="21">
        <v>1070000</v>
      </c>
      <c r="V25" s="21"/>
      <c r="W25" s="21"/>
      <c r="X25" s="21"/>
      <c r="Y25" s="21"/>
      <c r="Z25" s="21"/>
      <c r="AA25" s="21"/>
      <c r="AB25" s="21"/>
      <c r="AC25" s="21">
        <v>-145002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-657375</v>
      </c>
      <c r="BB25" s="21"/>
      <c r="BC25" s="21"/>
      <c r="BD25" s="21">
        <v>-2891698</v>
      </c>
      <c r="BE25" s="21"/>
      <c r="BF25" s="21"/>
      <c r="BG25" s="21"/>
      <c r="BH25" s="21">
        <v>37483</v>
      </c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69" ht="12.75">
      <c r="A26" s="18">
        <v>18</v>
      </c>
      <c r="B26" s="122" t="s">
        <v>54</v>
      </c>
      <c r="C26" s="123">
        <f aca="true" t="shared" si="3" ref="C26:BF26">SUM(C16:C25)</f>
        <v>5759232</v>
      </c>
      <c r="D26" s="123">
        <f t="shared" si="3"/>
        <v>0</v>
      </c>
      <c r="E26" s="123">
        <f t="shared" si="3"/>
        <v>0</v>
      </c>
      <c r="F26" s="123">
        <f t="shared" si="3"/>
        <v>0</v>
      </c>
      <c r="G26" s="123">
        <f t="shared" si="3"/>
        <v>0</v>
      </c>
      <c r="H26" s="123">
        <f t="shared" si="3"/>
        <v>0</v>
      </c>
      <c r="I26" s="123">
        <f t="shared" si="3"/>
        <v>0</v>
      </c>
      <c r="J26" s="123">
        <f t="shared" si="3"/>
        <v>0</v>
      </c>
      <c r="K26" s="123">
        <f t="shared" si="3"/>
        <v>0</v>
      </c>
      <c r="L26" s="123">
        <f t="shared" si="3"/>
        <v>-41141</v>
      </c>
      <c r="M26" s="123">
        <f t="shared" si="3"/>
        <v>-33507</v>
      </c>
      <c r="N26" s="123">
        <f t="shared" si="3"/>
        <v>-147530</v>
      </c>
      <c r="O26" s="123">
        <f t="shared" si="3"/>
        <v>-328112</v>
      </c>
      <c r="P26" s="123">
        <f t="shared" si="3"/>
        <v>168801</v>
      </c>
      <c r="Q26" s="123">
        <f t="shared" si="3"/>
        <v>-10907</v>
      </c>
      <c r="R26" s="123">
        <f t="shared" si="3"/>
        <v>-4960687</v>
      </c>
      <c r="S26" s="123">
        <f t="shared" si="3"/>
        <v>-82017</v>
      </c>
      <c r="T26" s="123">
        <f t="shared" si="3"/>
        <v>0</v>
      </c>
      <c r="U26" s="123">
        <f t="shared" si="3"/>
        <v>1070000</v>
      </c>
      <c r="V26" s="123">
        <f t="shared" si="3"/>
        <v>0</v>
      </c>
      <c r="W26" s="123">
        <f t="shared" si="3"/>
        <v>0</v>
      </c>
      <c r="X26" s="123">
        <f t="shared" si="3"/>
        <v>0</v>
      </c>
      <c r="Y26" s="123">
        <f t="shared" si="3"/>
        <v>20052696</v>
      </c>
      <c r="Z26" s="123">
        <f t="shared" si="3"/>
        <v>0</v>
      </c>
      <c r="AA26" s="123">
        <f t="shared" si="3"/>
        <v>0</v>
      </c>
      <c r="AB26" s="123">
        <f t="shared" si="3"/>
        <v>-1527176</v>
      </c>
      <c r="AC26" s="123">
        <f t="shared" si="3"/>
        <v>-3696131</v>
      </c>
      <c r="AD26" s="123">
        <f t="shared" si="3"/>
        <v>-1540683</v>
      </c>
      <c r="AE26" s="123">
        <f t="shared" si="3"/>
        <v>0</v>
      </c>
      <c r="AF26" s="123">
        <f t="shared" si="3"/>
        <v>0</v>
      </c>
      <c r="AG26" s="123">
        <f t="shared" si="3"/>
        <v>0</v>
      </c>
      <c r="AH26" s="123">
        <f t="shared" si="3"/>
        <v>0</v>
      </c>
      <c r="AI26" s="123">
        <f t="shared" si="3"/>
        <v>0</v>
      </c>
      <c r="AJ26" s="123">
        <f t="shared" si="3"/>
        <v>0</v>
      </c>
      <c r="AK26" s="123">
        <f t="shared" si="3"/>
        <v>0</v>
      </c>
      <c r="AL26" s="123">
        <f t="shared" si="3"/>
        <v>0</v>
      </c>
      <c r="AM26" s="123">
        <f>SUM(AM17:AM25)</f>
        <v>0</v>
      </c>
      <c r="AN26" s="123">
        <f t="shared" si="3"/>
        <v>0</v>
      </c>
      <c r="AO26" s="123">
        <f t="shared" si="3"/>
        <v>0</v>
      </c>
      <c r="AP26" s="123">
        <f t="shared" si="3"/>
        <v>0</v>
      </c>
      <c r="AQ26" s="123">
        <f>SUM(AQ16:AQ25)</f>
        <v>0</v>
      </c>
      <c r="AR26" s="123">
        <f t="shared" si="3"/>
        <v>0</v>
      </c>
      <c r="AS26" s="123">
        <f t="shared" si="3"/>
        <v>0</v>
      </c>
      <c r="AT26" s="123">
        <f t="shared" si="3"/>
        <v>0</v>
      </c>
      <c r="AU26" s="123">
        <f t="shared" si="3"/>
        <v>-103271</v>
      </c>
      <c r="AV26" s="123">
        <f t="shared" si="3"/>
        <v>0</v>
      </c>
      <c r="AW26" s="123">
        <f t="shared" si="3"/>
        <v>0</v>
      </c>
      <c r="AX26" s="123">
        <f t="shared" si="3"/>
        <v>0</v>
      </c>
      <c r="AY26" s="123">
        <f t="shared" si="3"/>
        <v>0</v>
      </c>
      <c r="AZ26" s="123">
        <f t="shared" si="3"/>
        <v>450487</v>
      </c>
      <c r="BA26" s="123">
        <f t="shared" si="3"/>
        <v>-657375</v>
      </c>
      <c r="BB26" s="123">
        <f t="shared" si="3"/>
        <v>0</v>
      </c>
      <c r="BC26" s="123">
        <f t="shared" si="3"/>
        <v>0</v>
      </c>
      <c r="BD26" s="123">
        <f t="shared" si="3"/>
        <v>-2891698</v>
      </c>
      <c r="BE26" s="123">
        <f t="shared" si="3"/>
        <v>0</v>
      </c>
      <c r="BF26" s="123">
        <f t="shared" si="3"/>
        <v>0</v>
      </c>
      <c r="BG26" s="123">
        <f>SUM(BG16:BG25)</f>
        <v>0</v>
      </c>
      <c r="BH26" s="123">
        <f>SUM(BH16:BH25)</f>
        <v>37483</v>
      </c>
      <c r="BI26" s="123">
        <f>SUM(BI16:BI25)</f>
        <v>0</v>
      </c>
      <c r="BJ26" s="123">
        <f>SUM(BJ16:BJ25)</f>
        <v>0</v>
      </c>
      <c r="BK26" s="123">
        <f>SUM(BK16:BK25)</f>
        <v>0</v>
      </c>
      <c r="BL26" s="123">
        <f aca="true" t="shared" si="4" ref="BL26:BQ26">SUM(BL16:BL25)</f>
        <v>0</v>
      </c>
      <c r="BM26" s="123">
        <f t="shared" si="4"/>
        <v>0</v>
      </c>
      <c r="BN26" s="123">
        <f t="shared" si="4"/>
        <v>0</v>
      </c>
      <c r="BO26" s="123">
        <f t="shared" si="4"/>
        <v>0</v>
      </c>
      <c r="BP26" s="123">
        <f t="shared" si="4"/>
        <v>0</v>
      </c>
      <c r="BQ26" s="123">
        <f t="shared" si="4"/>
        <v>0</v>
      </c>
    </row>
    <row r="27" spans="1:69" ht="12.75">
      <c r="A27" s="18"/>
      <c r="B27" s="20"/>
      <c r="C27" s="116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</row>
    <row r="28" spans="1:69" ht="12.75">
      <c r="A28" s="18">
        <v>19</v>
      </c>
      <c r="B28" s="19" t="s">
        <v>55</v>
      </c>
      <c r="C28" s="116">
        <f aca="true" t="shared" si="5" ref="C28:C35">SUM(D28:BQ28)</f>
        <v>-390322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>
        <v>-782978</v>
      </c>
      <c r="AB28" s="21"/>
      <c r="AC28" s="21">
        <v>-274505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>
        <v>-9369</v>
      </c>
      <c r="AX28" s="21"/>
      <c r="AY28" s="21">
        <v>-1114</v>
      </c>
      <c r="AZ28" s="21">
        <v>710644</v>
      </c>
      <c r="BA28" s="21"/>
      <c r="BB28" s="21">
        <v>-33000</v>
      </c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1:69" ht="12.75">
      <c r="A29" s="18">
        <v>20</v>
      </c>
      <c r="B29" s="19" t="s">
        <v>35</v>
      </c>
      <c r="C29" s="116">
        <f t="shared" si="5"/>
        <v>-398417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>
        <v>-40711</v>
      </c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>
        <v>47337</v>
      </c>
      <c r="AV29" s="21">
        <v>-121971</v>
      </c>
      <c r="AW29" s="21"/>
      <c r="AX29" s="21"/>
      <c r="AY29" s="21"/>
      <c r="AZ29" s="21"/>
      <c r="BA29" s="21"/>
      <c r="BB29" s="21">
        <v>0</v>
      </c>
      <c r="BC29" s="21">
        <v>-283072</v>
      </c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1:69" ht="12.75">
      <c r="A30" s="18">
        <v>21</v>
      </c>
      <c r="B30" s="19" t="s">
        <v>56</v>
      </c>
      <c r="C30" s="116">
        <f t="shared" si="5"/>
        <v>-421840</v>
      </c>
      <c r="D30" s="21">
        <v>0</v>
      </c>
      <c r="E30" s="21">
        <v>0</v>
      </c>
      <c r="F30" s="21">
        <v>0</v>
      </c>
      <c r="G30" s="21">
        <f>+Adjustments!G9*'Conversion factor'!$C$20</f>
        <v>0</v>
      </c>
      <c r="H30" s="21">
        <f>+Adjustments!H9*'Conversion factor'!$C$20</f>
        <v>0</v>
      </c>
      <c r="I30" s="21">
        <f>+'Conversion factor'!$C$20*Adjustments!I9</f>
        <v>0</v>
      </c>
      <c r="J30" s="21">
        <f>+'Conversion factor'!$C$20*Adjustments!J9</f>
        <v>0</v>
      </c>
      <c r="K30" s="21">
        <f>+Adjustments!K9*'Conversion factor'!$C$20</f>
        <v>0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>
        <v>-36638</v>
      </c>
      <c r="AB30" s="21"/>
      <c r="AC30" s="21">
        <v>-48353</v>
      </c>
      <c r="AD30" s="21"/>
      <c r="AE30" s="21"/>
      <c r="AF30" s="21"/>
      <c r="AG30" s="21"/>
      <c r="AH30" s="21"/>
      <c r="AI30" s="21">
        <v>-300180</v>
      </c>
      <c r="AJ30" s="21"/>
      <c r="AK30" s="21"/>
      <c r="AL30" s="21"/>
      <c r="AM30" s="21"/>
      <c r="AN30" s="21"/>
      <c r="AO30" s="21"/>
      <c r="AP30" s="21">
        <v>-36669</v>
      </c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</row>
    <row r="31" spans="1:69" ht="12.75">
      <c r="A31" s="18">
        <v>22</v>
      </c>
      <c r="B31" s="19" t="s">
        <v>57</v>
      </c>
      <c r="C31" s="121">
        <f t="shared" si="5"/>
        <v>-531529.9111810491</v>
      </c>
      <c r="D31" s="21">
        <f>D83</f>
        <v>-77152.95</v>
      </c>
      <c r="E31" s="21">
        <f aca="true" t="shared" si="6" ref="E31:BE31">E83</f>
        <v>-1367233.7</v>
      </c>
      <c r="F31" s="21">
        <f t="shared" si="6"/>
        <v>4944411.149999999</v>
      </c>
      <c r="G31" s="21">
        <f>G83</f>
        <v>-395602.19999999995</v>
      </c>
      <c r="H31" s="21">
        <f t="shared" si="6"/>
        <v>-279677.3</v>
      </c>
      <c r="I31" s="21">
        <f t="shared" si="6"/>
        <v>-0.35</v>
      </c>
      <c r="J31" s="21">
        <f t="shared" si="6"/>
        <v>0</v>
      </c>
      <c r="K31" s="21">
        <f>K83</f>
        <v>0</v>
      </c>
      <c r="L31" s="21">
        <f t="shared" si="6"/>
        <v>14399.349999999999</v>
      </c>
      <c r="M31" s="21">
        <f t="shared" si="6"/>
        <v>11727.449999999999</v>
      </c>
      <c r="N31" s="21">
        <f t="shared" si="6"/>
        <v>51635.5</v>
      </c>
      <c r="O31" s="21">
        <f t="shared" si="6"/>
        <v>114839.2</v>
      </c>
      <c r="P31" s="21">
        <f t="shared" si="6"/>
        <v>-59080.35</v>
      </c>
      <c r="Q31" s="21">
        <f t="shared" si="6"/>
        <v>3817.45</v>
      </c>
      <c r="R31" s="21">
        <f t="shared" si="6"/>
        <v>1736240.45</v>
      </c>
      <c r="S31" s="21">
        <f t="shared" si="6"/>
        <v>28705.949999999997</v>
      </c>
      <c r="T31" s="21">
        <f>T83</f>
        <v>0</v>
      </c>
      <c r="U31" s="21">
        <f t="shared" si="6"/>
        <v>-374500</v>
      </c>
      <c r="V31" s="21">
        <f t="shared" si="6"/>
        <v>0</v>
      </c>
      <c r="W31" s="21">
        <f t="shared" si="6"/>
        <v>0</v>
      </c>
      <c r="X31" s="21">
        <f t="shared" si="6"/>
        <v>0</v>
      </c>
      <c r="Y31" s="21">
        <f t="shared" si="6"/>
        <v>-7018443.6</v>
      </c>
      <c r="Z31" s="21">
        <f t="shared" si="6"/>
        <v>569922.85</v>
      </c>
      <c r="AA31" s="21">
        <f t="shared" si="6"/>
        <v>20079.85</v>
      </c>
      <c r="AB31" s="21">
        <f t="shared" si="6"/>
        <v>534511.6</v>
      </c>
      <c r="AC31" s="21">
        <f>AC83</f>
        <v>653310.7</v>
      </c>
      <c r="AD31" s="21">
        <f>AD83</f>
        <v>539239.0499999999</v>
      </c>
      <c r="AE31" s="21">
        <f t="shared" si="6"/>
        <v>0</v>
      </c>
      <c r="AF31" s="21">
        <f t="shared" si="6"/>
        <v>0</v>
      </c>
      <c r="AG31" s="21">
        <f>AG83</f>
        <v>0</v>
      </c>
      <c r="AH31" s="120">
        <f>AH83</f>
        <v>-41571.311181049976</v>
      </c>
      <c r="AI31" s="21">
        <f>AI83</f>
        <v>105063</v>
      </c>
      <c r="AJ31" s="21">
        <f>AJ83</f>
        <v>0</v>
      </c>
      <c r="AK31" s="21">
        <f t="shared" si="6"/>
        <v>0</v>
      </c>
      <c r="AL31" s="21">
        <f t="shared" si="6"/>
        <v>0</v>
      </c>
      <c r="AM31" s="21">
        <f t="shared" si="6"/>
        <v>0</v>
      </c>
      <c r="AN31" s="21">
        <f t="shared" si="6"/>
        <v>0</v>
      </c>
      <c r="AO31" s="21">
        <f t="shared" si="6"/>
        <v>-629057</v>
      </c>
      <c r="AP31" s="21">
        <f>AP83</f>
        <v>12834.15</v>
      </c>
      <c r="AQ31" s="21">
        <f>AQ83</f>
        <v>-184797.9</v>
      </c>
      <c r="AR31" s="21">
        <f t="shared" si="6"/>
        <v>0</v>
      </c>
      <c r="AS31" s="21">
        <f t="shared" si="6"/>
        <v>0</v>
      </c>
      <c r="AT31" s="21">
        <f t="shared" si="6"/>
        <v>0</v>
      </c>
      <c r="AU31" s="21">
        <f t="shared" si="6"/>
        <v>142312.09999999998</v>
      </c>
      <c r="AV31" s="21">
        <f t="shared" si="6"/>
        <v>42689.85</v>
      </c>
      <c r="AW31" s="21">
        <f>AW83</f>
        <v>3279.1499999999996</v>
      </c>
      <c r="AX31" s="21">
        <f t="shared" si="6"/>
        <v>0</v>
      </c>
      <c r="AY31" s="21">
        <f t="shared" si="6"/>
        <v>389.9</v>
      </c>
      <c r="AZ31" s="21">
        <f t="shared" si="6"/>
        <v>-865334.75</v>
      </c>
      <c r="BA31" s="21">
        <f t="shared" si="6"/>
        <v>230081.24999999997</v>
      </c>
      <c r="BB31" s="21">
        <f t="shared" si="6"/>
        <v>0</v>
      </c>
      <c r="BC31" s="21">
        <f t="shared" si="6"/>
        <v>2456.2999999999997</v>
      </c>
      <c r="BD31" s="21">
        <f>BD83</f>
        <v>1012094.2999999999</v>
      </c>
      <c r="BE31" s="21">
        <f t="shared" si="6"/>
        <v>0</v>
      </c>
      <c r="BF31" s="21">
        <f aca="true" t="shared" si="7" ref="BF31:BK31">BF83</f>
        <v>0</v>
      </c>
      <c r="BG31" s="21">
        <f t="shared" si="7"/>
        <v>0</v>
      </c>
      <c r="BH31" s="21">
        <f t="shared" si="7"/>
        <v>-13119.05</v>
      </c>
      <c r="BI31" s="21">
        <f t="shared" si="7"/>
        <v>0</v>
      </c>
      <c r="BJ31" s="21">
        <f t="shared" si="7"/>
        <v>0</v>
      </c>
      <c r="BK31" s="21">
        <f t="shared" si="7"/>
        <v>0</v>
      </c>
      <c r="BL31" s="21">
        <f aca="true" t="shared" si="8" ref="BL31:BQ31">BL83</f>
        <v>0</v>
      </c>
      <c r="BM31" s="21">
        <f t="shared" si="8"/>
        <v>0</v>
      </c>
      <c r="BN31" s="21">
        <f t="shared" si="8"/>
        <v>0</v>
      </c>
      <c r="BO31" s="21">
        <f t="shared" si="8"/>
        <v>0</v>
      </c>
      <c r="BP31" s="21">
        <f t="shared" si="8"/>
        <v>0</v>
      </c>
      <c r="BQ31" s="21">
        <f t="shared" si="8"/>
        <v>0</v>
      </c>
    </row>
    <row r="32" spans="1:69" ht="12.75">
      <c r="A32" s="18">
        <v>23</v>
      </c>
      <c r="B32" s="19" t="s">
        <v>58</v>
      </c>
      <c r="C32" s="116">
        <f t="shared" si="5"/>
        <v>0</v>
      </c>
      <c r="D32" s="21">
        <f>D80</f>
        <v>0</v>
      </c>
      <c r="E32" s="21">
        <f aca="true" t="shared" si="9" ref="E32:BE32">E80</f>
        <v>0</v>
      </c>
      <c r="F32" s="21">
        <f t="shared" si="9"/>
        <v>0</v>
      </c>
      <c r="G32" s="21">
        <f>G80</f>
        <v>0</v>
      </c>
      <c r="H32" s="21">
        <f t="shared" si="9"/>
        <v>0</v>
      </c>
      <c r="I32" s="21">
        <f t="shared" si="9"/>
        <v>0</v>
      </c>
      <c r="J32" s="21">
        <f t="shared" si="9"/>
        <v>0</v>
      </c>
      <c r="K32" s="21">
        <f>K80</f>
        <v>0</v>
      </c>
      <c r="L32" s="21">
        <f t="shared" si="9"/>
        <v>0</v>
      </c>
      <c r="M32" s="21">
        <f t="shared" si="9"/>
        <v>0</v>
      </c>
      <c r="N32" s="21">
        <f t="shared" si="9"/>
        <v>0</v>
      </c>
      <c r="O32" s="21">
        <f t="shared" si="9"/>
        <v>0</v>
      </c>
      <c r="P32" s="21">
        <f t="shared" si="9"/>
        <v>0</v>
      </c>
      <c r="Q32" s="21">
        <f t="shared" si="9"/>
        <v>0</v>
      </c>
      <c r="R32" s="21">
        <f t="shared" si="9"/>
        <v>0</v>
      </c>
      <c r="S32" s="21">
        <f t="shared" si="9"/>
        <v>0</v>
      </c>
      <c r="T32" s="21">
        <f>T80</f>
        <v>0</v>
      </c>
      <c r="U32" s="21">
        <f t="shared" si="9"/>
        <v>0</v>
      </c>
      <c r="V32" s="21">
        <f t="shared" si="9"/>
        <v>0</v>
      </c>
      <c r="W32" s="21">
        <f t="shared" si="9"/>
        <v>0</v>
      </c>
      <c r="X32" s="21">
        <f t="shared" si="9"/>
        <v>0</v>
      </c>
      <c r="Y32" s="21">
        <f t="shared" si="9"/>
        <v>0</v>
      </c>
      <c r="Z32" s="21">
        <f t="shared" si="9"/>
        <v>0</v>
      </c>
      <c r="AA32" s="21">
        <f t="shared" si="9"/>
        <v>0</v>
      </c>
      <c r="AB32" s="21">
        <f t="shared" si="9"/>
        <v>0</v>
      </c>
      <c r="AC32" s="21">
        <f>AC80</f>
        <v>0</v>
      </c>
      <c r="AD32" s="21">
        <f>AD80</f>
        <v>0</v>
      </c>
      <c r="AE32" s="21">
        <f t="shared" si="9"/>
        <v>0</v>
      </c>
      <c r="AF32" s="21">
        <f t="shared" si="9"/>
        <v>0</v>
      </c>
      <c r="AG32" s="21">
        <f>AG80</f>
        <v>0</v>
      </c>
      <c r="AH32" s="21">
        <f>AH80</f>
        <v>0</v>
      </c>
      <c r="AI32" s="21">
        <f>AI80</f>
        <v>0</v>
      </c>
      <c r="AJ32" s="21">
        <f t="shared" si="9"/>
        <v>0</v>
      </c>
      <c r="AK32" s="21">
        <f t="shared" si="9"/>
        <v>0</v>
      </c>
      <c r="AL32" s="21">
        <f t="shared" si="9"/>
        <v>0</v>
      </c>
      <c r="AM32" s="21">
        <f t="shared" si="9"/>
        <v>0</v>
      </c>
      <c r="AN32" s="21">
        <f t="shared" si="9"/>
        <v>0</v>
      </c>
      <c r="AO32" s="21">
        <f>AO80</f>
        <v>0</v>
      </c>
      <c r="AP32" s="21">
        <f>AP80</f>
        <v>0</v>
      </c>
      <c r="AQ32" s="21">
        <f>AQ80</f>
        <v>0</v>
      </c>
      <c r="AR32" s="21">
        <f t="shared" si="9"/>
        <v>0</v>
      </c>
      <c r="AS32" s="21">
        <f t="shared" si="9"/>
        <v>0</v>
      </c>
      <c r="AT32" s="21">
        <f t="shared" si="9"/>
        <v>0</v>
      </c>
      <c r="AU32" s="21">
        <f t="shared" si="9"/>
        <v>0</v>
      </c>
      <c r="AV32" s="21">
        <f t="shared" si="9"/>
        <v>0</v>
      </c>
      <c r="AW32" s="21">
        <f>AW80</f>
        <v>0</v>
      </c>
      <c r="AX32" s="21">
        <f t="shared" si="9"/>
        <v>0</v>
      </c>
      <c r="AY32" s="21">
        <f t="shared" si="9"/>
        <v>0</v>
      </c>
      <c r="AZ32" s="21">
        <f t="shared" si="9"/>
        <v>0</v>
      </c>
      <c r="BA32" s="21">
        <f t="shared" si="9"/>
        <v>0</v>
      </c>
      <c r="BB32" s="21">
        <f t="shared" si="9"/>
        <v>0</v>
      </c>
      <c r="BC32" s="21">
        <f t="shared" si="9"/>
        <v>0</v>
      </c>
      <c r="BD32" s="21">
        <f>BD80</f>
        <v>0</v>
      </c>
      <c r="BE32" s="21">
        <f t="shared" si="9"/>
        <v>0</v>
      </c>
      <c r="BF32" s="21">
        <f aca="true" t="shared" si="10" ref="BF32:BK32">BF80</f>
        <v>0</v>
      </c>
      <c r="BG32" s="21">
        <f t="shared" si="10"/>
        <v>0</v>
      </c>
      <c r="BH32" s="21">
        <f t="shared" si="10"/>
        <v>0</v>
      </c>
      <c r="BI32" s="21">
        <f t="shared" si="10"/>
        <v>0</v>
      </c>
      <c r="BJ32" s="21">
        <f t="shared" si="10"/>
        <v>0</v>
      </c>
      <c r="BK32" s="21">
        <f t="shared" si="10"/>
        <v>0</v>
      </c>
      <c r="BL32" s="21">
        <f aca="true" t="shared" si="11" ref="BL32:BQ32">BL80</f>
        <v>0</v>
      </c>
      <c r="BM32" s="21">
        <f t="shared" si="11"/>
        <v>0</v>
      </c>
      <c r="BN32" s="21">
        <f t="shared" si="11"/>
        <v>0</v>
      </c>
      <c r="BO32" s="21">
        <f t="shared" si="11"/>
        <v>0</v>
      </c>
      <c r="BP32" s="21">
        <f t="shared" si="11"/>
        <v>0</v>
      </c>
      <c r="BQ32" s="21">
        <f t="shared" si="11"/>
        <v>0</v>
      </c>
    </row>
    <row r="33" spans="1:69" ht="12.75">
      <c r="A33" s="18">
        <v>24</v>
      </c>
      <c r="B33" s="19" t="s">
        <v>59</v>
      </c>
      <c r="C33" s="116">
        <f t="shared" si="5"/>
        <v>-1488593</v>
      </c>
      <c r="D33" s="21"/>
      <c r="E33" s="21"/>
      <c r="F33" s="21"/>
      <c r="G33" s="21"/>
      <c r="H33" s="21"/>
      <c r="I33" s="21">
        <v>-762200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>
        <v>121095</v>
      </c>
      <c r="AB33" s="21"/>
      <c r="AC33" s="21">
        <v>17199</v>
      </c>
      <c r="AD33" s="21"/>
      <c r="AE33" s="21"/>
      <c r="AF33" s="21"/>
      <c r="AG33" s="21"/>
      <c r="AH33" s="21"/>
      <c r="AI33" s="21"/>
      <c r="AJ33" s="21"/>
      <c r="AK33" s="21">
        <v>-297441</v>
      </c>
      <c r="AL33" s="21">
        <v>-1217863</v>
      </c>
      <c r="AM33" s="21" t="s">
        <v>258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>
        <v>650617</v>
      </c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1:69" ht="12.75">
      <c r="A34" s="18">
        <v>25</v>
      </c>
      <c r="B34" s="19" t="s">
        <v>60</v>
      </c>
      <c r="C34" s="116">
        <f t="shared" si="5"/>
        <v>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1:69" ht="12.75">
      <c r="A35" s="18">
        <v>26</v>
      </c>
      <c r="B35" s="19" t="s">
        <v>61</v>
      </c>
      <c r="C35" s="116">
        <f t="shared" si="5"/>
        <v>2008335</v>
      </c>
      <c r="D35" s="21"/>
      <c r="E35" s="21"/>
      <c r="F35" s="21"/>
      <c r="G35" s="21"/>
      <c r="H35" s="21"/>
      <c r="I35" s="21">
        <v>2008443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>
        <v>-108</v>
      </c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>
        <f>-BF60*1</f>
        <v>0</v>
      </c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1:69" ht="12.75">
      <c r="A36" s="18">
        <v>27</v>
      </c>
      <c r="B36" s="270" t="s">
        <v>62</v>
      </c>
      <c r="C36" s="125">
        <f>SUM(C26:C35)</f>
        <v>4536865.088818951</v>
      </c>
      <c r="D36" s="125">
        <f>SUM(D26:D35)</f>
        <v>-77152.95</v>
      </c>
      <c r="E36" s="125">
        <f aca="true" t="shared" si="12" ref="E36:BF36">SUM(E26:E35)</f>
        <v>-1367233.7</v>
      </c>
      <c r="F36" s="125">
        <f t="shared" si="12"/>
        <v>4944411.149999999</v>
      </c>
      <c r="G36" s="125">
        <f t="shared" si="12"/>
        <v>-395602.19999999995</v>
      </c>
      <c r="H36" s="125">
        <f t="shared" si="12"/>
        <v>-279677.3</v>
      </c>
      <c r="I36" s="125">
        <f t="shared" si="12"/>
        <v>1246242.65</v>
      </c>
      <c r="J36" s="125">
        <f t="shared" si="12"/>
        <v>0</v>
      </c>
      <c r="K36" s="125">
        <f>SUM(K26:K35)</f>
        <v>0</v>
      </c>
      <c r="L36" s="125">
        <f t="shared" si="12"/>
        <v>-26741.65</v>
      </c>
      <c r="M36" s="125">
        <f t="shared" si="12"/>
        <v>-21779.550000000003</v>
      </c>
      <c r="N36" s="125">
        <f t="shared" si="12"/>
        <v>-95894.5</v>
      </c>
      <c r="O36" s="125">
        <f t="shared" si="12"/>
        <v>-213272.8</v>
      </c>
      <c r="P36" s="125">
        <f t="shared" si="12"/>
        <v>109720.65</v>
      </c>
      <c r="Q36" s="125">
        <f t="shared" si="12"/>
        <v>-7089.55</v>
      </c>
      <c r="R36" s="125">
        <f t="shared" si="12"/>
        <v>-3224446.55</v>
      </c>
      <c r="S36" s="125">
        <f t="shared" si="12"/>
        <v>-53311.05</v>
      </c>
      <c r="T36" s="125">
        <f t="shared" si="12"/>
        <v>0</v>
      </c>
      <c r="U36" s="125">
        <f t="shared" si="12"/>
        <v>695500</v>
      </c>
      <c r="V36" s="125">
        <f t="shared" si="12"/>
        <v>0</v>
      </c>
      <c r="W36" s="125">
        <f t="shared" si="12"/>
        <v>0</v>
      </c>
      <c r="X36" s="125">
        <f t="shared" si="12"/>
        <v>0</v>
      </c>
      <c r="Y36" s="125">
        <f t="shared" si="12"/>
        <v>13034252.4</v>
      </c>
      <c r="Z36" s="125">
        <f t="shared" si="12"/>
        <v>569922.85</v>
      </c>
      <c r="AA36" s="125">
        <f t="shared" si="12"/>
        <v>-678441.15</v>
      </c>
      <c r="AB36" s="125">
        <f t="shared" si="12"/>
        <v>-992664.4</v>
      </c>
      <c r="AC36" s="125">
        <f t="shared" si="12"/>
        <v>-3389298.3</v>
      </c>
      <c r="AD36" s="125">
        <f t="shared" si="12"/>
        <v>-1001443.9500000001</v>
      </c>
      <c r="AE36" s="125">
        <f t="shared" si="12"/>
        <v>0</v>
      </c>
      <c r="AF36" s="125">
        <f t="shared" si="12"/>
        <v>0</v>
      </c>
      <c r="AG36" s="125">
        <f t="shared" si="12"/>
        <v>0</v>
      </c>
      <c r="AH36" s="125">
        <f t="shared" si="12"/>
        <v>-41571.311181049976</v>
      </c>
      <c r="AI36" s="125">
        <f t="shared" si="12"/>
        <v>-195117</v>
      </c>
      <c r="AJ36" s="125">
        <f t="shared" si="12"/>
        <v>0</v>
      </c>
      <c r="AK36" s="125">
        <f t="shared" si="12"/>
        <v>-297441</v>
      </c>
      <c r="AL36" s="125">
        <f t="shared" si="12"/>
        <v>-1217863</v>
      </c>
      <c r="AM36" s="125">
        <f t="shared" si="12"/>
        <v>0</v>
      </c>
      <c r="AN36" s="125">
        <f t="shared" si="12"/>
        <v>0</v>
      </c>
      <c r="AO36" s="125">
        <f t="shared" si="12"/>
        <v>-629057</v>
      </c>
      <c r="AP36" s="125">
        <f t="shared" si="12"/>
        <v>-23834.85</v>
      </c>
      <c r="AQ36" s="125">
        <f>SUM(AQ26:AQ35)</f>
        <v>-184797.9</v>
      </c>
      <c r="AR36" s="125">
        <f t="shared" si="12"/>
        <v>0</v>
      </c>
      <c r="AS36" s="125">
        <f t="shared" si="12"/>
        <v>0</v>
      </c>
      <c r="AT36" s="125">
        <f t="shared" si="12"/>
        <v>0</v>
      </c>
      <c r="AU36" s="125">
        <f t="shared" si="12"/>
        <v>86378.09999999998</v>
      </c>
      <c r="AV36" s="125">
        <f t="shared" si="12"/>
        <v>-79281.15</v>
      </c>
      <c r="AW36" s="125">
        <f t="shared" si="12"/>
        <v>-6089.85</v>
      </c>
      <c r="AX36" s="125">
        <f t="shared" si="12"/>
        <v>0</v>
      </c>
      <c r="AY36" s="125">
        <f t="shared" si="12"/>
        <v>-724.1</v>
      </c>
      <c r="AZ36" s="125">
        <f t="shared" si="12"/>
        <v>946413.25</v>
      </c>
      <c r="BA36" s="125">
        <f t="shared" si="12"/>
        <v>-427293.75</v>
      </c>
      <c r="BB36" s="125">
        <f t="shared" si="12"/>
        <v>-33000</v>
      </c>
      <c r="BC36" s="125">
        <f t="shared" si="12"/>
        <v>-280615.7</v>
      </c>
      <c r="BD36" s="125">
        <f t="shared" si="12"/>
        <v>-1879603.7000000002</v>
      </c>
      <c r="BE36" s="125">
        <f t="shared" si="12"/>
        <v>0</v>
      </c>
      <c r="BF36" s="125">
        <f t="shared" si="12"/>
        <v>0</v>
      </c>
      <c r="BG36" s="125">
        <f>SUM(BG26:BG35)</f>
        <v>0</v>
      </c>
      <c r="BH36" s="125">
        <f>SUM(BH26:BH35)</f>
        <v>24363.95</v>
      </c>
      <c r="BI36" s="125">
        <f>SUM(BI26:BI35)</f>
        <v>0</v>
      </c>
      <c r="BJ36" s="125">
        <f>SUM(BJ26:BJ35)</f>
        <v>0</v>
      </c>
      <c r="BK36" s="125">
        <f>SUM(BK26:BK35)</f>
        <v>0</v>
      </c>
      <c r="BL36" s="125">
        <f aca="true" t="shared" si="13" ref="BL36:BQ36">SUM(BL26:BL35)</f>
        <v>0</v>
      </c>
      <c r="BM36" s="125">
        <f t="shared" si="13"/>
        <v>0</v>
      </c>
      <c r="BN36" s="125">
        <f t="shared" si="13"/>
        <v>0</v>
      </c>
      <c r="BO36" s="125">
        <f t="shared" si="13"/>
        <v>0</v>
      </c>
      <c r="BP36" s="125">
        <f t="shared" si="13"/>
        <v>0</v>
      </c>
      <c r="BQ36" s="125">
        <f t="shared" si="13"/>
        <v>0</v>
      </c>
    </row>
    <row r="37" spans="1:69" ht="12.75">
      <c r="A37" s="18">
        <v>28</v>
      </c>
      <c r="B37" s="19"/>
      <c r="C37" s="116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1:69" ht="13.5" thickBot="1">
      <c r="A38" s="18">
        <v>29</v>
      </c>
      <c r="B38" s="29" t="s">
        <v>161</v>
      </c>
      <c r="C38" s="127">
        <f>C13-C36</f>
        <v>2629202.9111810494</v>
      </c>
      <c r="D38" s="128">
        <f>D13-D36</f>
        <v>-143284.05</v>
      </c>
      <c r="E38" s="128">
        <f aca="true" t="shared" si="14" ref="E38:BE38">E13-E36</f>
        <v>-2539148.3</v>
      </c>
      <c r="F38" s="128">
        <f t="shared" si="14"/>
        <v>9182477.850000001</v>
      </c>
      <c r="G38" s="128">
        <f t="shared" si="14"/>
        <v>-734689.8</v>
      </c>
      <c r="H38" s="128">
        <f t="shared" si="14"/>
        <v>-519400.7</v>
      </c>
      <c r="I38" s="128">
        <f t="shared" si="14"/>
        <v>-1246242.65</v>
      </c>
      <c r="J38" s="128">
        <f t="shared" si="14"/>
        <v>0</v>
      </c>
      <c r="K38" s="128">
        <f>K13-K36</f>
        <v>0</v>
      </c>
      <c r="L38" s="128">
        <f t="shared" si="14"/>
        <v>26741.65</v>
      </c>
      <c r="M38" s="128">
        <f t="shared" si="14"/>
        <v>21779.550000000003</v>
      </c>
      <c r="N38" s="128">
        <f t="shared" si="14"/>
        <v>95894.5</v>
      </c>
      <c r="O38" s="128">
        <f t="shared" si="14"/>
        <v>213272.8</v>
      </c>
      <c r="P38" s="128">
        <f t="shared" si="14"/>
        <v>-109720.65</v>
      </c>
      <c r="Q38" s="128">
        <f t="shared" si="14"/>
        <v>7089.55</v>
      </c>
      <c r="R38" s="128">
        <f t="shared" si="14"/>
        <v>3224446.55</v>
      </c>
      <c r="S38" s="128">
        <f t="shared" si="14"/>
        <v>53311.05</v>
      </c>
      <c r="T38" s="128">
        <f>T13-T36</f>
        <v>0</v>
      </c>
      <c r="U38" s="128">
        <f t="shared" si="14"/>
        <v>-695500</v>
      </c>
      <c r="V38" s="128">
        <f t="shared" si="14"/>
        <v>0</v>
      </c>
      <c r="W38" s="128">
        <f t="shared" si="14"/>
        <v>0</v>
      </c>
      <c r="X38" s="128">
        <f t="shared" si="14"/>
        <v>0</v>
      </c>
      <c r="Y38" s="128">
        <f t="shared" si="14"/>
        <v>-13034252.4</v>
      </c>
      <c r="Z38" s="128">
        <f t="shared" si="14"/>
        <v>1058428.15</v>
      </c>
      <c r="AA38" s="128">
        <f t="shared" si="14"/>
        <v>678441.15</v>
      </c>
      <c r="AB38" s="128">
        <f t="shared" si="14"/>
        <v>992664.4</v>
      </c>
      <c r="AC38" s="128">
        <f>AC13-AC36</f>
        <v>856315.2999999998</v>
      </c>
      <c r="AD38" s="128">
        <f>AD13-AD36</f>
        <v>1001443.9500000001</v>
      </c>
      <c r="AE38" s="128">
        <f t="shared" si="14"/>
        <v>0</v>
      </c>
      <c r="AF38" s="128">
        <f t="shared" si="14"/>
        <v>0</v>
      </c>
      <c r="AG38" s="128">
        <f>AG13-AG36</f>
        <v>0</v>
      </c>
      <c r="AH38" s="128">
        <f t="shared" si="14"/>
        <v>41571.311181049976</v>
      </c>
      <c r="AI38" s="128">
        <f t="shared" si="14"/>
        <v>195117</v>
      </c>
      <c r="AJ38" s="128">
        <f t="shared" si="14"/>
        <v>0</v>
      </c>
      <c r="AK38" s="128">
        <f t="shared" si="14"/>
        <v>297441</v>
      </c>
      <c r="AL38" s="128">
        <f t="shared" si="14"/>
        <v>1217863</v>
      </c>
      <c r="AM38" s="128">
        <f t="shared" si="14"/>
        <v>0</v>
      </c>
      <c r="AN38" s="128">
        <f t="shared" si="14"/>
        <v>0</v>
      </c>
      <c r="AO38" s="128">
        <f>AO13-AO36</f>
        <v>629057</v>
      </c>
      <c r="AP38" s="128">
        <f>AP13-AP36</f>
        <v>23834.85</v>
      </c>
      <c r="AQ38" s="128">
        <f>AQ13-AQ36</f>
        <v>184797.9</v>
      </c>
      <c r="AR38" s="128">
        <f t="shared" si="14"/>
        <v>0</v>
      </c>
      <c r="AS38" s="128">
        <f t="shared" si="14"/>
        <v>0</v>
      </c>
      <c r="AT38" s="128">
        <f t="shared" si="14"/>
        <v>0</v>
      </c>
      <c r="AU38" s="128">
        <f t="shared" si="14"/>
        <v>-86378.09999999998</v>
      </c>
      <c r="AV38" s="128">
        <f t="shared" si="14"/>
        <v>79281.15</v>
      </c>
      <c r="AW38" s="128">
        <f>AW13-AW36</f>
        <v>6089.85</v>
      </c>
      <c r="AX38" s="128">
        <f t="shared" si="14"/>
        <v>0</v>
      </c>
      <c r="AY38" s="128">
        <f t="shared" si="14"/>
        <v>724.1</v>
      </c>
      <c r="AZ38" s="128">
        <f t="shared" si="14"/>
        <v>-946413.25</v>
      </c>
      <c r="BA38" s="128">
        <f t="shared" si="14"/>
        <v>427293.75</v>
      </c>
      <c r="BB38" s="128">
        <f t="shared" si="14"/>
        <v>33000</v>
      </c>
      <c r="BC38" s="128">
        <f t="shared" si="14"/>
        <v>280615.7</v>
      </c>
      <c r="BD38" s="128">
        <f>BD13-BD36</f>
        <v>1879603.7000000002</v>
      </c>
      <c r="BE38" s="128">
        <f t="shared" si="14"/>
        <v>0</v>
      </c>
      <c r="BF38" s="128">
        <f aca="true" t="shared" si="15" ref="BF38:BK38">BF13-BF36</f>
        <v>0</v>
      </c>
      <c r="BG38" s="128">
        <f t="shared" si="15"/>
        <v>0</v>
      </c>
      <c r="BH38" s="128">
        <f t="shared" si="15"/>
        <v>-24363.95</v>
      </c>
      <c r="BI38" s="128">
        <f t="shared" si="15"/>
        <v>0</v>
      </c>
      <c r="BJ38" s="128">
        <f t="shared" si="15"/>
        <v>0</v>
      </c>
      <c r="BK38" s="128">
        <f t="shared" si="15"/>
        <v>0</v>
      </c>
      <c r="BL38" s="128">
        <f aca="true" t="shared" si="16" ref="BL38:BQ38">BL13-BL36</f>
        <v>0</v>
      </c>
      <c r="BM38" s="128">
        <f t="shared" si="16"/>
        <v>0</v>
      </c>
      <c r="BN38" s="128">
        <f t="shared" si="16"/>
        <v>0</v>
      </c>
      <c r="BO38" s="128">
        <f t="shared" si="16"/>
        <v>0</v>
      </c>
      <c r="BP38" s="128">
        <f t="shared" si="16"/>
        <v>0</v>
      </c>
      <c r="BQ38" s="128">
        <f t="shared" si="16"/>
        <v>0</v>
      </c>
    </row>
    <row r="39" spans="1:69" ht="13.5" thickTop="1">
      <c r="A39" s="18">
        <v>30</v>
      </c>
      <c r="B39" s="19"/>
      <c r="C39" s="11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spans="1:69" ht="12.75">
      <c r="A40" s="18">
        <v>31</v>
      </c>
      <c r="B40" s="20" t="s">
        <v>64</v>
      </c>
      <c r="C40" s="116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1:69" ht="12.75">
      <c r="A41" s="18">
        <v>32</v>
      </c>
      <c r="B41" s="19" t="s">
        <v>65</v>
      </c>
      <c r="C41" s="116">
        <f aca="true" t="shared" si="17" ref="C41:C51">SUM(D41:BQ41)</f>
        <v>3713521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v>-25982218</v>
      </c>
      <c r="AB41" s="21"/>
      <c r="AC41" s="21">
        <v>-10582985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>
        <v>18630829</v>
      </c>
      <c r="AU41" s="21"/>
      <c r="AV41" s="21">
        <v>-134219</v>
      </c>
      <c r="AW41" s="21">
        <v>-532097</v>
      </c>
      <c r="AX41" s="21"/>
      <c r="AY41" s="21">
        <v>-66760</v>
      </c>
      <c r="AZ41" s="21">
        <v>22862810</v>
      </c>
      <c r="BA41" s="21"/>
      <c r="BB41" s="21">
        <v>-481839</v>
      </c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</row>
    <row r="42" spans="1:69" ht="12.75">
      <c r="A42" s="18">
        <v>33</v>
      </c>
      <c r="B42" s="19" t="s">
        <v>66</v>
      </c>
      <c r="C42" s="116">
        <f t="shared" si="17"/>
        <v>-26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>
        <v>-26</v>
      </c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</row>
    <row r="43" spans="1:69" ht="12.75">
      <c r="A43" s="18">
        <v>34</v>
      </c>
      <c r="B43" s="19" t="s">
        <v>67</v>
      </c>
      <c r="C43" s="121">
        <f t="shared" si="17"/>
        <v>-1127602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>
        <v>-18110</v>
      </c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>
        <v>-2814534</v>
      </c>
      <c r="AT43" s="21"/>
      <c r="AU43" s="21">
        <v>112424</v>
      </c>
      <c r="AV43" s="21"/>
      <c r="AW43" s="21">
        <v>0</v>
      </c>
      <c r="AX43" s="21"/>
      <c r="AY43" s="21"/>
      <c r="AZ43" s="21"/>
      <c r="BA43" s="21"/>
      <c r="BB43" s="21"/>
      <c r="BC43" s="21"/>
      <c r="BD43" s="250">
        <v>1592618</v>
      </c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1:69" ht="12.75">
      <c r="A44" s="18">
        <v>35</v>
      </c>
      <c r="B44" s="19" t="s">
        <v>68</v>
      </c>
      <c r="C44" s="116">
        <f t="shared" si="17"/>
        <v>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</row>
    <row r="45" spans="1:69" ht="12.75">
      <c r="A45" s="18">
        <v>36</v>
      </c>
      <c r="B45" s="19" t="s">
        <v>69</v>
      </c>
      <c r="C45" s="116">
        <f t="shared" si="17"/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1:69" ht="12.75">
      <c r="A46" s="18">
        <v>37</v>
      </c>
      <c r="B46" s="19" t="s">
        <v>70</v>
      </c>
      <c r="C46" s="116">
        <f t="shared" si="17"/>
        <v>-2621932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50">
        <v>0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5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>
        <v>-2621932</v>
      </c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  <row r="47" spans="1:69" ht="12.75">
      <c r="A47" s="18">
        <v>38</v>
      </c>
      <c r="B47" s="19" t="s">
        <v>71</v>
      </c>
      <c r="C47" s="116">
        <f t="shared" si="17"/>
        <v>-2516964</v>
      </c>
      <c r="D47" s="21"/>
      <c r="E47" s="21"/>
      <c r="F47" s="21"/>
      <c r="G47" s="21"/>
      <c r="H47" s="21"/>
      <c r="I47" s="21"/>
      <c r="J47" s="21"/>
      <c r="K47" s="21"/>
      <c r="L47" s="21">
        <v>0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50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5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>
        <v>-2516964</v>
      </c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</row>
    <row r="48" spans="1:69" ht="12.75">
      <c r="A48" s="18">
        <v>39</v>
      </c>
      <c r="B48" s="19" t="s">
        <v>72</v>
      </c>
      <c r="C48" s="116">
        <f t="shared" si="17"/>
        <v>-7027466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50">
        <v>0</v>
      </c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5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>
        <v>-7027466</v>
      </c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</row>
    <row r="49" spans="1:69" ht="12.75">
      <c r="A49" s="18">
        <v>40</v>
      </c>
      <c r="B49" s="19" t="s">
        <v>36</v>
      </c>
      <c r="C49" s="116">
        <f t="shared" si="17"/>
        <v>4306392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50">
        <v>0</v>
      </c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120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>
        <v>-4014806</v>
      </c>
      <c r="BF49" s="21"/>
      <c r="BG49" s="21">
        <v>8321198</v>
      </c>
      <c r="BH49" s="21"/>
      <c r="BI49" s="21"/>
      <c r="BJ49" s="21"/>
      <c r="BK49" s="21"/>
      <c r="BL49" s="21"/>
      <c r="BM49" s="21"/>
      <c r="BN49" s="21"/>
      <c r="BO49" s="21"/>
      <c r="BP49" s="21"/>
      <c r="BQ49" s="21"/>
    </row>
    <row r="50" spans="1:69" ht="12.75">
      <c r="A50" s="18">
        <v>41</v>
      </c>
      <c r="B50" s="19" t="s">
        <v>73</v>
      </c>
      <c r="C50" s="116">
        <f t="shared" si="17"/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</row>
    <row r="51" spans="1:69" ht="12.75">
      <c r="A51" s="18">
        <v>42</v>
      </c>
      <c r="B51" s="19" t="s">
        <v>74</v>
      </c>
      <c r="C51" s="121">
        <f t="shared" si="17"/>
        <v>-394024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>
        <v>-394024</v>
      </c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</row>
    <row r="52" spans="1:69" ht="12.75">
      <c r="A52" s="18">
        <v>43</v>
      </c>
      <c r="B52" s="270" t="s">
        <v>75</v>
      </c>
      <c r="C52" s="125">
        <f aca="true" t="shared" si="18" ref="C52:BF52">SUM(C41:C51)</f>
        <v>-5668101</v>
      </c>
      <c r="D52" s="125">
        <f t="shared" si="18"/>
        <v>0</v>
      </c>
      <c r="E52" s="125">
        <f t="shared" si="18"/>
        <v>0</v>
      </c>
      <c r="F52" s="125">
        <f t="shared" si="18"/>
        <v>0</v>
      </c>
      <c r="G52" s="125"/>
      <c r="H52" s="125">
        <f t="shared" si="18"/>
        <v>0</v>
      </c>
      <c r="I52" s="125">
        <f t="shared" si="18"/>
        <v>0</v>
      </c>
      <c r="J52" s="125">
        <f t="shared" si="18"/>
        <v>0</v>
      </c>
      <c r="K52" s="125">
        <f t="shared" si="18"/>
        <v>0</v>
      </c>
      <c r="L52" s="125">
        <f t="shared" si="18"/>
        <v>0</v>
      </c>
      <c r="M52" s="125">
        <f t="shared" si="18"/>
        <v>0</v>
      </c>
      <c r="N52" s="125">
        <f t="shared" si="18"/>
        <v>0</v>
      </c>
      <c r="O52" s="125">
        <f t="shared" si="18"/>
        <v>0</v>
      </c>
      <c r="P52" s="125">
        <f t="shared" si="18"/>
        <v>0</v>
      </c>
      <c r="Q52" s="125">
        <f t="shared" si="18"/>
        <v>0</v>
      </c>
      <c r="R52" s="125">
        <f t="shared" si="18"/>
        <v>0</v>
      </c>
      <c r="S52" s="125">
        <f t="shared" si="18"/>
        <v>0</v>
      </c>
      <c r="T52" s="125">
        <f t="shared" si="18"/>
        <v>0</v>
      </c>
      <c r="U52" s="125">
        <f t="shared" si="18"/>
        <v>0</v>
      </c>
      <c r="V52" s="125">
        <f t="shared" si="18"/>
        <v>0</v>
      </c>
      <c r="W52" s="125">
        <f t="shared" si="18"/>
        <v>0</v>
      </c>
      <c r="X52" s="125">
        <f t="shared" si="18"/>
        <v>0</v>
      </c>
      <c r="Y52" s="125">
        <f t="shared" si="18"/>
        <v>0</v>
      </c>
      <c r="Z52" s="125">
        <f t="shared" si="18"/>
        <v>0</v>
      </c>
      <c r="AA52" s="125">
        <f t="shared" si="18"/>
        <v>-25982218</v>
      </c>
      <c r="AB52" s="125">
        <f t="shared" si="18"/>
        <v>0</v>
      </c>
      <c r="AC52" s="125">
        <f t="shared" si="18"/>
        <v>-10601121</v>
      </c>
      <c r="AD52" s="125">
        <f t="shared" si="18"/>
        <v>0</v>
      </c>
      <c r="AE52" s="125">
        <f t="shared" si="18"/>
        <v>0</v>
      </c>
      <c r="AF52" s="125">
        <f t="shared" si="18"/>
        <v>0</v>
      </c>
      <c r="AG52" s="125">
        <f t="shared" si="18"/>
        <v>0</v>
      </c>
      <c r="AH52" s="125">
        <f t="shared" si="18"/>
        <v>0</v>
      </c>
      <c r="AI52" s="125">
        <f t="shared" si="18"/>
        <v>0</v>
      </c>
      <c r="AJ52" s="125">
        <f t="shared" si="18"/>
        <v>0</v>
      </c>
      <c r="AK52" s="125">
        <f t="shared" si="18"/>
        <v>0</v>
      </c>
      <c r="AL52" s="125">
        <f t="shared" si="18"/>
        <v>0</v>
      </c>
      <c r="AM52" s="125">
        <f t="shared" si="18"/>
        <v>0</v>
      </c>
      <c r="AN52" s="125">
        <f t="shared" si="18"/>
        <v>0</v>
      </c>
      <c r="AO52" s="125">
        <f t="shared" si="18"/>
        <v>0</v>
      </c>
      <c r="AP52" s="125">
        <f t="shared" si="18"/>
        <v>0</v>
      </c>
      <c r="AQ52" s="125">
        <f>SUM(AQ41:AQ51)</f>
        <v>0</v>
      </c>
      <c r="AR52" s="125">
        <f t="shared" si="18"/>
        <v>0</v>
      </c>
      <c r="AS52" s="125">
        <f t="shared" si="18"/>
        <v>-2814534</v>
      </c>
      <c r="AT52" s="125">
        <f t="shared" si="18"/>
        <v>18630829</v>
      </c>
      <c r="AU52" s="125">
        <f t="shared" si="18"/>
        <v>112424</v>
      </c>
      <c r="AV52" s="125">
        <f t="shared" si="18"/>
        <v>-134219</v>
      </c>
      <c r="AW52" s="125">
        <f t="shared" si="18"/>
        <v>-532097</v>
      </c>
      <c r="AX52" s="125">
        <f t="shared" si="18"/>
        <v>0</v>
      </c>
      <c r="AY52" s="125">
        <f t="shared" si="18"/>
        <v>-66760</v>
      </c>
      <c r="AZ52" s="125">
        <f t="shared" si="18"/>
        <v>22862810</v>
      </c>
      <c r="BA52" s="125">
        <f t="shared" si="18"/>
        <v>0</v>
      </c>
      <c r="BB52" s="125">
        <f t="shared" si="18"/>
        <v>-481839</v>
      </c>
      <c r="BC52" s="125">
        <f t="shared" si="18"/>
        <v>-394024</v>
      </c>
      <c r="BD52" s="125">
        <f t="shared" si="18"/>
        <v>1592618</v>
      </c>
      <c r="BE52" s="125">
        <f t="shared" si="18"/>
        <v>-4014806</v>
      </c>
      <c r="BF52" s="125">
        <f t="shared" si="18"/>
        <v>-12166362</v>
      </c>
      <c r="BG52" s="125">
        <f>SUM(BG41:BG51)</f>
        <v>8321198</v>
      </c>
      <c r="BH52" s="125">
        <f>SUM(BH41:BH51)</f>
        <v>0</v>
      </c>
      <c r="BI52" s="125">
        <f>SUM(BI41:BI51)</f>
        <v>0</v>
      </c>
      <c r="BJ52" s="125">
        <f>SUM(BJ41:BJ51)</f>
        <v>0</v>
      </c>
      <c r="BK52" s="125">
        <f>SUM(BK41:BK51)</f>
        <v>0</v>
      </c>
      <c r="BL52" s="125">
        <f aca="true" t="shared" si="19" ref="BL52:BQ52">SUM(BL41:BL51)</f>
        <v>0</v>
      </c>
      <c r="BM52" s="125">
        <f t="shared" si="19"/>
        <v>0</v>
      </c>
      <c r="BN52" s="125">
        <f t="shared" si="19"/>
        <v>0</v>
      </c>
      <c r="BO52" s="125">
        <f t="shared" si="19"/>
        <v>0</v>
      </c>
      <c r="BP52" s="125">
        <f t="shared" si="19"/>
        <v>0</v>
      </c>
      <c r="BQ52" s="125">
        <f t="shared" si="19"/>
        <v>0</v>
      </c>
    </row>
    <row r="53" spans="1:69" ht="12.75">
      <c r="A53" s="18">
        <v>44</v>
      </c>
      <c r="B53" s="19"/>
      <c r="C53" s="116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</row>
    <row r="54" spans="1:69" ht="12.75">
      <c r="A54" s="18">
        <v>45</v>
      </c>
      <c r="B54" s="20" t="s">
        <v>76</v>
      </c>
      <c r="C54" s="116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</row>
    <row r="55" spans="1:69" ht="12.75">
      <c r="A55" s="18">
        <v>46</v>
      </c>
      <c r="B55" s="19" t="s">
        <v>77</v>
      </c>
      <c r="C55" s="116">
        <f aca="true" t="shared" si="20" ref="C55:C61">SUM(D55:BQ55)</f>
        <v>19122777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>
        <v>15505207</v>
      </c>
      <c r="AB55" s="21"/>
      <c r="AC55" s="21">
        <v>4160371</v>
      </c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>
        <v>90231</v>
      </c>
      <c r="AX55" s="21"/>
      <c r="AY55" s="21">
        <v>26852</v>
      </c>
      <c r="AZ55" s="21">
        <v>-659884</v>
      </c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</row>
    <row r="56" spans="1:69" ht="12.75">
      <c r="A56" s="18">
        <v>47</v>
      </c>
      <c r="B56" s="19" t="s">
        <v>78</v>
      </c>
      <c r="C56" s="116">
        <f t="shared" si="20"/>
        <v>254859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>
        <v>250963</v>
      </c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>
        <v>3896</v>
      </c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</row>
    <row r="57" spans="1:69" ht="12.75">
      <c r="A57" s="18">
        <v>48</v>
      </c>
      <c r="B57" s="19" t="s">
        <v>79</v>
      </c>
      <c r="C57" s="116">
        <f t="shared" si="20"/>
        <v>-10497066</v>
      </c>
      <c r="D57" s="21"/>
      <c r="E57" s="21"/>
      <c r="F57" s="21"/>
      <c r="G57" s="21"/>
      <c r="H57" s="21"/>
      <c r="I57" s="21">
        <v>1930860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>
        <v>566765</v>
      </c>
      <c r="AB57" s="21"/>
      <c r="AC57" s="21">
        <v>-10281</v>
      </c>
      <c r="AD57" s="21"/>
      <c r="AE57" s="21"/>
      <c r="AF57" s="21"/>
      <c r="AG57" s="21"/>
      <c r="AH57" s="21"/>
      <c r="AI57" s="21"/>
      <c r="AJ57" s="21">
        <v>-16435</v>
      </c>
      <c r="AK57" s="21">
        <v>-1487206</v>
      </c>
      <c r="AL57" s="21">
        <v>-10531719</v>
      </c>
      <c r="AM57" s="21" t="s">
        <v>258</v>
      </c>
      <c r="AN57" s="21">
        <v>-498669</v>
      </c>
      <c r="AO57" s="21">
        <v>0</v>
      </c>
      <c r="AP57" s="21">
        <v>0</v>
      </c>
      <c r="AQ57" s="21"/>
      <c r="AR57" s="21"/>
      <c r="AS57" s="21"/>
      <c r="AT57" s="21"/>
      <c r="AU57" s="21"/>
      <c r="AV57" s="21"/>
      <c r="AW57" s="21"/>
      <c r="AX57" s="21"/>
      <c r="AY57" s="21">
        <v>977</v>
      </c>
      <c r="AZ57" s="21">
        <v>-451358</v>
      </c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</row>
    <row r="58" spans="1:69" ht="12.75">
      <c r="A58" s="18">
        <v>49</v>
      </c>
      <c r="B58" s="19" t="s">
        <v>80</v>
      </c>
      <c r="C58" s="116">
        <f t="shared" si="20"/>
        <v>365750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>
        <v>245000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>
        <v>0</v>
      </c>
      <c r="AM58" s="21"/>
      <c r="AN58" s="21">
        <v>120750</v>
      </c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</row>
    <row r="59" spans="1:69" ht="12.75">
      <c r="A59" s="18">
        <v>50</v>
      </c>
      <c r="B59" s="19" t="s">
        <v>81</v>
      </c>
      <c r="C59" s="116">
        <f t="shared" si="20"/>
        <v>984551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>
        <v>984551</v>
      </c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</row>
    <row r="60" spans="1:69" ht="12.75">
      <c r="A60" s="18">
        <v>51</v>
      </c>
      <c r="B60" s="19" t="s">
        <v>82</v>
      </c>
      <c r="C60" s="116">
        <f t="shared" si="20"/>
        <v>-2001969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>
        <v>-2001969</v>
      </c>
      <c r="BI60" s="21"/>
      <c r="BJ60" s="21"/>
      <c r="BK60" s="21"/>
      <c r="BL60" s="21"/>
      <c r="BM60" s="21"/>
      <c r="BN60" s="21"/>
      <c r="BO60" s="21"/>
      <c r="BP60" s="21"/>
      <c r="BQ60" s="21"/>
    </row>
    <row r="61" spans="1:69" ht="12.75">
      <c r="A61" s="18">
        <v>52</v>
      </c>
      <c r="B61" s="19" t="s">
        <v>83</v>
      </c>
      <c r="C61" s="121">
        <f t="shared" si="20"/>
        <v>-2287924</v>
      </c>
      <c r="D61" s="21"/>
      <c r="E61" s="21"/>
      <c r="F61" s="21"/>
      <c r="G61" s="21"/>
      <c r="H61" s="21"/>
      <c r="I61" s="21">
        <v>-3388448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>
        <v>45954</v>
      </c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v>1054570</v>
      </c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</row>
    <row r="62" spans="1:69" ht="12.75">
      <c r="A62" s="18">
        <v>53</v>
      </c>
      <c r="B62" s="19"/>
      <c r="C62" s="116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</row>
    <row r="63" spans="1:69" ht="12.75">
      <c r="A63" s="18">
        <v>54</v>
      </c>
      <c r="B63" s="270" t="s">
        <v>84</v>
      </c>
      <c r="C63" s="125">
        <f aca="true" t="shared" si="21" ref="C63:BF63">SUM(C55:C62)</f>
        <v>5940978</v>
      </c>
      <c r="D63" s="125">
        <f t="shared" si="21"/>
        <v>0</v>
      </c>
      <c r="E63" s="125">
        <f t="shared" si="21"/>
        <v>0</v>
      </c>
      <c r="F63" s="125">
        <f t="shared" si="21"/>
        <v>0</v>
      </c>
      <c r="G63" s="125">
        <f t="shared" si="21"/>
        <v>0</v>
      </c>
      <c r="H63" s="125">
        <f t="shared" si="21"/>
        <v>0</v>
      </c>
      <c r="I63" s="125">
        <f t="shared" si="21"/>
        <v>-1457588</v>
      </c>
      <c r="J63" s="125">
        <f t="shared" si="21"/>
        <v>0</v>
      </c>
      <c r="K63" s="125">
        <f t="shared" si="21"/>
        <v>0</v>
      </c>
      <c r="L63" s="125">
        <f t="shared" si="21"/>
        <v>0</v>
      </c>
      <c r="M63" s="125">
        <f t="shared" si="21"/>
        <v>0</v>
      </c>
      <c r="N63" s="125">
        <f t="shared" si="21"/>
        <v>0</v>
      </c>
      <c r="O63" s="125">
        <f t="shared" si="21"/>
        <v>0</v>
      </c>
      <c r="P63" s="125">
        <f t="shared" si="21"/>
        <v>0</v>
      </c>
      <c r="Q63" s="125">
        <f t="shared" si="21"/>
        <v>0</v>
      </c>
      <c r="R63" s="125">
        <f t="shared" si="21"/>
        <v>0</v>
      </c>
      <c r="S63" s="125">
        <f t="shared" si="21"/>
        <v>0</v>
      </c>
      <c r="T63" s="125">
        <f t="shared" si="21"/>
        <v>0</v>
      </c>
      <c r="U63" s="125">
        <f t="shared" si="21"/>
        <v>0</v>
      </c>
      <c r="V63" s="125">
        <f t="shared" si="21"/>
        <v>0</v>
      </c>
      <c r="W63" s="125">
        <f t="shared" si="21"/>
        <v>0</v>
      </c>
      <c r="X63" s="125">
        <f t="shared" si="21"/>
        <v>0</v>
      </c>
      <c r="Y63" s="125">
        <f t="shared" si="21"/>
        <v>0</v>
      </c>
      <c r="Z63" s="125">
        <f t="shared" si="21"/>
        <v>0</v>
      </c>
      <c r="AA63" s="125">
        <f t="shared" si="21"/>
        <v>16316972</v>
      </c>
      <c r="AB63" s="125">
        <f t="shared" si="21"/>
        <v>0</v>
      </c>
      <c r="AC63" s="125">
        <f t="shared" si="21"/>
        <v>4447007</v>
      </c>
      <c r="AD63" s="125">
        <f t="shared" si="21"/>
        <v>0</v>
      </c>
      <c r="AE63" s="125">
        <f t="shared" si="21"/>
        <v>0</v>
      </c>
      <c r="AF63" s="125">
        <f t="shared" si="21"/>
        <v>0</v>
      </c>
      <c r="AG63" s="125">
        <f t="shared" si="21"/>
        <v>0</v>
      </c>
      <c r="AH63" s="125">
        <f t="shared" si="21"/>
        <v>0</v>
      </c>
      <c r="AI63" s="125">
        <f t="shared" si="21"/>
        <v>0</v>
      </c>
      <c r="AJ63" s="125">
        <f t="shared" si="21"/>
        <v>-16435</v>
      </c>
      <c r="AK63" s="125">
        <f t="shared" si="21"/>
        <v>-1487206</v>
      </c>
      <c r="AL63" s="125">
        <f t="shared" si="21"/>
        <v>-10531719</v>
      </c>
      <c r="AM63" s="125">
        <f t="shared" si="21"/>
        <v>0</v>
      </c>
      <c r="AN63" s="125">
        <f t="shared" si="21"/>
        <v>-377919</v>
      </c>
      <c r="AO63" s="125">
        <f t="shared" si="21"/>
        <v>0</v>
      </c>
      <c r="AP63" s="125">
        <f t="shared" si="21"/>
        <v>0</v>
      </c>
      <c r="AQ63" s="125">
        <f>SUM(AQ55:AQ62)</f>
        <v>0</v>
      </c>
      <c r="AR63" s="125">
        <f t="shared" si="21"/>
        <v>0</v>
      </c>
      <c r="AS63" s="125">
        <f t="shared" si="21"/>
        <v>0</v>
      </c>
      <c r="AT63" s="125">
        <f t="shared" si="21"/>
        <v>0</v>
      </c>
      <c r="AU63" s="125">
        <f t="shared" si="21"/>
        <v>0</v>
      </c>
      <c r="AV63" s="125">
        <f t="shared" si="21"/>
        <v>3896</v>
      </c>
      <c r="AW63" s="125">
        <f t="shared" si="21"/>
        <v>90231</v>
      </c>
      <c r="AX63" s="125">
        <f t="shared" si="21"/>
        <v>984551</v>
      </c>
      <c r="AY63" s="125">
        <f t="shared" si="21"/>
        <v>27829</v>
      </c>
      <c r="AZ63" s="125">
        <f t="shared" si="21"/>
        <v>-1111242</v>
      </c>
      <c r="BA63" s="125">
        <f t="shared" si="21"/>
        <v>0</v>
      </c>
      <c r="BB63" s="125">
        <f t="shared" si="21"/>
        <v>0</v>
      </c>
      <c r="BC63" s="125">
        <f t="shared" si="21"/>
        <v>1054570</v>
      </c>
      <c r="BD63" s="125">
        <f t="shared" si="21"/>
        <v>0</v>
      </c>
      <c r="BE63" s="125">
        <f t="shared" si="21"/>
        <v>0</v>
      </c>
      <c r="BF63" s="125">
        <f t="shared" si="21"/>
        <v>0</v>
      </c>
      <c r="BG63" s="125">
        <f>SUM(BG55:BG62)</f>
        <v>0</v>
      </c>
      <c r="BH63" s="125">
        <f>SUM(BH55:BH62)</f>
        <v>-2001969</v>
      </c>
      <c r="BI63" s="125">
        <f>SUM(BI55:BI62)</f>
        <v>0</v>
      </c>
      <c r="BJ63" s="125">
        <f>SUM(BJ55:BJ62)</f>
        <v>0</v>
      </c>
      <c r="BK63" s="125">
        <f>SUM(BK55:BK62)</f>
        <v>0</v>
      </c>
      <c r="BL63" s="125">
        <f aca="true" t="shared" si="22" ref="BL63:BQ63">SUM(BL55:BL62)</f>
        <v>0</v>
      </c>
      <c r="BM63" s="125">
        <f t="shared" si="22"/>
        <v>0</v>
      </c>
      <c r="BN63" s="125">
        <f t="shared" si="22"/>
        <v>0</v>
      </c>
      <c r="BO63" s="125">
        <f t="shared" si="22"/>
        <v>0</v>
      </c>
      <c r="BP63" s="125">
        <f t="shared" si="22"/>
        <v>0</v>
      </c>
      <c r="BQ63" s="125">
        <f t="shared" si="22"/>
        <v>0</v>
      </c>
    </row>
    <row r="64" spans="1:69" ht="12.75">
      <c r="A64" s="18">
        <v>55</v>
      </c>
      <c r="B64" s="19"/>
      <c r="C64" s="116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</row>
    <row r="65" spans="1:69" ht="12.75">
      <c r="A65" s="18">
        <v>56</v>
      </c>
      <c r="B65" s="122" t="s">
        <v>85</v>
      </c>
      <c r="C65" s="129">
        <f>C52+C63</f>
        <v>272877</v>
      </c>
      <c r="D65" s="129">
        <f>D52+D63</f>
        <v>0</v>
      </c>
      <c r="E65" s="129">
        <f aca="true" t="shared" si="23" ref="E65:BE65">E52+E63</f>
        <v>0</v>
      </c>
      <c r="F65" s="129">
        <f t="shared" si="23"/>
        <v>0</v>
      </c>
      <c r="G65" s="129">
        <f t="shared" si="23"/>
        <v>0</v>
      </c>
      <c r="H65" s="129">
        <f t="shared" si="23"/>
        <v>0</v>
      </c>
      <c r="I65" s="129">
        <f t="shared" si="23"/>
        <v>-1457588</v>
      </c>
      <c r="J65" s="129">
        <f t="shared" si="23"/>
        <v>0</v>
      </c>
      <c r="K65" s="129">
        <f>K52+K63</f>
        <v>0</v>
      </c>
      <c r="L65" s="129">
        <f t="shared" si="23"/>
        <v>0</v>
      </c>
      <c r="M65" s="129">
        <f t="shared" si="23"/>
        <v>0</v>
      </c>
      <c r="N65" s="129">
        <f t="shared" si="23"/>
        <v>0</v>
      </c>
      <c r="O65" s="129">
        <f t="shared" si="23"/>
        <v>0</v>
      </c>
      <c r="P65" s="129">
        <f t="shared" si="23"/>
        <v>0</v>
      </c>
      <c r="Q65" s="129">
        <f t="shared" si="23"/>
        <v>0</v>
      </c>
      <c r="R65" s="129">
        <f t="shared" si="23"/>
        <v>0</v>
      </c>
      <c r="S65" s="129">
        <f t="shared" si="23"/>
        <v>0</v>
      </c>
      <c r="T65" s="129">
        <f>T52+T63</f>
        <v>0</v>
      </c>
      <c r="U65" s="129">
        <f t="shared" si="23"/>
        <v>0</v>
      </c>
      <c r="V65" s="129">
        <f t="shared" si="23"/>
        <v>0</v>
      </c>
      <c r="W65" s="129">
        <f t="shared" si="23"/>
        <v>0</v>
      </c>
      <c r="X65" s="129">
        <f t="shared" si="23"/>
        <v>0</v>
      </c>
      <c r="Y65" s="129">
        <f t="shared" si="23"/>
        <v>0</v>
      </c>
      <c r="Z65" s="129">
        <f t="shared" si="23"/>
        <v>0</v>
      </c>
      <c r="AA65" s="129">
        <f t="shared" si="23"/>
        <v>-9665246</v>
      </c>
      <c r="AB65" s="129">
        <f t="shared" si="23"/>
        <v>0</v>
      </c>
      <c r="AC65" s="129">
        <f>AC52+AC63</f>
        <v>-6154114</v>
      </c>
      <c r="AD65" s="129">
        <f>AD52+AD63</f>
        <v>0</v>
      </c>
      <c r="AE65" s="129">
        <f t="shared" si="23"/>
        <v>0</v>
      </c>
      <c r="AF65" s="129">
        <f t="shared" si="23"/>
        <v>0</v>
      </c>
      <c r="AG65" s="129">
        <f>AG52+AG63</f>
        <v>0</v>
      </c>
      <c r="AH65" s="129">
        <f t="shared" si="23"/>
        <v>0</v>
      </c>
      <c r="AI65" s="129">
        <f t="shared" si="23"/>
        <v>0</v>
      </c>
      <c r="AJ65" s="129">
        <f t="shared" si="23"/>
        <v>-16435</v>
      </c>
      <c r="AK65" s="129">
        <f t="shared" si="23"/>
        <v>-1487206</v>
      </c>
      <c r="AL65" s="129">
        <f t="shared" si="23"/>
        <v>-10531719</v>
      </c>
      <c r="AM65" s="129">
        <f t="shared" si="23"/>
        <v>0</v>
      </c>
      <c r="AN65" s="129">
        <f t="shared" si="23"/>
        <v>-377919</v>
      </c>
      <c r="AO65" s="129">
        <f>AO52+AO63</f>
        <v>0</v>
      </c>
      <c r="AP65" s="129">
        <f>AP52+AP63</f>
        <v>0</v>
      </c>
      <c r="AQ65" s="129">
        <f>AQ52+AQ63</f>
        <v>0</v>
      </c>
      <c r="AR65" s="129">
        <f t="shared" si="23"/>
        <v>0</v>
      </c>
      <c r="AS65" s="129">
        <f t="shared" si="23"/>
        <v>-2814534</v>
      </c>
      <c r="AT65" s="129">
        <f t="shared" si="23"/>
        <v>18630829</v>
      </c>
      <c r="AU65" s="129">
        <f t="shared" si="23"/>
        <v>112424</v>
      </c>
      <c r="AV65" s="129">
        <f t="shared" si="23"/>
        <v>-130323</v>
      </c>
      <c r="AW65" s="129">
        <f>AW52+AW63</f>
        <v>-441866</v>
      </c>
      <c r="AX65" s="129">
        <f t="shared" si="23"/>
        <v>984551</v>
      </c>
      <c r="AY65" s="129">
        <f t="shared" si="23"/>
        <v>-38931</v>
      </c>
      <c r="AZ65" s="129">
        <f t="shared" si="23"/>
        <v>21751568</v>
      </c>
      <c r="BA65" s="129">
        <f t="shared" si="23"/>
        <v>0</v>
      </c>
      <c r="BB65" s="129">
        <f t="shared" si="23"/>
        <v>-481839</v>
      </c>
      <c r="BC65" s="129">
        <f t="shared" si="23"/>
        <v>660546</v>
      </c>
      <c r="BD65" s="129">
        <f>BD52+BD63</f>
        <v>1592618</v>
      </c>
      <c r="BE65" s="129">
        <f t="shared" si="23"/>
        <v>-4014806</v>
      </c>
      <c r="BF65" s="129">
        <f aca="true" t="shared" si="24" ref="BF65:BK65">BF52+BF63</f>
        <v>-12166362</v>
      </c>
      <c r="BG65" s="129">
        <f t="shared" si="24"/>
        <v>8321198</v>
      </c>
      <c r="BH65" s="129">
        <f t="shared" si="24"/>
        <v>-2001969</v>
      </c>
      <c r="BI65" s="129">
        <f t="shared" si="24"/>
        <v>0</v>
      </c>
      <c r="BJ65" s="129">
        <f t="shared" si="24"/>
        <v>0</v>
      </c>
      <c r="BK65" s="129">
        <f t="shared" si="24"/>
        <v>0</v>
      </c>
      <c r="BL65" s="129">
        <f aca="true" t="shared" si="25" ref="BL65:BQ65">BL52+BL63</f>
        <v>0</v>
      </c>
      <c r="BM65" s="129">
        <f t="shared" si="25"/>
        <v>0</v>
      </c>
      <c r="BN65" s="129">
        <f t="shared" si="25"/>
        <v>0</v>
      </c>
      <c r="BO65" s="129">
        <f t="shared" si="25"/>
        <v>0</v>
      </c>
      <c r="BP65" s="129">
        <f t="shared" si="25"/>
        <v>0</v>
      </c>
      <c r="BQ65" s="129">
        <f t="shared" si="25"/>
        <v>0</v>
      </c>
    </row>
    <row r="66" spans="1:69" ht="12.75">
      <c r="A66" s="18">
        <v>57</v>
      </c>
      <c r="B66" s="19"/>
      <c r="C66" s="1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</row>
    <row r="67" spans="1:69" ht="14.25" thickBot="1">
      <c r="A67" s="18">
        <v>58</v>
      </c>
      <c r="B67" s="30"/>
      <c r="C67" s="130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</row>
    <row r="68" spans="1:69" ht="12.75">
      <c r="A68" s="18">
        <v>59</v>
      </c>
      <c r="B68" s="19"/>
      <c r="C68" s="18"/>
      <c r="D68" s="19"/>
      <c r="E68" s="19"/>
      <c r="F68" s="19"/>
      <c r="G68" s="19"/>
      <c r="H68" s="19"/>
      <c r="I68" s="19"/>
      <c r="J68" s="18"/>
      <c r="K68" s="19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</row>
    <row r="69" spans="1:69" ht="12.75">
      <c r="A69" s="18">
        <v>60</v>
      </c>
      <c r="B69" s="19" t="s">
        <v>86</v>
      </c>
      <c r="C69" s="18"/>
      <c r="D69" s="19" t="s">
        <v>87</v>
      </c>
      <c r="E69" s="19"/>
      <c r="F69" s="132">
        <v>0</v>
      </c>
      <c r="G69" s="132"/>
      <c r="H69" s="19"/>
      <c r="I69" s="19"/>
      <c r="J69" s="18"/>
      <c r="K69" s="19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</row>
    <row r="70" spans="1:69" ht="12.75">
      <c r="A70" s="18">
        <v>61</v>
      </c>
      <c r="B70" s="19" t="s">
        <v>4</v>
      </c>
      <c r="C70" s="18"/>
      <c r="D70" s="19" t="s">
        <v>88</v>
      </c>
      <c r="E70" s="19"/>
      <c r="F70" s="132">
        <v>0.35</v>
      </c>
      <c r="G70" s="132"/>
      <c r="H70" s="19"/>
      <c r="I70" s="19"/>
      <c r="J70" s="18"/>
      <c r="K70" s="19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</row>
    <row r="71" spans="1:69" ht="12.75">
      <c r="A71" s="18">
        <v>62</v>
      </c>
      <c r="B71" s="19"/>
      <c r="C71" s="18"/>
      <c r="D71" s="19"/>
      <c r="E71" s="19"/>
      <c r="F71" s="132"/>
      <c r="G71" s="132"/>
      <c r="H71" s="19"/>
      <c r="I71" s="19"/>
      <c r="J71" s="18"/>
      <c r="K71" s="19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33"/>
      <c r="BE71" s="133"/>
      <c r="BF71" s="133"/>
      <c r="BG71" s="18"/>
      <c r="BH71" s="133"/>
      <c r="BI71" s="133"/>
      <c r="BJ71" s="18"/>
      <c r="BK71" s="18"/>
      <c r="BL71" s="18"/>
      <c r="BM71" s="18"/>
      <c r="BN71" s="18"/>
      <c r="BO71" s="18"/>
      <c r="BP71" s="18"/>
      <c r="BQ71" s="18"/>
    </row>
    <row r="72" spans="1:69" ht="12.75">
      <c r="A72" s="18">
        <v>63</v>
      </c>
      <c r="B72" s="19" t="s">
        <v>89</v>
      </c>
      <c r="C72" s="120">
        <f>C13-C26-C28-C29-C30-C35</f>
        <v>609080</v>
      </c>
      <c r="D72" s="21">
        <f>D13-D26-D28-D29-D30-D35</f>
        <v>-220437</v>
      </c>
      <c r="E72" s="21">
        <f aca="true" t="shared" si="26" ref="E72:BF72">E13-E26-E28-E29-E30-E35</f>
        <v>-3906382</v>
      </c>
      <c r="F72" s="21">
        <f t="shared" si="26"/>
        <v>14126889</v>
      </c>
      <c r="G72" s="21">
        <f>G13-G26-G28-G29-G30-G35</f>
        <v>-1130292</v>
      </c>
      <c r="H72" s="21">
        <f t="shared" si="26"/>
        <v>-799078</v>
      </c>
      <c r="I72" s="21">
        <f t="shared" si="26"/>
        <v>-2008443</v>
      </c>
      <c r="J72" s="21">
        <f t="shared" si="26"/>
        <v>0</v>
      </c>
      <c r="K72" s="21">
        <f>K13-K26-K28-K29-K30-K35</f>
        <v>0</v>
      </c>
      <c r="L72" s="21">
        <f t="shared" si="26"/>
        <v>41141</v>
      </c>
      <c r="M72" s="21">
        <f t="shared" si="26"/>
        <v>33507</v>
      </c>
      <c r="N72" s="21">
        <f t="shared" si="26"/>
        <v>147530</v>
      </c>
      <c r="O72" s="21">
        <f t="shared" si="26"/>
        <v>328112</v>
      </c>
      <c r="P72" s="21">
        <f t="shared" si="26"/>
        <v>-168801</v>
      </c>
      <c r="Q72" s="21">
        <f t="shared" si="26"/>
        <v>10907</v>
      </c>
      <c r="R72" s="21">
        <f t="shared" si="26"/>
        <v>4960687</v>
      </c>
      <c r="S72" s="21">
        <f t="shared" si="26"/>
        <v>82017</v>
      </c>
      <c r="T72" s="21">
        <f>T13-T26-T28-T29-T30-T35</f>
        <v>0</v>
      </c>
      <c r="U72" s="21">
        <f t="shared" si="26"/>
        <v>-1070000</v>
      </c>
      <c r="V72" s="21">
        <f t="shared" si="26"/>
        <v>0</v>
      </c>
      <c r="W72" s="21">
        <f t="shared" si="26"/>
        <v>0</v>
      </c>
      <c r="X72" s="21">
        <f t="shared" si="26"/>
        <v>0</v>
      </c>
      <c r="Y72" s="21">
        <f t="shared" si="26"/>
        <v>-20052696</v>
      </c>
      <c r="Z72" s="21">
        <f>Z13-Z26-Z28-Z29-Z30-Z35</f>
        <v>1628351</v>
      </c>
      <c r="AA72" s="21">
        <f t="shared" si="26"/>
        <v>819616</v>
      </c>
      <c r="AB72" s="21">
        <f t="shared" si="26"/>
        <v>1527176</v>
      </c>
      <c r="AC72" s="21">
        <f>AC13-AC26-AC28-AC29-AC30-AC35</f>
        <v>1526825</v>
      </c>
      <c r="AD72" s="21">
        <f>AD13-AD26-AD28-AD29-AD30-AD35</f>
        <v>1540683</v>
      </c>
      <c r="AE72" s="21">
        <f t="shared" si="26"/>
        <v>0</v>
      </c>
      <c r="AF72" s="21">
        <f t="shared" si="26"/>
        <v>0</v>
      </c>
      <c r="AG72" s="21">
        <f>AG13-AG26-AG28-AG29-AG30-AG35</f>
        <v>0</v>
      </c>
      <c r="AH72" s="21">
        <f t="shared" si="26"/>
        <v>0</v>
      </c>
      <c r="AI72" s="21">
        <f t="shared" si="26"/>
        <v>300180</v>
      </c>
      <c r="AJ72" s="21">
        <f t="shared" si="26"/>
        <v>0</v>
      </c>
      <c r="AK72" s="21">
        <f t="shared" si="26"/>
        <v>0</v>
      </c>
      <c r="AL72" s="21">
        <f t="shared" si="26"/>
        <v>0</v>
      </c>
      <c r="AM72" s="21">
        <f t="shared" si="26"/>
        <v>0</v>
      </c>
      <c r="AN72" s="21">
        <f t="shared" si="26"/>
        <v>0</v>
      </c>
      <c r="AO72" s="21">
        <f>AO13-AO26-AO28-AO29-AO30-AO35</f>
        <v>0</v>
      </c>
      <c r="AP72" s="21">
        <f>AP13-AP26-AP28-AP29-AP30-AP35</f>
        <v>36669</v>
      </c>
      <c r="AQ72" s="21">
        <f>AQ13-AQ26-AQ28-AQ29-AQ30-AQ35</f>
        <v>0</v>
      </c>
      <c r="AR72" s="21">
        <f t="shared" si="26"/>
        <v>0</v>
      </c>
      <c r="AS72" s="21">
        <f t="shared" si="26"/>
        <v>0</v>
      </c>
      <c r="AT72" s="21">
        <f t="shared" si="26"/>
        <v>0</v>
      </c>
      <c r="AU72" s="21">
        <f t="shared" si="26"/>
        <v>55934</v>
      </c>
      <c r="AV72" s="21">
        <f t="shared" si="26"/>
        <v>121971</v>
      </c>
      <c r="AW72" s="21">
        <f>AW13-AW26-AW28-AW29-AW30-AW35</f>
        <v>9369</v>
      </c>
      <c r="AX72" s="21">
        <f t="shared" si="26"/>
        <v>0</v>
      </c>
      <c r="AY72" s="21">
        <f t="shared" si="26"/>
        <v>1114</v>
      </c>
      <c r="AZ72" s="21">
        <f t="shared" si="26"/>
        <v>-1161131</v>
      </c>
      <c r="BA72" s="21">
        <f t="shared" si="26"/>
        <v>657375</v>
      </c>
      <c r="BB72" s="21">
        <f t="shared" si="26"/>
        <v>33000</v>
      </c>
      <c r="BC72" s="21">
        <f t="shared" si="26"/>
        <v>283072</v>
      </c>
      <c r="BD72" s="21">
        <f>BD13-BD26-BD28-BD29-BD30-BD35</f>
        <v>2891698</v>
      </c>
      <c r="BE72" s="21">
        <f t="shared" si="26"/>
        <v>0</v>
      </c>
      <c r="BF72" s="21">
        <f t="shared" si="26"/>
        <v>0</v>
      </c>
      <c r="BG72" s="21">
        <f>BG13-BG26-BG28-BG29-BG30-BG35</f>
        <v>0</v>
      </c>
      <c r="BH72" s="21">
        <f>BH13-BH26-BH28-BH29-BH30-BH35</f>
        <v>-37483</v>
      </c>
      <c r="BI72" s="21">
        <f>BI13-BI26-BI28-BI29-BI30-BI35</f>
        <v>0</v>
      </c>
      <c r="BJ72" s="21">
        <f>BJ13-BJ26-BJ28-BJ29-BJ30-BJ35</f>
        <v>0</v>
      </c>
      <c r="BK72" s="21">
        <f>BK13-BK26-BK28-BK29-BK30-BK35</f>
        <v>0</v>
      </c>
      <c r="BL72" s="21">
        <f aca="true" t="shared" si="27" ref="BL72:BQ72">BL13-BL26-BL28-BL29-BL30-BL35</f>
        <v>0</v>
      </c>
      <c r="BM72" s="21">
        <f t="shared" si="27"/>
        <v>0</v>
      </c>
      <c r="BN72" s="21">
        <f t="shared" si="27"/>
        <v>0</v>
      </c>
      <c r="BO72" s="21">
        <f t="shared" si="27"/>
        <v>0</v>
      </c>
      <c r="BP72" s="21">
        <f t="shared" si="27"/>
        <v>0</v>
      </c>
      <c r="BQ72" s="21">
        <f t="shared" si="27"/>
        <v>0</v>
      </c>
    </row>
    <row r="73" spans="1:69" ht="12.75">
      <c r="A73" s="18">
        <v>64</v>
      </c>
      <c r="B73" s="19" t="s">
        <v>90</v>
      </c>
      <c r="C73" s="116">
        <f>SUM(D73:BQ73)</f>
        <v>0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</row>
    <row r="74" spans="1:69" ht="12.75">
      <c r="A74" s="18">
        <v>65</v>
      </c>
      <c r="B74" s="19" t="s">
        <v>91</v>
      </c>
      <c r="C74" s="116">
        <f>SUM(D74:BQ74)</f>
        <v>0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</row>
    <row r="75" spans="1:69" ht="12.75">
      <c r="A75" s="18">
        <v>66</v>
      </c>
      <c r="B75" s="19" t="s">
        <v>13</v>
      </c>
      <c r="C75" s="116">
        <f>SUM(D75:BQ75)</f>
        <v>-89105.82519700006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>
        <v>-207881</v>
      </c>
      <c r="AD75" s="21"/>
      <c r="AE75" s="21"/>
      <c r="AF75" s="21"/>
      <c r="AG75" s="21"/>
      <c r="AH75" s="21">
        <f>+InterestSync!C14</f>
        <v>118775.17480299994</v>
      </c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</row>
    <row r="76" spans="1:69" ht="12.75">
      <c r="A76" s="18">
        <v>67</v>
      </c>
      <c r="B76" s="19" t="s">
        <v>92</v>
      </c>
      <c r="C76" s="116">
        <f>SUM(D76:BQ76)</f>
        <v>1030852</v>
      </c>
      <c r="D76" s="21"/>
      <c r="E76" s="21"/>
      <c r="F76" s="21"/>
      <c r="G76" s="21"/>
      <c r="H76" s="21"/>
      <c r="I76" s="21">
        <v>2449857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>
        <v>-782978</v>
      </c>
      <c r="AB76" s="21"/>
      <c r="AC76" s="21">
        <v>-305405</v>
      </c>
      <c r="AD76" s="21"/>
      <c r="AE76" s="21"/>
      <c r="AF76" s="21"/>
      <c r="AG76" s="21"/>
      <c r="AH76" s="21"/>
      <c r="AI76" s="21"/>
      <c r="AJ76" s="21"/>
      <c r="AK76" s="21"/>
      <c r="AL76" s="21">
        <v>0</v>
      </c>
      <c r="AM76" s="21"/>
      <c r="AN76" s="21"/>
      <c r="AO76" s="21"/>
      <c r="AP76" s="21"/>
      <c r="AQ76" s="21"/>
      <c r="AR76" s="21"/>
      <c r="AS76" s="21"/>
      <c r="AT76" s="21"/>
      <c r="AU76" s="21">
        <v>-262856</v>
      </c>
      <c r="AV76" s="21"/>
      <c r="AW76" s="21"/>
      <c r="AX76" s="21"/>
      <c r="AY76" s="21"/>
      <c r="AZ76" s="21">
        <v>241288</v>
      </c>
      <c r="BA76" s="21"/>
      <c r="BB76" s="21">
        <v>-33000</v>
      </c>
      <c r="BC76" s="21">
        <v>-276054</v>
      </c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</row>
    <row r="77" spans="1:69" ht="12.75">
      <c r="A77" s="18">
        <v>68</v>
      </c>
      <c r="B77" s="269" t="s">
        <v>93</v>
      </c>
      <c r="C77" s="134">
        <f>SUM(D77:BQ77)</f>
        <v>1450389</v>
      </c>
      <c r="D77" s="135"/>
      <c r="E77" s="135"/>
      <c r="F77" s="135"/>
      <c r="G77" s="135"/>
      <c r="H77" s="135"/>
      <c r="I77" s="135">
        <v>441415</v>
      </c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>
        <v>-20733</v>
      </c>
      <c r="AB77" s="135"/>
      <c r="AC77" s="135">
        <v>-437301</v>
      </c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>
        <v>527994</v>
      </c>
      <c r="AR77" s="135"/>
      <c r="AS77" s="135"/>
      <c r="AT77" s="135"/>
      <c r="AU77" s="135">
        <v>-613528</v>
      </c>
      <c r="AV77" s="135"/>
      <c r="AW77" s="135"/>
      <c r="AX77" s="135"/>
      <c r="AY77" s="135"/>
      <c r="AZ77" s="135">
        <v>1552542</v>
      </c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</row>
    <row r="78" spans="1:69" ht="12.75">
      <c r="A78" s="18">
        <v>69</v>
      </c>
      <c r="B78" s="1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</row>
    <row r="79" spans="1:69" ht="12.75">
      <c r="A79" s="18">
        <v>70</v>
      </c>
      <c r="B79" s="19" t="s">
        <v>94</v>
      </c>
      <c r="C79" s="121">
        <f>C72-C73-C74-C75+C76-C77</f>
        <v>278648.82519700006</v>
      </c>
      <c r="D79" s="116">
        <f aca="true" t="shared" si="28" ref="D79:BE79">D72-D73-D74-D75+D76-D77</f>
        <v>-220437</v>
      </c>
      <c r="E79" s="116">
        <f t="shared" si="28"/>
        <v>-3906382</v>
      </c>
      <c r="F79" s="116">
        <f t="shared" si="28"/>
        <v>14126889</v>
      </c>
      <c r="G79" s="116">
        <f t="shared" si="28"/>
        <v>-1130292</v>
      </c>
      <c r="H79" s="116">
        <f t="shared" si="28"/>
        <v>-799078</v>
      </c>
      <c r="I79" s="116">
        <f t="shared" si="28"/>
        <v>-1</v>
      </c>
      <c r="J79" s="116">
        <f t="shared" si="28"/>
        <v>0</v>
      </c>
      <c r="K79" s="116">
        <f>K72-K73-K74-K75+K76-K77</f>
        <v>0</v>
      </c>
      <c r="L79" s="116">
        <f t="shared" si="28"/>
        <v>41141</v>
      </c>
      <c r="M79" s="116">
        <f t="shared" si="28"/>
        <v>33507</v>
      </c>
      <c r="N79" s="116">
        <f t="shared" si="28"/>
        <v>147530</v>
      </c>
      <c r="O79" s="116">
        <f t="shared" si="28"/>
        <v>328112</v>
      </c>
      <c r="P79" s="116">
        <f t="shared" si="28"/>
        <v>-168801</v>
      </c>
      <c r="Q79" s="116">
        <f t="shared" si="28"/>
        <v>10907</v>
      </c>
      <c r="R79" s="116">
        <f t="shared" si="28"/>
        <v>4960687</v>
      </c>
      <c r="S79" s="116">
        <f t="shared" si="28"/>
        <v>82017</v>
      </c>
      <c r="T79" s="116">
        <f>T72-T73-T74-T75+T76-T77</f>
        <v>0</v>
      </c>
      <c r="U79" s="116">
        <f t="shared" si="28"/>
        <v>-1070000</v>
      </c>
      <c r="V79" s="116">
        <f t="shared" si="28"/>
        <v>0</v>
      </c>
      <c r="W79" s="116">
        <f t="shared" si="28"/>
        <v>0</v>
      </c>
      <c r="X79" s="116">
        <f t="shared" si="28"/>
        <v>0</v>
      </c>
      <c r="Y79" s="116">
        <f t="shared" si="28"/>
        <v>-20052696</v>
      </c>
      <c r="Z79" s="116">
        <f t="shared" si="28"/>
        <v>1628351</v>
      </c>
      <c r="AA79" s="116">
        <f t="shared" si="28"/>
        <v>57371</v>
      </c>
      <c r="AB79" s="116">
        <f t="shared" si="28"/>
        <v>1527176</v>
      </c>
      <c r="AC79" s="116">
        <f>AC72-AC73-AC74-AC75+AC76-AC77</f>
        <v>1866602</v>
      </c>
      <c r="AD79" s="116">
        <f>AD72-AD73-AD74-AD75+AD76-AD77</f>
        <v>1540683</v>
      </c>
      <c r="AE79" s="116">
        <f t="shared" si="28"/>
        <v>0</v>
      </c>
      <c r="AF79" s="116">
        <f t="shared" si="28"/>
        <v>0</v>
      </c>
      <c r="AG79" s="116">
        <f>AG72-AG73-AG74-AG75+AG76-AG77</f>
        <v>0</v>
      </c>
      <c r="AH79" s="116">
        <f t="shared" si="28"/>
        <v>-118775.17480299994</v>
      </c>
      <c r="AI79" s="116">
        <f t="shared" si="28"/>
        <v>300180</v>
      </c>
      <c r="AJ79" s="116">
        <f t="shared" si="28"/>
        <v>0</v>
      </c>
      <c r="AK79" s="116">
        <f t="shared" si="28"/>
        <v>0</v>
      </c>
      <c r="AL79" s="116">
        <f t="shared" si="28"/>
        <v>0</v>
      </c>
      <c r="AM79" s="116">
        <f t="shared" si="28"/>
        <v>0</v>
      </c>
      <c r="AN79" s="116">
        <f t="shared" si="28"/>
        <v>0</v>
      </c>
      <c r="AO79" s="116">
        <f>AO72-AO73-AO74-AO75+AO76-AO77</f>
        <v>0</v>
      </c>
      <c r="AP79" s="116">
        <f>AP72-AP73-AP74-AP75+AP76-AP77</f>
        <v>36669</v>
      </c>
      <c r="AQ79" s="116">
        <f>AQ72-AQ73-AQ74-AQ75+AQ76-AQ77</f>
        <v>-527994</v>
      </c>
      <c r="AR79" s="116">
        <f t="shared" si="28"/>
        <v>0</v>
      </c>
      <c r="AS79" s="116">
        <f t="shared" si="28"/>
        <v>0</v>
      </c>
      <c r="AT79" s="116">
        <f t="shared" si="28"/>
        <v>0</v>
      </c>
      <c r="AU79" s="116">
        <f t="shared" si="28"/>
        <v>406606</v>
      </c>
      <c r="AV79" s="116">
        <f t="shared" si="28"/>
        <v>121971</v>
      </c>
      <c r="AW79" s="116">
        <f>AW72-AW73-AW74-AW75+AW76-AW77</f>
        <v>9369</v>
      </c>
      <c r="AX79" s="116">
        <f t="shared" si="28"/>
        <v>0</v>
      </c>
      <c r="AY79" s="116">
        <f t="shared" si="28"/>
        <v>1114</v>
      </c>
      <c r="AZ79" s="116">
        <f t="shared" si="28"/>
        <v>-2472385</v>
      </c>
      <c r="BA79" s="116">
        <f t="shared" si="28"/>
        <v>657375</v>
      </c>
      <c r="BB79" s="116">
        <f t="shared" si="28"/>
        <v>0</v>
      </c>
      <c r="BC79" s="116">
        <f t="shared" si="28"/>
        <v>7018</v>
      </c>
      <c r="BD79" s="116">
        <f>BD72-BD73-BD74-BD75+BD76-BD77</f>
        <v>2891698</v>
      </c>
      <c r="BE79" s="116">
        <f t="shared" si="28"/>
        <v>0</v>
      </c>
      <c r="BF79" s="116">
        <f aca="true" t="shared" si="29" ref="BF79:BK79">BF72-BF73-BF74-BF75+BF76-BF77</f>
        <v>0</v>
      </c>
      <c r="BG79" s="116">
        <f t="shared" si="29"/>
        <v>0</v>
      </c>
      <c r="BH79" s="116">
        <f t="shared" si="29"/>
        <v>-37483</v>
      </c>
      <c r="BI79" s="116">
        <f t="shared" si="29"/>
        <v>0</v>
      </c>
      <c r="BJ79" s="116">
        <f t="shared" si="29"/>
        <v>0</v>
      </c>
      <c r="BK79" s="116">
        <f t="shared" si="29"/>
        <v>0</v>
      </c>
      <c r="BL79" s="116">
        <f aca="true" t="shared" si="30" ref="BL79:BQ79">BL72-BL73-BL74-BL75+BL76-BL77</f>
        <v>0</v>
      </c>
      <c r="BM79" s="116">
        <f t="shared" si="30"/>
        <v>0</v>
      </c>
      <c r="BN79" s="116">
        <f t="shared" si="30"/>
        <v>0</v>
      </c>
      <c r="BO79" s="116">
        <f t="shared" si="30"/>
        <v>0</v>
      </c>
      <c r="BP79" s="116">
        <f t="shared" si="30"/>
        <v>0</v>
      </c>
      <c r="BQ79" s="116">
        <f t="shared" si="30"/>
        <v>0</v>
      </c>
    </row>
    <row r="80" spans="1:69" ht="12.75">
      <c r="A80" s="18">
        <v>71</v>
      </c>
      <c r="B80" s="19" t="s">
        <v>95</v>
      </c>
      <c r="C80" s="121">
        <f>SUM(D80:BQ80)</f>
        <v>0</v>
      </c>
      <c r="D80" s="21">
        <f aca="true" t="shared" si="31" ref="D80:AF80">D79*$F$69</f>
        <v>0</v>
      </c>
      <c r="E80" s="21">
        <f t="shared" si="31"/>
        <v>0</v>
      </c>
      <c r="F80" s="21">
        <f t="shared" si="31"/>
        <v>0</v>
      </c>
      <c r="G80" s="21">
        <f t="shared" si="31"/>
        <v>0</v>
      </c>
      <c r="H80" s="21">
        <f t="shared" si="31"/>
        <v>0</v>
      </c>
      <c r="I80" s="21">
        <f t="shared" si="31"/>
        <v>0</v>
      </c>
      <c r="J80" s="21">
        <f t="shared" si="31"/>
        <v>0</v>
      </c>
      <c r="K80" s="21">
        <f t="shared" si="31"/>
        <v>0</v>
      </c>
      <c r="L80" s="21">
        <f t="shared" si="31"/>
        <v>0</v>
      </c>
      <c r="M80" s="21">
        <f t="shared" si="31"/>
        <v>0</v>
      </c>
      <c r="N80" s="21">
        <f t="shared" si="31"/>
        <v>0</v>
      </c>
      <c r="O80" s="21">
        <f t="shared" si="31"/>
        <v>0</v>
      </c>
      <c r="P80" s="21">
        <f t="shared" si="31"/>
        <v>0</v>
      </c>
      <c r="Q80" s="21">
        <f t="shared" si="31"/>
        <v>0</v>
      </c>
      <c r="R80" s="21">
        <f t="shared" si="31"/>
        <v>0</v>
      </c>
      <c r="S80" s="21">
        <f t="shared" si="31"/>
        <v>0</v>
      </c>
      <c r="T80" s="21">
        <f t="shared" si="31"/>
        <v>0</v>
      </c>
      <c r="U80" s="21">
        <f t="shared" si="31"/>
        <v>0</v>
      </c>
      <c r="V80" s="21">
        <f t="shared" si="31"/>
        <v>0</v>
      </c>
      <c r="W80" s="21">
        <f t="shared" si="31"/>
        <v>0</v>
      </c>
      <c r="X80" s="21">
        <f t="shared" si="31"/>
        <v>0</v>
      </c>
      <c r="Y80" s="21">
        <f t="shared" si="31"/>
        <v>0</v>
      </c>
      <c r="Z80" s="21">
        <f t="shared" si="31"/>
        <v>0</v>
      </c>
      <c r="AA80" s="21">
        <f t="shared" si="31"/>
        <v>0</v>
      </c>
      <c r="AB80" s="21">
        <f t="shared" si="31"/>
        <v>0</v>
      </c>
      <c r="AC80" s="21">
        <f t="shared" si="31"/>
        <v>0</v>
      </c>
      <c r="AD80" s="21">
        <f t="shared" si="31"/>
        <v>0</v>
      </c>
      <c r="AE80" s="21">
        <f t="shared" si="31"/>
        <v>0</v>
      </c>
      <c r="AF80" s="21">
        <f t="shared" si="31"/>
        <v>0</v>
      </c>
      <c r="AG80" s="21">
        <f aca="true" t="shared" si="32" ref="AG80:BF80">AG79*$F$69</f>
        <v>0</v>
      </c>
      <c r="AH80" s="21">
        <f t="shared" si="32"/>
        <v>0</v>
      </c>
      <c r="AI80" s="21">
        <f t="shared" si="32"/>
        <v>0</v>
      </c>
      <c r="AJ80" s="21">
        <f t="shared" si="32"/>
        <v>0</v>
      </c>
      <c r="AK80" s="21">
        <f t="shared" si="32"/>
        <v>0</v>
      </c>
      <c r="AL80" s="21">
        <f t="shared" si="32"/>
        <v>0</v>
      </c>
      <c r="AM80" s="21">
        <f t="shared" si="32"/>
        <v>0</v>
      </c>
      <c r="AN80" s="21">
        <f t="shared" si="32"/>
        <v>0</v>
      </c>
      <c r="AO80" s="21">
        <f t="shared" si="32"/>
        <v>0</v>
      </c>
      <c r="AP80" s="21">
        <f t="shared" si="32"/>
        <v>0</v>
      </c>
      <c r="AQ80" s="21">
        <f>AQ79*$F$69</f>
        <v>0</v>
      </c>
      <c r="AR80" s="21">
        <f t="shared" si="32"/>
        <v>0</v>
      </c>
      <c r="AS80" s="21">
        <f t="shared" si="32"/>
        <v>0</v>
      </c>
      <c r="AT80" s="21">
        <f t="shared" si="32"/>
        <v>0</v>
      </c>
      <c r="AU80" s="21">
        <f t="shared" si="32"/>
        <v>0</v>
      </c>
      <c r="AV80" s="21">
        <f t="shared" si="32"/>
        <v>0</v>
      </c>
      <c r="AW80" s="21">
        <f t="shared" si="32"/>
        <v>0</v>
      </c>
      <c r="AX80" s="21">
        <f t="shared" si="32"/>
        <v>0</v>
      </c>
      <c r="AY80" s="21">
        <f t="shared" si="32"/>
        <v>0</v>
      </c>
      <c r="AZ80" s="21">
        <f t="shared" si="32"/>
        <v>0</v>
      </c>
      <c r="BA80" s="21">
        <f t="shared" si="32"/>
        <v>0</v>
      </c>
      <c r="BB80" s="21">
        <f t="shared" si="32"/>
        <v>0</v>
      </c>
      <c r="BC80" s="21">
        <f t="shared" si="32"/>
        <v>0</v>
      </c>
      <c r="BD80" s="21">
        <f t="shared" si="32"/>
        <v>0</v>
      </c>
      <c r="BE80" s="21">
        <f t="shared" si="32"/>
        <v>0</v>
      </c>
      <c r="BF80" s="21">
        <f t="shared" si="32"/>
        <v>0</v>
      </c>
      <c r="BG80" s="21">
        <f>BG79*$F$69</f>
        <v>0</v>
      </c>
      <c r="BH80" s="21">
        <f>BH79*$F$69</f>
        <v>0</v>
      </c>
      <c r="BI80" s="21">
        <f>BI79*$F$69</f>
        <v>0</v>
      </c>
      <c r="BJ80" s="21">
        <f>BJ79*$F$69</f>
        <v>0</v>
      </c>
      <c r="BK80" s="21">
        <f>BK79*$F$69</f>
        <v>0</v>
      </c>
      <c r="BL80" s="21">
        <f aca="true" t="shared" si="33" ref="BL80:BQ80">BL79*$F$69</f>
        <v>0</v>
      </c>
      <c r="BM80" s="21">
        <f t="shared" si="33"/>
        <v>0</v>
      </c>
      <c r="BN80" s="21">
        <f t="shared" si="33"/>
        <v>0</v>
      </c>
      <c r="BO80" s="21">
        <f t="shared" si="33"/>
        <v>0</v>
      </c>
      <c r="BP80" s="21">
        <f t="shared" si="33"/>
        <v>0</v>
      </c>
      <c r="BQ80" s="21">
        <f t="shared" si="33"/>
        <v>0</v>
      </c>
    </row>
    <row r="81" spans="1:69" ht="12.75">
      <c r="A81" s="18">
        <v>72</v>
      </c>
      <c r="B81" s="268" t="s">
        <v>96</v>
      </c>
      <c r="C81" s="126">
        <f aca="true" t="shared" si="34" ref="C81:BF81">C79-C80</f>
        <v>278648.82519700006</v>
      </c>
      <c r="D81" s="125">
        <f t="shared" si="34"/>
        <v>-220437</v>
      </c>
      <c r="E81" s="125">
        <f t="shared" si="34"/>
        <v>-3906382</v>
      </c>
      <c r="F81" s="125">
        <f t="shared" si="34"/>
        <v>14126889</v>
      </c>
      <c r="G81" s="125">
        <f t="shared" si="34"/>
        <v>-1130292</v>
      </c>
      <c r="H81" s="125">
        <f t="shared" si="34"/>
        <v>-799078</v>
      </c>
      <c r="I81" s="125">
        <f t="shared" si="34"/>
        <v>-1</v>
      </c>
      <c r="J81" s="125">
        <f t="shared" si="34"/>
        <v>0</v>
      </c>
      <c r="K81" s="125">
        <f t="shared" si="34"/>
        <v>0</v>
      </c>
      <c r="L81" s="125">
        <f t="shared" si="34"/>
        <v>41141</v>
      </c>
      <c r="M81" s="125">
        <f t="shared" si="34"/>
        <v>33507</v>
      </c>
      <c r="N81" s="125">
        <f t="shared" si="34"/>
        <v>147530</v>
      </c>
      <c r="O81" s="125">
        <f t="shared" si="34"/>
        <v>328112</v>
      </c>
      <c r="P81" s="125">
        <f t="shared" si="34"/>
        <v>-168801</v>
      </c>
      <c r="Q81" s="125">
        <f t="shared" si="34"/>
        <v>10907</v>
      </c>
      <c r="R81" s="125">
        <f t="shared" si="34"/>
        <v>4960687</v>
      </c>
      <c r="S81" s="125">
        <f t="shared" si="34"/>
        <v>82017</v>
      </c>
      <c r="T81" s="125">
        <f t="shared" si="34"/>
        <v>0</v>
      </c>
      <c r="U81" s="125">
        <f t="shared" si="34"/>
        <v>-1070000</v>
      </c>
      <c r="V81" s="125">
        <f t="shared" si="34"/>
        <v>0</v>
      </c>
      <c r="W81" s="125">
        <f t="shared" si="34"/>
        <v>0</v>
      </c>
      <c r="X81" s="125">
        <f t="shared" si="34"/>
        <v>0</v>
      </c>
      <c r="Y81" s="125">
        <f t="shared" si="34"/>
        <v>-20052696</v>
      </c>
      <c r="Z81" s="125">
        <f t="shared" si="34"/>
        <v>1628351</v>
      </c>
      <c r="AA81" s="125">
        <f t="shared" si="34"/>
        <v>57371</v>
      </c>
      <c r="AB81" s="125">
        <f t="shared" si="34"/>
        <v>1527176</v>
      </c>
      <c r="AC81" s="125">
        <f t="shared" si="34"/>
        <v>1866602</v>
      </c>
      <c r="AD81" s="125">
        <f t="shared" si="34"/>
        <v>1540683</v>
      </c>
      <c r="AE81" s="125">
        <f t="shared" si="34"/>
        <v>0</v>
      </c>
      <c r="AF81" s="125">
        <f t="shared" si="34"/>
        <v>0</v>
      </c>
      <c r="AG81" s="125">
        <f t="shared" si="34"/>
        <v>0</v>
      </c>
      <c r="AH81" s="125">
        <f t="shared" si="34"/>
        <v>-118775.17480299994</v>
      </c>
      <c r="AI81" s="125">
        <f t="shared" si="34"/>
        <v>300180</v>
      </c>
      <c r="AJ81" s="125">
        <f t="shared" si="34"/>
        <v>0</v>
      </c>
      <c r="AK81" s="125">
        <f t="shared" si="34"/>
        <v>0</v>
      </c>
      <c r="AL81" s="125">
        <f t="shared" si="34"/>
        <v>0</v>
      </c>
      <c r="AM81" s="125">
        <f t="shared" si="34"/>
        <v>0</v>
      </c>
      <c r="AN81" s="125">
        <f t="shared" si="34"/>
        <v>0</v>
      </c>
      <c r="AO81" s="125">
        <f t="shared" si="34"/>
        <v>0</v>
      </c>
      <c r="AP81" s="125">
        <f t="shared" si="34"/>
        <v>36669</v>
      </c>
      <c r="AQ81" s="125">
        <f>AQ79-AQ80</f>
        <v>-527994</v>
      </c>
      <c r="AR81" s="125">
        <f t="shared" si="34"/>
        <v>0</v>
      </c>
      <c r="AS81" s="125">
        <f t="shared" si="34"/>
        <v>0</v>
      </c>
      <c r="AT81" s="125">
        <f t="shared" si="34"/>
        <v>0</v>
      </c>
      <c r="AU81" s="125">
        <f t="shared" si="34"/>
        <v>406606</v>
      </c>
      <c r="AV81" s="125">
        <f t="shared" si="34"/>
        <v>121971</v>
      </c>
      <c r="AW81" s="125">
        <f t="shared" si="34"/>
        <v>9369</v>
      </c>
      <c r="AX81" s="125">
        <f t="shared" si="34"/>
        <v>0</v>
      </c>
      <c r="AY81" s="125">
        <f t="shared" si="34"/>
        <v>1114</v>
      </c>
      <c r="AZ81" s="125">
        <f t="shared" si="34"/>
        <v>-2472385</v>
      </c>
      <c r="BA81" s="125">
        <f t="shared" si="34"/>
        <v>657375</v>
      </c>
      <c r="BB81" s="125">
        <f t="shared" si="34"/>
        <v>0</v>
      </c>
      <c r="BC81" s="125">
        <f t="shared" si="34"/>
        <v>7018</v>
      </c>
      <c r="BD81" s="125">
        <f t="shared" si="34"/>
        <v>2891698</v>
      </c>
      <c r="BE81" s="125">
        <f t="shared" si="34"/>
        <v>0</v>
      </c>
      <c r="BF81" s="125">
        <f t="shared" si="34"/>
        <v>0</v>
      </c>
      <c r="BG81" s="125">
        <f>BG79-BG80</f>
        <v>0</v>
      </c>
      <c r="BH81" s="125">
        <f>BH79-BH80</f>
        <v>-37483</v>
      </c>
      <c r="BI81" s="125">
        <f>BI79-BI80</f>
        <v>0</v>
      </c>
      <c r="BJ81" s="125">
        <f>BJ79-BJ80</f>
        <v>0</v>
      </c>
      <c r="BK81" s="125">
        <f>BK79-BK80</f>
        <v>0</v>
      </c>
      <c r="BL81" s="125">
        <f aca="true" t="shared" si="35" ref="BL81:BQ81">BL79-BL80</f>
        <v>0</v>
      </c>
      <c r="BM81" s="125">
        <f t="shared" si="35"/>
        <v>0</v>
      </c>
      <c r="BN81" s="125">
        <f t="shared" si="35"/>
        <v>0</v>
      </c>
      <c r="BO81" s="125">
        <f t="shared" si="35"/>
        <v>0</v>
      </c>
      <c r="BP81" s="125">
        <f t="shared" si="35"/>
        <v>0</v>
      </c>
      <c r="BQ81" s="125">
        <f t="shared" si="35"/>
        <v>0</v>
      </c>
    </row>
    <row r="82" spans="1:69" ht="12.75">
      <c r="A82" s="18">
        <v>73</v>
      </c>
      <c r="B82" s="19" t="s">
        <v>97</v>
      </c>
      <c r="C82" s="121">
        <f>SUM(D82:BQ82)</f>
        <v>-629057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>
        <v>0</v>
      </c>
      <c r="AL82" s="21"/>
      <c r="AM82" s="21"/>
      <c r="AN82" s="21"/>
      <c r="AO82" s="21">
        <v>-629057</v>
      </c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</row>
    <row r="83" spans="1:69" ht="13.5" thickBot="1">
      <c r="A83" s="18">
        <v>74</v>
      </c>
      <c r="B83" s="267" t="s">
        <v>98</v>
      </c>
      <c r="C83" s="136">
        <f>SUM(D83:BQ83)</f>
        <v>-531529.9111810491</v>
      </c>
      <c r="D83" s="137">
        <f aca="true" t="shared" si="36" ref="D83:AI83">D81*$F$70+D82</f>
        <v>-77152.95</v>
      </c>
      <c r="E83" s="137">
        <f t="shared" si="36"/>
        <v>-1367233.7</v>
      </c>
      <c r="F83" s="137">
        <f t="shared" si="36"/>
        <v>4944411.149999999</v>
      </c>
      <c r="G83" s="137">
        <f t="shared" si="36"/>
        <v>-395602.19999999995</v>
      </c>
      <c r="H83" s="137">
        <f t="shared" si="36"/>
        <v>-279677.3</v>
      </c>
      <c r="I83" s="137">
        <f t="shared" si="36"/>
        <v>-0.35</v>
      </c>
      <c r="J83" s="137">
        <f t="shared" si="36"/>
        <v>0</v>
      </c>
      <c r="K83" s="137">
        <f t="shared" si="36"/>
        <v>0</v>
      </c>
      <c r="L83" s="137">
        <f t="shared" si="36"/>
        <v>14399.349999999999</v>
      </c>
      <c r="M83" s="137">
        <f t="shared" si="36"/>
        <v>11727.449999999999</v>
      </c>
      <c r="N83" s="137">
        <f t="shared" si="36"/>
        <v>51635.5</v>
      </c>
      <c r="O83" s="137">
        <f t="shared" si="36"/>
        <v>114839.2</v>
      </c>
      <c r="P83" s="137">
        <f t="shared" si="36"/>
        <v>-59080.35</v>
      </c>
      <c r="Q83" s="137">
        <f t="shared" si="36"/>
        <v>3817.45</v>
      </c>
      <c r="R83" s="137">
        <f t="shared" si="36"/>
        <v>1736240.45</v>
      </c>
      <c r="S83" s="137">
        <f t="shared" si="36"/>
        <v>28705.949999999997</v>
      </c>
      <c r="T83" s="137">
        <f t="shared" si="36"/>
        <v>0</v>
      </c>
      <c r="U83" s="137">
        <f t="shared" si="36"/>
        <v>-374500</v>
      </c>
      <c r="V83" s="137">
        <f t="shared" si="36"/>
        <v>0</v>
      </c>
      <c r="W83" s="137">
        <f t="shared" si="36"/>
        <v>0</v>
      </c>
      <c r="X83" s="137">
        <f t="shared" si="36"/>
        <v>0</v>
      </c>
      <c r="Y83" s="137">
        <f t="shared" si="36"/>
        <v>-7018443.6</v>
      </c>
      <c r="Z83" s="137">
        <f t="shared" si="36"/>
        <v>569922.85</v>
      </c>
      <c r="AA83" s="137">
        <f t="shared" si="36"/>
        <v>20079.85</v>
      </c>
      <c r="AB83" s="137">
        <f t="shared" si="36"/>
        <v>534511.6</v>
      </c>
      <c r="AC83" s="137">
        <f t="shared" si="36"/>
        <v>653310.7</v>
      </c>
      <c r="AD83" s="137">
        <f t="shared" si="36"/>
        <v>539239.0499999999</v>
      </c>
      <c r="AE83" s="137">
        <f t="shared" si="36"/>
        <v>0</v>
      </c>
      <c r="AF83" s="137">
        <f t="shared" si="36"/>
        <v>0</v>
      </c>
      <c r="AG83" s="137">
        <f t="shared" si="36"/>
        <v>0</v>
      </c>
      <c r="AH83" s="137">
        <f t="shared" si="36"/>
        <v>-41571.311181049976</v>
      </c>
      <c r="AI83" s="137">
        <f t="shared" si="36"/>
        <v>105063</v>
      </c>
      <c r="AJ83" s="137">
        <f aca="true" t="shared" si="37" ref="AJ83:AP83">AJ81*$F$70+AJ82</f>
        <v>0</v>
      </c>
      <c r="AK83" s="137">
        <f t="shared" si="37"/>
        <v>0</v>
      </c>
      <c r="AL83" s="137">
        <f t="shared" si="37"/>
        <v>0</v>
      </c>
      <c r="AM83" s="137">
        <f t="shared" si="37"/>
        <v>0</v>
      </c>
      <c r="AN83" s="137">
        <f t="shared" si="37"/>
        <v>0</v>
      </c>
      <c r="AO83" s="137">
        <f t="shared" si="37"/>
        <v>-629057</v>
      </c>
      <c r="AP83" s="137">
        <f t="shared" si="37"/>
        <v>12834.15</v>
      </c>
      <c r="AQ83" s="137">
        <f>AQ81*$F$70+AQ82</f>
        <v>-184797.9</v>
      </c>
      <c r="AR83" s="137">
        <f aca="true" t="shared" si="38" ref="AR83:BE83">AR81*$F$70</f>
        <v>0</v>
      </c>
      <c r="AS83" s="137">
        <f t="shared" si="38"/>
        <v>0</v>
      </c>
      <c r="AT83" s="137">
        <f t="shared" si="38"/>
        <v>0</v>
      </c>
      <c r="AU83" s="137">
        <f t="shared" si="38"/>
        <v>142312.09999999998</v>
      </c>
      <c r="AV83" s="137">
        <f t="shared" si="38"/>
        <v>42689.85</v>
      </c>
      <c r="AW83" s="137">
        <f>AW81*$F$70</f>
        <v>3279.1499999999996</v>
      </c>
      <c r="AX83" s="137">
        <f t="shared" si="38"/>
        <v>0</v>
      </c>
      <c r="AY83" s="137">
        <f t="shared" si="38"/>
        <v>389.9</v>
      </c>
      <c r="AZ83" s="137">
        <f t="shared" si="38"/>
        <v>-865334.75</v>
      </c>
      <c r="BA83" s="137">
        <f t="shared" si="38"/>
        <v>230081.24999999997</v>
      </c>
      <c r="BB83" s="137">
        <f t="shared" si="38"/>
        <v>0</v>
      </c>
      <c r="BC83" s="137">
        <f t="shared" si="38"/>
        <v>2456.2999999999997</v>
      </c>
      <c r="BD83" s="137">
        <f>BD81*$F$70</f>
        <v>1012094.2999999999</v>
      </c>
      <c r="BE83" s="137">
        <f t="shared" si="38"/>
        <v>0</v>
      </c>
      <c r="BF83" s="137">
        <f>BF81*$F$70</f>
        <v>0</v>
      </c>
      <c r="BG83" s="137">
        <f>BG81*$F$70+BG82</f>
        <v>0</v>
      </c>
      <c r="BH83" s="137">
        <f>BH81*$F$70+BH82</f>
        <v>-13119.05</v>
      </c>
      <c r="BI83" s="137">
        <f>BI81*$F$70+BI82</f>
        <v>0</v>
      </c>
      <c r="BJ83" s="137">
        <f>BJ81*$F$70+BJ82</f>
        <v>0</v>
      </c>
      <c r="BK83" s="137">
        <f>BK81*$F$70+BK82</f>
        <v>0</v>
      </c>
      <c r="BL83" s="137">
        <f aca="true" t="shared" si="39" ref="BL83:BQ83">BL81*$F$70+BL82</f>
        <v>0</v>
      </c>
      <c r="BM83" s="137">
        <f t="shared" si="39"/>
        <v>0</v>
      </c>
      <c r="BN83" s="137">
        <f t="shared" si="39"/>
        <v>0</v>
      </c>
      <c r="BO83" s="137">
        <f t="shared" si="39"/>
        <v>0</v>
      </c>
      <c r="BP83" s="137">
        <f t="shared" si="39"/>
        <v>0</v>
      </c>
      <c r="BQ83" s="137">
        <f t="shared" si="39"/>
        <v>0</v>
      </c>
    </row>
    <row r="84" spans="1:69" s="266" customFormat="1" ht="13.5" thickTop="1">
      <c r="A84" s="18"/>
      <c r="B84" s="39"/>
      <c r="C84" s="41"/>
      <c r="D84" s="41"/>
      <c r="E84" s="41"/>
      <c r="F84" s="41"/>
      <c r="G84" s="41"/>
      <c r="H84" s="41"/>
      <c r="I84" s="41"/>
      <c r="J84" s="41"/>
      <c r="K84" s="41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</row>
    <row r="85" spans="1:69" ht="12.75">
      <c r="A85" s="18"/>
      <c r="B85" s="138" t="s">
        <v>99</v>
      </c>
      <c r="C85" s="18"/>
      <c r="D85" s="139">
        <f>SUM(D83:J83)</f>
        <v>2824744.65</v>
      </c>
      <c r="E85" s="18"/>
      <c r="F85" s="18"/>
      <c r="G85" s="18"/>
      <c r="H85" s="18"/>
      <c r="I85" s="18"/>
      <c r="J85" s="18"/>
      <c r="K85" s="18"/>
      <c r="L85" s="139">
        <f>SUM(L83:X83)</f>
        <v>1527785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39">
        <f>SUM(Y83:AF83)</f>
        <v>-4701379.550000001</v>
      </c>
      <c r="Z85" s="18"/>
      <c r="AA85" s="18"/>
      <c r="AB85" s="18"/>
      <c r="AC85" s="18"/>
      <c r="AD85" s="18"/>
      <c r="AE85" s="18"/>
      <c r="AF85" s="18"/>
      <c r="AG85" s="18"/>
      <c r="AH85" s="139">
        <f>SUM(AH83:AO83)</f>
        <v>-565565.31118105</v>
      </c>
      <c r="AI85" s="18"/>
      <c r="AJ85" s="18"/>
      <c r="AK85" s="18"/>
      <c r="AL85" s="18"/>
      <c r="AM85" s="18"/>
      <c r="AN85" s="18"/>
      <c r="AO85" s="18"/>
      <c r="AP85" s="18"/>
      <c r="AQ85" s="18"/>
      <c r="AR85" s="139">
        <f>SUM(AR83:BG83)</f>
        <v>567968.0999999999</v>
      </c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</row>
    <row r="86" spans="1:69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</row>
    <row r="87" spans="1:69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</row>
    <row r="88" spans="1:69" ht="12.75">
      <c r="A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</row>
    <row r="89" spans="1:69" ht="12.75">
      <c r="A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</row>
    <row r="90" spans="1:69" ht="12.75">
      <c r="A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</row>
    <row r="91" spans="1:69" ht="12.75">
      <c r="A91" s="18"/>
      <c r="H91" s="103"/>
      <c r="I91" s="103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</row>
    <row r="92" spans="1:69" ht="12.75">
      <c r="A92" s="18"/>
      <c r="H92" s="103"/>
      <c r="I92" s="103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</row>
    <row r="93" spans="1:69" ht="12.75">
      <c r="A93" s="18"/>
      <c r="H93" s="19"/>
      <c r="I93" s="19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</row>
    <row r="94" spans="1:69" ht="12.75">
      <c r="A94" s="18"/>
      <c r="H94" s="140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2"/>
      <c r="T94" s="142"/>
      <c r="U94" s="142"/>
      <c r="V94" s="142"/>
      <c r="W94" s="142"/>
      <c r="X94" s="142"/>
      <c r="Y94" s="141"/>
      <c r="Z94" s="141"/>
      <c r="AA94" s="141"/>
      <c r="AB94" s="141"/>
      <c r="AC94" s="141"/>
      <c r="AD94" s="141"/>
      <c r="AE94" s="141"/>
      <c r="AF94" s="141"/>
      <c r="AG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2"/>
      <c r="BC94" s="142"/>
      <c r="BD94" s="142"/>
      <c r="BE94" s="142"/>
      <c r="BF94" s="142"/>
      <c r="BG94" s="142"/>
      <c r="BH94" s="18"/>
      <c r="BI94" s="18"/>
      <c r="BJ94" s="142"/>
      <c r="BK94" s="18"/>
      <c r="BL94" s="18"/>
      <c r="BM94" s="18"/>
      <c r="BN94" s="18"/>
      <c r="BO94" s="18"/>
      <c r="BP94" s="18"/>
      <c r="BQ94" s="18"/>
    </row>
    <row r="95" spans="1:69" ht="12.75">
      <c r="A95" s="18"/>
      <c r="H95" s="23"/>
      <c r="I95" s="23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</row>
    <row r="96" spans="1:69" ht="12.75">
      <c r="A96" s="18"/>
      <c r="H96" s="23"/>
      <c r="I96" s="23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</row>
    <row r="97" spans="1:69" ht="12.75">
      <c r="A97" s="18"/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18"/>
      <c r="BI97" s="18"/>
      <c r="BJ97" s="21"/>
      <c r="BK97" s="18"/>
      <c r="BL97" s="18"/>
      <c r="BM97" s="18"/>
      <c r="BN97" s="18"/>
      <c r="BO97" s="18"/>
      <c r="BP97" s="18"/>
      <c r="BQ97" s="18"/>
    </row>
    <row r="98" spans="1:69" ht="12.75">
      <c r="A98" s="18"/>
      <c r="B98" s="19"/>
      <c r="C98" s="116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18"/>
      <c r="BI98" s="18"/>
      <c r="BJ98" s="21"/>
      <c r="BK98" s="18"/>
      <c r="BL98" s="18"/>
      <c r="BM98" s="18"/>
      <c r="BN98" s="18"/>
      <c r="BO98" s="18"/>
      <c r="BP98" s="18"/>
      <c r="BQ98" s="18"/>
    </row>
    <row r="99" spans="1:69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</row>
    <row r="100" spans="1:69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</row>
    <row r="101" spans="1:69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43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</row>
  </sheetData>
  <mergeCells count="2">
    <mergeCell ref="F1:I1"/>
    <mergeCell ref="F2:I2"/>
  </mergeCells>
  <printOptions/>
  <pageMargins left="1.5" right="0.75" top="1" bottom="1" header="0.5" footer="0.25"/>
  <pageSetup fitToWidth="0" fitToHeight="1" horizontalDpi="600" verticalDpi="600" orientation="portrait" scale="61" r:id="rId1"/>
  <headerFooter alignWithMargins="0">
    <oddHeader>&amp;R&amp;"Times New Roman,Regular"PacifiCorp Docket UE-061546
Exhibit ___ (TES-2)
REVISED 3/22/2007</oddHeader>
    <oddFooter>&amp;R&amp;"Times New Roman,Regular"Page &amp;P of &amp;N</oddFooter>
  </headerFooter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104"/>
  <sheetViews>
    <sheetView workbookViewId="0" topLeftCell="B3">
      <pane xSplit="1" ySplit="4" topLeftCell="C69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E47" sqref="E47"/>
    </sheetView>
  </sheetViews>
  <sheetFormatPr defaultColWidth="9.140625" defaultRowHeight="12.75"/>
  <cols>
    <col min="1" max="1" width="4.140625" style="0" customWidth="1"/>
    <col min="2" max="2" width="39.28125" style="0" customWidth="1"/>
    <col min="3" max="3" width="5.57421875" style="0" customWidth="1"/>
    <col min="4" max="4" width="13.57421875" style="0" customWidth="1"/>
    <col min="5" max="5" width="14.00390625" style="0" customWidth="1"/>
    <col min="6" max="6" width="13.57421875" style="0" customWidth="1"/>
    <col min="7" max="7" width="17.00390625" style="0" customWidth="1"/>
    <col min="8" max="9" width="14.7109375" style="0" customWidth="1"/>
    <col min="10" max="10" width="13.28125" style="0" customWidth="1"/>
    <col min="11" max="12" width="15.57421875" style="0" bestFit="1" customWidth="1"/>
  </cols>
  <sheetData>
    <row r="1" spans="1:31" ht="18.75">
      <c r="A1" s="83"/>
      <c r="B1" s="256" t="s">
        <v>286</v>
      </c>
      <c r="C1" s="256"/>
      <c r="D1" s="256"/>
      <c r="E1" s="256"/>
      <c r="F1" s="256"/>
      <c r="G1" s="256"/>
      <c r="H1" s="256"/>
      <c r="I1" s="145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ht="18.75">
      <c r="A2" s="83"/>
      <c r="C2" s="207"/>
      <c r="D2" s="207"/>
      <c r="E2" s="207"/>
      <c r="F2" s="207"/>
      <c r="G2" s="207"/>
      <c r="H2" s="207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ht="15.75">
      <c r="A3" s="83"/>
      <c r="B3" s="83"/>
      <c r="C3" s="83"/>
      <c r="D3" s="83"/>
      <c r="E3" s="83"/>
      <c r="F3" s="2" t="s">
        <v>304</v>
      </c>
      <c r="G3" s="10" t="s">
        <v>294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ht="15.75">
      <c r="A4" s="83"/>
      <c r="B4" s="83"/>
      <c r="C4" s="185"/>
      <c r="D4" s="186"/>
      <c r="E4" s="186"/>
      <c r="F4" s="10" t="s">
        <v>7</v>
      </c>
      <c r="G4" s="209" t="s">
        <v>7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31" ht="15.75">
      <c r="A5" s="83"/>
      <c r="B5" s="79"/>
      <c r="C5" s="10" t="s">
        <v>148</v>
      </c>
      <c r="D5" s="10" t="s">
        <v>151</v>
      </c>
      <c r="E5" s="10" t="s">
        <v>152</v>
      </c>
      <c r="F5" s="2" t="s">
        <v>153</v>
      </c>
      <c r="G5" s="209" t="s">
        <v>153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15.75">
      <c r="A6" s="83"/>
      <c r="B6" s="203"/>
      <c r="C6" s="80" t="s">
        <v>154</v>
      </c>
      <c r="D6" s="80" t="s">
        <v>155</v>
      </c>
      <c r="E6" s="80" t="s">
        <v>155</v>
      </c>
      <c r="F6" s="80" t="s">
        <v>155</v>
      </c>
      <c r="G6" s="210" t="s">
        <v>295</v>
      </c>
      <c r="H6" s="80" t="s">
        <v>1</v>
      </c>
      <c r="I6" s="80" t="s">
        <v>293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ht="15.75">
      <c r="A7" s="10"/>
      <c r="B7" s="2" t="s">
        <v>296</v>
      </c>
      <c r="C7" s="2" t="s">
        <v>297</v>
      </c>
      <c r="D7" s="2" t="s">
        <v>298</v>
      </c>
      <c r="E7" s="2" t="s">
        <v>299</v>
      </c>
      <c r="F7" s="2" t="s">
        <v>300</v>
      </c>
      <c r="G7" s="208" t="s">
        <v>301</v>
      </c>
      <c r="H7" s="2" t="s">
        <v>302</v>
      </c>
      <c r="I7" s="10" t="s">
        <v>303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</row>
    <row r="8" spans="1:31" ht="15.75">
      <c r="A8" s="83">
        <v>1</v>
      </c>
      <c r="B8" s="34" t="s">
        <v>156</v>
      </c>
      <c r="C8" s="2"/>
      <c r="D8" s="88">
        <v>31739435</v>
      </c>
      <c r="E8" s="187">
        <v>534951251</v>
      </c>
      <c r="F8" s="81">
        <f>ROUND((-+D8+(E8*$E$83))/$F$73,0)</f>
        <v>16996894</v>
      </c>
      <c r="G8" s="89">
        <v>18293896</v>
      </c>
      <c r="H8" s="188">
        <f>+F8-G8</f>
        <v>-1297002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spans="1:31" ht="15.75">
      <c r="A9" s="83">
        <v>2</v>
      </c>
      <c r="B9" s="205" t="s">
        <v>19</v>
      </c>
      <c r="C9" s="2"/>
      <c r="D9" s="88"/>
      <c r="E9" s="88"/>
      <c r="F9" s="88"/>
      <c r="G9" s="88"/>
      <c r="H9" s="188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</row>
    <row r="10" spans="1:31" ht="15.75">
      <c r="A10" s="83">
        <v>3</v>
      </c>
      <c r="B10" s="2" t="s">
        <v>292</v>
      </c>
      <c r="C10" s="2"/>
      <c r="D10" s="88"/>
      <c r="E10" s="88"/>
      <c r="F10" s="88"/>
      <c r="G10" s="88"/>
      <c r="H10" s="188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</row>
    <row r="11" spans="1:31" ht="15.75">
      <c r="A11" s="83">
        <v>4</v>
      </c>
      <c r="B11" s="34" t="s">
        <v>311</v>
      </c>
      <c r="C11" s="2">
        <v>3.1</v>
      </c>
      <c r="D11" s="84">
        <f>+Adjustments!$D$38</f>
        <v>-143284.05</v>
      </c>
      <c r="E11" s="84">
        <f>+Adjustments!$D$65</f>
        <v>0</v>
      </c>
      <c r="F11" s="81">
        <f aca="true" t="shared" si="0" ref="F11:F16">ROUND((-+D11+(E11*$E$83))/$F$73,0)</f>
        <v>230940</v>
      </c>
      <c r="G11" s="84">
        <v>230481</v>
      </c>
      <c r="H11" s="77">
        <f aca="true" t="shared" si="1" ref="H11:H16">+F11-G11</f>
        <v>459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</row>
    <row r="12" spans="1:31" ht="15.75">
      <c r="A12" s="83">
        <v>5</v>
      </c>
      <c r="B12" s="34" t="s">
        <v>312</v>
      </c>
      <c r="C12" s="2">
        <v>3.2</v>
      </c>
      <c r="D12" s="84">
        <f>+Adjustments!$E$38</f>
        <v>-2539148.3</v>
      </c>
      <c r="E12" s="84">
        <f>+Adjustments!$E$65</f>
        <v>0</v>
      </c>
      <c r="F12" s="81">
        <f t="shared" si="0"/>
        <v>4092509</v>
      </c>
      <c r="G12" s="84">
        <v>4084379</v>
      </c>
      <c r="H12" s="77">
        <f t="shared" si="1"/>
        <v>8130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31" ht="15.75">
      <c r="A13" s="83">
        <v>6</v>
      </c>
      <c r="B13" s="34" t="s">
        <v>313</v>
      </c>
      <c r="C13" s="2">
        <v>3.3</v>
      </c>
      <c r="D13" s="84">
        <f>+Adjustments!$F$38</f>
        <v>9182477.850000001</v>
      </c>
      <c r="E13" s="84">
        <f>+Adjustments!$F$65</f>
        <v>0</v>
      </c>
      <c r="F13" s="81">
        <f t="shared" si="0"/>
        <v>-14799993</v>
      </c>
      <c r="G13" s="84">
        <v>-14770591</v>
      </c>
      <c r="H13" s="77">
        <f t="shared" si="1"/>
        <v>-29402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1:31" ht="15.75">
      <c r="A14" s="83">
        <v>7</v>
      </c>
      <c r="B14" s="34" t="s">
        <v>314</v>
      </c>
      <c r="C14" s="2">
        <v>3.4</v>
      </c>
      <c r="D14" s="84">
        <f>+Adjustments!$G$38</f>
        <v>-734689.8</v>
      </c>
      <c r="E14" s="84">
        <f>+Adjustments!$G$65</f>
        <v>0</v>
      </c>
      <c r="F14" s="81">
        <f t="shared" si="0"/>
        <v>1184147</v>
      </c>
      <c r="G14" s="84">
        <v>1181795</v>
      </c>
      <c r="H14" s="77">
        <f t="shared" si="1"/>
        <v>2352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1:31" ht="15.75">
      <c r="A15" s="83">
        <v>8</v>
      </c>
      <c r="B15" s="34" t="s">
        <v>315</v>
      </c>
      <c r="C15" s="2">
        <v>3.5</v>
      </c>
      <c r="D15" s="84">
        <f>+Adjustments!$H$38</f>
        <v>-519400.7</v>
      </c>
      <c r="E15" s="84">
        <f>+Adjustments!$H$65</f>
        <v>0</v>
      </c>
      <c r="F15" s="81">
        <f t="shared" si="0"/>
        <v>837152</v>
      </c>
      <c r="G15" s="84">
        <v>835489</v>
      </c>
      <c r="H15" s="77">
        <f t="shared" si="1"/>
        <v>1663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</row>
    <row r="16" spans="1:31" ht="15.75">
      <c r="A16" s="83">
        <v>9</v>
      </c>
      <c r="B16" s="34" t="s">
        <v>316</v>
      </c>
      <c r="C16" s="2">
        <v>3.6</v>
      </c>
      <c r="D16" s="84">
        <f>+Adjustments!$I$38</f>
        <v>-1246242.65</v>
      </c>
      <c r="E16" s="84">
        <f>+Adjustments!$I$65</f>
        <v>-1457588</v>
      </c>
      <c r="F16" s="81">
        <f t="shared" si="0"/>
        <v>1822951</v>
      </c>
      <c r="G16" s="84">
        <v>1815704</v>
      </c>
      <c r="H16" s="77">
        <f t="shared" si="1"/>
        <v>7247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</row>
    <row r="17" spans="1:31" ht="15.75">
      <c r="A17" s="83">
        <v>10</v>
      </c>
      <c r="B17" s="34"/>
      <c r="C17" s="2"/>
      <c r="D17" s="84"/>
      <c r="E17" s="84"/>
      <c r="F17" s="81"/>
      <c r="G17" s="82"/>
      <c r="H17" s="77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</row>
    <row r="18" spans="1:31" ht="15.75">
      <c r="A18" s="83">
        <v>11</v>
      </c>
      <c r="B18" s="10" t="s">
        <v>289</v>
      </c>
      <c r="C18" s="10"/>
      <c r="D18" s="81"/>
      <c r="E18" s="81"/>
      <c r="F18" s="81"/>
      <c r="G18" s="82"/>
      <c r="H18" s="77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</row>
    <row r="19" spans="1:31" ht="15.75">
      <c r="A19" s="83">
        <v>12</v>
      </c>
      <c r="B19" s="9" t="s">
        <v>317</v>
      </c>
      <c r="C19" s="28">
        <v>4.1</v>
      </c>
      <c r="D19" s="81">
        <f>+Adjustments!$L$38</f>
        <v>26741.65</v>
      </c>
      <c r="E19" s="81">
        <f>+Adjustments!$L$65</f>
        <v>0</v>
      </c>
      <c r="F19" s="81">
        <f aca="true" t="shared" si="2" ref="F19:F28">ROUND((-+D19+(E19*$E$83))/$F$73,0)</f>
        <v>-43101</v>
      </c>
      <c r="G19" s="82">
        <v>-43016</v>
      </c>
      <c r="H19" s="77">
        <f aca="true" t="shared" si="3" ref="H19:H28">+F19-G19</f>
        <v>-85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</row>
    <row r="20" spans="1:31" ht="15.75">
      <c r="A20" s="83">
        <v>13</v>
      </c>
      <c r="B20" s="9" t="s">
        <v>318</v>
      </c>
      <c r="C20" s="28">
        <v>4.2</v>
      </c>
      <c r="D20" s="81">
        <f>+Adjustments!$M$38</f>
        <v>21779.550000000003</v>
      </c>
      <c r="E20" s="81">
        <f>+Adjustments!$M$65</f>
        <v>0</v>
      </c>
      <c r="F20" s="81">
        <f t="shared" si="2"/>
        <v>-35104</v>
      </c>
      <c r="G20" s="82">
        <v>-35034</v>
      </c>
      <c r="H20" s="77">
        <f t="shared" si="3"/>
        <v>-70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</row>
    <row r="21" spans="1:31" ht="15.75">
      <c r="A21" s="83">
        <v>14</v>
      </c>
      <c r="B21" s="9" t="s">
        <v>319</v>
      </c>
      <c r="C21" s="10">
        <v>4.3</v>
      </c>
      <c r="D21" s="81">
        <f>+Adjustments!$N$38</f>
        <v>95894.5</v>
      </c>
      <c r="E21" s="81">
        <f>+Adjustments!$N$65</f>
        <v>0</v>
      </c>
      <c r="F21" s="81">
        <f t="shared" si="2"/>
        <v>-154559</v>
      </c>
      <c r="G21" s="82">
        <v>-154252</v>
      </c>
      <c r="H21" s="77">
        <f t="shared" si="3"/>
        <v>-307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</row>
    <row r="22" spans="1:31" ht="15.75">
      <c r="A22" s="83">
        <v>15</v>
      </c>
      <c r="B22" s="9" t="s">
        <v>256</v>
      </c>
      <c r="C22" s="10">
        <v>4.4</v>
      </c>
      <c r="D22" s="81">
        <f>+Adjustments!$O$38</f>
        <v>213272.8</v>
      </c>
      <c r="E22" s="81">
        <f>+Adjustments!$O$65</f>
        <v>0</v>
      </c>
      <c r="F22" s="81">
        <f t="shared" si="2"/>
        <v>-343746</v>
      </c>
      <c r="G22" s="82">
        <v>-72012</v>
      </c>
      <c r="H22" s="77">
        <f t="shared" si="3"/>
        <v>-271734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</row>
    <row r="23" spans="1:31" ht="15.75">
      <c r="A23" s="83">
        <v>16</v>
      </c>
      <c r="B23" s="9" t="s">
        <v>320</v>
      </c>
      <c r="C23" s="10">
        <v>4.5</v>
      </c>
      <c r="D23" s="81">
        <f>+Adjustments!$P$38</f>
        <v>-109720.65</v>
      </c>
      <c r="E23" s="81">
        <f>+Adjustments!$P$65</f>
        <v>0</v>
      </c>
      <c r="F23" s="81">
        <f t="shared" si="2"/>
        <v>176844</v>
      </c>
      <c r="G23" s="82">
        <v>176493</v>
      </c>
      <c r="H23" s="77">
        <f t="shared" si="3"/>
        <v>351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</row>
    <row r="24" spans="1:31" ht="15.75">
      <c r="A24" s="83">
        <v>17</v>
      </c>
      <c r="B24" s="9" t="s">
        <v>321</v>
      </c>
      <c r="C24" s="10">
        <v>4.6</v>
      </c>
      <c r="D24" s="81">
        <f>+Adjustments!$Q$38</f>
        <v>7089.55</v>
      </c>
      <c r="E24" s="81">
        <f>+Adjustments!$Q$65</f>
        <v>0</v>
      </c>
      <c r="F24" s="81">
        <f t="shared" si="2"/>
        <v>-11427</v>
      </c>
      <c r="G24" s="82">
        <v>-11404</v>
      </c>
      <c r="H24" s="77">
        <f t="shared" si="3"/>
        <v>-23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</row>
    <row r="25" spans="1:31" ht="15.75">
      <c r="A25" s="83">
        <v>18</v>
      </c>
      <c r="B25" s="9" t="s">
        <v>322</v>
      </c>
      <c r="C25" s="10">
        <v>4.7</v>
      </c>
      <c r="D25" s="81">
        <f>+Adjustments!$R$38</f>
        <v>3224446.55</v>
      </c>
      <c r="E25" s="81">
        <f>+Adjustments!$R$65</f>
        <v>0</v>
      </c>
      <c r="F25" s="81">
        <f t="shared" si="2"/>
        <v>-5197049</v>
      </c>
      <c r="G25" s="82">
        <v>-5186724</v>
      </c>
      <c r="H25" s="77">
        <f t="shared" si="3"/>
        <v>-10325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</row>
    <row r="26" spans="1:31" ht="15.75">
      <c r="A26" s="83">
        <v>19</v>
      </c>
      <c r="B26" s="9" t="s">
        <v>323</v>
      </c>
      <c r="C26" s="10">
        <v>4.8</v>
      </c>
      <c r="D26" s="81">
        <f>+Adjustments!$S$38</f>
        <v>53311.05</v>
      </c>
      <c r="E26" s="81">
        <f>+Adjustments!$S$65</f>
        <v>0</v>
      </c>
      <c r="F26" s="81">
        <f t="shared" si="2"/>
        <v>-85925</v>
      </c>
      <c r="G26" s="82">
        <v>-85754</v>
      </c>
      <c r="H26" s="77">
        <f t="shared" si="3"/>
        <v>-171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</row>
    <row r="27" spans="1:31" ht="15.75">
      <c r="A27" s="83">
        <v>20</v>
      </c>
      <c r="B27" s="9" t="s">
        <v>324</v>
      </c>
      <c r="C27" s="10">
        <v>4.9</v>
      </c>
      <c r="D27" s="251">
        <f>+Adjustments!$T$38</f>
        <v>0</v>
      </c>
      <c r="E27" s="81">
        <f>+Adjustments!$T$65</f>
        <v>0</v>
      </c>
      <c r="F27" s="81">
        <f t="shared" si="2"/>
        <v>0</v>
      </c>
      <c r="G27" s="82">
        <v>-492403</v>
      </c>
      <c r="H27" s="77">
        <f t="shared" si="3"/>
        <v>492403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</row>
    <row r="28" spans="1:31" ht="15.75">
      <c r="A28" s="83">
        <v>21</v>
      </c>
      <c r="B28" s="9" t="s">
        <v>283</v>
      </c>
      <c r="C28" s="11">
        <v>4.1</v>
      </c>
      <c r="D28" s="81">
        <f>+Adjustments!U38</f>
        <v>-695500</v>
      </c>
      <c r="E28" s="81">
        <f>+Adjustments!U65</f>
        <v>0</v>
      </c>
      <c r="F28" s="81">
        <f t="shared" si="2"/>
        <v>1120982</v>
      </c>
      <c r="G28" s="82">
        <v>0</v>
      </c>
      <c r="H28" s="77">
        <f t="shared" si="3"/>
        <v>1120982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</row>
    <row r="29" spans="1:31" ht="15.75">
      <c r="A29" s="83">
        <v>22</v>
      </c>
      <c r="B29" s="9"/>
      <c r="C29" s="11"/>
      <c r="D29" s="81"/>
      <c r="E29" s="81"/>
      <c r="F29" s="81"/>
      <c r="G29" s="82"/>
      <c r="H29" s="77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</row>
    <row r="30" spans="1:31" ht="15.75">
      <c r="A30" s="83">
        <v>23</v>
      </c>
      <c r="B30" s="9"/>
      <c r="C30" s="11"/>
      <c r="D30" s="81"/>
      <c r="E30" s="81"/>
      <c r="F30" s="81"/>
      <c r="G30" s="82"/>
      <c r="H30" s="77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</row>
    <row r="31" spans="1:31" ht="15.75">
      <c r="A31" s="83">
        <v>24</v>
      </c>
      <c r="B31" s="10" t="s">
        <v>362</v>
      </c>
      <c r="C31" s="10"/>
      <c r="D31" s="81"/>
      <c r="E31" s="81"/>
      <c r="F31" s="81"/>
      <c r="G31" s="82"/>
      <c r="H31" s="77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</row>
    <row r="32" spans="1:31" ht="15.75">
      <c r="A32" s="83">
        <v>25</v>
      </c>
      <c r="B32" s="9" t="s">
        <v>325</v>
      </c>
      <c r="C32" s="10">
        <v>5.1</v>
      </c>
      <c r="D32" s="81">
        <f>+Adjustments!$Y$38</f>
        <v>-13034252.4</v>
      </c>
      <c r="E32" s="81">
        <f>+Adjustments!$Y$65</f>
        <v>0</v>
      </c>
      <c r="F32" s="81">
        <f aca="true" t="shared" si="4" ref="F32:F38">ROUND((-+D32+(E32*$E$83))/$F$73,0)</f>
        <v>21008147</v>
      </c>
      <c r="G32" s="82">
        <v>20966412</v>
      </c>
      <c r="H32" s="77">
        <f aca="true" t="shared" si="5" ref="H32:H38">+F32-G32</f>
        <v>41735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</row>
    <row r="33" spans="1:31" ht="15.75">
      <c r="A33" s="83">
        <v>26</v>
      </c>
      <c r="B33" s="9" t="s">
        <v>326</v>
      </c>
      <c r="C33" s="10">
        <v>5.2</v>
      </c>
      <c r="D33" s="81">
        <f>+Adjustments!$Z$38</f>
        <v>1058428.15</v>
      </c>
      <c r="E33" s="81">
        <f>+Adjustments!$Z$65</f>
        <v>0</v>
      </c>
      <c r="F33" s="81">
        <f t="shared" si="4"/>
        <v>-1705937</v>
      </c>
      <c r="G33" s="82">
        <v>-1702548</v>
      </c>
      <c r="H33" s="77">
        <f t="shared" si="5"/>
        <v>-3389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</row>
    <row r="34" spans="1:31" ht="15.75">
      <c r="A34" s="83">
        <v>27</v>
      </c>
      <c r="B34" s="9" t="s">
        <v>327</v>
      </c>
      <c r="C34" s="10">
        <v>5.3</v>
      </c>
      <c r="D34" s="81">
        <f>+Adjustments!$AA$38</f>
        <v>678441.15</v>
      </c>
      <c r="E34" s="81">
        <f>+Adjustments!$AA$65</f>
        <v>-9665246</v>
      </c>
      <c r="F34" s="81">
        <f t="shared" si="4"/>
        <v>-2324851</v>
      </c>
      <c r="G34" s="82">
        <v>-2344276</v>
      </c>
      <c r="H34" s="77">
        <f t="shared" si="5"/>
        <v>19425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</row>
    <row r="35" spans="1:31" ht="15.75">
      <c r="A35" s="83">
        <v>28</v>
      </c>
      <c r="B35" s="9" t="s">
        <v>308</v>
      </c>
      <c r="C35" s="10">
        <v>5.4</v>
      </c>
      <c r="D35" s="81">
        <f>+Adjustments!AB38</f>
        <v>992664.4</v>
      </c>
      <c r="E35" s="81">
        <f>+Adjustments!AB65</f>
        <v>0</v>
      </c>
      <c r="F35" s="81">
        <f t="shared" si="4"/>
        <v>-1599941</v>
      </c>
      <c r="G35" s="82">
        <v>0</v>
      </c>
      <c r="H35" s="77">
        <f t="shared" si="5"/>
        <v>-1599941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</row>
    <row r="36" spans="1:31" ht="15.75">
      <c r="A36" s="83">
        <v>29</v>
      </c>
      <c r="B36" s="9" t="s">
        <v>363</v>
      </c>
      <c r="C36" s="10">
        <v>5.5</v>
      </c>
      <c r="D36" s="81">
        <f>+Adjustments!AC38</f>
        <v>856315.2999999998</v>
      </c>
      <c r="E36" s="251">
        <f>+Adjustments!AC65</f>
        <v>-6154114</v>
      </c>
      <c r="F36" s="81">
        <f t="shared" si="4"/>
        <v>-2164220</v>
      </c>
      <c r="G36" s="82">
        <v>0</v>
      </c>
      <c r="H36" s="77">
        <f t="shared" si="5"/>
        <v>-2164220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</row>
    <row r="37" spans="1:31" ht="15.75">
      <c r="A37" s="83">
        <v>30</v>
      </c>
      <c r="B37" s="9" t="s">
        <v>309</v>
      </c>
      <c r="C37" s="10">
        <v>5.6</v>
      </c>
      <c r="D37" s="81">
        <f>+Adjustments!AD38</f>
        <v>1001443.9500000001</v>
      </c>
      <c r="E37" s="81">
        <f>+Adjustments!AD65</f>
        <v>0</v>
      </c>
      <c r="F37" s="81">
        <f t="shared" si="4"/>
        <v>-1614092</v>
      </c>
      <c r="G37" s="82">
        <v>0</v>
      </c>
      <c r="H37" s="77">
        <f t="shared" si="5"/>
        <v>-1614092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</row>
    <row r="38" spans="1:31" ht="15.75">
      <c r="A38" s="83">
        <v>31</v>
      </c>
      <c r="B38" s="9"/>
      <c r="C38" s="10"/>
      <c r="D38" s="81"/>
      <c r="E38" s="81"/>
      <c r="F38" s="81"/>
      <c r="G38" s="82"/>
      <c r="H38" s="77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</row>
    <row r="39" spans="1:31" ht="15.75">
      <c r="A39" s="83">
        <v>32</v>
      </c>
      <c r="B39" s="9"/>
      <c r="C39" s="10"/>
      <c r="D39" s="81"/>
      <c r="E39" s="81"/>
      <c r="F39" s="81"/>
      <c r="G39" s="82"/>
      <c r="H39" s="77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</row>
    <row r="40" spans="1:31" ht="15.75">
      <c r="A40" s="83">
        <v>33</v>
      </c>
      <c r="B40" s="10" t="s">
        <v>290</v>
      </c>
      <c r="C40" s="10"/>
      <c r="D40" s="81"/>
      <c r="E40" s="81"/>
      <c r="F40" s="81"/>
      <c r="G40" s="82"/>
      <c r="H40" s="77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</row>
    <row r="41" spans="1:31" ht="15.75">
      <c r="A41" s="83">
        <v>34</v>
      </c>
      <c r="B41" s="9" t="s">
        <v>257</v>
      </c>
      <c r="C41" s="10">
        <v>7.1</v>
      </c>
      <c r="D41" s="81">
        <f>+Adjustments!$AH$38</f>
        <v>41571.311181049976</v>
      </c>
      <c r="E41" s="81">
        <f>+Adjustments!$AH$65</f>
        <v>0</v>
      </c>
      <c r="F41" s="81">
        <f aca="true" t="shared" si="6" ref="F41:F49">ROUND((-+D41+(E41*$E$83))/$F$73,0)</f>
        <v>-67003</v>
      </c>
      <c r="G41" s="82">
        <v>368211</v>
      </c>
      <c r="H41" s="77">
        <f>+F41-G41</f>
        <v>-435214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</row>
    <row r="42" spans="1:31" ht="15.75">
      <c r="A42" s="83">
        <v>35</v>
      </c>
      <c r="B42" s="9" t="s">
        <v>328</v>
      </c>
      <c r="C42" s="10">
        <v>7.2</v>
      </c>
      <c r="D42" s="81">
        <f>+Adjustments!$AI$38</f>
        <v>195117</v>
      </c>
      <c r="E42" s="81">
        <f>+Adjustments!$AI$65</f>
        <v>0</v>
      </c>
      <c r="F42" s="81">
        <f t="shared" si="6"/>
        <v>-314483</v>
      </c>
      <c r="G42" s="82">
        <v>-313858</v>
      </c>
      <c r="H42" s="77">
        <f>+F42-G42</f>
        <v>-625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</row>
    <row r="43" spans="1:31" ht="15.75">
      <c r="A43" s="83">
        <v>36</v>
      </c>
      <c r="B43" s="9" t="s">
        <v>329</v>
      </c>
      <c r="C43" s="10">
        <v>7.3</v>
      </c>
      <c r="D43" s="81">
        <f>+Adjustments!$AJ$38</f>
        <v>0</v>
      </c>
      <c r="E43" s="81">
        <f>+Adjustments!$AJ$65</f>
        <v>-16435</v>
      </c>
      <c r="F43" s="81">
        <f t="shared" si="6"/>
        <v>-2094</v>
      </c>
      <c r="G43" s="82">
        <v>-2131</v>
      </c>
      <c r="H43" s="77">
        <f>+F43-G43</f>
        <v>37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</row>
    <row r="44" spans="1:31" ht="15.75">
      <c r="A44" s="83">
        <v>37</v>
      </c>
      <c r="B44" s="9" t="s">
        <v>330</v>
      </c>
      <c r="C44" s="10">
        <v>7.4</v>
      </c>
      <c r="D44" s="81">
        <f>+Adjustments!$AK$38</f>
        <v>297441</v>
      </c>
      <c r="E44" s="81">
        <f>+Adjustments!$AK$65</f>
        <v>-1487206</v>
      </c>
      <c r="F44" s="81">
        <f t="shared" si="6"/>
        <v>-668877</v>
      </c>
      <c r="G44" s="82">
        <v>-671247</v>
      </c>
      <c r="H44" s="77">
        <f aca="true" t="shared" si="7" ref="H44:H49">+F44-G44</f>
        <v>2370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</row>
    <row r="45" spans="1:31" ht="15.75">
      <c r="A45" s="83">
        <v>38</v>
      </c>
      <c r="B45" s="9" t="s">
        <v>331</v>
      </c>
      <c r="C45" s="10">
        <v>7.5</v>
      </c>
      <c r="D45" s="81">
        <f>+Adjustments!$AL$38</f>
        <v>1217863</v>
      </c>
      <c r="E45" s="81">
        <f>+Adjustments!$AL$65</f>
        <v>-10531719</v>
      </c>
      <c r="F45" s="81">
        <f t="shared" si="6"/>
        <v>-3304661</v>
      </c>
      <c r="G45" s="82">
        <v>-3324296</v>
      </c>
      <c r="H45" s="77">
        <f t="shared" si="7"/>
        <v>19635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</row>
    <row r="46" spans="1:31" ht="15.75">
      <c r="A46" s="83">
        <v>39</v>
      </c>
      <c r="B46" s="9" t="s">
        <v>157</v>
      </c>
      <c r="C46" s="10">
        <v>7.6</v>
      </c>
      <c r="D46" s="81">
        <f>+Adjustments!$AM$38</f>
        <v>0</v>
      </c>
      <c r="E46" s="81">
        <f>+Adjustments!$AM$65</f>
        <v>0</v>
      </c>
      <c r="F46" s="81">
        <f t="shared" si="6"/>
        <v>0</v>
      </c>
      <c r="G46" s="82">
        <v>1082832</v>
      </c>
      <c r="H46" s="77">
        <f t="shared" si="7"/>
        <v>-1082832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</row>
    <row r="47" spans="1:31" ht="15.75">
      <c r="A47" s="83">
        <v>40</v>
      </c>
      <c r="B47" s="9" t="s">
        <v>332</v>
      </c>
      <c r="C47" s="10">
        <v>7.7</v>
      </c>
      <c r="D47" s="81">
        <f>+Adjustments!$AN$38</f>
        <v>0</v>
      </c>
      <c r="E47" s="81">
        <f>+Adjustments!$AN$65</f>
        <v>-377919</v>
      </c>
      <c r="F47" s="81">
        <f t="shared" si="6"/>
        <v>-48147</v>
      </c>
      <c r="G47" s="82">
        <v>-48992</v>
      </c>
      <c r="H47" s="77">
        <f t="shared" si="7"/>
        <v>845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</row>
    <row r="48" spans="1:31" ht="15.75">
      <c r="A48" s="83">
        <v>41</v>
      </c>
      <c r="B48" s="9" t="s">
        <v>333</v>
      </c>
      <c r="C48" s="10">
        <v>7.8</v>
      </c>
      <c r="D48" s="81">
        <f>+Adjustments!$AO$38</f>
        <v>629057</v>
      </c>
      <c r="E48" s="81">
        <f>+Adjustments!$AO$65</f>
        <v>0</v>
      </c>
      <c r="F48" s="81">
        <f t="shared" si="6"/>
        <v>-1013892</v>
      </c>
      <c r="G48" s="82">
        <v>-1011878</v>
      </c>
      <c r="H48" s="77">
        <f t="shared" si="7"/>
        <v>-2014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</row>
    <row r="49" spans="1:31" ht="15.75">
      <c r="A49" s="83">
        <v>42</v>
      </c>
      <c r="B49" s="9" t="s">
        <v>334</v>
      </c>
      <c r="C49" s="10">
        <v>7.9</v>
      </c>
      <c r="D49" s="81">
        <f>+Adjustments!$AP$38</f>
        <v>23834.85</v>
      </c>
      <c r="E49" s="81">
        <f>+Adjustments!$AP$65</f>
        <v>0</v>
      </c>
      <c r="F49" s="81">
        <f t="shared" si="6"/>
        <v>-38416</v>
      </c>
      <c r="G49" s="82">
        <v>-38340</v>
      </c>
      <c r="H49" s="77">
        <f t="shared" si="7"/>
        <v>-76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1:31" ht="15.75">
      <c r="A50" s="83">
        <v>43</v>
      </c>
      <c r="B50" s="9" t="s">
        <v>288</v>
      </c>
      <c r="C50" s="11">
        <v>7.1</v>
      </c>
      <c r="D50" s="81">
        <f>+Adjustments!AQ38</f>
        <v>184797.9</v>
      </c>
      <c r="E50" s="81">
        <f>+Adjustments!AQ65</f>
        <v>0</v>
      </c>
      <c r="F50" s="81">
        <f>ROUND((-+D50+(E50*$E$83))/$F$73,0)</f>
        <v>-297851</v>
      </c>
      <c r="G50" s="82">
        <v>0</v>
      </c>
      <c r="H50" s="77">
        <f>+F50-G50</f>
        <v>-297851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1:31" ht="15.75">
      <c r="A51" s="83">
        <v>44</v>
      </c>
      <c r="B51" s="9"/>
      <c r="C51" s="10"/>
      <c r="D51" s="84"/>
      <c r="E51" s="84"/>
      <c r="F51" s="81"/>
      <c r="G51" s="82"/>
      <c r="H51" s="77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</row>
    <row r="52" spans="1:31" ht="15.75">
      <c r="A52" s="83">
        <v>45</v>
      </c>
      <c r="B52" s="10" t="s">
        <v>291</v>
      </c>
      <c r="C52" s="10"/>
      <c r="D52" s="84"/>
      <c r="E52" s="84"/>
      <c r="F52" s="81"/>
      <c r="G52" s="82"/>
      <c r="H52" s="77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</row>
    <row r="53" spans="1:31" ht="15.75">
      <c r="A53" s="83">
        <v>46</v>
      </c>
      <c r="B53" s="9" t="s">
        <v>158</v>
      </c>
      <c r="C53" s="10">
        <v>8.1</v>
      </c>
      <c r="D53" s="81">
        <f>+Adjustments!$AR$38</f>
        <v>0</v>
      </c>
      <c r="E53" s="81">
        <f>+Adjustments!$AR$65</f>
        <v>0</v>
      </c>
      <c r="F53" s="81">
        <f aca="true" t="shared" si="8" ref="F53:F69">ROUND((-+D53+(E53*$E$83))/$F$73,0)</f>
        <v>0</v>
      </c>
      <c r="G53" s="82">
        <v>22796</v>
      </c>
      <c r="H53" s="77">
        <f aca="true" t="shared" si="9" ref="H53:H65">+F53-G53</f>
        <v>-22796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</row>
    <row r="54" spans="1:31" ht="15.75">
      <c r="A54" s="83">
        <v>47</v>
      </c>
      <c r="B54" s="9" t="s">
        <v>335</v>
      </c>
      <c r="C54" s="10">
        <v>8.2</v>
      </c>
      <c r="D54" s="81">
        <f>+Adjustments!$AS$38</f>
        <v>0</v>
      </c>
      <c r="E54" s="81">
        <f>+Adjustments!$AS$65</f>
        <v>-2814534</v>
      </c>
      <c r="F54" s="81">
        <f t="shared" si="8"/>
        <v>-358575</v>
      </c>
      <c r="G54" s="82">
        <v>-364864</v>
      </c>
      <c r="H54" s="77">
        <f t="shared" si="9"/>
        <v>6289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</row>
    <row r="55" spans="1:31" ht="15.75">
      <c r="A55" s="83">
        <v>48</v>
      </c>
      <c r="B55" s="9" t="s">
        <v>159</v>
      </c>
      <c r="C55" s="10">
        <v>8.3</v>
      </c>
      <c r="D55" s="81">
        <f>+Adjustments!$AT$38</f>
        <v>0</v>
      </c>
      <c r="E55" s="81">
        <f>+Adjustments!$AT$65</f>
        <v>18630829</v>
      </c>
      <c r="F55" s="81">
        <f t="shared" si="8"/>
        <v>2373589</v>
      </c>
      <c r="G55" s="82">
        <v>2633158</v>
      </c>
      <c r="H55" s="77">
        <f t="shared" si="9"/>
        <v>-259569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</row>
    <row r="56" spans="1:31" ht="15.75">
      <c r="A56" s="83">
        <v>49</v>
      </c>
      <c r="B56" s="9" t="s">
        <v>336</v>
      </c>
      <c r="C56" s="10">
        <v>8.4</v>
      </c>
      <c r="D56" s="81">
        <f>+Adjustments!$AU$38</f>
        <v>-86378.09999999998</v>
      </c>
      <c r="E56" s="81">
        <f>+Adjustments!$AU$65</f>
        <v>112424</v>
      </c>
      <c r="F56" s="81">
        <f t="shared" si="8"/>
        <v>153544</v>
      </c>
      <c r="G56" s="82">
        <v>153519</v>
      </c>
      <c r="H56" s="77">
        <f t="shared" si="9"/>
        <v>25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</row>
    <row r="57" spans="1:31" ht="15.75">
      <c r="A57" s="83">
        <v>50</v>
      </c>
      <c r="B57" s="9" t="s">
        <v>337</v>
      </c>
      <c r="C57" s="10">
        <v>8.5</v>
      </c>
      <c r="D57" s="81">
        <f>+Adjustments!$AV$38</f>
        <v>79281.15</v>
      </c>
      <c r="E57" s="81">
        <f>+Adjustments!$AV$65</f>
        <v>-130323</v>
      </c>
      <c r="F57" s="81">
        <f t="shared" si="8"/>
        <v>-144386</v>
      </c>
      <c r="G57" s="82">
        <v>-144423</v>
      </c>
      <c r="H57" s="77">
        <f t="shared" si="9"/>
        <v>37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</row>
    <row r="58" spans="1:31" ht="15.75">
      <c r="A58" s="83">
        <v>51</v>
      </c>
      <c r="B58" s="9" t="s">
        <v>338</v>
      </c>
      <c r="C58" s="10">
        <v>8.6</v>
      </c>
      <c r="D58" s="81">
        <f>+Adjustments!$AW$38</f>
        <v>6089.85</v>
      </c>
      <c r="E58" s="81">
        <f>+Adjustments!$AW$65</f>
        <v>-441866</v>
      </c>
      <c r="F58" s="81">
        <f t="shared" si="8"/>
        <v>-66110</v>
      </c>
      <c r="G58" s="85">
        <v>-67078</v>
      </c>
      <c r="H58" s="77">
        <f t="shared" si="9"/>
        <v>968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</row>
    <row r="59" spans="1:31" ht="15.75">
      <c r="A59" s="83">
        <v>52</v>
      </c>
      <c r="B59" s="9" t="s">
        <v>339</v>
      </c>
      <c r="C59" s="10">
        <v>8.7</v>
      </c>
      <c r="D59" s="81">
        <f>+Adjustments!$AX$38</f>
        <v>0</v>
      </c>
      <c r="E59" s="81">
        <f>+Adjustments!$AX$65</f>
        <v>984551</v>
      </c>
      <c r="F59" s="81">
        <f t="shared" si="8"/>
        <v>125433</v>
      </c>
      <c r="G59" s="85">
        <v>127633</v>
      </c>
      <c r="H59" s="77">
        <f t="shared" si="9"/>
        <v>-2200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</row>
    <row r="60" spans="1:31" ht="15.75">
      <c r="A60" s="83">
        <v>53</v>
      </c>
      <c r="B60" s="9" t="s">
        <v>340</v>
      </c>
      <c r="C60" s="10">
        <v>8.8</v>
      </c>
      <c r="D60" s="81">
        <f>+Adjustments!$AY$38</f>
        <v>724.1</v>
      </c>
      <c r="E60" s="81">
        <f>+Adjustments!$AY$65</f>
        <v>-38931</v>
      </c>
      <c r="F60" s="81">
        <f t="shared" si="8"/>
        <v>-6127</v>
      </c>
      <c r="G60" s="82">
        <v>-6212</v>
      </c>
      <c r="H60" s="77">
        <f t="shared" si="9"/>
        <v>85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</row>
    <row r="61" spans="1:31" ht="15.75">
      <c r="A61" s="83">
        <v>54</v>
      </c>
      <c r="B61" s="34" t="s">
        <v>341</v>
      </c>
      <c r="C61" s="38">
        <v>8.9</v>
      </c>
      <c r="D61" s="81">
        <f>+Adjustments!$AZ$38</f>
        <v>-946413.25</v>
      </c>
      <c r="E61" s="81">
        <f>+Adjustments!$AZ$65</f>
        <v>21751568</v>
      </c>
      <c r="F61" s="81">
        <f t="shared" si="8"/>
        <v>4296570</v>
      </c>
      <c r="G61" s="82">
        <v>4342144</v>
      </c>
      <c r="H61" s="77">
        <f t="shared" si="9"/>
        <v>-45574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</row>
    <row r="62" spans="1:31" ht="15.75">
      <c r="A62" s="83">
        <v>55</v>
      </c>
      <c r="B62" s="34" t="s">
        <v>342</v>
      </c>
      <c r="C62" s="176">
        <v>8.1</v>
      </c>
      <c r="D62" s="81">
        <f>+Adjustments!$BA$38</f>
        <v>427293.75</v>
      </c>
      <c r="E62" s="81">
        <f>+Adjustments!$BA$65</f>
        <v>0</v>
      </c>
      <c r="F62" s="81">
        <f t="shared" si="8"/>
        <v>-688697</v>
      </c>
      <c r="G62" s="82">
        <v>-687329</v>
      </c>
      <c r="H62" s="77">
        <f t="shared" si="9"/>
        <v>-1368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</row>
    <row r="63" spans="1:31" ht="15.75">
      <c r="A63" s="83">
        <v>56</v>
      </c>
      <c r="B63" s="34" t="s">
        <v>343</v>
      </c>
      <c r="C63" s="38">
        <v>8.11</v>
      </c>
      <c r="D63" s="81">
        <f>+Adjustments!$BB$38</f>
        <v>33000</v>
      </c>
      <c r="E63" s="81">
        <f>+Adjustments!$BB$65</f>
        <v>-481839</v>
      </c>
      <c r="F63" s="81">
        <f t="shared" si="8"/>
        <v>-114575</v>
      </c>
      <c r="G63" s="82">
        <v>-115546</v>
      </c>
      <c r="H63" s="77">
        <f t="shared" si="9"/>
        <v>971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</row>
    <row r="64" spans="1:31" ht="15.75">
      <c r="A64" s="83">
        <v>57</v>
      </c>
      <c r="B64" s="34" t="s">
        <v>344</v>
      </c>
      <c r="C64" s="38">
        <v>8.12</v>
      </c>
      <c r="D64" s="81">
        <f>+Adjustments!$BC$38</f>
        <v>280615.7</v>
      </c>
      <c r="E64" s="81">
        <f>+Adjustments!$BC$65</f>
        <v>660546</v>
      </c>
      <c r="F64" s="81">
        <f t="shared" si="8"/>
        <v>-368132</v>
      </c>
      <c r="G64" s="82">
        <v>-365758</v>
      </c>
      <c r="H64" s="77">
        <f t="shared" si="9"/>
        <v>-2374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</row>
    <row r="65" spans="1:31" ht="15.75">
      <c r="A65" s="83">
        <v>58</v>
      </c>
      <c r="B65" s="34" t="s">
        <v>284</v>
      </c>
      <c r="C65" s="38">
        <v>8.13</v>
      </c>
      <c r="D65" s="81">
        <f>+Adjustments!$BD$38</f>
        <v>1879603.7000000002</v>
      </c>
      <c r="E65" s="251">
        <f>+Adjustments!$BD$65</f>
        <v>1592618</v>
      </c>
      <c r="F65" s="81">
        <f t="shared" si="8"/>
        <v>-2826577</v>
      </c>
      <c r="G65" s="82">
        <v>-1044879</v>
      </c>
      <c r="H65" s="77">
        <f t="shared" si="9"/>
        <v>-1781698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</row>
    <row r="66" spans="1:31" ht="15.75">
      <c r="A66" s="83">
        <v>59</v>
      </c>
      <c r="B66" s="34" t="s">
        <v>287</v>
      </c>
      <c r="C66" s="38">
        <v>8.14</v>
      </c>
      <c r="D66" s="81">
        <f>+Adjustments!BE38</f>
        <v>0</v>
      </c>
      <c r="E66" s="81">
        <f>+Adjustments!BE65</f>
        <v>-4014806</v>
      </c>
      <c r="F66" s="81">
        <f t="shared" si="8"/>
        <v>-511491</v>
      </c>
      <c r="G66" s="82">
        <v>0</v>
      </c>
      <c r="H66" s="77">
        <f>+F66-G66</f>
        <v>-511491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</row>
    <row r="67" spans="1:31" ht="15.75">
      <c r="A67" s="83">
        <v>60</v>
      </c>
      <c r="B67" s="34" t="s">
        <v>173</v>
      </c>
      <c r="C67" s="38">
        <v>8.15</v>
      </c>
      <c r="D67" s="81">
        <f>+Adjustments!BF38</f>
        <v>0</v>
      </c>
      <c r="E67" s="81">
        <f>+Adjustments!BF65</f>
        <v>-12166362</v>
      </c>
      <c r="F67" s="81">
        <f t="shared" si="8"/>
        <v>-1550008</v>
      </c>
      <c r="G67" s="82">
        <v>0</v>
      </c>
      <c r="H67" s="77">
        <f>+F67-G67</f>
        <v>-1550008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</row>
    <row r="68" spans="1:31" ht="15.75">
      <c r="A68" s="83">
        <v>61</v>
      </c>
      <c r="B68" s="34" t="s">
        <v>310</v>
      </c>
      <c r="C68" s="38">
        <v>8.16</v>
      </c>
      <c r="D68" s="84">
        <f>+Adjustments!BG38</f>
        <v>0</v>
      </c>
      <c r="E68" s="84">
        <f>+Adjustments!BG65</f>
        <v>8321198</v>
      </c>
      <c r="F68" s="81">
        <f t="shared" si="8"/>
        <v>1060130</v>
      </c>
      <c r="G68" s="82">
        <v>0</v>
      </c>
      <c r="H68" s="77">
        <f>+F68-G68</f>
        <v>1060130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</row>
    <row r="69" spans="1:31" ht="15.75">
      <c r="A69" s="83">
        <v>62</v>
      </c>
      <c r="B69" s="34" t="s">
        <v>270</v>
      </c>
      <c r="C69" s="38">
        <v>8.17</v>
      </c>
      <c r="D69" s="84">
        <f>+Adjustments!BH38</f>
        <v>-24363.95</v>
      </c>
      <c r="E69" s="84">
        <f>+Adjustments!BH65</f>
        <v>-2001969</v>
      </c>
      <c r="F69" s="81">
        <f t="shared" si="8"/>
        <v>-215784</v>
      </c>
      <c r="G69" s="82">
        <v>0</v>
      </c>
      <c r="H69" s="77">
        <f>+F69-G69</f>
        <v>-215784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</row>
    <row r="70" spans="1:31" ht="15.75">
      <c r="A70" s="83">
        <v>63</v>
      </c>
      <c r="B70" s="34"/>
      <c r="C70" s="38"/>
      <c r="D70" s="84"/>
      <c r="E70" s="84"/>
      <c r="F70" s="81"/>
      <c r="G70" s="82"/>
      <c r="H70" s="77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</row>
    <row r="71" spans="1:31" ht="15.75">
      <c r="A71" s="83">
        <v>64</v>
      </c>
      <c r="B71" s="34"/>
      <c r="C71" s="38"/>
      <c r="D71" s="84"/>
      <c r="E71" s="84"/>
      <c r="F71" s="81"/>
      <c r="G71" s="82"/>
      <c r="H71" s="77"/>
      <c r="I71" s="189" t="s">
        <v>274</v>
      </c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</row>
    <row r="72" spans="1:31" ht="16.5" thickBot="1">
      <c r="A72" s="83">
        <v>65</v>
      </c>
      <c r="B72" s="86" t="s">
        <v>5</v>
      </c>
      <c r="C72" s="87"/>
      <c r="D72" s="177">
        <f>SUM(D8:D71)</f>
        <v>34368637.91118103</v>
      </c>
      <c r="E72" s="177">
        <f>SUM(E8:E71)</f>
        <v>535224128</v>
      </c>
      <c r="F72" s="272">
        <f>SUM(F8:F71)</f>
        <v>12794001</v>
      </c>
      <c r="G72" s="177">
        <f>SUM(G8:G71)</f>
        <v>23210097</v>
      </c>
      <c r="H72" s="177">
        <f>SUM(H8:H71)</f>
        <v>-10416096</v>
      </c>
      <c r="I72" s="180">
        <f>+F72-G72</f>
        <v>-10416096</v>
      </c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</row>
    <row r="73" spans="1:31" ht="16.5" thickTop="1">
      <c r="A73" s="83">
        <v>66</v>
      </c>
      <c r="B73" s="34" t="s">
        <v>122</v>
      </c>
      <c r="C73" s="83"/>
      <c r="D73" s="88"/>
      <c r="F73" s="92">
        <f>+'Conversion factor'!$C$14</f>
        <v>0.620438</v>
      </c>
      <c r="G73" s="190">
        <v>0.62167</v>
      </c>
      <c r="H73" s="89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</row>
    <row r="74" spans="1:31" ht="15.75">
      <c r="A74" s="83">
        <v>67</v>
      </c>
      <c r="B74" s="34" t="s">
        <v>285</v>
      </c>
      <c r="C74" s="83"/>
      <c r="D74" s="88"/>
      <c r="E74" s="90"/>
      <c r="F74" s="183">
        <f>+RevReqSummary!$F$8</f>
        <v>0.056469718162986494</v>
      </c>
      <c r="G74" s="184">
        <v>0.1024</v>
      </c>
      <c r="H74" s="89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</row>
    <row r="75" spans="1:31" ht="15.75">
      <c r="A75" s="83">
        <v>68</v>
      </c>
      <c r="B75" s="34"/>
      <c r="C75" s="83"/>
      <c r="D75" s="83"/>
      <c r="E75" s="90"/>
      <c r="F75" s="191"/>
      <c r="G75" s="191"/>
      <c r="H75" s="192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</row>
    <row r="76" spans="1:31" ht="15.75">
      <c r="A76" s="83">
        <v>69</v>
      </c>
      <c r="B76" s="193"/>
      <c r="C76" s="83"/>
      <c r="D76" s="194"/>
      <c r="E76" s="194"/>
      <c r="F76" s="194"/>
      <c r="G76" s="195"/>
      <c r="H76" s="90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</row>
    <row r="77" spans="1:31" ht="15.75">
      <c r="A77" s="83">
        <v>70</v>
      </c>
      <c r="B77" s="193"/>
      <c r="C77" s="83"/>
      <c r="D77" s="194"/>
      <c r="E77" s="194"/>
      <c r="F77" s="194"/>
      <c r="G77" s="194"/>
      <c r="H77" s="90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</row>
    <row r="78" spans="1:31" ht="15.75">
      <c r="A78" s="83">
        <v>71</v>
      </c>
      <c r="B78" s="193" t="s">
        <v>275</v>
      </c>
      <c r="C78" s="83"/>
      <c r="D78" s="10" t="s">
        <v>263</v>
      </c>
      <c r="E78" s="10" t="s">
        <v>263</v>
      </c>
      <c r="G78" s="10" t="s">
        <v>280</v>
      </c>
      <c r="H78" s="10" t="s">
        <v>280</v>
      </c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ht="15.75">
      <c r="A79" s="83">
        <v>72</v>
      </c>
      <c r="B79" s="204" t="s">
        <v>276</v>
      </c>
      <c r="C79" s="83"/>
      <c r="D79" s="196">
        <f>+'cost of capital'!C9</f>
        <v>0.54</v>
      </c>
      <c r="E79" s="196">
        <v>0.06335</v>
      </c>
      <c r="G79" s="196">
        <v>0.5</v>
      </c>
      <c r="H79" s="196">
        <v>0.06335</v>
      </c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</row>
    <row r="80" spans="1:31" ht="15.75">
      <c r="A80" s="83">
        <v>73</v>
      </c>
      <c r="B80" s="9" t="s">
        <v>277</v>
      </c>
      <c r="C80" s="83"/>
      <c r="D80" s="196">
        <f>+'cost of capital'!C10</f>
        <v>0.03</v>
      </c>
      <c r="E80" s="196">
        <v>0.045</v>
      </c>
      <c r="G80" s="196">
        <v>0.03</v>
      </c>
      <c r="H80" s="196">
        <v>0.045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</row>
    <row r="81" spans="1:31" ht="15.75">
      <c r="A81" s="83">
        <v>74</v>
      </c>
      <c r="B81" s="204" t="s">
        <v>278</v>
      </c>
      <c r="C81" s="83"/>
      <c r="D81" s="196">
        <f>+'cost of capital'!C11</f>
        <v>0.01</v>
      </c>
      <c r="E81" s="196">
        <v>0.06455</v>
      </c>
      <c r="G81" s="196">
        <v>0.01</v>
      </c>
      <c r="H81" s="196">
        <v>0.06455</v>
      </c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</row>
    <row r="82" spans="1:31" ht="15.75">
      <c r="A82" s="83">
        <v>75</v>
      </c>
      <c r="B82" s="198" t="s">
        <v>279</v>
      </c>
      <c r="C82" s="83"/>
      <c r="D82" s="240">
        <f>+'cost of capital'!C12</f>
        <v>0.42</v>
      </c>
      <c r="E82" s="197">
        <f>+'cost of capital'!D12</f>
        <v>0.102</v>
      </c>
      <c r="G82" s="197">
        <v>0.46</v>
      </c>
      <c r="H82" s="197">
        <v>0.102</v>
      </c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</row>
    <row r="83" spans="1:31" ht="15.75">
      <c r="A83" s="83">
        <v>76</v>
      </c>
      <c r="B83" s="198" t="s">
        <v>134</v>
      </c>
      <c r="C83" s="83"/>
      <c r="D83" s="83"/>
      <c r="E83" s="200">
        <f>+'cost of capital'!E13</f>
        <v>0.07904449999999999</v>
      </c>
      <c r="G83" s="199"/>
      <c r="H83" s="200">
        <v>0.080591</v>
      </c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</row>
    <row r="84" spans="1:31" ht="15.75">
      <c r="A84" s="83">
        <v>77</v>
      </c>
      <c r="B84" s="198"/>
      <c r="C84" s="83"/>
      <c r="D84" s="83"/>
      <c r="E84" s="199"/>
      <c r="F84" s="199"/>
      <c r="G84" s="199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</row>
    <row r="85" spans="1:31" ht="15.75">
      <c r="A85" s="83">
        <v>78</v>
      </c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</row>
    <row r="86" spans="1:31" ht="15.75">
      <c r="A86" s="83">
        <v>79</v>
      </c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</row>
    <row r="87" spans="10:31" ht="15.75"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</row>
    <row r="88" spans="1:31" ht="15.75">
      <c r="A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</row>
    <row r="89" spans="1:31" ht="15.75">
      <c r="A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</row>
    <row r="90" spans="1:31" ht="15.75">
      <c r="A90" s="83"/>
      <c r="B90" s="91"/>
      <c r="C90" s="91"/>
      <c r="D90" s="91"/>
      <c r="E90" s="91"/>
      <c r="F90" s="91"/>
      <c r="G90" s="91"/>
      <c r="H90" s="91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</row>
    <row r="91" spans="1:31" ht="15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</row>
    <row r="92" spans="1:31" ht="15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</row>
    <row r="93" spans="1:31" ht="15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</row>
    <row r="94" spans="1:31" ht="15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</row>
    <row r="95" spans="1:31" ht="15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</row>
    <row r="96" spans="1:31" ht="15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</row>
    <row r="97" spans="1:31" ht="15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</row>
    <row r="98" spans="1:31" ht="15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</row>
    <row r="99" spans="1:31" ht="15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</row>
    <row r="100" spans="1:31" ht="15.75">
      <c r="A100" s="83"/>
      <c r="B100" s="202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</row>
    <row r="101" spans="1:31" ht="15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</row>
    <row r="102" spans="1:31" ht="15.75">
      <c r="A102" s="83"/>
      <c r="B102" s="77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</row>
    <row r="103" spans="1:31" ht="15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</row>
    <row r="104" spans="1:31" ht="15.75">
      <c r="A104" s="83"/>
      <c r="B104" s="77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</row>
  </sheetData>
  <mergeCells count="1">
    <mergeCell ref="B1:H1"/>
  </mergeCells>
  <printOptions/>
  <pageMargins left="1.5" right="0.75" top="1" bottom="1" header="0.5" footer="0.25"/>
  <pageSetup fitToHeight="2" horizontalDpi="600" verticalDpi="600" orientation="portrait" scale="66" r:id="rId1"/>
  <headerFooter alignWithMargins="0">
    <oddHeader>&amp;R&amp;"Times New Roman,Regular"PacifiCorp Docket UE-061546
Exhibit ___ (TES-2)
REVISED 3/22/2007</oddHeader>
    <oddFooter>&amp;R&amp;"Times New Roman,Regular"Page &amp;P of &amp;N</oddFooter>
  </headerFooter>
  <rowBreaks count="1" manualBreakCount="1">
    <brk id="50" min="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 topLeftCell="A32">
      <selection activeCell="E47" sqref="E47"/>
    </sheetView>
  </sheetViews>
  <sheetFormatPr defaultColWidth="9.140625" defaultRowHeight="12.75"/>
  <sheetData>
    <row r="1" spans="1:5" ht="15.75">
      <c r="A1" s="1"/>
      <c r="C1" s="1"/>
      <c r="D1" s="1"/>
      <c r="E1" s="1"/>
    </row>
    <row r="2" spans="1:5" ht="15.75">
      <c r="A2" s="1"/>
      <c r="B2" s="1" t="s">
        <v>165</v>
      </c>
      <c r="C2" s="1"/>
      <c r="D2" s="1"/>
      <c r="E2" s="1"/>
    </row>
    <row r="3" spans="1:5" ht="15.75">
      <c r="A3" s="1"/>
      <c r="B3" s="1" t="s">
        <v>348</v>
      </c>
      <c r="C3" s="1"/>
      <c r="D3" s="1"/>
      <c r="E3" s="1"/>
    </row>
    <row r="4" spans="1:5" ht="15.75">
      <c r="A4" s="1"/>
      <c r="B4" s="1"/>
      <c r="C4" s="1"/>
      <c r="D4" s="1"/>
      <c r="E4" s="1"/>
    </row>
    <row r="5" spans="1:5" ht="15.75">
      <c r="A5" s="1"/>
      <c r="B5" s="1" t="s">
        <v>166</v>
      </c>
      <c r="C5" s="1"/>
      <c r="D5" s="1"/>
      <c r="E5" s="1"/>
    </row>
    <row r="6" spans="1:5" ht="12.75">
      <c r="A6" s="18"/>
      <c r="B6" s="18"/>
      <c r="C6" s="18"/>
      <c r="D6" s="18"/>
      <c r="E6" s="18"/>
    </row>
    <row r="7" spans="1:5" ht="12.75">
      <c r="A7" s="18"/>
      <c r="B7" s="144"/>
      <c r="C7" s="18"/>
      <c r="D7" s="18"/>
      <c r="E7" s="18"/>
    </row>
  </sheetData>
  <printOptions/>
  <pageMargins left="1.5" right="0.75" top="1" bottom="1" header="0.5" footer="0.25"/>
  <pageSetup fitToHeight="1" fitToWidth="1" horizontalDpi="600" verticalDpi="600" orientation="portrait" scale="88" r:id="rId4"/>
  <headerFooter alignWithMargins="0">
    <oddHeader>&amp;R&amp;"Times New Roman,Regular"PacifiCorp Docket UE-061546
Exhibit ___ (TES-2)</oddHeader>
    <oddFooter>&amp;R&amp;"Times New Roman,Regular"Page &amp;P of &amp;N</oddFooter>
  </headerFooter>
  <legacyDrawing r:id="rId3"/>
  <oleObjects>
    <oleObject progId="Word.Document.8" shapeId="201343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95"/>
  <sheetViews>
    <sheetView workbookViewId="0" topLeftCell="A17">
      <selection activeCell="D24" sqref="D24"/>
    </sheetView>
  </sheetViews>
  <sheetFormatPr defaultColWidth="9.140625" defaultRowHeight="12.75"/>
  <cols>
    <col min="1" max="1" width="3.28125" style="0" customWidth="1"/>
    <col min="2" max="2" width="33.00390625" style="0" customWidth="1"/>
    <col min="3" max="3" width="10.8515625" style="0" bestFit="1" customWidth="1"/>
    <col min="4" max="4" width="14.7109375" style="0" customWidth="1"/>
    <col min="5" max="5" width="4.7109375" style="0" customWidth="1"/>
    <col min="6" max="6" width="16.00390625" style="0" bestFit="1" customWidth="1"/>
    <col min="7" max="7" width="15.57421875" style="0" bestFit="1" customWidth="1"/>
    <col min="8" max="8" width="20.7109375" style="0" customWidth="1"/>
  </cols>
  <sheetData>
    <row r="1" spans="1:8" ht="18.75">
      <c r="A1" s="1"/>
      <c r="B1" s="252" t="s">
        <v>175</v>
      </c>
      <c r="C1" s="252"/>
      <c r="D1" s="252"/>
      <c r="E1" s="246"/>
      <c r="F1" s="246"/>
      <c r="G1" s="12"/>
      <c r="H1" s="12"/>
    </row>
    <row r="2" spans="1:8" ht="18.75">
      <c r="A2" s="1"/>
      <c r="B2" s="252" t="s">
        <v>178</v>
      </c>
      <c r="C2" s="252"/>
      <c r="D2" s="252"/>
      <c r="E2" s="246"/>
      <c r="F2" s="246"/>
      <c r="G2" s="1"/>
      <c r="H2" s="1"/>
    </row>
    <row r="3" spans="1:8" ht="15.75">
      <c r="A3" s="1"/>
      <c r="C3" s="3" t="s">
        <v>198</v>
      </c>
      <c r="D3" s="8" t="s">
        <v>263</v>
      </c>
      <c r="E3" s="1"/>
      <c r="F3" s="1"/>
      <c r="G3" s="1"/>
      <c r="H3" s="1"/>
    </row>
    <row r="4" spans="1:8" ht="15.75">
      <c r="A4" s="1"/>
      <c r="B4" s="4"/>
      <c r="C4" s="8" t="s">
        <v>154</v>
      </c>
      <c r="D4" s="3" t="s">
        <v>349</v>
      </c>
      <c r="E4" s="3"/>
      <c r="F4" s="13"/>
      <c r="G4" s="1"/>
      <c r="H4" s="1"/>
    </row>
    <row r="5" spans="1:8" ht="15.75">
      <c r="A5" s="1"/>
      <c r="B5" s="5"/>
      <c r="C5" s="6"/>
      <c r="D5" s="6"/>
      <c r="E5" s="6"/>
      <c r="F5" s="6"/>
      <c r="G5" s="3"/>
      <c r="H5" s="3"/>
    </row>
    <row r="6" spans="1:8" ht="15.75">
      <c r="A6" s="1">
        <v>1</v>
      </c>
      <c r="B6" s="8" t="s">
        <v>184</v>
      </c>
      <c r="C6" s="8"/>
      <c r="D6" s="231">
        <f>+summary!D8</f>
        <v>31739435</v>
      </c>
      <c r="E6" s="8"/>
      <c r="F6" s="47"/>
      <c r="G6" s="3"/>
      <c r="H6" s="3"/>
    </row>
    <row r="7" spans="1:8" ht="15.75">
      <c r="A7" s="1">
        <v>2</v>
      </c>
      <c r="B7" s="10" t="s">
        <v>361</v>
      </c>
      <c r="C7" s="10"/>
      <c r="D7" s="46"/>
      <c r="E7" s="3"/>
      <c r="F7" s="47"/>
      <c r="G7" s="1"/>
      <c r="H7" s="1"/>
    </row>
    <row r="8" spans="1:8" ht="15.75">
      <c r="A8" s="1">
        <v>3</v>
      </c>
      <c r="B8" s="34" t="str">
        <f>+summary!B11</f>
        <v>Temperature Normalization (u)</v>
      </c>
      <c r="C8" s="34">
        <f>+summary!C11</f>
        <v>3.1</v>
      </c>
      <c r="D8" s="232">
        <f>+summary!D11</f>
        <v>-143284.05</v>
      </c>
      <c r="E8" s="3"/>
      <c r="F8" s="47"/>
      <c r="G8" s="1"/>
      <c r="H8" s="1"/>
    </row>
    <row r="9" spans="1:8" ht="15.75">
      <c r="A9" s="1">
        <v>4</v>
      </c>
      <c r="B9" s="34" t="str">
        <f>+summary!B12</f>
        <v>ProForma Reduction in Load (u)</v>
      </c>
      <c r="C9" s="34">
        <f>+summary!C12</f>
        <v>3.2</v>
      </c>
      <c r="D9" s="232">
        <f>+summary!D12</f>
        <v>-2539148.3</v>
      </c>
      <c r="E9" s="3"/>
      <c r="F9" s="47"/>
      <c r="G9" s="1"/>
      <c r="H9" s="1"/>
    </row>
    <row r="10" spans="1:8" ht="15.75">
      <c r="A10" s="1">
        <v>5</v>
      </c>
      <c r="B10" s="34" t="str">
        <f>+summary!B13</f>
        <v>Revenue Normalizing (u)</v>
      </c>
      <c r="C10" s="34">
        <f>+summary!C13</f>
        <v>3.3</v>
      </c>
      <c r="D10" s="232">
        <f>+summary!D13</f>
        <v>9182477.850000001</v>
      </c>
      <c r="E10" s="3"/>
      <c r="F10" s="47"/>
      <c r="G10" s="1"/>
      <c r="H10" s="1"/>
    </row>
    <row r="11" spans="1:8" ht="15.75">
      <c r="A11" s="1">
        <v>6</v>
      </c>
      <c r="B11" s="34" t="str">
        <f>+summary!B14</f>
        <v>Centralia Gain (u)</v>
      </c>
      <c r="C11" s="34">
        <f>+summary!C14</f>
        <v>3.4</v>
      </c>
      <c r="D11" s="232">
        <f>+summary!D14</f>
        <v>-734689.8</v>
      </c>
      <c r="E11" s="3"/>
      <c r="F11" s="47"/>
      <c r="G11" s="1"/>
      <c r="H11" s="1"/>
    </row>
    <row r="12" spans="1:8" ht="15.75">
      <c r="A12" s="1">
        <v>7</v>
      </c>
      <c r="B12" s="34" t="str">
        <f>+summary!B15</f>
        <v>Pole Attachment Revenue (u)</v>
      </c>
      <c r="C12" s="34">
        <f>+summary!C15</f>
        <v>3.5</v>
      </c>
      <c r="D12" s="232">
        <f>+summary!D15</f>
        <v>-519400.7</v>
      </c>
      <c r="E12" s="3"/>
      <c r="F12" s="47"/>
      <c r="G12" s="1"/>
      <c r="H12" s="1"/>
    </row>
    <row r="13" spans="1:8" ht="15.75">
      <c r="A13" s="1">
        <v>8</v>
      </c>
      <c r="B13" s="34" t="str">
        <f>+summary!B16</f>
        <v>SO2 Emission Allowances (u)</v>
      </c>
      <c r="C13" s="34">
        <f>+summary!C16</f>
        <v>3.6</v>
      </c>
      <c r="D13" s="232">
        <f>+summary!D16</f>
        <v>-1246242.65</v>
      </c>
      <c r="E13" s="3"/>
      <c r="F13" s="47"/>
      <c r="G13" s="1"/>
      <c r="H13" s="1"/>
    </row>
    <row r="14" spans="1:8" ht="15.75">
      <c r="A14" s="1">
        <v>9</v>
      </c>
      <c r="B14" s="34"/>
      <c r="C14" s="34"/>
      <c r="D14" s="232"/>
      <c r="E14" s="3"/>
      <c r="F14" s="47"/>
      <c r="G14" s="1"/>
      <c r="H14" s="1"/>
    </row>
    <row r="15" spans="1:8" ht="15.75">
      <c r="A15" s="1">
        <v>10</v>
      </c>
      <c r="B15" s="2" t="str">
        <f>+summary!B18</f>
        <v>O &amp; M</v>
      </c>
      <c r="C15" s="34"/>
      <c r="D15" s="232"/>
      <c r="E15" s="3"/>
      <c r="F15" s="47"/>
      <c r="G15" s="1"/>
      <c r="H15" s="1"/>
    </row>
    <row r="16" spans="1:8" ht="15.75">
      <c r="A16" s="1">
        <v>11</v>
      </c>
      <c r="B16" s="34" t="str">
        <f>+summary!B19</f>
        <v>Green Tag Removal (u)</v>
      </c>
      <c r="C16" s="34">
        <f>+summary!C19</f>
        <v>4.1</v>
      </c>
      <c r="D16" s="232">
        <f>+summary!D19</f>
        <v>26741.65</v>
      </c>
      <c r="E16" s="3"/>
      <c r="F16" s="47"/>
      <c r="G16" s="1"/>
      <c r="H16" s="1"/>
    </row>
    <row r="17" spans="1:8" ht="15.75">
      <c r="A17" s="1">
        <v>12</v>
      </c>
      <c r="B17" s="34" t="str">
        <f>+summary!B20</f>
        <v>Miscellaneous General Expense (u)</v>
      </c>
      <c r="C17" s="34">
        <f>+summary!C20</f>
        <v>4.2</v>
      </c>
      <c r="D17" s="232">
        <f>+summary!D20</f>
        <v>21779.550000000003</v>
      </c>
      <c r="E17" s="3"/>
      <c r="F17" s="47"/>
      <c r="G17" s="1"/>
      <c r="H17" s="1"/>
    </row>
    <row r="18" spans="1:8" ht="15.75">
      <c r="A18" s="1">
        <v>13</v>
      </c>
      <c r="B18" s="34" t="str">
        <f>+summary!B21</f>
        <v>International Assignees (u)</v>
      </c>
      <c r="C18" s="34">
        <f>+summary!C21</f>
        <v>4.3</v>
      </c>
      <c r="D18" s="232">
        <f>+summary!D21</f>
        <v>95894.5</v>
      </c>
      <c r="E18" s="3"/>
      <c r="F18" s="47"/>
      <c r="G18" s="1"/>
      <c r="H18" s="1"/>
    </row>
    <row r="19" spans="1:8" ht="15.75">
      <c r="A19" s="1">
        <v>14</v>
      </c>
      <c r="B19" s="34" t="str">
        <f>+summary!B22</f>
        <v>Out of Period Expense Adj.</v>
      </c>
      <c r="C19" s="34">
        <f>+summary!C22</f>
        <v>4.4</v>
      </c>
      <c r="D19" s="232">
        <f>+summary!D22</f>
        <v>213272.8</v>
      </c>
      <c r="E19" s="3"/>
      <c r="F19" s="47"/>
      <c r="G19" s="1"/>
      <c r="H19" s="1"/>
    </row>
    <row r="20" spans="1:8" ht="15.75">
      <c r="A20" s="1">
        <v>15</v>
      </c>
      <c r="B20" s="34" t="str">
        <f>+summary!B23</f>
        <v>Propety Insurance (u)</v>
      </c>
      <c r="C20" s="34">
        <f>+summary!C23</f>
        <v>4.5</v>
      </c>
      <c r="D20" s="232">
        <f>+summary!D23</f>
        <v>-109720.65</v>
      </c>
      <c r="E20" s="3"/>
      <c r="F20" s="47"/>
      <c r="G20" s="1"/>
      <c r="H20" s="1"/>
    </row>
    <row r="21" spans="1:8" ht="15.75">
      <c r="A21" s="1">
        <v>16</v>
      </c>
      <c r="B21" s="34" t="str">
        <f>+summary!B24</f>
        <v>Affiliate Fee Commitment (u)</v>
      </c>
      <c r="C21" s="34">
        <f>+summary!C24</f>
        <v>4.6</v>
      </c>
      <c r="D21" s="232">
        <f>+summary!D24</f>
        <v>7089.55</v>
      </c>
      <c r="E21" s="3"/>
      <c r="F21" s="47"/>
      <c r="G21" s="1"/>
      <c r="H21" s="1"/>
    </row>
    <row r="22" spans="1:8" ht="15.75">
      <c r="A22" s="1">
        <v>17</v>
      </c>
      <c r="B22" s="34" t="str">
        <f>+summary!B25</f>
        <v>DSM Amortization Removal (u)</v>
      </c>
      <c r="C22" s="34">
        <f>+summary!C25</f>
        <v>4.7</v>
      </c>
      <c r="D22" s="232">
        <f>+summary!D25</f>
        <v>3224446.55</v>
      </c>
      <c r="E22" s="3"/>
      <c r="F22" s="47"/>
      <c r="G22" s="1"/>
      <c r="H22" s="1"/>
    </row>
    <row r="23" spans="1:8" ht="15.75">
      <c r="A23" s="1">
        <v>18</v>
      </c>
      <c r="B23" s="34" t="str">
        <f>+summary!B26</f>
        <v>Corporate Cost Commitment (u)</v>
      </c>
      <c r="C23" s="34">
        <f>+summary!C26</f>
        <v>4.8</v>
      </c>
      <c r="D23" s="232">
        <f>+summary!D26</f>
        <v>53311.05</v>
      </c>
      <c r="E23" s="3"/>
      <c r="F23" s="47"/>
      <c r="G23" s="1"/>
      <c r="H23" s="1"/>
    </row>
    <row r="24" spans="1:8" ht="15.75">
      <c r="A24" s="1">
        <v>19</v>
      </c>
      <c r="B24" s="34" t="str">
        <f>+summary!B27</f>
        <v>A&amp;G Expense Commitment (u)</v>
      </c>
      <c r="C24" s="34">
        <f>+summary!C27</f>
        <v>4.9</v>
      </c>
      <c r="D24" s="273">
        <f>+summary!D27</f>
        <v>0</v>
      </c>
      <c r="E24" s="3"/>
      <c r="F24" s="47"/>
      <c r="G24" s="1"/>
      <c r="H24" s="1"/>
    </row>
    <row r="25" spans="1:8" ht="15.75">
      <c r="A25" s="1">
        <v>20</v>
      </c>
      <c r="B25" s="34" t="str">
        <f>+summary!B28</f>
        <v>Proforma Wage Adjustment</v>
      </c>
      <c r="C25" s="241">
        <f>+summary!C28</f>
        <v>4.1</v>
      </c>
      <c r="D25" s="232">
        <f>+summary!D28</f>
        <v>-695500</v>
      </c>
      <c r="E25" s="3"/>
      <c r="F25" s="47"/>
      <c r="G25" s="1"/>
      <c r="H25" s="1"/>
    </row>
    <row r="26" spans="1:8" ht="15.75">
      <c r="A26" s="1">
        <v>21</v>
      </c>
      <c r="B26" s="34"/>
      <c r="C26" s="34"/>
      <c r="D26" s="232"/>
      <c r="E26" s="3"/>
      <c r="F26" s="47"/>
      <c r="G26" s="1"/>
      <c r="H26" s="1"/>
    </row>
    <row r="27" spans="1:8" ht="15.75">
      <c r="A27" s="1">
        <v>22</v>
      </c>
      <c r="B27" s="2" t="str">
        <f>+summary!B31</f>
        <v>POWER COSTS</v>
      </c>
      <c r="C27" s="34"/>
      <c r="D27" s="232"/>
      <c r="E27" s="3"/>
      <c r="F27" s="47"/>
      <c r="G27" s="1"/>
      <c r="H27" s="1"/>
    </row>
    <row r="28" spans="1:8" ht="15.75">
      <c r="A28" s="1">
        <v>23</v>
      </c>
      <c r="B28" s="34" t="str">
        <f>+summary!B32</f>
        <v>BPA Exchange (u)</v>
      </c>
      <c r="C28" s="34">
        <f>+summary!C32</f>
        <v>5.1</v>
      </c>
      <c r="D28" s="232">
        <f>+summary!D32</f>
        <v>-13034252.4</v>
      </c>
      <c r="E28" s="3"/>
      <c r="F28" s="47"/>
      <c r="G28" s="1"/>
      <c r="H28" s="1"/>
    </row>
    <row r="29" spans="1:8" ht="15.75">
      <c r="A29" s="1">
        <v>24</v>
      </c>
      <c r="B29" s="34" t="str">
        <f>+summary!B33</f>
        <v>James River Royalty Offset (u)</v>
      </c>
      <c r="C29" s="34">
        <f>+summary!C33</f>
        <v>5.2</v>
      </c>
      <c r="D29" s="232">
        <f>+summary!D33</f>
        <v>1058428.15</v>
      </c>
      <c r="E29" s="3"/>
      <c r="F29" s="47"/>
      <c r="G29" s="1"/>
      <c r="H29" s="1"/>
    </row>
    <row r="30" spans="1:8" ht="15.75">
      <c r="A30" s="1">
        <v>25</v>
      </c>
      <c r="B30" s="34" t="str">
        <f>+summary!B34</f>
        <v>Removal of Colstrip #3 (u)</v>
      </c>
      <c r="C30" s="34">
        <f>+summary!C34</f>
        <v>5.3</v>
      </c>
      <c r="D30" s="232">
        <f>+summary!D34</f>
        <v>678441.15</v>
      </c>
      <c r="E30" s="3"/>
      <c r="F30" s="47"/>
      <c r="G30" s="1"/>
      <c r="H30" s="1"/>
    </row>
    <row r="31" spans="1:8" ht="15.75">
      <c r="A31" s="1">
        <v>26</v>
      </c>
      <c r="B31" s="34" t="str">
        <f>+summary!B35</f>
        <v>Misc. Power Supply</v>
      </c>
      <c r="C31" s="34">
        <f>+summary!C35</f>
        <v>5.4</v>
      </c>
      <c r="D31" s="232">
        <f>+summary!D35</f>
        <v>992664.4</v>
      </c>
      <c r="E31" s="3"/>
      <c r="F31" s="47"/>
      <c r="G31" s="1"/>
      <c r="H31" s="1"/>
    </row>
    <row r="32" spans="1:8" ht="15.75">
      <c r="A32" s="1">
        <v>27</v>
      </c>
      <c r="B32" s="34" t="str">
        <f>+summary!B36</f>
        <v>Revised CAGW &amp; SO Factors</v>
      </c>
      <c r="C32" s="34">
        <f>+summary!C36</f>
        <v>5.5</v>
      </c>
      <c r="D32" s="232">
        <f>+summary!D36</f>
        <v>856315.2999999998</v>
      </c>
      <c r="E32" s="3"/>
      <c r="F32" s="47"/>
      <c r="G32" s="1"/>
      <c r="H32" s="1"/>
    </row>
    <row r="33" spans="1:8" ht="15.75">
      <c r="A33" s="1">
        <v>28</v>
      </c>
      <c r="B33" s="34" t="str">
        <f>+summary!B37</f>
        <v>Water Year Adjustment</v>
      </c>
      <c r="C33" s="34">
        <f>+summary!C37</f>
        <v>5.6</v>
      </c>
      <c r="D33" s="232">
        <f>+summary!D37</f>
        <v>1001443.9500000001</v>
      </c>
      <c r="E33" s="3"/>
      <c r="F33" s="47"/>
      <c r="G33" s="1"/>
      <c r="H33" s="1"/>
    </row>
    <row r="34" spans="1:8" ht="15.75">
      <c r="A34" s="1">
        <v>29</v>
      </c>
      <c r="B34" s="34"/>
      <c r="C34" s="34"/>
      <c r="D34" s="232"/>
      <c r="E34" s="3"/>
      <c r="F34" s="47"/>
      <c r="G34" s="1"/>
      <c r="H34" s="1"/>
    </row>
    <row r="35" spans="1:8" ht="15.75">
      <c r="A35" s="1">
        <v>30</v>
      </c>
      <c r="B35" s="2" t="str">
        <f>+summary!B40</f>
        <v>TAX ADJUSTMENTS</v>
      </c>
      <c r="C35" s="34"/>
      <c r="D35" s="232"/>
      <c r="E35" s="3"/>
      <c r="F35" s="47"/>
      <c r="G35" s="1"/>
      <c r="H35" s="1"/>
    </row>
    <row r="36" spans="1:8" ht="15.75">
      <c r="A36" s="1">
        <v>31</v>
      </c>
      <c r="B36" s="34" t="str">
        <f>+summary!B41</f>
        <v>Interest True Up</v>
      </c>
      <c r="C36" s="34">
        <f>+summary!C41</f>
        <v>7.1</v>
      </c>
      <c r="D36" s="273">
        <f>+summary!D41</f>
        <v>41571.311181049976</v>
      </c>
      <c r="E36" s="3"/>
      <c r="F36" s="47"/>
      <c r="G36" s="1"/>
      <c r="H36" s="1"/>
    </row>
    <row r="37" spans="1:8" ht="15.75">
      <c r="A37" s="1">
        <v>32</v>
      </c>
      <c r="B37" s="34" t="str">
        <f>+summary!B42</f>
        <v>Utah Gross Receipts Tax (u)</v>
      </c>
      <c r="C37" s="34">
        <f>+summary!C42</f>
        <v>7.2</v>
      </c>
      <c r="D37" s="232">
        <f>+summary!D42</f>
        <v>195117</v>
      </c>
      <c r="E37" s="3"/>
      <c r="F37" s="47"/>
      <c r="G37" s="1"/>
      <c r="H37" s="1"/>
    </row>
    <row r="38" spans="1:8" ht="15.75">
      <c r="A38" s="1">
        <v>33</v>
      </c>
      <c r="B38" s="34" t="str">
        <f>+summary!B43</f>
        <v>Reclass Deferred Income Tax (u)</v>
      </c>
      <c r="C38" s="34">
        <f>+summary!C43</f>
        <v>7.3</v>
      </c>
      <c r="D38" s="232">
        <f>+summary!D43</f>
        <v>0</v>
      </c>
      <c r="E38" s="3"/>
      <c r="F38" s="47"/>
      <c r="G38" s="1"/>
      <c r="H38" s="1"/>
    </row>
    <row r="39" spans="1:8" ht="15.75">
      <c r="A39" s="1">
        <v>34</v>
      </c>
      <c r="B39" s="34" t="str">
        <f>+summary!B44</f>
        <v>Malin Midpoint (u)</v>
      </c>
      <c r="C39" s="34">
        <f>+summary!C44</f>
        <v>7.4</v>
      </c>
      <c r="D39" s="232">
        <f>+summary!D44</f>
        <v>297441</v>
      </c>
      <c r="E39" s="3"/>
      <c r="F39" s="47"/>
      <c r="G39" s="1"/>
      <c r="H39" s="1"/>
    </row>
    <row r="40" spans="1:8" ht="15.75">
      <c r="A40" s="1">
        <v>35</v>
      </c>
      <c r="B40" s="34" t="str">
        <f>+summary!B45</f>
        <v>Flow-through Deferred Tax Adj. (u)</v>
      </c>
      <c r="C40" s="34">
        <f>+summary!C45</f>
        <v>7.5</v>
      </c>
      <c r="D40" s="232">
        <f>+summary!D45</f>
        <v>1217863</v>
      </c>
      <c r="E40" s="3"/>
      <c r="F40" s="47"/>
      <c r="G40" s="1"/>
      <c r="H40" s="1"/>
    </row>
    <row r="41" spans="1:8" ht="15.75">
      <c r="A41" s="1">
        <v>36</v>
      </c>
      <c r="B41" s="34" t="str">
        <f>+summary!B46</f>
        <v>IRS Settlement Amortization</v>
      </c>
      <c r="C41" s="34">
        <f>+summary!C46</f>
        <v>7.6</v>
      </c>
      <c r="D41" s="232">
        <f>+summary!D46</f>
        <v>0</v>
      </c>
      <c r="E41" s="3"/>
      <c r="F41" s="47"/>
      <c r="G41" s="1"/>
      <c r="H41" s="1"/>
    </row>
    <row r="42" spans="1:8" ht="15.75">
      <c r="A42" s="1">
        <v>37</v>
      </c>
      <c r="B42" s="34" t="str">
        <f>+summary!B47</f>
        <v>Year-end Deferred Tax (u)</v>
      </c>
      <c r="C42" s="34">
        <f>+summary!C47</f>
        <v>7.7</v>
      </c>
      <c r="D42" s="232">
        <f>+summary!D47</f>
        <v>0</v>
      </c>
      <c r="E42" s="3"/>
      <c r="F42" s="47"/>
      <c r="G42" s="1"/>
      <c r="H42" s="1"/>
    </row>
    <row r="43" spans="1:8" ht="15.75">
      <c r="A43" s="1">
        <v>38</v>
      </c>
      <c r="B43" s="34" t="str">
        <f>+summary!B48</f>
        <v>Renewable Energy Tax Credit (u)</v>
      </c>
      <c r="C43" s="34">
        <f>+summary!C48</f>
        <v>7.8</v>
      </c>
      <c r="D43" s="232">
        <f>+summary!D48</f>
        <v>629057</v>
      </c>
      <c r="E43" s="3"/>
      <c r="F43" s="47"/>
      <c r="G43" s="1"/>
      <c r="H43" s="1"/>
    </row>
    <row r="44" spans="1:8" ht="15.75">
      <c r="A44" s="1">
        <v>39</v>
      </c>
      <c r="B44" s="34" t="str">
        <f>+summary!B49</f>
        <v>Low Income Tax Credit (u)</v>
      </c>
      <c r="C44" s="34">
        <f>+summary!C49</f>
        <v>7.9</v>
      </c>
      <c r="D44" s="232">
        <f>+summary!D49</f>
        <v>23834.85</v>
      </c>
      <c r="G44" s="1"/>
      <c r="H44" s="1"/>
    </row>
    <row r="45" spans="1:8" ht="15.75">
      <c r="A45" s="1">
        <v>40</v>
      </c>
      <c r="B45" s="34" t="str">
        <f>+summary!B50</f>
        <v>Production Activity Deduction</v>
      </c>
      <c r="C45" s="241">
        <f>+summary!C50</f>
        <v>7.1</v>
      </c>
      <c r="D45" s="232">
        <f>+summary!D50</f>
        <v>184797.9</v>
      </c>
      <c r="E45" s="3"/>
      <c r="F45" s="47"/>
      <c r="G45" s="1"/>
      <c r="H45" s="1"/>
    </row>
    <row r="46" spans="1:8" ht="15.75">
      <c r="A46" s="1">
        <v>41</v>
      </c>
      <c r="B46" s="34"/>
      <c r="C46" s="34"/>
      <c r="D46" s="232"/>
      <c r="E46" s="3"/>
      <c r="F46" s="47"/>
      <c r="G46" s="1"/>
      <c r="H46" s="1"/>
    </row>
    <row r="47" spans="1:8" ht="15.75">
      <c r="A47" s="1">
        <v>42</v>
      </c>
      <c r="B47" s="2" t="str">
        <f>+summary!B52</f>
        <v>RATE BASE</v>
      </c>
      <c r="C47" s="34"/>
      <c r="D47" s="232"/>
      <c r="E47" s="3"/>
      <c r="F47" s="47"/>
      <c r="G47" s="1"/>
      <c r="H47" s="1"/>
    </row>
    <row r="48" spans="1:8" ht="15.75">
      <c r="A48" s="1">
        <v>43</v>
      </c>
      <c r="B48" s="34" t="str">
        <f>+summary!B53</f>
        <v>Cash Working Capital</v>
      </c>
      <c r="C48" s="34">
        <f>+summary!C53</f>
        <v>8.1</v>
      </c>
      <c r="D48" s="232">
        <f>+summary!D53</f>
        <v>0</v>
      </c>
      <c r="E48" s="3"/>
      <c r="F48" s="47"/>
      <c r="G48" s="1"/>
      <c r="H48" s="1"/>
    </row>
    <row r="49" spans="1:8" ht="15.75">
      <c r="A49" s="1">
        <v>44</v>
      </c>
      <c r="B49" s="34" t="str">
        <f>+summary!B54</f>
        <v>Remove Deferred Debits (u)</v>
      </c>
      <c r="C49" s="34">
        <f>+summary!C54</f>
        <v>8.2</v>
      </c>
      <c r="D49" s="232">
        <f>+summary!D54</f>
        <v>0</v>
      </c>
      <c r="E49" s="3"/>
      <c r="F49" s="47"/>
      <c r="G49" s="1"/>
      <c r="H49" s="1"/>
    </row>
    <row r="50" spans="1:8" ht="15.75">
      <c r="A50" s="1">
        <v>45</v>
      </c>
      <c r="B50" s="34" t="str">
        <f>+summary!B55</f>
        <v>Bridger Mine Rate Base</v>
      </c>
      <c r="C50" s="34">
        <f>+summary!C55</f>
        <v>8.3</v>
      </c>
      <c r="D50" s="232">
        <f>+summary!D55</f>
        <v>0</v>
      </c>
      <c r="E50" s="3"/>
      <c r="F50" s="47"/>
      <c r="G50" s="1"/>
      <c r="H50" s="1"/>
    </row>
    <row r="51" spans="1:8" ht="15.75">
      <c r="A51" s="1">
        <v>46</v>
      </c>
      <c r="B51" s="34" t="str">
        <f>+summary!B56</f>
        <v>Grid West Loan (u)</v>
      </c>
      <c r="C51" s="34">
        <f>+summary!C56</f>
        <v>8.4</v>
      </c>
      <c r="D51" s="232">
        <f>+summary!D56</f>
        <v>-86378.09999999998</v>
      </c>
      <c r="E51" s="3"/>
      <c r="F51" s="47"/>
      <c r="G51" s="1"/>
      <c r="H51" s="1"/>
    </row>
    <row r="52" spans="1:8" ht="15.75">
      <c r="A52" s="1">
        <v>47</v>
      </c>
      <c r="B52" s="34" t="str">
        <f>+summary!B57</f>
        <v>North Umpqua Relicensing (u)</v>
      </c>
      <c r="C52" s="34">
        <f>+summary!C57</f>
        <v>8.5</v>
      </c>
      <c r="D52" s="232">
        <f>+summary!D57</f>
        <v>79281.15</v>
      </c>
      <c r="E52" s="3"/>
      <c r="F52" s="47"/>
      <c r="G52" s="1"/>
      <c r="H52" s="1"/>
    </row>
    <row r="53" spans="1:8" ht="15.75">
      <c r="A53" s="1">
        <v>48</v>
      </c>
      <c r="B53" s="34" t="str">
        <f>+summary!B58</f>
        <v>Yakama Sale (u)</v>
      </c>
      <c r="C53" s="34">
        <f>+summary!C58</f>
        <v>8.6</v>
      </c>
      <c r="D53" s="232">
        <f>+summary!D58</f>
        <v>6089.85</v>
      </c>
      <c r="E53" s="3"/>
      <c r="F53" s="47"/>
      <c r="G53" s="1"/>
      <c r="H53" s="1"/>
    </row>
    <row r="54" spans="1:8" ht="15.75">
      <c r="A54" s="1">
        <v>49</v>
      </c>
      <c r="B54" s="34" t="str">
        <f>+summary!B59</f>
        <v>Customer Advances (u)</v>
      </c>
      <c r="C54" s="34">
        <f>+summary!C59</f>
        <v>8.7</v>
      </c>
      <c r="D54" s="232">
        <f>+summary!D59</f>
        <v>0</v>
      </c>
      <c r="E54" s="3"/>
      <c r="F54" s="47"/>
      <c r="G54" s="1"/>
      <c r="H54" s="1"/>
    </row>
    <row r="55" spans="1:8" ht="15.75">
      <c r="A55" s="1">
        <v>50</v>
      </c>
      <c r="B55" s="34" t="str">
        <f>+summary!B60</f>
        <v>Centralia Transmission Line Sale (u)</v>
      </c>
      <c r="C55" s="34">
        <f>+summary!C60</f>
        <v>8.8</v>
      </c>
      <c r="D55" s="232">
        <f>+summary!D60</f>
        <v>724.1</v>
      </c>
      <c r="E55" s="3"/>
      <c r="F55" s="47"/>
      <c r="G55" s="1"/>
      <c r="H55" s="1"/>
    </row>
    <row r="56" spans="1:8" ht="15.75">
      <c r="A56" s="1">
        <v>51</v>
      </c>
      <c r="B56" s="34" t="str">
        <f>+summary!B61</f>
        <v>Leaning Juniper (u)</v>
      </c>
      <c r="C56" s="34">
        <f>+summary!C61</f>
        <v>8.9</v>
      </c>
      <c r="D56" s="232">
        <f>+summary!D61</f>
        <v>-946413.25</v>
      </c>
      <c r="E56" s="3"/>
      <c r="F56" s="47"/>
      <c r="G56" s="1"/>
      <c r="H56" s="1"/>
    </row>
    <row r="57" spans="1:8" ht="15.75">
      <c r="A57" s="1">
        <v>52</v>
      </c>
      <c r="B57" s="34" t="str">
        <f>+summary!B62</f>
        <v>Miscellaneous Rate Base Adj. (u)</v>
      </c>
      <c r="C57" s="241">
        <f>+summary!C62</f>
        <v>8.1</v>
      </c>
      <c r="D57" s="232">
        <f>+summary!D62</f>
        <v>427293.75</v>
      </c>
      <c r="E57" s="3"/>
      <c r="F57" s="47"/>
      <c r="G57" s="1"/>
      <c r="H57" s="1"/>
    </row>
    <row r="58" spans="1:8" ht="15.75">
      <c r="A58" s="1">
        <v>53</v>
      </c>
      <c r="B58" s="34" t="str">
        <f>+summary!B63</f>
        <v>Colstrip 4 AFUDC Adj. (u)</v>
      </c>
      <c r="C58" s="34">
        <f>+summary!C63</f>
        <v>8.11</v>
      </c>
      <c r="D58" s="232">
        <f>+summary!D63</f>
        <v>33000</v>
      </c>
      <c r="E58" s="3"/>
      <c r="F58" s="47"/>
      <c r="G58" s="1"/>
      <c r="H58" s="1"/>
    </row>
    <row r="59" spans="1:8" ht="15.75">
      <c r="A59" s="1">
        <v>54</v>
      </c>
      <c r="B59" s="34" t="str">
        <f>+summary!B64</f>
        <v>Trojan Removal (u)</v>
      </c>
      <c r="C59" s="34">
        <f>+summary!C64</f>
        <v>8.12</v>
      </c>
      <c r="D59" s="232">
        <f>+summary!D64</f>
        <v>280615.7</v>
      </c>
      <c r="E59" s="3"/>
      <c r="F59" s="47"/>
      <c r="G59" s="1"/>
      <c r="H59" s="1"/>
    </row>
    <row r="60" spans="1:8" ht="15.75">
      <c r="A60" s="1">
        <v>55</v>
      </c>
      <c r="B60" s="34" t="str">
        <f>+summary!B65</f>
        <v>MEHC Transition Savings</v>
      </c>
      <c r="C60" s="34">
        <f>+summary!C65</f>
        <v>8.13</v>
      </c>
      <c r="D60" s="232">
        <f>+summary!D65</f>
        <v>1879603.7000000002</v>
      </c>
      <c r="E60" s="3"/>
      <c r="F60" s="47"/>
      <c r="G60" s="1"/>
      <c r="H60" s="1"/>
    </row>
    <row r="61" spans="1:8" ht="15.75">
      <c r="A61" s="1">
        <v>56</v>
      </c>
      <c r="B61" s="34" t="str">
        <f>+summary!B66</f>
        <v>Remove Working Capital</v>
      </c>
      <c r="C61" s="34">
        <f>+summary!C66</f>
        <v>8.14</v>
      </c>
      <c r="D61" s="232">
        <f>+summary!D66</f>
        <v>0</v>
      </c>
      <c r="E61" s="3"/>
      <c r="F61" s="47"/>
      <c r="G61" s="1"/>
      <c r="H61" s="1"/>
    </row>
    <row r="62" spans="1:8" ht="15.75">
      <c r="A62" s="1">
        <v>57</v>
      </c>
      <c r="B62" s="34" t="str">
        <f>+summary!B67</f>
        <v>Remove Current Assets</v>
      </c>
      <c r="C62" s="34">
        <f>+summary!C67</f>
        <v>8.15</v>
      </c>
      <c r="D62" s="232">
        <f>+summary!D67</f>
        <v>0</v>
      </c>
      <c r="E62" s="3"/>
      <c r="F62" s="47"/>
      <c r="G62" s="1"/>
      <c r="H62" s="1"/>
    </row>
    <row r="63" spans="1:8" ht="15.75">
      <c r="A63" s="1">
        <v>58</v>
      </c>
      <c r="B63" s="34" t="str">
        <f>+summary!B68</f>
        <v>ISWC</v>
      </c>
      <c r="C63" s="34">
        <f>+summary!C68</f>
        <v>8.16</v>
      </c>
      <c r="D63" s="232">
        <f>+summary!D68</f>
        <v>0</v>
      </c>
      <c r="E63" s="3"/>
      <c r="F63" s="47"/>
      <c r="G63" s="1"/>
      <c r="H63" s="1"/>
    </row>
    <row r="64" spans="1:8" ht="15.75">
      <c r="A64" s="1">
        <v>59</v>
      </c>
      <c r="B64" s="34" t="str">
        <f>+summary!B69</f>
        <v>Customer Deposits</v>
      </c>
      <c r="C64" s="34">
        <f>+summary!C69</f>
        <v>8.17</v>
      </c>
      <c r="D64" s="232">
        <f>+summary!D69</f>
        <v>-24363.95</v>
      </c>
      <c r="E64" s="3"/>
      <c r="F64" s="47"/>
      <c r="G64" s="1"/>
      <c r="H64" s="1"/>
    </row>
    <row r="65" spans="1:8" ht="16.5" thickBot="1">
      <c r="A65" s="1">
        <v>60</v>
      </c>
      <c r="B65" s="247" t="str">
        <f>+summary!B72</f>
        <v>Total</v>
      </c>
      <c r="C65" s="34"/>
      <c r="D65" s="237">
        <f>+summary!D72</f>
        <v>34368637.91118103</v>
      </c>
      <c r="E65" s="3"/>
      <c r="F65" s="47"/>
      <c r="G65" s="1"/>
      <c r="H65" s="1"/>
    </row>
    <row r="66" spans="1:8" ht="16.5" thickTop="1">
      <c r="A66" s="1">
        <v>61</v>
      </c>
      <c r="B66" s="34"/>
      <c r="C66" s="34"/>
      <c r="D66" s="232"/>
      <c r="E66" s="3"/>
      <c r="F66" s="47"/>
      <c r="G66" s="1"/>
      <c r="H66" s="1"/>
    </row>
    <row r="67" spans="1:8" ht="15.75">
      <c r="A67" s="1">
        <v>62</v>
      </c>
      <c r="E67" s="3"/>
      <c r="F67" s="47"/>
      <c r="G67" s="1"/>
      <c r="H67" s="1"/>
    </row>
    <row r="68" spans="1:8" ht="15.75">
      <c r="A68" s="1">
        <v>63</v>
      </c>
      <c r="B68" s="34"/>
      <c r="C68" s="233"/>
      <c r="D68" s="236"/>
      <c r="E68" s="3"/>
      <c r="F68" s="47"/>
      <c r="G68" s="1"/>
      <c r="H68" s="1"/>
    </row>
    <row r="69" spans="1:8" ht="15.75">
      <c r="A69" s="1">
        <v>64</v>
      </c>
      <c r="B69" s="34"/>
      <c r="C69" s="34"/>
      <c r="D69" s="232"/>
      <c r="E69" s="3"/>
      <c r="F69" s="47"/>
      <c r="G69" s="1"/>
      <c r="H69" s="1"/>
    </row>
    <row r="70" spans="1:8" ht="15.75">
      <c r="A70" s="1">
        <v>65</v>
      </c>
      <c r="B70" s="34"/>
      <c r="C70" s="34"/>
      <c r="D70" s="232"/>
      <c r="E70" s="3"/>
      <c r="F70" s="47"/>
      <c r="G70" s="1"/>
      <c r="H70" s="1"/>
    </row>
    <row r="71" spans="1:8" ht="15.75">
      <c r="A71" s="1">
        <v>69</v>
      </c>
      <c r="B71" s="34"/>
      <c r="C71" s="34"/>
      <c r="D71" s="232"/>
      <c r="E71" s="3"/>
      <c r="F71" s="47"/>
      <c r="G71" s="1"/>
      <c r="H71" s="1"/>
    </row>
    <row r="72" spans="1:8" ht="15.75">
      <c r="A72" s="1">
        <v>70</v>
      </c>
      <c r="B72" s="34"/>
      <c r="C72" s="34"/>
      <c r="D72" s="232"/>
      <c r="E72" s="3"/>
      <c r="F72" s="47"/>
      <c r="G72" s="1"/>
      <c r="H72" s="1"/>
    </row>
    <row r="73" spans="1:8" ht="15.75">
      <c r="A73" s="1">
        <v>71</v>
      </c>
      <c r="B73" s="34"/>
      <c r="C73" s="34"/>
      <c r="D73" s="232"/>
      <c r="E73" s="1"/>
      <c r="F73" s="1"/>
      <c r="G73" s="1"/>
      <c r="H73" s="1"/>
    </row>
    <row r="74" spans="1:8" ht="15.75">
      <c r="A74" s="1">
        <v>72</v>
      </c>
      <c r="E74" s="1"/>
      <c r="F74" s="14"/>
      <c r="G74" s="1"/>
      <c r="H74" s="1"/>
    </row>
    <row r="75" spans="1:8" ht="15.75">
      <c r="A75" s="1">
        <v>73</v>
      </c>
      <c r="B75" s="34"/>
      <c r="C75" s="34"/>
      <c r="D75" s="232"/>
      <c r="E75" s="1"/>
      <c r="F75" s="1"/>
      <c r="G75" s="1"/>
      <c r="H75" s="1"/>
    </row>
    <row r="76" spans="1:8" ht="15.75">
      <c r="A76" s="1">
        <v>74</v>
      </c>
      <c r="B76" s="34"/>
      <c r="C76" s="34"/>
      <c r="D76" s="232"/>
      <c r="G76" s="1"/>
      <c r="H76" s="1"/>
    </row>
    <row r="77" spans="1:8" ht="15.75">
      <c r="A77" s="1">
        <v>75</v>
      </c>
      <c r="B77" s="34"/>
      <c r="C77" s="34"/>
      <c r="D77" s="232"/>
      <c r="E77" s="1"/>
      <c r="F77" s="36"/>
      <c r="G77" s="1"/>
      <c r="H77" s="1"/>
    </row>
    <row r="78" spans="1:8" ht="15.75">
      <c r="A78" s="1">
        <v>76</v>
      </c>
      <c r="B78" s="34"/>
      <c r="C78" s="34"/>
      <c r="D78" s="232"/>
      <c r="E78" s="1"/>
      <c r="F78" s="36"/>
      <c r="G78" s="1"/>
      <c r="H78" s="1"/>
    </row>
    <row r="79" spans="1:8" ht="15.75">
      <c r="A79" s="1">
        <v>77</v>
      </c>
      <c r="B79" s="34"/>
      <c r="C79" s="34"/>
      <c r="D79" s="232"/>
      <c r="E79" s="1"/>
      <c r="F79" s="47"/>
      <c r="G79" s="1"/>
      <c r="H79" s="1"/>
    </row>
    <row r="80" spans="1:8" ht="15.75">
      <c r="A80" s="1">
        <v>78</v>
      </c>
      <c r="B80" s="34"/>
      <c r="C80" s="34"/>
      <c r="D80" s="232"/>
      <c r="E80" s="1"/>
      <c r="F80" s="47"/>
      <c r="G80" s="1"/>
      <c r="H80" s="1"/>
    </row>
    <row r="81" spans="1:8" ht="15.75">
      <c r="A81" s="1">
        <v>79</v>
      </c>
      <c r="B81" s="34"/>
      <c r="C81" s="34"/>
      <c r="D81" s="232"/>
      <c r="E81" s="3"/>
      <c r="F81" s="13"/>
      <c r="G81" s="1"/>
      <c r="H81" s="1"/>
    </row>
    <row r="82" spans="1:8" ht="15.75">
      <c r="A82" s="1">
        <v>80</v>
      </c>
      <c r="B82" s="34"/>
      <c r="C82" s="34"/>
      <c r="D82" s="34"/>
      <c r="E82" s="6"/>
      <c r="F82" s="6"/>
      <c r="G82" s="1"/>
      <c r="H82" s="1"/>
    </row>
    <row r="83" spans="1:8" ht="15.75">
      <c r="A83" s="1">
        <v>81</v>
      </c>
      <c r="B83" s="34"/>
      <c r="C83" s="34"/>
      <c r="D83" s="34"/>
      <c r="E83" s="1"/>
      <c r="F83" s="47"/>
      <c r="G83" s="1"/>
      <c r="H83" s="1"/>
    </row>
    <row r="84" spans="1:8" ht="18">
      <c r="A84" s="1">
        <v>82</v>
      </c>
      <c r="B84" s="34"/>
      <c r="C84" s="34"/>
      <c r="D84" s="34"/>
      <c r="E84" s="1"/>
      <c r="F84" s="62"/>
      <c r="G84" s="1"/>
      <c r="H84" s="1"/>
    </row>
    <row r="85" spans="1:8" ht="15.75">
      <c r="A85" s="1">
        <v>83</v>
      </c>
      <c r="B85" s="34"/>
      <c r="C85" s="34"/>
      <c r="D85" s="34"/>
      <c r="E85" s="1"/>
      <c r="F85" s="47"/>
      <c r="G85" s="1"/>
      <c r="H85" s="1"/>
    </row>
    <row r="86" spans="1:8" ht="15.75">
      <c r="A86" s="1">
        <v>84</v>
      </c>
      <c r="E86" s="1"/>
      <c r="F86" s="16"/>
      <c r="G86" s="1"/>
      <c r="H86" s="1"/>
    </row>
    <row r="87" spans="1:8" ht="15.75">
      <c r="A87" s="1">
        <v>85</v>
      </c>
      <c r="B87" s="51"/>
      <c r="C87" s="1"/>
      <c r="D87" s="14"/>
      <c r="E87" s="1"/>
      <c r="F87" s="14"/>
      <c r="G87" s="1"/>
      <c r="H87" s="1"/>
    </row>
    <row r="88" spans="1:8" ht="18">
      <c r="A88" s="1">
        <v>86</v>
      </c>
      <c r="B88" s="51"/>
      <c r="C88" s="1"/>
      <c r="D88" s="61"/>
      <c r="E88" s="1"/>
      <c r="F88" s="61"/>
      <c r="G88" s="1"/>
      <c r="H88" s="1"/>
    </row>
    <row r="89" spans="1:8" ht="15.75">
      <c r="A89" s="1">
        <v>87</v>
      </c>
      <c r="B89" s="51"/>
      <c r="C89" s="1"/>
      <c r="D89" s="14"/>
      <c r="E89" s="1"/>
      <c r="F89" s="14"/>
      <c r="G89" s="1"/>
      <c r="H89" s="1"/>
    </row>
    <row r="90" spans="1:8" ht="15.75">
      <c r="A90" s="1">
        <v>88</v>
      </c>
      <c r="B90" s="60"/>
      <c r="C90" s="1"/>
      <c r="D90" s="14"/>
      <c r="E90" s="1"/>
      <c r="F90" s="14"/>
      <c r="G90" s="1"/>
      <c r="H90" s="1"/>
    </row>
    <row r="91" spans="1:8" ht="15.75">
      <c r="A91" s="1"/>
      <c r="B91" s="1"/>
      <c r="C91" s="1"/>
      <c r="D91" s="14"/>
      <c r="E91" s="1"/>
      <c r="F91" s="1"/>
      <c r="G91" s="1"/>
      <c r="H91" s="1"/>
    </row>
    <row r="92" spans="1:8" ht="15.75">
      <c r="A92" s="1"/>
      <c r="B92" s="1"/>
      <c r="C92" s="1"/>
      <c r="D92" s="14"/>
      <c r="E92" s="1"/>
      <c r="F92" s="1"/>
      <c r="G92" s="1"/>
      <c r="H92" s="1"/>
    </row>
    <row r="93" spans="1:8" ht="15.75">
      <c r="A93" s="1"/>
      <c r="B93" s="1"/>
      <c r="C93" s="1"/>
      <c r="D93" s="14"/>
      <c r="E93" s="1"/>
      <c r="F93" s="1"/>
      <c r="G93" s="1"/>
      <c r="H93" s="1"/>
    </row>
    <row r="94" spans="1:8" ht="15.75">
      <c r="A94" s="1"/>
      <c r="B94" s="1"/>
      <c r="C94" s="1"/>
      <c r="D94" s="14"/>
      <c r="E94" s="1"/>
      <c r="F94" s="1"/>
      <c r="G94" s="1"/>
      <c r="H94" s="1"/>
    </row>
    <row r="95" spans="1:8" ht="15.75">
      <c r="A95" s="1"/>
      <c r="B95" s="1"/>
      <c r="C95" s="1"/>
      <c r="D95" s="14"/>
      <c r="E95" s="1"/>
      <c r="F95" s="1"/>
      <c r="G95" s="1"/>
      <c r="H95" s="1"/>
    </row>
  </sheetData>
  <mergeCells count="2">
    <mergeCell ref="B1:D1"/>
    <mergeCell ref="B2:D2"/>
  </mergeCells>
  <printOptions horizontalCentered="1"/>
  <pageMargins left="1.5" right="0.75" top="1" bottom="1" header="0.5" footer="0.25"/>
  <pageSetup fitToHeight="1" fitToWidth="1" horizontalDpi="600" verticalDpi="600" orientation="portrait" scale="60" r:id="rId1"/>
  <headerFooter alignWithMargins="0">
    <oddHeader>&amp;R&amp;"Times New Roman,Regular"PacifiCorp Docket UE-061546
Exhibit ___ (TES-2)
REVISED 3/22/2007</oddHeader>
    <oddFooter>&amp;R&amp;"Times New Roman,Regular"Page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rmartin</dc:creator>
  <cp:keywords/>
  <dc:description/>
  <cp:lastModifiedBy>Thomas Schooley</cp:lastModifiedBy>
  <cp:lastPrinted>2007-03-21T18:24:21Z</cp:lastPrinted>
  <dcterms:created xsi:type="dcterms:W3CDTF">2003-12-22T18:47:15Z</dcterms:created>
  <dcterms:modified xsi:type="dcterms:W3CDTF">2007-03-21T19:01:16Z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060817</vt:lpwstr>
  </property>
  <property fmtid="{D5CDD505-2E9C-101B-9397-08002B2CF9AE}" pid="6" name="IsConfidenti">
    <vt:lpwstr>0</vt:lpwstr>
  </property>
  <property fmtid="{D5CDD505-2E9C-101B-9397-08002B2CF9AE}" pid="7" name="Dat">
    <vt:lpwstr>2007-03-23T00:00:00Z</vt:lpwstr>
  </property>
  <property fmtid="{D5CDD505-2E9C-101B-9397-08002B2CF9AE}" pid="8" name="CaseTy">
    <vt:lpwstr>Petition for Accounting Order</vt:lpwstr>
  </property>
  <property fmtid="{D5CDD505-2E9C-101B-9397-08002B2CF9AE}" pid="9" name="OpenedDa">
    <vt:lpwstr>2006-05-19T00:00:00Z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